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updateLinks="never"/>
  <mc:AlternateContent xmlns:mc="http://schemas.openxmlformats.org/markup-compatibility/2006">
    <mc:Choice Requires="x15">
      <x15ac:absPath xmlns:x15ac="http://schemas.microsoft.com/office/spreadsheetml/2010/11/ac" url="https://pathseattle-my.sharepoint.com/personal/hthompson_path_org/Documents/Documents/github/nigeria-costing-dashboard/data/"/>
    </mc:Choice>
  </mc:AlternateContent>
  <xr:revisionPtr revIDLastSave="129" documentId="8_{D51B738E-A884-4DF1-BE04-5E66EDEE1298}" xr6:coauthVersionLast="47" xr6:coauthVersionMax="47" xr10:uidLastSave="{287C77C2-CDB3-4FB8-9636-74977984FF99}"/>
  <bookViews>
    <workbookView xWindow="-110" yWindow="-110" windowWidth="38620" windowHeight="21220" tabRatio="774" firstSheet="1" activeTab="3" xr2:uid="{00000000-000D-0000-FFFF-FFFF00000000}"/>
  </bookViews>
  <sheets>
    <sheet name="Cover Page" sheetId="11" r:id="rId1"/>
    <sheet name="Unit Cost" sheetId="3" r:id="rId2"/>
    <sheet name="Detailed Budget" sheetId="1" r:id="rId3"/>
    <sheet name="States and LGAs" sheetId="15" r:id="rId4"/>
    <sheet name="Cost inputs for SMC Campaign" sheetId="18" r:id="rId5"/>
    <sheet name="SUMMARY&gt;&gt;&gt;" sheetId="12" state="hidden" r:id="rId6"/>
    <sheet name="NSP Needs by Year" sheetId="13" state="hidden" r:id="rId7"/>
    <sheet name="INPUTS&gt;&gt;&gt;" sheetId="2" state="hidden" r:id="rId8"/>
    <sheet name="REFERENCE&gt;&gt;&gt;" sheetId="9" state="hidden" r:id="rId9"/>
    <sheet name="Data Validation" sheetId="7" state="hidden" r:id="rId10"/>
    <sheet name="Cost inputs for ITN Campaign" sheetId="16" r:id="rId11"/>
    <sheet name="Cost inputs CM commodities" sheetId="17" r:id="rId12"/>
    <sheet name="Cost inputs for PMC commodities" sheetId="19" r:id="rId13"/>
    <sheet name="Cost inputs-PMC SP Distribution" sheetId="20" r:id="rId14"/>
  </sheets>
  <externalReferences>
    <externalReference r:id="rId15"/>
    <externalReference r:id="rId16"/>
    <externalReference r:id="rId17"/>
    <externalReference r:id="rId18"/>
    <externalReference r:id="rId19"/>
  </externalReferences>
  <definedNames>
    <definedName name="__123Graph_A" localSheetId="7" hidden="1">#REF!</definedName>
    <definedName name="__123Graph_A" hidden="1">#REF!</definedName>
    <definedName name="__123Graph_AGRAPH1" localSheetId="7" hidden="1">#REF!</definedName>
    <definedName name="__123Graph_AGRAPH1" hidden="1">#REF!</definedName>
    <definedName name="__123Graph_AGRAPH2" localSheetId="7" hidden="1">#REF!</definedName>
    <definedName name="__123Graph_AGRAPH2" hidden="1">#REF!</definedName>
    <definedName name="__123Graph_AGRAPH3" localSheetId="7" hidden="1">#REF!</definedName>
    <definedName name="__123Graph_AGRAPH3" hidden="1">#REF!</definedName>
    <definedName name="__123Graph_AGRAPH4" localSheetId="7" hidden="1">#REF!</definedName>
    <definedName name="__123Graph_AGRAPH4" hidden="1">#REF!</definedName>
    <definedName name="__123Graph_AGRAPH5" localSheetId="7" hidden="1">#REF!</definedName>
    <definedName name="__123Graph_AGRAPH5" hidden="1">#REF!</definedName>
    <definedName name="__123Graph_AGRAPH6" localSheetId="7" hidden="1">#REF!</definedName>
    <definedName name="__123Graph_AGRAPH6" hidden="1">#REF!</definedName>
    <definedName name="__123Graph_B" localSheetId="7" hidden="1">#REF!</definedName>
    <definedName name="__123Graph_B" hidden="1">#REF!</definedName>
    <definedName name="__123Graph_BGRAPH1" localSheetId="7" hidden="1">#REF!</definedName>
    <definedName name="__123Graph_BGRAPH1" hidden="1">#REF!</definedName>
    <definedName name="__123Graph_BGRAPH2" localSheetId="7" hidden="1">#REF!</definedName>
    <definedName name="__123Graph_BGRAPH2" hidden="1">#REF!</definedName>
    <definedName name="__123Graph_BGRAPH3" localSheetId="7" hidden="1">#REF!</definedName>
    <definedName name="__123Graph_BGRAPH3" hidden="1">#REF!</definedName>
    <definedName name="__123Graph_BGRAPH4" localSheetId="7" hidden="1">#REF!</definedName>
    <definedName name="__123Graph_BGRAPH4" hidden="1">#REF!</definedName>
    <definedName name="__123Graph_BGRAPH5" localSheetId="7" hidden="1">#REF!</definedName>
    <definedName name="__123Graph_BGRAPH5" hidden="1">#REF!</definedName>
    <definedName name="__123Graph_BGRAPH6" localSheetId="7" hidden="1">#REF!</definedName>
    <definedName name="__123Graph_BGRAPH6" hidden="1">#REF!</definedName>
    <definedName name="__123Graph_C" localSheetId="7" hidden="1">#REF!</definedName>
    <definedName name="__123Graph_C" hidden="1">#REF!</definedName>
    <definedName name="__123Graph_CGRAPH1" localSheetId="7" hidden="1">#REF!</definedName>
    <definedName name="__123Graph_CGRAPH1" hidden="1">#REF!</definedName>
    <definedName name="__123Graph_CGRAPH2" localSheetId="7" hidden="1">#REF!</definedName>
    <definedName name="__123Graph_CGRAPH2" hidden="1">#REF!</definedName>
    <definedName name="__123Graph_CGRAPH3" localSheetId="7" hidden="1">#REF!</definedName>
    <definedName name="__123Graph_CGRAPH3" hidden="1">#REF!</definedName>
    <definedName name="__123Graph_CGRAPH6" localSheetId="7" hidden="1">#REF!</definedName>
    <definedName name="__123Graph_CGRAPH6" hidden="1">#REF!</definedName>
    <definedName name="__123Graph_D" localSheetId="7" hidden="1">#REF!</definedName>
    <definedName name="__123Graph_D" hidden="1">#REF!</definedName>
    <definedName name="__123Graph_DGRAPH1" localSheetId="7" hidden="1">#REF!</definedName>
    <definedName name="__123Graph_DGRAPH1" hidden="1">#REF!</definedName>
    <definedName name="__123Graph_DGRAPH3" localSheetId="7" hidden="1">#REF!</definedName>
    <definedName name="__123Graph_DGRAPH3" hidden="1">#REF!</definedName>
    <definedName name="__123Graph_DGRAPH6" localSheetId="7" hidden="1">#REF!</definedName>
    <definedName name="__123Graph_DGRAPH6" hidden="1">#REF!</definedName>
    <definedName name="__123Graph_LBL_A" localSheetId="7" hidden="1">#REF!</definedName>
    <definedName name="__123Graph_LBL_A" hidden="1">#REF!</definedName>
    <definedName name="__123Graph_LBL_AGRAPH1" localSheetId="7" hidden="1">#REF!</definedName>
    <definedName name="__123Graph_LBL_AGRAPH1" hidden="1">#REF!</definedName>
    <definedName name="__123Graph_LBL_AGRAPH2" localSheetId="7" hidden="1">#REF!</definedName>
    <definedName name="__123Graph_LBL_AGRAPH2" hidden="1">#REF!</definedName>
    <definedName name="__123Graph_LBL_B" localSheetId="7" hidden="1">#REF!</definedName>
    <definedName name="__123Graph_LBL_B" hidden="1">#REF!</definedName>
    <definedName name="__123Graph_LBL_BGRAPH2" localSheetId="7" hidden="1">#REF!</definedName>
    <definedName name="__123Graph_LBL_BGRAPH2" hidden="1">#REF!</definedName>
    <definedName name="__123Graph_LBL_D" localSheetId="7" hidden="1">#REF!</definedName>
    <definedName name="__123Graph_LBL_D" hidden="1">#REF!</definedName>
    <definedName name="__123Graph_LBL_DGRAPH1" localSheetId="7" hidden="1">#REF!</definedName>
    <definedName name="__123Graph_LBL_DGRAPH1" hidden="1">#REF!</definedName>
    <definedName name="__123Graph_X" localSheetId="7" hidden="1">#REF!</definedName>
    <definedName name="__123Graph_X" hidden="1">#REF!</definedName>
    <definedName name="__123Graph_XGRAPH1" localSheetId="7" hidden="1">#REF!</definedName>
    <definedName name="__123Graph_XGRAPH1" hidden="1">#REF!</definedName>
    <definedName name="__123Graph_XGRAPH2" localSheetId="7" hidden="1">#REF!</definedName>
    <definedName name="__123Graph_XGRAPH2" hidden="1">#REF!</definedName>
    <definedName name="__123Graph_XGRAPH3" localSheetId="7" hidden="1">#REF!</definedName>
    <definedName name="__123Graph_XGRAPH3" hidden="1">#REF!</definedName>
    <definedName name="__123Graph_XGRAPH4" localSheetId="7" hidden="1">#REF!</definedName>
    <definedName name="__123Graph_XGRAPH4" hidden="1">#REF!</definedName>
    <definedName name="__123Graph_XGRAPH5" localSheetId="7" hidden="1">#REF!</definedName>
    <definedName name="__123Graph_XGRAPH5" hidden="1">#REF!</definedName>
    <definedName name="__123Graph_XGRAPH6" localSheetId="7" hidden="1">#REF!</definedName>
    <definedName name="__123Graph_XGRAPH6" hidden="1">#REF!</definedName>
    <definedName name="_Fill" localSheetId="7" hidden="1">#REF!</definedName>
    <definedName name="_Fill" hidden="1">#REF!</definedName>
    <definedName name="_xlnm._FilterDatabase" localSheetId="3" hidden="1">'States and LGAs'!$A$5:$DN$898</definedName>
    <definedName name="_xlchart.v1.0" hidden="1">'NSP Needs by Year'!$D$9:$D$14</definedName>
    <definedName name="_xlchart.v1.1" hidden="1">'NSP Needs by Year'!$G$9:$G$14</definedName>
    <definedName name="abc" localSheetId="7" hidden="1">#REF!</definedName>
    <definedName name="abc" hidden="1">#REF!</definedName>
    <definedName name="ACU">'Unit Cost'!$C$4</definedName>
    <definedName name="Economy">'Unit Cost'!$F$3</definedName>
    <definedName name="FX_Rate">'Unit Cost'!$F$4</definedName>
    <definedName name="Header1" localSheetId="7" hidden="1">IF(COUNTA(#REF!)=0,0,INDEX(#REF!,MATCH(ROW(#REF!),#REF!,TRUE)))+1</definedName>
    <definedName name="Header1" hidden="1">IF(COUNTA(#REF!)=0,0,INDEX(#REF!,MATCH(ROW(#REF!),#REF!,TRUE)))+1</definedName>
    <definedName name="Header2" localSheetId="7" hidden="1">[1]!Header1-1 &amp; "." &amp; MAX(1,COUNTA(INDEX(#REF!,MATCH([1]!Header1-1,#REF!,FALSE)):#REF!))</definedName>
    <definedName name="Header2" hidden="1">[1]!Header1-1 &amp; "." &amp; MAX(1,COUNTA(INDEX(#REF!,MATCH([1]!Header1-1,#REF!,FALSE)):#REF!))</definedName>
    <definedName name="HTML_Control" localSheetId="9">{"'Sheet1'!$A$1:$O$32"}</definedName>
    <definedName name="HTML_Control">{"'Sheet1'!$A$1:$O$32"}</definedName>
    <definedName name="LCU">'Unit Cost'!$C$3</definedName>
    <definedName name="Lvl1Hdr">'Data Validation'!$F$3</definedName>
    <definedName name="Lvl2Hdr">'Data Validation'!$F$4</definedName>
    <definedName name="Lvl3Hdr">'Data Validation'!$F$5</definedName>
    <definedName name="Lvl4Hdr">'Data Validation'!$F$6</definedName>
    <definedName name="Lvl6Hdr">'Data Validation'!$F$8</definedName>
    <definedName name="LvlBottomHdr">'Data Validation'!$F$7</definedName>
    <definedName name="LvlTopHdr">'Data Validation'!$F$2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36" i="15" l="1"/>
  <c r="AG43" i="15"/>
  <c r="AG45" i="15"/>
  <c r="AG67" i="15"/>
  <c r="AG69" i="15"/>
  <c r="AG86" i="15"/>
  <c r="AG88" i="15"/>
  <c r="AG102" i="15"/>
  <c r="AG104" i="15"/>
  <c r="AG130" i="15"/>
  <c r="AG132" i="15"/>
  <c r="AG150" i="15"/>
  <c r="AG153" i="15"/>
  <c r="AG175" i="15"/>
  <c r="AG177" i="15"/>
  <c r="AG198" i="15"/>
  <c r="AG200" i="15"/>
  <c r="AG228" i="15"/>
  <c r="AG230" i="15"/>
  <c r="AG242" i="15"/>
  <c r="AG244" i="15"/>
  <c r="AG262" i="15"/>
  <c r="AG264" i="15"/>
  <c r="AG282" i="15"/>
  <c r="AG285" i="15"/>
  <c r="AG313" i="15"/>
  <c r="AG315" i="15"/>
  <c r="AG339" i="15"/>
  <c r="AG341" i="15"/>
  <c r="AG386" i="15"/>
  <c r="AG388" i="15"/>
  <c r="AG423" i="15"/>
  <c r="AG425" i="15"/>
  <c r="AG447" i="15"/>
  <c r="AG449" i="15"/>
  <c r="AG473" i="15"/>
  <c r="AG475" i="15"/>
  <c r="AG490" i="15"/>
  <c r="AG493" i="15"/>
  <c r="AG511" i="15"/>
  <c r="AG513" i="15"/>
  <c r="AG535" i="15"/>
  <c r="AG537" i="15"/>
  <c r="AG551" i="15"/>
  <c r="AG553" i="15"/>
  <c r="AG571" i="15"/>
  <c r="AG573" i="15"/>
  <c r="AG601" i="15"/>
  <c r="AG604" i="15"/>
  <c r="AG636" i="15"/>
  <c r="AG638" i="15"/>
  <c r="AG647" i="15"/>
  <c r="AG649" i="15"/>
  <c r="AG668" i="15"/>
  <c r="AG670" i="15"/>
  <c r="AG696" i="15"/>
  <c r="AG698" i="15"/>
  <c r="AG717" i="15"/>
  <c r="AG719" i="15"/>
  <c r="AG743" i="15"/>
  <c r="AG746" i="15"/>
  <c r="AG763" i="15"/>
  <c r="AG765" i="15"/>
  <c r="AG786" i="15"/>
  <c r="AG788" i="15"/>
  <c r="AG809" i="15"/>
  <c r="AG811" i="15"/>
  <c r="AG830" i="15"/>
  <c r="AG832" i="15"/>
  <c r="AG863" i="15"/>
  <c r="AG10" i="15"/>
  <c r="AG34" i="15"/>
  <c r="W87" i="15"/>
  <c r="AF34" i="15"/>
  <c r="AF43" i="15"/>
  <c r="AF67" i="15"/>
  <c r="AF86" i="15"/>
  <c r="AF102" i="15"/>
  <c r="AF130" i="15"/>
  <c r="AF175" i="15"/>
  <c r="AF198" i="15"/>
  <c r="AF228" i="15"/>
  <c r="AF242" i="15"/>
  <c r="AF262" i="15"/>
  <c r="AF313" i="15"/>
  <c r="AF339" i="15"/>
  <c r="AF386" i="15"/>
  <c r="AF423" i="15"/>
  <c r="AF447" i="15"/>
  <c r="AF473" i="15"/>
  <c r="AF511" i="15"/>
  <c r="AF535" i="15"/>
  <c r="AF551" i="15"/>
  <c r="AF571" i="15"/>
  <c r="AF636" i="15"/>
  <c r="AF647" i="15"/>
  <c r="AF668" i="15"/>
  <c r="AF696" i="15"/>
  <c r="AF717" i="15"/>
  <c r="AF763" i="15"/>
  <c r="AF786" i="15"/>
  <c r="AF809" i="15"/>
  <c r="AF830" i="15"/>
  <c r="AF863" i="15"/>
  <c r="F29" i="3"/>
  <c r="F28" i="3"/>
  <c r="BL7" i="15"/>
  <c r="BL10" i="15"/>
  <c r="AK34" i="15"/>
  <c r="BI34" i="15" s="1"/>
  <c r="AL34" i="15"/>
  <c r="AK36" i="15"/>
  <c r="AL36" i="15"/>
  <c r="BJ36" i="15" s="1"/>
  <c r="AK43" i="15"/>
  <c r="AL43" i="15"/>
  <c r="BJ43" i="15" s="1"/>
  <c r="AK45" i="15"/>
  <c r="AL45" i="15"/>
  <c r="BJ45" i="15" s="1"/>
  <c r="AK67" i="15"/>
  <c r="AL67" i="15"/>
  <c r="BJ67" i="15" s="1"/>
  <c r="AK69" i="15"/>
  <c r="AL69" i="15"/>
  <c r="BJ69" i="15" s="1"/>
  <c r="AK86" i="15"/>
  <c r="BI86" i="15" s="1"/>
  <c r="AL86" i="15"/>
  <c r="BJ86" i="15" s="1"/>
  <c r="AK88" i="15"/>
  <c r="AL88" i="15"/>
  <c r="BJ88" i="15" s="1"/>
  <c r="AK102" i="15"/>
  <c r="BI102" i="15" s="1"/>
  <c r="AL102" i="15"/>
  <c r="BJ102" i="15" s="1"/>
  <c r="AK104" i="15"/>
  <c r="AL104" i="15"/>
  <c r="BJ104" i="15" s="1"/>
  <c r="AK130" i="15"/>
  <c r="BI130" i="15" s="1"/>
  <c r="AL130" i="15"/>
  <c r="AK132" i="15"/>
  <c r="AL132" i="15"/>
  <c r="BJ132" i="15" s="1"/>
  <c r="AK150" i="15"/>
  <c r="BI150" i="15" s="1"/>
  <c r="AL150" i="15"/>
  <c r="BJ150" i="15" s="1"/>
  <c r="AK153" i="15"/>
  <c r="AL153" i="15"/>
  <c r="BJ153" i="15" s="1"/>
  <c r="AK175" i="15"/>
  <c r="AL175" i="15"/>
  <c r="BJ175" i="15" s="1"/>
  <c r="AK177" i="15"/>
  <c r="AL177" i="15"/>
  <c r="BJ177" i="15" s="1"/>
  <c r="AK198" i="15"/>
  <c r="BI198" i="15" s="1"/>
  <c r="AL198" i="15"/>
  <c r="BJ198" i="15" s="1"/>
  <c r="AK200" i="15"/>
  <c r="AL200" i="15"/>
  <c r="BJ200" i="15" s="1"/>
  <c r="AK228" i="15"/>
  <c r="AL228" i="15"/>
  <c r="BJ228" i="15" s="1"/>
  <c r="AK230" i="15"/>
  <c r="BI230" i="15" s="1"/>
  <c r="AL230" i="15"/>
  <c r="BJ230" i="15" s="1"/>
  <c r="AK242" i="15"/>
  <c r="BI242" i="15" s="1"/>
  <c r="AL242" i="15"/>
  <c r="BJ242" i="15" s="1"/>
  <c r="AK244" i="15"/>
  <c r="AL244" i="15"/>
  <c r="BJ244" i="15" s="1"/>
  <c r="AK262" i="15"/>
  <c r="BI262" i="15" s="1"/>
  <c r="AL262" i="15"/>
  <c r="BJ262" i="15" s="1"/>
  <c r="AK264" i="15"/>
  <c r="AL264" i="15"/>
  <c r="BJ264" i="15" s="1"/>
  <c r="AK282" i="15"/>
  <c r="AL282" i="15"/>
  <c r="BJ282" i="15" s="1"/>
  <c r="AK285" i="15"/>
  <c r="AL285" i="15"/>
  <c r="BJ285" i="15" s="1"/>
  <c r="AK313" i="15"/>
  <c r="AL313" i="15"/>
  <c r="BJ313" i="15" s="1"/>
  <c r="AK315" i="15"/>
  <c r="AL315" i="15"/>
  <c r="BJ315" i="15" s="1"/>
  <c r="AK339" i="15"/>
  <c r="AL339" i="15"/>
  <c r="BJ339" i="15" s="1"/>
  <c r="AK341" i="15"/>
  <c r="AL341" i="15"/>
  <c r="BJ341" i="15" s="1"/>
  <c r="AK386" i="15"/>
  <c r="BI386" i="15" s="1"/>
  <c r="AL386" i="15"/>
  <c r="BJ386" i="15" s="1"/>
  <c r="AK388" i="15"/>
  <c r="AL388" i="15"/>
  <c r="BJ388" i="15" s="1"/>
  <c r="AK423" i="15"/>
  <c r="BI423" i="15" s="1"/>
  <c r="AL423" i="15"/>
  <c r="BJ423" i="15" s="1"/>
  <c r="AK425" i="15"/>
  <c r="AL425" i="15"/>
  <c r="BJ425" i="15" s="1"/>
  <c r="AK447" i="15"/>
  <c r="BI447" i="15" s="1"/>
  <c r="AL447" i="15"/>
  <c r="BJ447" i="15" s="1"/>
  <c r="AK449" i="15"/>
  <c r="AL449" i="15"/>
  <c r="BJ449" i="15" s="1"/>
  <c r="AK473" i="15"/>
  <c r="AL473" i="15"/>
  <c r="BJ473" i="15" s="1"/>
  <c r="AK475" i="15"/>
  <c r="AL475" i="15"/>
  <c r="BJ475" i="15" s="1"/>
  <c r="AK490" i="15"/>
  <c r="BI490" i="15" s="1"/>
  <c r="AL490" i="15"/>
  <c r="BJ490" i="15" s="1"/>
  <c r="AK493" i="15"/>
  <c r="AL493" i="15"/>
  <c r="BJ493" i="15" s="1"/>
  <c r="AK511" i="15"/>
  <c r="BI511" i="15" s="1"/>
  <c r="AL511" i="15"/>
  <c r="BJ511" i="15" s="1"/>
  <c r="AK513" i="15"/>
  <c r="AL513" i="15"/>
  <c r="BJ513" i="15" s="1"/>
  <c r="AK535" i="15"/>
  <c r="BI535" i="15" s="1"/>
  <c r="AL535" i="15"/>
  <c r="BJ535" i="15" s="1"/>
  <c r="AK537" i="15"/>
  <c r="AL537" i="15"/>
  <c r="BJ537" i="15" s="1"/>
  <c r="AK551" i="15"/>
  <c r="BI551" i="15" s="1"/>
  <c r="AL551" i="15"/>
  <c r="BJ551" i="15" s="1"/>
  <c r="AK553" i="15"/>
  <c r="AL553" i="15"/>
  <c r="BJ553" i="15" s="1"/>
  <c r="AK571" i="15"/>
  <c r="BI571" i="15" s="1"/>
  <c r="AL571" i="15"/>
  <c r="BJ571" i="15" s="1"/>
  <c r="AK573" i="15"/>
  <c r="AL573" i="15"/>
  <c r="BJ573" i="15" s="1"/>
  <c r="AK601" i="15"/>
  <c r="BI601" i="15" s="1"/>
  <c r="AL601" i="15"/>
  <c r="BJ601" i="15" s="1"/>
  <c r="AK604" i="15"/>
  <c r="AL604" i="15"/>
  <c r="BJ604" i="15" s="1"/>
  <c r="AK636" i="15"/>
  <c r="AL636" i="15"/>
  <c r="BJ636" i="15" s="1"/>
  <c r="AK638" i="15"/>
  <c r="BI638" i="15" s="1"/>
  <c r="AL638" i="15"/>
  <c r="BJ638" i="15" s="1"/>
  <c r="AK647" i="15"/>
  <c r="BI647" i="15" s="1"/>
  <c r="AL647" i="15"/>
  <c r="BJ647" i="15" s="1"/>
  <c r="AK649" i="15"/>
  <c r="BI649" i="15" s="1"/>
  <c r="AL649" i="15"/>
  <c r="BJ649" i="15" s="1"/>
  <c r="AK668" i="15"/>
  <c r="AL668" i="15"/>
  <c r="BJ668" i="15" s="1"/>
  <c r="AK670" i="15"/>
  <c r="BI670" i="15" s="1"/>
  <c r="AL670" i="15"/>
  <c r="AK696" i="15"/>
  <c r="AL696" i="15"/>
  <c r="BJ696" i="15" s="1"/>
  <c r="AK698" i="15"/>
  <c r="AL698" i="15"/>
  <c r="BJ698" i="15" s="1"/>
  <c r="AK717" i="15"/>
  <c r="BI717" i="15" s="1"/>
  <c r="AL717" i="15"/>
  <c r="BJ717" i="15" s="1"/>
  <c r="AK719" i="15"/>
  <c r="AL719" i="15"/>
  <c r="BJ719" i="15" s="1"/>
  <c r="AK743" i="15"/>
  <c r="BI743" i="15" s="1"/>
  <c r="AL743" i="15"/>
  <c r="BJ743" i="15" s="1"/>
  <c r="AK746" i="15"/>
  <c r="AL746" i="15"/>
  <c r="BJ746" i="15" s="1"/>
  <c r="AK763" i="15"/>
  <c r="BI763" i="15" s="1"/>
  <c r="AL763" i="15"/>
  <c r="BJ763" i="15" s="1"/>
  <c r="AK765" i="15"/>
  <c r="BI765" i="15" s="1"/>
  <c r="AL765" i="15"/>
  <c r="BJ765" i="15" s="1"/>
  <c r="AK786" i="15"/>
  <c r="BI786" i="15" s="1"/>
  <c r="AL786" i="15"/>
  <c r="BJ786" i="15" s="1"/>
  <c r="AK788" i="15"/>
  <c r="AL788" i="15"/>
  <c r="BJ788" i="15" s="1"/>
  <c r="AK809" i="15"/>
  <c r="BI809" i="15" s="1"/>
  <c r="AL809" i="15"/>
  <c r="BJ809" i="15" s="1"/>
  <c r="AK811" i="15"/>
  <c r="AL811" i="15"/>
  <c r="BJ811" i="15" s="1"/>
  <c r="AK830" i="15"/>
  <c r="BI830" i="15" s="1"/>
  <c r="AL830" i="15"/>
  <c r="BJ830" i="15" s="1"/>
  <c r="AK832" i="15"/>
  <c r="AL832" i="15"/>
  <c r="BJ832" i="15" s="1"/>
  <c r="AK863" i="15"/>
  <c r="BI863" i="15" s="1"/>
  <c r="AL863" i="15"/>
  <c r="BJ863" i="15" s="1"/>
  <c r="AK865" i="15"/>
  <c r="AL865" i="15"/>
  <c r="BJ865" i="15" s="1"/>
  <c r="AK10" i="15"/>
  <c r="AL10" i="15"/>
  <c r="F68" i="20"/>
  <c r="D68" i="20"/>
  <c r="H67" i="20"/>
  <c r="J67" i="20" s="1"/>
  <c r="K67" i="20" s="1"/>
  <c r="F67" i="20"/>
  <c r="D67" i="20"/>
  <c r="F66" i="20"/>
  <c r="D66" i="20"/>
  <c r="H66" i="20" s="1"/>
  <c r="J66" i="20" s="1"/>
  <c r="K66" i="20" s="1"/>
  <c r="F65" i="20"/>
  <c r="D65" i="20"/>
  <c r="H65" i="20" s="1"/>
  <c r="J65" i="20" s="1"/>
  <c r="E62" i="20"/>
  <c r="D59" i="20"/>
  <c r="D58" i="20"/>
  <c r="D57" i="20"/>
  <c r="D52" i="20"/>
  <c r="H52" i="20" s="1"/>
  <c r="J52" i="20" s="1"/>
  <c r="H51" i="20"/>
  <c r="J51" i="20" s="1"/>
  <c r="F50" i="20"/>
  <c r="H50" i="20" s="1"/>
  <c r="J50" i="20" s="1"/>
  <c r="F49" i="20"/>
  <c r="H49" i="20" s="1"/>
  <c r="J49" i="20" s="1"/>
  <c r="F48" i="20"/>
  <c r="H48" i="20" s="1"/>
  <c r="J48" i="20" s="1"/>
  <c r="F47" i="20"/>
  <c r="H47" i="20" s="1"/>
  <c r="J47" i="20" s="1"/>
  <c r="F46" i="20"/>
  <c r="H46" i="20" s="1"/>
  <c r="H45" i="20"/>
  <c r="J45" i="20" s="1"/>
  <c r="F45" i="20"/>
  <c r="I44" i="20"/>
  <c r="D43" i="20"/>
  <c r="H43" i="20" s="1"/>
  <c r="D42" i="20"/>
  <c r="H42" i="20" s="1"/>
  <c r="D41" i="20"/>
  <c r="H41" i="20" s="1"/>
  <c r="K40" i="20"/>
  <c r="I40" i="20"/>
  <c r="H38" i="20"/>
  <c r="J38" i="20" s="1"/>
  <c r="F38" i="20"/>
  <c r="D38" i="20"/>
  <c r="H37" i="20"/>
  <c r="J37" i="20" s="1"/>
  <c r="D37" i="20"/>
  <c r="F36" i="20"/>
  <c r="D36" i="20"/>
  <c r="D34" i="20"/>
  <c r="D39" i="20" s="1"/>
  <c r="D33" i="20"/>
  <c r="H33" i="20" s="1"/>
  <c r="J33" i="20" s="1"/>
  <c r="H32" i="20"/>
  <c r="F32" i="20"/>
  <c r="I31" i="20"/>
  <c r="F30" i="20"/>
  <c r="D30" i="20"/>
  <c r="H30" i="20" s="1"/>
  <c r="J30" i="20" s="1"/>
  <c r="F29" i="20"/>
  <c r="D29" i="20"/>
  <c r="H29" i="20" s="1"/>
  <c r="J29" i="20" s="1"/>
  <c r="F28" i="20"/>
  <c r="D28" i="20"/>
  <c r="D27" i="20"/>
  <c r="H27" i="20" s="1"/>
  <c r="J27" i="20" s="1"/>
  <c r="F26" i="20"/>
  <c r="H26" i="20" s="1"/>
  <c r="J26" i="20" s="1"/>
  <c r="F25" i="20"/>
  <c r="D25" i="20"/>
  <c r="H25" i="20" s="1"/>
  <c r="J25" i="20" s="1"/>
  <c r="F24" i="20"/>
  <c r="H24" i="20" s="1"/>
  <c r="J24" i="20" s="1"/>
  <c r="D24" i="20"/>
  <c r="F23" i="20"/>
  <c r="D23" i="20"/>
  <c r="H23" i="20" s="1"/>
  <c r="J23" i="20" s="1"/>
  <c r="F22" i="20"/>
  <c r="D22" i="20"/>
  <c r="H22" i="20" s="1"/>
  <c r="J22" i="20" s="1"/>
  <c r="H21" i="20"/>
  <c r="J21" i="20" s="1"/>
  <c r="F21" i="20"/>
  <c r="D21" i="20"/>
  <c r="H20" i="20"/>
  <c r="J20" i="20" s="1"/>
  <c r="F20" i="20"/>
  <c r="H18" i="20"/>
  <c r="J18" i="20" s="1"/>
  <c r="F17" i="20"/>
  <c r="D17" i="20"/>
  <c r="F16" i="20"/>
  <c r="H16" i="20" s="1"/>
  <c r="J16" i="20" s="1"/>
  <c r="F15" i="20"/>
  <c r="H15" i="20" s="1"/>
  <c r="J15" i="20" s="1"/>
  <c r="J14" i="20"/>
  <c r="H14" i="20"/>
  <c r="F13" i="20"/>
  <c r="H13" i="20" s="1"/>
  <c r="J13" i="20" s="1"/>
  <c r="F12" i="20"/>
  <c r="F11" i="20"/>
  <c r="H11" i="20" s="1"/>
  <c r="J11" i="20" s="1"/>
  <c r="F10" i="20"/>
  <c r="H10" i="20" s="1"/>
  <c r="J10" i="20" s="1"/>
  <c r="F9" i="20"/>
  <c r="H9" i="20" s="1"/>
  <c r="J9" i="20" s="1"/>
  <c r="F8" i="20"/>
  <c r="H8" i="20" s="1"/>
  <c r="J8" i="20" s="1"/>
  <c r="D3" i="20"/>
  <c r="G3" i="20" s="1"/>
  <c r="B6" i="19"/>
  <c r="X5" i="19"/>
  <c r="W5" i="19"/>
  <c r="Y5" i="19" s="1"/>
  <c r="T5" i="19"/>
  <c r="S5" i="19"/>
  <c r="P5" i="19"/>
  <c r="O5" i="19"/>
  <c r="L5" i="19"/>
  <c r="K5" i="19"/>
  <c r="H5" i="19"/>
  <c r="G5" i="19"/>
  <c r="I5" i="19" s="1"/>
  <c r="D5" i="19"/>
  <c r="C5" i="19"/>
  <c r="Y4" i="19"/>
  <c r="X4" i="19"/>
  <c r="W4" i="19"/>
  <c r="T4" i="19"/>
  <c r="S4" i="19"/>
  <c r="P4" i="19"/>
  <c r="F11" i="19" s="1"/>
  <c r="O4" i="19"/>
  <c r="L4" i="19"/>
  <c r="K4" i="19"/>
  <c r="M4" i="19" s="1"/>
  <c r="H4" i="19"/>
  <c r="G4" i="19"/>
  <c r="I4" i="19" s="1"/>
  <c r="D4" i="19"/>
  <c r="C4" i="19"/>
  <c r="H11" i="19" l="1"/>
  <c r="H12" i="19" s="1"/>
  <c r="H13" i="19" s="1"/>
  <c r="Q4" i="19"/>
  <c r="U5" i="19"/>
  <c r="H28" i="20"/>
  <c r="J28" i="20" s="1"/>
  <c r="H17" i="20"/>
  <c r="J17" i="20" s="1"/>
  <c r="U4" i="19"/>
  <c r="M5" i="19"/>
  <c r="H36" i="20"/>
  <c r="J36" i="20" s="1"/>
  <c r="G11" i="19"/>
  <c r="G12" i="19" s="1"/>
  <c r="G13" i="19" s="1"/>
  <c r="E4" i="19"/>
  <c r="H68" i="20"/>
  <c r="J68" i="20" s="1"/>
  <c r="K68" i="20" s="1"/>
  <c r="E5" i="19"/>
  <c r="Q5" i="19"/>
  <c r="AM649" i="15"/>
  <c r="AN649" i="15" s="1"/>
  <c r="AM638" i="15"/>
  <c r="AN638" i="15" s="1"/>
  <c r="BJ670" i="15"/>
  <c r="BK670" i="15" s="1"/>
  <c r="BL670" i="15" s="1"/>
  <c r="AM670" i="15"/>
  <c r="AN670" i="15" s="1"/>
  <c r="AM10" i="15"/>
  <c r="AN10" i="15" s="1"/>
  <c r="BK638" i="15"/>
  <c r="BL638" i="15" s="1"/>
  <c r="AM230" i="15"/>
  <c r="AN230" i="15" s="1"/>
  <c r="BJ130" i="15"/>
  <c r="BK130" i="15" s="1"/>
  <c r="BL130" i="15" s="1"/>
  <c r="AM130" i="15"/>
  <c r="AN130" i="15" s="1"/>
  <c r="AM863" i="15"/>
  <c r="AN863" i="15" s="1"/>
  <c r="AM535" i="15"/>
  <c r="AN535" i="15" s="1"/>
  <c r="AM830" i="15"/>
  <c r="AN830" i="15" s="1"/>
  <c r="AM809" i="15"/>
  <c r="AN809" i="15" s="1"/>
  <c r="AM102" i="15"/>
  <c r="AN102" i="15" s="1"/>
  <c r="AM786" i="15"/>
  <c r="AN786" i="15" s="1"/>
  <c r="AM765" i="15"/>
  <c r="AN765" i="15" s="1"/>
  <c r="AM743" i="15"/>
  <c r="AN743" i="15" s="1"/>
  <c r="AM647" i="15"/>
  <c r="AN647" i="15" s="1"/>
  <c r="AM551" i="15"/>
  <c r="AN551" i="15" s="1"/>
  <c r="AM423" i="15"/>
  <c r="AN423" i="15" s="1"/>
  <c r="AM198" i="15"/>
  <c r="AN198" i="15" s="1"/>
  <c r="BJ34" i="15"/>
  <c r="BK34" i="15" s="1"/>
  <c r="BL34" i="15" s="1"/>
  <c r="AM34" i="15"/>
  <c r="AN34" i="15" s="1"/>
  <c r="AM717" i="15"/>
  <c r="AN717" i="15" s="1"/>
  <c r="AM262" i="15"/>
  <c r="AN262" i="15" s="1"/>
  <c r="BI865" i="15"/>
  <c r="BK865" i="15" s="1"/>
  <c r="BL865" i="15" s="1"/>
  <c r="AM865" i="15"/>
  <c r="AN865" i="15" s="1"/>
  <c r="BI832" i="15"/>
  <c r="BK832" i="15" s="1"/>
  <c r="BL832" i="15" s="1"/>
  <c r="AM832" i="15"/>
  <c r="AN832" i="15" s="1"/>
  <c r="BI811" i="15"/>
  <c r="BK811" i="15" s="1"/>
  <c r="BL811" i="15" s="1"/>
  <c r="AM811" i="15"/>
  <c r="AN811" i="15" s="1"/>
  <c r="AM788" i="15"/>
  <c r="AN788" i="15" s="1"/>
  <c r="BI788" i="15"/>
  <c r="BK788" i="15" s="1"/>
  <c r="BL788" i="15" s="1"/>
  <c r="BI746" i="15"/>
  <c r="BK746" i="15" s="1"/>
  <c r="BL746" i="15" s="1"/>
  <c r="AM746" i="15"/>
  <c r="AN746" i="15" s="1"/>
  <c r="BI719" i="15"/>
  <c r="BK719" i="15" s="1"/>
  <c r="BL719" i="15" s="1"/>
  <c r="AM719" i="15"/>
  <c r="AN719" i="15" s="1"/>
  <c r="BI698" i="15"/>
  <c r="BK698" i="15" s="1"/>
  <c r="BL698" i="15" s="1"/>
  <c r="AM698" i="15"/>
  <c r="AN698" i="15" s="1"/>
  <c r="BI604" i="15"/>
  <c r="BK604" i="15" s="1"/>
  <c r="BL604" i="15" s="1"/>
  <c r="AM604" i="15"/>
  <c r="AN604" i="15" s="1"/>
  <c r="BI573" i="15"/>
  <c r="BK573" i="15" s="1"/>
  <c r="BL573" i="15" s="1"/>
  <c r="AM573" i="15"/>
  <c r="AN573" i="15" s="1"/>
  <c r="BI553" i="15"/>
  <c r="BK553" i="15" s="1"/>
  <c r="BL553" i="15" s="1"/>
  <c r="AM553" i="15"/>
  <c r="AN553" i="15" s="1"/>
  <c r="BI537" i="15"/>
  <c r="BK537" i="15" s="1"/>
  <c r="BL537" i="15" s="1"/>
  <c r="AM537" i="15"/>
  <c r="AN537" i="15" s="1"/>
  <c r="BI513" i="15"/>
  <c r="BK513" i="15" s="1"/>
  <c r="BL513" i="15" s="1"/>
  <c r="AM513" i="15"/>
  <c r="AN513" i="15" s="1"/>
  <c r="BI493" i="15"/>
  <c r="BK493" i="15" s="1"/>
  <c r="BL493" i="15" s="1"/>
  <c r="AM493" i="15"/>
  <c r="AN493" i="15" s="1"/>
  <c r="BI475" i="15"/>
  <c r="BK475" i="15" s="1"/>
  <c r="BL475" i="15" s="1"/>
  <c r="AM475" i="15"/>
  <c r="AN475" i="15" s="1"/>
  <c r="BI449" i="15"/>
  <c r="BK449" i="15" s="1"/>
  <c r="BL449" i="15" s="1"/>
  <c r="AM449" i="15"/>
  <c r="AN449" i="15" s="1"/>
  <c r="BI425" i="15"/>
  <c r="BK425" i="15" s="1"/>
  <c r="BL425" i="15" s="1"/>
  <c r="AM425" i="15"/>
  <c r="AN425" i="15" s="1"/>
  <c r="BI388" i="15"/>
  <c r="BK388" i="15" s="1"/>
  <c r="BL388" i="15" s="1"/>
  <c r="AM388" i="15"/>
  <c r="AN388" i="15" s="1"/>
  <c r="BI341" i="15"/>
  <c r="BK341" i="15" s="1"/>
  <c r="BL341" i="15" s="1"/>
  <c r="AM341" i="15"/>
  <c r="AN341" i="15" s="1"/>
  <c r="BI315" i="15"/>
  <c r="AM315" i="15"/>
  <c r="AN315" i="15" s="1"/>
  <c r="BI285" i="15"/>
  <c r="BK285" i="15" s="1"/>
  <c r="BL285" i="15" s="1"/>
  <c r="AM285" i="15"/>
  <c r="AN285" i="15" s="1"/>
  <c r="BI264" i="15"/>
  <c r="BK264" i="15" s="1"/>
  <c r="BL264" i="15" s="1"/>
  <c r="AM264" i="15"/>
  <c r="AN264" i="15" s="1"/>
  <c r="BI244" i="15"/>
  <c r="BK244" i="15" s="1"/>
  <c r="BL244" i="15" s="1"/>
  <c r="AM244" i="15"/>
  <c r="AN244" i="15" s="1"/>
  <c r="BI200" i="15"/>
  <c r="BK200" i="15" s="1"/>
  <c r="BL200" i="15" s="1"/>
  <c r="AM200" i="15"/>
  <c r="AN200" i="15" s="1"/>
  <c r="BI177" i="15"/>
  <c r="BK177" i="15" s="1"/>
  <c r="BL177" i="15" s="1"/>
  <c r="AM177" i="15"/>
  <c r="AN177" i="15" s="1"/>
  <c r="BI153" i="15"/>
  <c r="BK153" i="15" s="1"/>
  <c r="BL153" i="15" s="1"/>
  <c r="AM153" i="15"/>
  <c r="AN153" i="15" s="1"/>
  <c r="BI132" i="15"/>
  <c r="BK132" i="15" s="1"/>
  <c r="BL132" i="15" s="1"/>
  <c r="AM132" i="15"/>
  <c r="AN132" i="15" s="1"/>
  <c r="BI104" i="15"/>
  <c r="BK104" i="15" s="1"/>
  <c r="BL104" i="15" s="1"/>
  <c r="AM104" i="15"/>
  <c r="AN104" i="15" s="1"/>
  <c r="BI88" i="15"/>
  <c r="BK88" i="15" s="1"/>
  <c r="BL88" i="15" s="1"/>
  <c r="AM88" i="15"/>
  <c r="AN88" i="15" s="1"/>
  <c r="BI69" i="15"/>
  <c r="BK69" i="15" s="1"/>
  <c r="BL69" i="15" s="1"/>
  <c r="AM69" i="15"/>
  <c r="AN69" i="15" s="1"/>
  <c r="BI45" i="15"/>
  <c r="BK45" i="15" s="1"/>
  <c r="BL45" i="15" s="1"/>
  <c r="AM45" i="15"/>
  <c r="AN45" i="15" s="1"/>
  <c r="BI36" i="15"/>
  <c r="BK36" i="15" s="1"/>
  <c r="BL36" i="15" s="1"/>
  <c r="AM36" i="15"/>
  <c r="AN36" i="15" s="1"/>
  <c r="AM601" i="15"/>
  <c r="AN601" i="15" s="1"/>
  <c r="AM511" i="15"/>
  <c r="AN511" i="15" s="1"/>
  <c r="AM447" i="15"/>
  <c r="AN447" i="15" s="1"/>
  <c r="BK863" i="15"/>
  <c r="BL863" i="15" s="1"/>
  <c r="BK830" i="15"/>
  <c r="BL830" i="15" s="1"/>
  <c r="BK809" i="15"/>
  <c r="BL809" i="15" s="1"/>
  <c r="BK786" i="15"/>
  <c r="BL786" i="15" s="1"/>
  <c r="BK763" i="15"/>
  <c r="BL763" i="15" s="1"/>
  <c r="BK743" i="15"/>
  <c r="BL743" i="15" s="1"/>
  <c r="BK717" i="15"/>
  <c r="BL717" i="15" s="1"/>
  <c r="BI696" i="15"/>
  <c r="BK696" i="15" s="1"/>
  <c r="BL696" i="15" s="1"/>
  <c r="AM696" i="15"/>
  <c r="AN696" i="15" s="1"/>
  <c r="BI668" i="15"/>
  <c r="BK668" i="15" s="1"/>
  <c r="BL668" i="15" s="1"/>
  <c r="AM668" i="15"/>
  <c r="AN668" i="15" s="1"/>
  <c r="BK647" i="15"/>
  <c r="BL647" i="15" s="1"/>
  <c r="BI636" i="15"/>
  <c r="BK636" i="15" s="1"/>
  <c r="BL636" i="15" s="1"/>
  <c r="AM636" i="15"/>
  <c r="AN636" i="15" s="1"/>
  <c r="BK601" i="15"/>
  <c r="BL601" i="15" s="1"/>
  <c r="BK571" i="15"/>
  <c r="BL571" i="15" s="1"/>
  <c r="BK551" i="15"/>
  <c r="BL551" i="15" s="1"/>
  <c r="BK535" i="15"/>
  <c r="BL535" i="15" s="1"/>
  <c r="BK511" i="15"/>
  <c r="BL511" i="15" s="1"/>
  <c r="BK490" i="15"/>
  <c r="BL490" i="15" s="1"/>
  <c r="BI473" i="15"/>
  <c r="BK473" i="15" s="1"/>
  <c r="BL473" i="15" s="1"/>
  <c r="AM473" i="15"/>
  <c r="AN473" i="15" s="1"/>
  <c r="BK447" i="15"/>
  <c r="BL447" i="15" s="1"/>
  <c r="BK423" i="15"/>
  <c r="BL423" i="15" s="1"/>
  <c r="BK386" i="15"/>
  <c r="BL386" i="15" s="1"/>
  <c r="BI339" i="15"/>
  <c r="BK339" i="15" s="1"/>
  <c r="BL339" i="15" s="1"/>
  <c r="AM339" i="15"/>
  <c r="AN339" i="15" s="1"/>
  <c r="BI313" i="15"/>
  <c r="BK313" i="15" s="1"/>
  <c r="BL313" i="15" s="1"/>
  <c r="AM313" i="15"/>
  <c r="AN313" i="15" s="1"/>
  <c r="BI282" i="15"/>
  <c r="BK282" i="15" s="1"/>
  <c r="BL282" i="15" s="1"/>
  <c r="AM282" i="15"/>
  <c r="AN282" i="15" s="1"/>
  <c r="BK262" i="15"/>
  <c r="BL262" i="15" s="1"/>
  <c r="BK242" i="15"/>
  <c r="BL242" i="15" s="1"/>
  <c r="BI228" i="15"/>
  <c r="BK228" i="15" s="1"/>
  <c r="BL228" i="15" s="1"/>
  <c r="AM228" i="15"/>
  <c r="AN228" i="15" s="1"/>
  <c r="BK198" i="15"/>
  <c r="BL198" i="15" s="1"/>
  <c r="BI175" i="15"/>
  <c r="BK175" i="15" s="1"/>
  <c r="BL175" i="15" s="1"/>
  <c r="AM175" i="15"/>
  <c r="AN175" i="15" s="1"/>
  <c r="BK150" i="15"/>
  <c r="BL150" i="15" s="1"/>
  <c r="BK102" i="15"/>
  <c r="BL102" i="15" s="1"/>
  <c r="BK86" i="15"/>
  <c r="BL86" i="15" s="1"/>
  <c r="BI67" i="15"/>
  <c r="BK67" i="15" s="1"/>
  <c r="BL67" i="15" s="1"/>
  <c r="AM67" i="15"/>
  <c r="AN67" i="15" s="1"/>
  <c r="BI43" i="15"/>
  <c r="BK43" i="15" s="1"/>
  <c r="BL43" i="15" s="1"/>
  <c r="AM43" i="15"/>
  <c r="AN43" i="15" s="1"/>
  <c r="AM763" i="15"/>
  <c r="AN763" i="15" s="1"/>
  <c r="AM571" i="15"/>
  <c r="AN571" i="15" s="1"/>
  <c r="AM150" i="15"/>
  <c r="AN150" i="15" s="1"/>
  <c r="AM86" i="15"/>
  <c r="AN86" i="15" s="1"/>
  <c r="AM490" i="15"/>
  <c r="AN490" i="15" s="1"/>
  <c r="AM386" i="15"/>
  <c r="AN386" i="15" s="1"/>
  <c r="AM242" i="15"/>
  <c r="AN242" i="15" s="1"/>
  <c r="BK765" i="15"/>
  <c r="BL765" i="15" s="1"/>
  <c r="BK649" i="15"/>
  <c r="BL649" i="15" s="1"/>
  <c r="BK315" i="15"/>
  <c r="BL315" i="15" s="1"/>
  <c r="BK230" i="15"/>
  <c r="BL230" i="15" s="1"/>
  <c r="J41" i="20"/>
  <c r="K41" i="20"/>
  <c r="H44" i="20"/>
  <c r="G6" i="20"/>
  <c r="H6" i="20" s="1"/>
  <c r="G5" i="20"/>
  <c r="H5" i="20" s="1"/>
  <c r="G4" i="20"/>
  <c r="H4" i="20" s="1"/>
  <c r="H3" i="20"/>
  <c r="J42" i="20"/>
  <c r="K42" i="20"/>
  <c r="K65" i="20"/>
  <c r="J69" i="20"/>
  <c r="J31" i="20"/>
  <c r="H39" i="20"/>
  <c r="J39" i="20" s="1"/>
  <c r="D35" i="20"/>
  <c r="H35" i="20" s="1"/>
  <c r="J35" i="20" s="1"/>
  <c r="J43" i="20"/>
  <c r="K43" i="20"/>
  <c r="H53" i="20"/>
  <c r="J53" i="20" s="1"/>
  <c r="J46" i="20"/>
  <c r="H31" i="20"/>
  <c r="H19" i="20"/>
  <c r="J19" i="20" s="1"/>
  <c r="J32" i="20"/>
  <c r="H34" i="20"/>
  <c r="J34" i="20" s="1"/>
  <c r="I8" i="19"/>
  <c r="H8" i="19"/>
  <c r="F12" i="19"/>
  <c r="F13" i="19" s="1"/>
  <c r="J11" i="19"/>
  <c r="G15" i="19"/>
  <c r="G14" i="19"/>
  <c r="G17" i="19"/>
  <c r="G16" i="19"/>
  <c r="I7" i="19"/>
  <c r="H7" i="19"/>
  <c r="H14" i="19"/>
  <c r="H16" i="19" s="1"/>
  <c r="H17" i="19"/>
  <c r="H15" i="19"/>
  <c r="E11" i="19"/>
  <c r="K4" i="20" l="1"/>
  <c r="J4" i="20"/>
  <c r="J40" i="20"/>
  <c r="K5" i="20"/>
  <c r="J5" i="20"/>
  <c r="K44" i="20"/>
  <c r="J76" i="20"/>
  <c r="J77" i="20" s="1"/>
  <c r="J78" i="20" s="1"/>
  <c r="J79" i="20" s="1"/>
  <c r="K6" i="20"/>
  <c r="J6" i="20"/>
  <c r="J44" i="20"/>
  <c r="K69" i="20"/>
  <c r="K3" i="20"/>
  <c r="J3" i="20"/>
  <c r="H7" i="20"/>
  <c r="G7" i="20"/>
  <c r="H40" i="20"/>
  <c r="E12" i="19"/>
  <c r="I11" i="19"/>
  <c r="F15" i="19"/>
  <c r="F14" i="19"/>
  <c r="F17" i="19"/>
  <c r="F16" i="19" l="1"/>
  <c r="J73" i="20"/>
  <c r="J7" i="20"/>
  <c r="K7" i="20"/>
  <c r="K73" i="20" s="1"/>
  <c r="E13" i="19"/>
  <c r="I12" i="19"/>
  <c r="J74" i="20" l="1"/>
  <c r="J70" i="20"/>
  <c r="J71" i="20" s="1"/>
  <c r="E17" i="19"/>
  <c r="I13" i="19"/>
  <c r="E15" i="19"/>
  <c r="E14" i="19"/>
  <c r="E16" i="19" s="1"/>
  <c r="I17" i="19" l="1"/>
  <c r="I15" i="19"/>
  <c r="I14" i="19"/>
  <c r="I16" i="19" s="1"/>
  <c r="I20" i="19" s="1"/>
  <c r="I21" i="19" s="1"/>
  <c r="I22" i="19" s="1"/>
  <c r="H88" i="3" l="1"/>
  <c r="G88" i="3"/>
  <c r="H87" i="3"/>
  <c r="G87" i="3"/>
  <c r="H86" i="3"/>
  <c r="G86" i="3"/>
  <c r="H85" i="3"/>
  <c r="G85" i="3"/>
  <c r="H84" i="3"/>
  <c r="G84" i="3"/>
  <c r="F27" i="3"/>
  <c r="AP865" i="15"/>
  <c r="AP866" i="15"/>
  <c r="AP867" i="15"/>
  <c r="AP868" i="15"/>
  <c r="AP869" i="15"/>
  <c r="AP870" i="15"/>
  <c r="AP871" i="15"/>
  <c r="AP872" i="15"/>
  <c r="AP873" i="15"/>
  <c r="AP874" i="15"/>
  <c r="AP875" i="15"/>
  <c r="AP876" i="15"/>
  <c r="AP877" i="15"/>
  <c r="AP878" i="15"/>
  <c r="AP879" i="15"/>
  <c r="AP880" i="15"/>
  <c r="AP881" i="15"/>
  <c r="AP882" i="15"/>
  <c r="AP883" i="15"/>
  <c r="AP884" i="15"/>
  <c r="AP885" i="15"/>
  <c r="AP886" i="15"/>
  <c r="AP887" i="15"/>
  <c r="AP888" i="15"/>
  <c r="AP889" i="15"/>
  <c r="AP890" i="15"/>
  <c r="AP891" i="15"/>
  <c r="AP892" i="15"/>
  <c r="AP893" i="15"/>
  <c r="AP894" i="15"/>
  <c r="AP895" i="15"/>
  <c r="AP896" i="15"/>
  <c r="AP897" i="15"/>
  <c r="AP898" i="15"/>
  <c r="X170" i="1"/>
  <c r="M170" i="1"/>
  <c r="D170" i="1"/>
  <c r="X167" i="1"/>
  <c r="M167" i="1"/>
  <c r="D167" i="1"/>
  <c r="AP11" i="15"/>
  <c r="AP12" i="15"/>
  <c r="AP13" i="15"/>
  <c r="AP14" i="15"/>
  <c r="AP15" i="15"/>
  <c r="AP16" i="15"/>
  <c r="AP17" i="15"/>
  <c r="AP18" i="15"/>
  <c r="AP19" i="15"/>
  <c r="AP20" i="15"/>
  <c r="AP21" i="15"/>
  <c r="AP22" i="15"/>
  <c r="AP23" i="15"/>
  <c r="AP24" i="15"/>
  <c r="AP25" i="15"/>
  <c r="AP26" i="15"/>
  <c r="AP27" i="15"/>
  <c r="AP28" i="15"/>
  <c r="AP29" i="15"/>
  <c r="AP30" i="15"/>
  <c r="AP31" i="15"/>
  <c r="AP32" i="15"/>
  <c r="AP33" i="15"/>
  <c r="AP34" i="15"/>
  <c r="AP37" i="15"/>
  <c r="AP38" i="15"/>
  <c r="AP39" i="15"/>
  <c r="AP40" i="15"/>
  <c r="AP41" i="15"/>
  <c r="AP42" i="15"/>
  <c r="AP43" i="15"/>
  <c r="AP46" i="15"/>
  <c r="AP47" i="15"/>
  <c r="AP48" i="15"/>
  <c r="AP49" i="15"/>
  <c r="AP50" i="15"/>
  <c r="AP51" i="15"/>
  <c r="AP52" i="15"/>
  <c r="AP53" i="15"/>
  <c r="AP54" i="15"/>
  <c r="AP55" i="15"/>
  <c r="AP56" i="15"/>
  <c r="AP57" i="15"/>
  <c r="AP58" i="15"/>
  <c r="AP59" i="15"/>
  <c r="AP60" i="15"/>
  <c r="AP61" i="15"/>
  <c r="AP62" i="15"/>
  <c r="AP63" i="15"/>
  <c r="AP64" i="15"/>
  <c r="AP65" i="15"/>
  <c r="AP66" i="15"/>
  <c r="AP67" i="15"/>
  <c r="AP70" i="15"/>
  <c r="AP71" i="15"/>
  <c r="AP72" i="15"/>
  <c r="AP73" i="15"/>
  <c r="AP74" i="15"/>
  <c r="AP75" i="15"/>
  <c r="AP76" i="15"/>
  <c r="AP77" i="15"/>
  <c r="AP78" i="15"/>
  <c r="AP79" i="15"/>
  <c r="AP80" i="15"/>
  <c r="AP81" i="15"/>
  <c r="AP82" i="15"/>
  <c r="AP83" i="15"/>
  <c r="AP84" i="15"/>
  <c r="AP85" i="15"/>
  <c r="AP86" i="15"/>
  <c r="AP89" i="15"/>
  <c r="AP90" i="15"/>
  <c r="AP91" i="15"/>
  <c r="AP92" i="15"/>
  <c r="AP93" i="15"/>
  <c r="AP94" i="15"/>
  <c r="AP95" i="15"/>
  <c r="AP96" i="15"/>
  <c r="AP97" i="15"/>
  <c r="AP98" i="15"/>
  <c r="AP99" i="15"/>
  <c r="AP100" i="15"/>
  <c r="AP101" i="15"/>
  <c r="AP102" i="15"/>
  <c r="AP105" i="15"/>
  <c r="AP106" i="15"/>
  <c r="AP107" i="15"/>
  <c r="AP108" i="15"/>
  <c r="AP109" i="15"/>
  <c r="AP110" i="15"/>
  <c r="AP111" i="15"/>
  <c r="AP112" i="15"/>
  <c r="AP113" i="15"/>
  <c r="AP114" i="15"/>
  <c r="AP115" i="15"/>
  <c r="AP116" i="15"/>
  <c r="AP117" i="15"/>
  <c r="AP118" i="15"/>
  <c r="AP119" i="15"/>
  <c r="AP120" i="15"/>
  <c r="AP121" i="15"/>
  <c r="AP122" i="15"/>
  <c r="AP123" i="15"/>
  <c r="AP124" i="15"/>
  <c r="AP125" i="15"/>
  <c r="AP126" i="15"/>
  <c r="AP127" i="15"/>
  <c r="AP128" i="15"/>
  <c r="AP129" i="15"/>
  <c r="AP130" i="15"/>
  <c r="AP133" i="15"/>
  <c r="AP134" i="15"/>
  <c r="AP135" i="15"/>
  <c r="AP136" i="15"/>
  <c r="AP137" i="15"/>
  <c r="AP138" i="15"/>
  <c r="AP139" i="15"/>
  <c r="AP140" i="15"/>
  <c r="AP141" i="15"/>
  <c r="AP142" i="15"/>
  <c r="AP143" i="15"/>
  <c r="AP144" i="15"/>
  <c r="AP145" i="15"/>
  <c r="AP146" i="15"/>
  <c r="AP147" i="15"/>
  <c r="AP148" i="15"/>
  <c r="AP149" i="15"/>
  <c r="AP154" i="15"/>
  <c r="AP155" i="15"/>
  <c r="AP156" i="15"/>
  <c r="AP157" i="15"/>
  <c r="AP158" i="15"/>
  <c r="AP159" i="15"/>
  <c r="AP160" i="15"/>
  <c r="AP161" i="15"/>
  <c r="AP162" i="15"/>
  <c r="AP163" i="15"/>
  <c r="AP164" i="15"/>
  <c r="AP165" i="15"/>
  <c r="AP166" i="15"/>
  <c r="AP167" i="15"/>
  <c r="AP168" i="15"/>
  <c r="AP169" i="15"/>
  <c r="AP170" i="15"/>
  <c r="AP171" i="15"/>
  <c r="AP172" i="15"/>
  <c r="AP173" i="15"/>
  <c r="AP174" i="15"/>
  <c r="AP175" i="15"/>
  <c r="AP178" i="15"/>
  <c r="AP179" i="15"/>
  <c r="AP180" i="15"/>
  <c r="AP181" i="15"/>
  <c r="AP182" i="15"/>
  <c r="AP183" i="15"/>
  <c r="AP184" i="15"/>
  <c r="AP185" i="15"/>
  <c r="AP186" i="15"/>
  <c r="AP187" i="15"/>
  <c r="AP188" i="15"/>
  <c r="AP189" i="15"/>
  <c r="AP190" i="15"/>
  <c r="AP191" i="15"/>
  <c r="AP192" i="15"/>
  <c r="AP193" i="15"/>
  <c r="AP194" i="15"/>
  <c r="AP195" i="15"/>
  <c r="AP196" i="15"/>
  <c r="AP197" i="15"/>
  <c r="AP198" i="15"/>
  <c r="AP201" i="15"/>
  <c r="AP202" i="15"/>
  <c r="AP203" i="15"/>
  <c r="AP204" i="15"/>
  <c r="AP205" i="15"/>
  <c r="AP206" i="15"/>
  <c r="AP207" i="15"/>
  <c r="AP208" i="15"/>
  <c r="AP209" i="15"/>
  <c r="AP210" i="15"/>
  <c r="AP211" i="15"/>
  <c r="AP212" i="15"/>
  <c r="AP213" i="15"/>
  <c r="AP214" i="15"/>
  <c r="AP215" i="15"/>
  <c r="AP216" i="15"/>
  <c r="AP217" i="15"/>
  <c r="AP218" i="15"/>
  <c r="AP219" i="15"/>
  <c r="AP220" i="15"/>
  <c r="AP221" i="15"/>
  <c r="AP222" i="15"/>
  <c r="AP223" i="15"/>
  <c r="AP224" i="15"/>
  <c r="AP225" i="15"/>
  <c r="AP226" i="15"/>
  <c r="AP227" i="15"/>
  <c r="AP228" i="15"/>
  <c r="AP231" i="15"/>
  <c r="AP232" i="15"/>
  <c r="AP233" i="15"/>
  <c r="AP234" i="15"/>
  <c r="AP235" i="15"/>
  <c r="AP236" i="15"/>
  <c r="AP237" i="15"/>
  <c r="AP238" i="15"/>
  <c r="AP239" i="15"/>
  <c r="AP240" i="15"/>
  <c r="AP241" i="15"/>
  <c r="AP242" i="15"/>
  <c r="AP245" i="15"/>
  <c r="AP246" i="15"/>
  <c r="AP247" i="15"/>
  <c r="AP248" i="15"/>
  <c r="AP249" i="15"/>
  <c r="AP250" i="15"/>
  <c r="AP251" i="15"/>
  <c r="AP252" i="15"/>
  <c r="AP253" i="15"/>
  <c r="AP254" i="15"/>
  <c r="AP255" i="15"/>
  <c r="AP256" i="15"/>
  <c r="AP257" i="15"/>
  <c r="AP258" i="15"/>
  <c r="AP259" i="15"/>
  <c r="AP260" i="15"/>
  <c r="AP261" i="15"/>
  <c r="AP262" i="15"/>
  <c r="AP265" i="15"/>
  <c r="AP266" i="15"/>
  <c r="AP267" i="15"/>
  <c r="AP268" i="15"/>
  <c r="AP269" i="15"/>
  <c r="AP270" i="15"/>
  <c r="AP271" i="15"/>
  <c r="AP272" i="15"/>
  <c r="AP273" i="15"/>
  <c r="AP274" i="15"/>
  <c r="AP275" i="15"/>
  <c r="AP276" i="15"/>
  <c r="AP277" i="15"/>
  <c r="AP278" i="15"/>
  <c r="AP279" i="15"/>
  <c r="AP280" i="15"/>
  <c r="AP281" i="15"/>
  <c r="AP286" i="15"/>
  <c r="AP287" i="15"/>
  <c r="AP288" i="15"/>
  <c r="AP289" i="15"/>
  <c r="AP290" i="15"/>
  <c r="AP291" i="15"/>
  <c r="AP292" i="15"/>
  <c r="AP293" i="15"/>
  <c r="AP294" i="15"/>
  <c r="AP295" i="15"/>
  <c r="AP296" i="15"/>
  <c r="AP297" i="15"/>
  <c r="AP298" i="15"/>
  <c r="AP299" i="15"/>
  <c r="AP300" i="15"/>
  <c r="AP301" i="15"/>
  <c r="AP302" i="15"/>
  <c r="AP303" i="15"/>
  <c r="AP304" i="15"/>
  <c r="AP305" i="15"/>
  <c r="AP306" i="15"/>
  <c r="AP307" i="15"/>
  <c r="AP308" i="15"/>
  <c r="AP309" i="15"/>
  <c r="AP310" i="15"/>
  <c r="AP311" i="15"/>
  <c r="AP312" i="15"/>
  <c r="AP313" i="15"/>
  <c r="AP316" i="15"/>
  <c r="AP317" i="15"/>
  <c r="AP318" i="15"/>
  <c r="AP319" i="15"/>
  <c r="AP320" i="15"/>
  <c r="AP321" i="15"/>
  <c r="AP322" i="15"/>
  <c r="AP323" i="15"/>
  <c r="AP324" i="15"/>
  <c r="AP325" i="15"/>
  <c r="AP326" i="15"/>
  <c r="AP327" i="15"/>
  <c r="AP328" i="15"/>
  <c r="AP329" i="15"/>
  <c r="AP330" i="15"/>
  <c r="AP331" i="15"/>
  <c r="AP332" i="15"/>
  <c r="AP333" i="15"/>
  <c r="AP334" i="15"/>
  <c r="AP335" i="15"/>
  <c r="AP336" i="15"/>
  <c r="AP337" i="15"/>
  <c r="AP338" i="15"/>
  <c r="AP339" i="15"/>
  <c r="AP342" i="15"/>
  <c r="AP343" i="15"/>
  <c r="AP344" i="15"/>
  <c r="AP345" i="15"/>
  <c r="AP346" i="15"/>
  <c r="AP347" i="15"/>
  <c r="AP348" i="15"/>
  <c r="AP349" i="15"/>
  <c r="AP350" i="15"/>
  <c r="AP351" i="15"/>
  <c r="AP352" i="15"/>
  <c r="AP353" i="15"/>
  <c r="AP354" i="15"/>
  <c r="AP355" i="15"/>
  <c r="AP356" i="15"/>
  <c r="AP357" i="15"/>
  <c r="AP358" i="15"/>
  <c r="AP359" i="15"/>
  <c r="AP360" i="15"/>
  <c r="AP361" i="15"/>
  <c r="AP362" i="15"/>
  <c r="AP363" i="15"/>
  <c r="AP364" i="15"/>
  <c r="AP365" i="15"/>
  <c r="AP366" i="15"/>
  <c r="AP367" i="15"/>
  <c r="AP368" i="15"/>
  <c r="AP369" i="15"/>
  <c r="AP370" i="15"/>
  <c r="AP371" i="15"/>
  <c r="AP372" i="15"/>
  <c r="AP373" i="15"/>
  <c r="AP374" i="15"/>
  <c r="AP375" i="15"/>
  <c r="AP376" i="15"/>
  <c r="AP377" i="15"/>
  <c r="AP378" i="15"/>
  <c r="AP379" i="15"/>
  <c r="AP380" i="15"/>
  <c r="AP381" i="15"/>
  <c r="AP382" i="15"/>
  <c r="AP383" i="15"/>
  <c r="AP384" i="15"/>
  <c r="AP385" i="15"/>
  <c r="AP386" i="15"/>
  <c r="AP389" i="15"/>
  <c r="AP390" i="15"/>
  <c r="AP391" i="15"/>
  <c r="AP392" i="15"/>
  <c r="AP393" i="15"/>
  <c r="AP394" i="15"/>
  <c r="AP395" i="15"/>
  <c r="AP396" i="15"/>
  <c r="AP397" i="15"/>
  <c r="AP398" i="15"/>
  <c r="AP399" i="15"/>
  <c r="AP400" i="15"/>
  <c r="AP401" i="15"/>
  <c r="AP402" i="15"/>
  <c r="AP403" i="15"/>
  <c r="AP404" i="15"/>
  <c r="AP405" i="15"/>
  <c r="AP406" i="15"/>
  <c r="AP407" i="15"/>
  <c r="AP408" i="15"/>
  <c r="AP409" i="15"/>
  <c r="AP410" i="15"/>
  <c r="AP411" i="15"/>
  <c r="AP412" i="15"/>
  <c r="AP413" i="15"/>
  <c r="AP414" i="15"/>
  <c r="AP415" i="15"/>
  <c r="AP416" i="15"/>
  <c r="AP417" i="15"/>
  <c r="AP418" i="15"/>
  <c r="AP419" i="15"/>
  <c r="AP420" i="15"/>
  <c r="AP421" i="15"/>
  <c r="AP422" i="15"/>
  <c r="AP423" i="15"/>
  <c r="AP426" i="15"/>
  <c r="AP427" i="15"/>
  <c r="AP428" i="15"/>
  <c r="AP429" i="15"/>
  <c r="AP430" i="15"/>
  <c r="AP431" i="15"/>
  <c r="AP432" i="15"/>
  <c r="AP433" i="15"/>
  <c r="AP434" i="15"/>
  <c r="AP435" i="15"/>
  <c r="AP436" i="15"/>
  <c r="AP437" i="15"/>
  <c r="AP438" i="15"/>
  <c r="AP439" i="15"/>
  <c r="AP440" i="15"/>
  <c r="AP441" i="15"/>
  <c r="AP442" i="15"/>
  <c r="AP443" i="15"/>
  <c r="AP444" i="15"/>
  <c r="AP445" i="15"/>
  <c r="AP446" i="15"/>
  <c r="AP447" i="15"/>
  <c r="AP450" i="15"/>
  <c r="AP451" i="15"/>
  <c r="AP452" i="15"/>
  <c r="AP453" i="15"/>
  <c r="AP454" i="15"/>
  <c r="AP455" i="15"/>
  <c r="AP456" i="15"/>
  <c r="AP457" i="15"/>
  <c r="AP458" i="15"/>
  <c r="AP459" i="15"/>
  <c r="AP460" i="15"/>
  <c r="AP461" i="15"/>
  <c r="AP462" i="15"/>
  <c r="AP463" i="15"/>
  <c r="AP464" i="15"/>
  <c r="AP465" i="15"/>
  <c r="AP466" i="15"/>
  <c r="AP467" i="15"/>
  <c r="AP468" i="15"/>
  <c r="AP469" i="15"/>
  <c r="AP470" i="15"/>
  <c r="AP471" i="15"/>
  <c r="AP472" i="15"/>
  <c r="AP473" i="15"/>
  <c r="AP494" i="15"/>
  <c r="AP495" i="15"/>
  <c r="AP496" i="15"/>
  <c r="AP497" i="15"/>
  <c r="AP498" i="15"/>
  <c r="AP499" i="15"/>
  <c r="AP500" i="15"/>
  <c r="AP501" i="15"/>
  <c r="AP502" i="15"/>
  <c r="AP503" i="15"/>
  <c r="AP504" i="15"/>
  <c r="AP505" i="15"/>
  <c r="AP506" i="15"/>
  <c r="AP507" i="15"/>
  <c r="AP508" i="15"/>
  <c r="AP509" i="15"/>
  <c r="AP510" i="15"/>
  <c r="AP511" i="15"/>
  <c r="AP514" i="15"/>
  <c r="AP515" i="15"/>
  <c r="AP516" i="15"/>
  <c r="AP517" i="15"/>
  <c r="AP518" i="15"/>
  <c r="AP519" i="15"/>
  <c r="AP520" i="15"/>
  <c r="AP521" i="15"/>
  <c r="AP522" i="15"/>
  <c r="AP523" i="15"/>
  <c r="AP524" i="15"/>
  <c r="AP525" i="15"/>
  <c r="AP526" i="15"/>
  <c r="AP527" i="15"/>
  <c r="AP528" i="15"/>
  <c r="AP529" i="15"/>
  <c r="AP530" i="15"/>
  <c r="AP531" i="15"/>
  <c r="AP532" i="15"/>
  <c r="AP533" i="15"/>
  <c r="AP534" i="15"/>
  <c r="AP535" i="15"/>
  <c r="AP538" i="15"/>
  <c r="AP539" i="15"/>
  <c r="AP540" i="15"/>
  <c r="AP541" i="15"/>
  <c r="AP542" i="15"/>
  <c r="AP543" i="15"/>
  <c r="AP544" i="15"/>
  <c r="AP545" i="15"/>
  <c r="AP546" i="15"/>
  <c r="AP547" i="15"/>
  <c r="AP548" i="15"/>
  <c r="AP549" i="15"/>
  <c r="AP550" i="15"/>
  <c r="AP551" i="15"/>
  <c r="AP554" i="15"/>
  <c r="AP555" i="15"/>
  <c r="AP556" i="15"/>
  <c r="AP557" i="15"/>
  <c r="AP558" i="15"/>
  <c r="AP559" i="15"/>
  <c r="AP560" i="15"/>
  <c r="AP561" i="15"/>
  <c r="AP562" i="15"/>
  <c r="AP563" i="15"/>
  <c r="AP564" i="15"/>
  <c r="AP565" i="15"/>
  <c r="AP566" i="15"/>
  <c r="AP567" i="15"/>
  <c r="AP568" i="15"/>
  <c r="AP569" i="15"/>
  <c r="AP570" i="15"/>
  <c r="AP571" i="15"/>
  <c r="AP605" i="15"/>
  <c r="AP606" i="15"/>
  <c r="AP607" i="15"/>
  <c r="AP608" i="15"/>
  <c r="AP609" i="15"/>
  <c r="AP610" i="15"/>
  <c r="AP611" i="15"/>
  <c r="AP612" i="15"/>
  <c r="AP613" i="15"/>
  <c r="AP614" i="15"/>
  <c r="AP615" i="15"/>
  <c r="AP616" i="15"/>
  <c r="AP617" i="15"/>
  <c r="AP618" i="15"/>
  <c r="AP619" i="15"/>
  <c r="AP620" i="15"/>
  <c r="AP621" i="15"/>
  <c r="AP622" i="15"/>
  <c r="AP623" i="15"/>
  <c r="AP624" i="15"/>
  <c r="AP625" i="15"/>
  <c r="AP626" i="15"/>
  <c r="AP627" i="15"/>
  <c r="AP628" i="15"/>
  <c r="AP629" i="15"/>
  <c r="AP630" i="15"/>
  <c r="AP631" i="15"/>
  <c r="AP632" i="15"/>
  <c r="AP633" i="15"/>
  <c r="AP634" i="15"/>
  <c r="AP635" i="15"/>
  <c r="AP636" i="15"/>
  <c r="AP639" i="15"/>
  <c r="AP640" i="15"/>
  <c r="AP641" i="15"/>
  <c r="AP642" i="15"/>
  <c r="AP643" i="15"/>
  <c r="AP644" i="15"/>
  <c r="AP645" i="15"/>
  <c r="AP646" i="15"/>
  <c r="AP647" i="15"/>
  <c r="AP650" i="15"/>
  <c r="AP651" i="15"/>
  <c r="AP652" i="15"/>
  <c r="AP653" i="15"/>
  <c r="AP654" i="15"/>
  <c r="AP655" i="15"/>
  <c r="AP656" i="15"/>
  <c r="AP657" i="15"/>
  <c r="AP658" i="15"/>
  <c r="AP659" i="15"/>
  <c r="AP660" i="15"/>
  <c r="AP661" i="15"/>
  <c r="AP662" i="15"/>
  <c r="AP663" i="15"/>
  <c r="AP664" i="15"/>
  <c r="AP665" i="15"/>
  <c r="AP666" i="15"/>
  <c r="AP667" i="15"/>
  <c r="AP668" i="15"/>
  <c r="AP671" i="15"/>
  <c r="AP672" i="15"/>
  <c r="AP673" i="15"/>
  <c r="AP674" i="15"/>
  <c r="AP675" i="15"/>
  <c r="AP676" i="15"/>
  <c r="AP677" i="15"/>
  <c r="AP678" i="15"/>
  <c r="AP679" i="15"/>
  <c r="AP680" i="15"/>
  <c r="AP681" i="15"/>
  <c r="AP682" i="15"/>
  <c r="AP683" i="15"/>
  <c r="AP684" i="15"/>
  <c r="AP685" i="15"/>
  <c r="AP686" i="15"/>
  <c r="AP687" i="15"/>
  <c r="AP688" i="15"/>
  <c r="AP689" i="15"/>
  <c r="AP690" i="15"/>
  <c r="AP691" i="15"/>
  <c r="AP692" i="15"/>
  <c r="AP693" i="15"/>
  <c r="AP694" i="15"/>
  <c r="AP695" i="15"/>
  <c r="AP696" i="15"/>
  <c r="AP699" i="15"/>
  <c r="AP700" i="15"/>
  <c r="AP701" i="15"/>
  <c r="AP702" i="15"/>
  <c r="AP703" i="15"/>
  <c r="AP704" i="15"/>
  <c r="AP705" i="15"/>
  <c r="AP706" i="15"/>
  <c r="AP707" i="15"/>
  <c r="AP708" i="15"/>
  <c r="AP709" i="15"/>
  <c r="AP710" i="15"/>
  <c r="AP711" i="15"/>
  <c r="AP712" i="15"/>
  <c r="AP713" i="15"/>
  <c r="AP714" i="15"/>
  <c r="AP715" i="15"/>
  <c r="AP716" i="15"/>
  <c r="AP717" i="15"/>
  <c r="AP720" i="15"/>
  <c r="AP721" i="15"/>
  <c r="AP722" i="15"/>
  <c r="AP723" i="15"/>
  <c r="AP724" i="15"/>
  <c r="AP725" i="15"/>
  <c r="AP726" i="15"/>
  <c r="AP727" i="15"/>
  <c r="AP728" i="15"/>
  <c r="AP729" i="15"/>
  <c r="AP730" i="15"/>
  <c r="AP731" i="15"/>
  <c r="AP732" i="15"/>
  <c r="AP733" i="15"/>
  <c r="AP734" i="15"/>
  <c r="AP735" i="15"/>
  <c r="AP736" i="15"/>
  <c r="AP737" i="15"/>
  <c r="AP738" i="15"/>
  <c r="AP739" i="15"/>
  <c r="AP740" i="15"/>
  <c r="AP741" i="15"/>
  <c r="AP742" i="15"/>
  <c r="AP747" i="15"/>
  <c r="AP748" i="15"/>
  <c r="AP749" i="15"/>
  <c r="AP750" i="15"/>
  <c r="AP751" i="15"/>
  <c r="AP752" i="15"/>
  <c r="AP753" i="15"/>
  <c r="AP754" i="15"/>
  <c r="AP755" i="15"/>
  <c r="AP756" i="15"/>
  <c r="AP757" i="15"/>
  <c r="AP758" i="15"/>
  <c r="AP759" i="15"/>
  <c r="AP760" i="15"/>
  <c r="AP761" i="15"/>
  <c r="AP762" i="15"/>
  <c r="AP763" i="15"/>
  <c r="AP766" i="15"/>
  <c r="AP767" i="15"/>
  <c r="AP768" i="15"/>
  <c r="AP769" i="15"/>
  <c r="AP770" i="15"/>
  <c r="AP771" i="15"/>
  <c r="AP772" i="15"/>
  <c r="AP773" i="15"/>
  <c r="AP774" i="15"/>
  <c r="AP775" i="15"/>
  <c r="AP776" i="15"/>
  <c r="AP777" i="15"/>
  <c r="AP778" i="15"/>
  <c r="AP779" i="15"/>
  <c r="AP780" i="15"/>
  <c r="AP781" i="15"/>
  <c r="AP782" i="15"/>
  <c r="AP783" i="15"/>
  <c r="AP784" i="15"/>
  <c r="AP785" i="15"/>
  <c r="AP786" i="15"/>
  <c r="AP789" i="15"/>
  <c r="AP790" i="15"/>
  <c r="AP791" i="15"/>
  <c r="AP792" i="15"/>
  <c r="AP793" i="15"/>
  <c r="AP794" i="15"/>
  <c r="AP795" i="15"/>
  <c r="AP796" i="15"/>
  <c r="AP797" i="15"/>
  <c r="AP798" i="15"/>
  <c r="AP799" i="15"/>
  <c r="AP800" i="15"/>
  <c r="AP801" i="15"/>
  <c r="AP802" i="15"/>
  <c r="AP803" i="15"/>
  <c r="AP804" i="15"/>
  <c r="AP805" i="15"/>
  <c r="AP806" i="15"/>
  <c r="AP807" i="15"/>
  <c r="AP808" i="15"/>
  <c r="AP809" i="15"/>
  <c r="AP812" i="15"/>
  <c r="AP813" i="15"/>
  <c r="AP814" i="15"/>
  <c r="AP815" i="15"/>
  <c r="AP816" i="15"/>
  <c r="AP817" i="15"/>
  <c r="AP818" i="15"/>
  <c r="AP819" i="15"/>
  <c r="AP820" i="15"/>
  <c r="AP821" i="15"/>
  <c r="AP822" i="15"/>
  <c r="AP823" i="15"/>
  <c r="AP824" i="15"/>
  <c r="AP825" i="15"/>
  <c r="AP826" i="15"/>
  <c r="AP827" i="15"/>
  <c r="AP828" i="15"/>
  <c r="AP829" i="15"/>
  <c r="AP830" i="15"/>
  <c r="AP833" i="15"/>
  <c r="AP834" i="15"/>
  <c r="AP835" i="15"/>
  <c r="AP836" i="15"/>
  <c r="AP837" i="15"/>
  <c r="AP838" i="15"/>
  <c r="AP839" i="15"/>
  <c r="AP840" i="15"/>
  <c r="AP841" i="15"/>
  <c r="AP842" i="15"/>
  <c r="AP843" i="15"/>
  <c r="AP844" i="15"/>
  <c r="AP845" i="15"/>
  <c r="AP846" i="15"/>
  <c r="AP847" i="15"/>
  <c r="AP848" i="15"/>
  <c r="AP849" i="15"/>
  <c r="AP850" i="15"/>
  <c r="AP851" i="15"/>
  <c r="AP852" i="15"/>
  <c r="AP853" i="15"/>
  <c r="AP854" i="15"/>
  <c r="AP855" i="15"/>
  <c r="AP856" i="15"/>
  <c r="AP857" i="15"/>
  <c r="AP858" i="15"/>
  <c r="AP859" i="15"/>
  <c r="AP860" i="15"/>
  <c r="AP861" i="15"/>
  <c r="AP862" i="15"/>
  <c r="AP863" i="15"/>
  <c r="X169" i="1"/>
  <c r="M169" i="1"/>
  <c r="D169" i="1"/>
  <c r="X168" i="1"/>
  <c r="N168" i="1"/>
  <c r="M168" i="1"/>
  <c r="D168" i="1"/>
  <c r="X166" i="1"/>
  <c r="M166" i="1"/>
  <c r="D166" i="1"/>
  <c r="X165" i="1"/>
  <c r="N165" i="1"/>
  <c r="M165" i="1"/>
  <c r="D165" i="1"/>
  <c r="X164" i="1"/>
  <c r="N164" i="1"/>
  <c r="M164" i="1"/>
  <c r="D164" i="1"/>
  <c r="X163" i="1"/>
  <c r="N163" i="1"/>
  <c r="M163" i="1"/>
  <c r="D163" i="1"/>
  <c r="X162" i="1"/>
  <c r="M162" i="1"/>
  <c r="D162" i="1"/>
  <c r="X161" i="1"/>
  <c r="N161" i="1"/>
  <c r="M161" i="1"/>
  <c r="D161" i="1"/>
  <c r="X160" i="1"/>
  <c r="M160" i="1"/>
  <c r="D160" i="1"/>
  <c r="X159" i="1"/>
  <c r="N159" i="1"/>
  <c r="M159" i="1"/>
  <c r="D159" i="1"/>
  <c r="X158" i="1"/>
  <c r="N158" i="1"/>
  <c r="M158" i="1"/>
  <c r="D158" i="1"/>
  <c r="X157" i="1"/>
  <c r="N157" i="1"/>
  <c r="M157" i="1"/>
  <c r="D157" i="1"/>
  <c r="X156" i="1"/>
  <c r="M156" i="1"/>
  <c r="D156" i="1"/>
  <c r="X155" i="1"/>
  <c r="N155" i="1"/>
  <c r="M155" i="1"/>
  <c r="D155" i="1"/>
  <c r="X154" i="1"/>
  <c r="M154" i="1"/>
  <c r="D154" i="1"/>
  <c r="X153" i="1"/>
  <c r="N153" i="1"/>
  <c r="M153" i="1"/>
  <c r="D153" i="1"/>
  <c r="X152" i="1"/>
  <c r="N152" i="1"/>
  <c r="M152" i="1"/>
  <c r="D152" i="1"/>
  <c r="X151" i="1"/>
  <c r="N151" i="1"/>
  <c r="M151" i="1"/>
  <c r="D151" i="1"/>
  <c r="F39" i="3" l="1"/>
  <c r="F37" i="3"/>
  <c r="F35" i="3"/>
  <c r="F41" i="3"/>
  <c r="D53" i="17"/>
  <c r="D56" i="17" s="1"/>
  <c r="C49" i="17"/>
  <c r="D47" i="17"/>
  <c r="D46" i="17"/>
  <c r="D45" i="17"/>
  <c r="D44" i="17"/>
  <c r="D48" i="17" s="1"/>
  <c r="D39" i="17"/>
  <c r="D37" i="17"/>
  <c r="D36" i="17"/>
  <c r="D38" i="17" s="1"/>
  <c r="D28" i="17"/>
  <c r="D30" i="17" s="1"/>
  <c r="D26" i="17"/>
  <c r="D24" i="17"/>
  <c r="D23" i="17"/>
  <c r="F15" i="17"/>
  <c r="F14" i="17"/>
  <c r="F13" i="17"/>
  <c r="F12" i="17"/>
  <c r="F11" i="17"/>
  <c r="F10" i="17"/>
  <c r="F9" i="17"/>
  <c r="F8" i="17"/>
  <c r="F7" i="17"/>
  <c r="F6" i="17"/>
  <c r="F5" i="17"/>
  <c r="D4" i="17"/>
  <c r="F4" i="17" s="1"/>
  <c r="F16" i="17" s="1"/>
  <c r="F3" i="17"/>
  <c r="D55" i="17" l="1"/>
  <c r="D49" i="17"/>
  <c r="D25" i="17"/>
  <c r="D27" i="17" s="1"/>
  <c r="F27" i="17" s="1"/>
  <c r="D40" i="17"/>
  <c r="D41" i="17" s="1"/>
  <c r="F20" i="17"/>
  <c r="F17" i="17"/>
  <c r="F19" i="17" s="1"/>
  <c r="D32" i="17"/>
  <c r="F18" i="17"/>
  <c r="D29" i="17"/>
  <c r="D31" i="17" s="1"/>
  <c r="D57" i="17"/>
  <c r="D54" i="17"/>
  <c r="D58" i="17" s="1"/>
  <c r="F58" i="17" s="1"/>
  <c r="F21" i="17" l="1"/>
  <c r="H21" i="17" s="1"/>
  <c r="D33" i="17"/>
  <c r="D50" i="17" s="1"/>
  <c r="F50" i="17" s="1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9" i="3"/>
  <c r="H90" i="3"/>
  <c r="H91" i="3"/>
  <c r="H92" i="3"/>
  <c r="H93" i="3"/>
  <c r="H94" i="3"/>
  <c r="H95" i="3"/>
  <c r="H96" i="3"/>
  <c r="H97" i="3"/>
  <c r="H98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G61" i="18"/>
  <c r="F61" i="18"/>
  <c r="E61" i="18"/>
  <c r="F56" i="18"/>
  <c r="E56" i="18"/>
  <c r="G55" i="18"/>
  <c r="G54" i="18"/>
  <c r="G53" i="18"/>
  <c r="F51" i="18"/>
  <c r="G50" i="18"/>
  <c r="G49" i="18"/>
  <c r="E49" i="18"/>
  <c r="B49" i="18"/>
  <c r="E48" i="18"/>
  <c r="G48" i="18" s="1"/>
  <c r="B48" i="18"/>
  <c r="G47" i="18"/>
  <c r="E47" i="18"/>
  <c r="E51" i="18" s="1"/>
  <c r="B47" i="18"/>
  <c r="B45" i="18"/>
  <c r="A45" i="18"/>
  <c r="F43" i="18"/>
  <c r="E42" i="18"/>
  <c r="G42" i="18" s="1"/>
  <c r="B42" i="18"/>
  <c r="E41" i="18"/>
  <c r="G41" i="18" s="1"/>
  <c r="B41" i="18"/>
  <c r="E40" i="18"/>
  <c r="G40" i="18" s="1"/>
  <c r="B40" i="18"/>
  <c r="G39" i="18"/>
  <c r="E39" i="18"/>
  <c r="B39" i="18"/>
  <c r="E38" i="18"/>
  <c r="G38" i="18" s="1"/>
  <c r="B38" i="18"/>
  <c r="G37" i="18"/>
  <c r="E37" i="18"/>
  <c r="B37" i="18"/>
  <c r="E36" i="18"/>
  <c r="G36" i="18" s="1"/>
  <c r="B36" i="18"/>
  <c r="G35" i="18"/>
  <c r="E35" i="18"/>
  <c r="B35" i="18"/>
  <c r="B34" i="18"/>
  <c r="A34" i="18"/>
  <c r="F32" i="18"/>
  <c r="E31" i="18"/>
  <c r="G31" i="18" s="1"/>
  <c r="B31" i="18"/>
  <c r="G30" i="18"/>
  <c r="E30" i="18"/>
  <c r="B30" i="18"/>
  <c r="E29" i="18"/>
  <c r="G29" i="18" s="1"/>
  <c r="B29" i="18"/>
  <c r="E28" i="18"/>
  <c r="G28" i="18" s="1"/>
  <c r="G32" i="18" s="1"/>
  <c r="B28" i="18"/>
  <c r="B27" i="18"/>
  <c r="A27" i="18"/>
  <c r="F25" i="18"/>
  <c r="E24" i="18"/>
  <c r="G24" i="18" s="1"/>
  <c r="B24" i="18"/>
  <c r="E23" i="18"/>
  <c r="G23" i="18" s="1"/>
  <c r="B23" i="18"/>
  <c r="E22" i="18"/>
  <c r="G22" i="18" s="1"/>
  <c r="B22" i="18"/>
  <c r="E21" i="18"/>
  <c r="G21" i="18" s="1"/>
  <c r="B21" i="18"/>
  <c r="E20" i="18"/>
  <c r="G20" i="18" s="1"/>
  <c r="B20" i="18"/>
  <c r="E19" i="18"/>
  <c r="B19" i="18"/>
  <c r="B18" i="18"/>
  <c r="A18" i="18"/>
  <c r="E16" i="18"/>
  <c r="F15" i="18"/>
  <c r="G15" i="18" s="1"/>
  <c r="F14" i="18"/>
  <c r="G14" i="18" s="1"/>
  <c r="B14" i="18"/>
  <c r="G13" i="18"/>
  <c r="F13" i="18"/>
  <c r="B13" i="18"/>
  <c r="F12" i="18"/>
  <c r="G12" i="18" s="1"/>
  <c r="B12" i="18"/>
  <c r="B11" i="18"/>
  <c r="A11" i="18"/>
  <c r="F9" i="18"/>
  <c r="E9" i="18"/>
  <c r="G8" i="18"/>
  <c r="G7" i="18"/>
  <c r="G6" i="18"/>
  <c r="G5" i="18"/>
  <c r="G4" i="18"/>
  <c r="B3" i="18"/>
  <c r="A3" i="18"/>
  <c r="G9" i="18" l="1"/>
  <c r="E43" i="18"/>
  <c r="G56" i="18"/>
  <c r="E25" i="18"/>
  <c r="G19" i="18"/>
  <c r="G25" i="18" s="1"/>
  <c r="G51" i="18"/>
  <c r="G43" i="18"/>
  <c r="G16" i="18"/>
  <c r="E32" i="18"/>
  <c r="F16" i="18"/>
  <c r="F59" i="18" s="1"/>
  <c r="F60" i="18" s="1"/>
  <c r="E59" i="18" l="1"/>
  <c r="E60" i="18" s="1"/>
  <c r="G59" i="18"/>
  <c r="G62" i="18" l="1"/>
  <c r="G60" i="18"/>
  <c r="G63" i="18" s="1"/>
  <c r="G64" i="18" s="1"/>
  <c r="I25" i="18"/>
  <c r="I56" i="18"/>
  <c r="I32" i="18"/>
  <c r="I51" i="18"/>
  <c r="I9" i="18"/>
  <c r="I16" i="18"/>
  <c r="I43" i="18"/>
  <c r="I59" i="18" l="1"/>
  <c r="AW7" i="15" l="1"/>
  <c r="AW9" i="15"/>
  <c r="AW10" i="15"/>
  <c r="AW11" i="15"/>
  <c r="AW12" i="15"/>
  <c r="AW13" i="15"/>
  <c r="AW14" i="15"/>
  <c r="AW15" i="15"/>
  <c r="AW16" i="15"/>
  <c r="AW17" i="15"/>
  <c r="AW18" i="15"/>
  <c r="AW19" i="15"/>
  <c r="AW20" i="15"/>
  <c r="AW21" i="15"/>
  <c r="AW22" i="15"/>
  <c r="AW23" i="15"/>
  <c r="AW24" i="15"/>
  <c r="AW25" i="15"/>
  <c r="AW26" i="15"/>
  <c r="AW27" i="15"/>
  <c r="AW28" i="15"/>
  <c r="AW29" i="15"/>
  <c r="AW30" i="15"/>
  <c r="AW31" i="15"/>
  <c r="AW32" i="15"/>
  <c r="AW33" i="15"/>
  <c r="AW34" i="15"/>
  <c r="AW35" i="15"/>
  <c r="AW36" i="15"/>
  <c r="AW37" i="15"/>
  <c r="AW38" i="15"/>
  <c r="AW39" i="15"/>
  <c r="AW40" i="15"/>
  <c r="AW41" i="15"/>
  <c r="AW42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5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69" i="15"/>
  <c r="AW70" i="15"/>
  <c r="AW71" i="15"/>
  <c r="AW72" i="15"/>
  <c r="AW73" i="15"/>
  <c r="AW74" i="15"/>
  <c r="AW75" i="15"/>
  <c r="AW76" i="15"/>
  <c r="AW77" i="15"/>
  <c r="AW78" i="15"/>
  <c r="AW79" i="15"/>
  <c r="AW80" i="15"/>
  <c r="AW81" i="15"/>
  <c r="AW82" i="15"/>
  <c r="AW83" i="15"/>
  <c r="AW84" i="15"/>
  <c r="AW85" i="15"/>
  <c r="AW86" i="15"/>
  <c r="AW87" i="15"/>
  <c r="AW88" i="15"/>
  <c r="AW102" i="15"/>
  <c r="AW103" i="15"/>
  <c r="AW104" i="15"/>
  <c r="AW130" i="15"/>
  <c r="AW131" i="15"/>
  <c r="AW132" i="15"/>
  <c r="AW133" i="15"/>
  <c r="AW134" i="15"/>
  <c r="AW135" i="15"/>
  <c r="AW136" i="15"/>
  <c r="AW137" i="15"/>
  <c r="AW138" i="15"/>
  <c r="AW139" i="15"/>
  <c r="AW140" i="15"/>
  <c r="AW141" i="15"/>
  <c r="AW142" i="15"/>
  <c r="AW143" i="15"/>
  <c r="AW144" i="15"/>
  <c r="AW145" i="15"/>
  <c r="AW146" i="15"/>
  <c r="AW147" i="15"/>
  <c r="AW148" i="15"/>
  <c r="AW149" i="15"/>
  <c r="AW150" i="15"/>
  <c r="AW152" i="15"/>
  <c r="AW153" i="15"/>
  <c r="AW154" i="15"/>
  <c r="AW155" i="15"/>
  <c r="AW156" i="15"/>
  <c r="AW157" i="15"/>
  <c r="AW158" i="15"/>
  <c r="AW159" i="15"/>
  <c r="AW160" i="15"/>
  <c r="AW161" i="15"/>
  <c r="AW162" i="15"/>
  <c r="AW163" i="15"/>
  <c r="AW164" i="15"/>
  <c r="AW165" i="15"/>
  <c r="AW166" i="15"/>
  <c r="AW167" i="15"/>
  <c r="AW168" i="15"/>
  <c r="AW169" i="15"/>
  <c r="AW170" i="15"/>
  <c r="AW171" i="15"/>
  <c r="AW172" i="15"/>
  <c r="AW173" i="15"/>
  <c r="AW174" i="15"/>
  <c r="AW175" i="15"/>
  <c r="AW176" i="15"/>
  <c r="AW177" i="15"/>
  <c r="AW178" i="15"/>
  <c r="AW179" i="15"/>
  <c r="AW180" i="15"/>
  <c r="AW181" i="15"/>
  <c r="AW182" i="15"/>
  <c r="AW183" i="15"/>
  <c r="AW184" i="15"/>
  <c r="AW185" i="15"/>
  <c r="AW186" i="15"/>
  <c r="AW187" i="15"/>
  <c r="AW188" i="15"/>
  <c r="AW189" i="15"/>
  <c r="AW190" i="15"/>
  <c r="AW191" i="15"/>
  <c r="AW192" i="15"/>
  <c r="AW193" i="15"/>
  <c r="AW194" i="15"/>
  <c r="AW195" i="15"/>
  <c r="AW196" i="15"/>
  <c r="AW197" i="15"/>
  <c r="AW198" i="15"/>
  <c r="AW199" i="15"/>
  <c r="AW200" i="15"/>
  <c r="AW201" i="15"/>
  <c r="AW202" i="15"/>
  <c r="AW203" i="15"/>
  <c r="AW204" i="15"/>
  <c r="AW205" i="15"/>
  <c r="AW206" i="15"/>
  <c r="AW207" i="15"/>
  <c r="AW208" i="15"/>
  <c r="AW209" i="15"/>
  <c r="AW210" i="15"/>
  <c r="AW211" i="15"/>
  <c r="AW212" i="15"/>
  <c r="AW213" i="15"/>
  <c r="AW214" i="15"/>
  <c r="AW215" i="15"/>
  <c r="AW216" i="15"/>
  <c r="AW217" i="15"/>
  <c r="AW218" i="15"/>
  <c r="AW219" i="15"/>
  <c r="AW220" i="15"/>
  <c r="AW221" i="15"/>
  <c r="AW222" i="15"/>
  <c r="AW223" i="15"/>
  <c r="AW224" i="15"/>
  <c r="AW225" i="15"/>
  <c r="AW226" i="15"/>
  <c r="AW227" i="15"/>
  <c r="AW228" i="15"/>
  <c r="AW229" i="15"/>
  <c r="AW230" i="15"/>
  <c r="AW231" i="15"/>
  <c r="AW232" i="15"/>
  <c r="AW233" i="15"/>
  <c r="AW234" i="15"/>
  <c r="AW235" i="15"/>
  <c r="AW236" i="15"/>
  <c r="AW237" i="15"/>
  <c r="AW238" i="15"/>
  <c r="AW239" i="15"/>
  <c r="AW240" i="15"/>
  <c r="AW241" i="15"/>
  <c r="AW242" i="15"/>
  <c r="AW243" i="15"/>
  <c r="AW244" i="15"/>
  <c r="AW262" i="15"/>
  <c r="AW263" i="15"/>
  <c r="AW264" i="15"/>
  <c r="AW282" i="15"/>
  <c r="AW284" i="15"/>
  <c r="AW285" i="15"/>
  <c r="AW286" i="15"/>
  <c r="AW287" i="15"/>
  <c r="AW288" i="15"/>
  <c r="AW289" i="15"/>
  <c r="AW290" i="15"/>
  <c r="AW291" i="15"/>
  <c r="AW292" i="15"/>
  <c r="AW293" i="15"/>
  <c r="AW294" i="15"/>
  <c r="AW295" i="15"/>
  <c r="AW296" i="15"/>
  <c r="AW297" i="15"/>
  <c r="AW298" i="15"/>
  <c r="AW299" i="15"/>
  <c r="AW300" i="15"/>
  <c r="AW301" i="15"/>
  <c r="AW302" i="15"/>
  <c r="AW303" i="15"/>
  <c r="AW304" i="15"/>
  <c r="AW305" i="15"/>
  <c r="AW306" i="15"/>
  <c r="AW307" i="15"/>
  <c r="AW308" i="15"/>
  <c r="AW309" i="15"/>
  <c r="AW310" i="15"/>
  <c r="AW311" i="15"/>
  <c r="AW312" i="15"/>
  <c r="AW313" i="15"/>
  <c r="AW314" i="15"/>
  <c r="AW315" i="15"/>
  <c r="AW339" i="15"/>
  <c r="AW340" i="15"/>
  <c r="AW341" i="15"/>
  <c r="AW386" i="15"/>
  <c r="AW387" i="15"/>
  <c r="AW388" i="15"/>
  <c r="AW389" i="15"/>
  <c r="AW390" i="15"/>
  <c r="AW391" i="15"/>
  <c r="AW392" i="15"/>
  <c r="AW393" i="15"/>
  <c r="AW394" i="15"/>
  <c r="AW395" i="15"/>
  <c r="AW396" i="15"/>
  <c r="AW397" i="15"/>
  <c r="AW398" i="15"/>
  <c r="AW399" i="15"/>
  <c r="AW400" i="15"/>
  <c r="AW401" i="15"/>
  <c r="AW402" i="15"/>
  <c r="AW403" i="15"/>
  <c r="AW404" i="15"/>
  <c r="AW405" i="15"/>
  <c r="AW406" i="15"/>
  <c r="AW407" i="15"/>
  <c r="AW408" i="15"/>
  <c r="AW409" i="15"/>
  <c r="AW410" i="15"/>
  <c r="AW411" i="15"/>
  <c r="AW412" i="15"/>
  <c r="AW413" i="15"/>
  <c r="AW414" i="15"/>
  <c r="AW415" i="15"/>
  <c r="AW416" i="15"/>
  <c r="AW417" i="15"/>
  <c r="AW418" i="15"/>
  <c r="AW419" i="15"/>
  <c r="AW420" i="15"/>
  <c r="AW421" i="15"/>
  <c r="AW422" i="15"/>
  <c r="AW423" i="15"/>
  <c r="AW424" i="15"/>
  <c r="AW425" i="15"/>
  <c r="AW426" i="15"/>
  <c r="AW427" i="15"/>
  <c r="AW428" i="15"/>
  <c r="AW429" i="15"/>
  <c r="AW430" i="15"/>
  <c r="AW431" i="15"/>
  <c r="AW432" i="15"/>
  <c r="AW433" i="15"/>
  <c r="AW434" i="15"/>
  <c r="AW435" i="15"/>
  <c r="AW436" i="15"/>
  <c r="AW437" i="15"/>
  <c r="AW438" i="15"/>
  <c r="AW439" i="15"/>
  <c r="AW440" i="15"/>
  <c r="AW441" i="15"/>
  <c r="AW442" i="15"/>
  <c r="AW443" i="15"/>
  <c r="AW444" i="15"/>
  <c r="AW445" i="15"/>
  <c r="AW446" i="15"/>
  <c r="AW447" i="15"/>
  <c r="AW448" i="15"/>
  <c r="AW449" i="15"/>
  <c r="AW450" i="15"/>
  <c r="AW451" i="15"/>
  <c r="AW452" i="15"/>
  <c r="AW453" i="15"/>
  <c r="AW454" i="15"/>
  <c r="AW455" i="15"/>
  <c r="AW456" i="15"/>
  <c r="AW457" i="15"/>
  <c r="AW458" i="15"/>
  <c r="AW459" i="15"/>
  <c r="AW460" i="15"/>
  <c r="AW461" i="15"/>
  <c r="AW462" i="15"/>
  <c r="AW463" i="15"/>
  <c r="AW464" i="15"/>
  <c r="AW465" i="15"/>
  <c r="AW466" i="15"/>
  <c r="AW467" i="15"/>
  <c r="AW468" i="15"/>
  <c r="AW469" i="15"/>
  <c r="AW470" i="15"/>
  <c r="AW471" i="15"/>
  <c r="AW472" i="15"/>
  <c r="AW473" i="15"/>
  <c r="AW474" i="15"/>
  <c r="AW475" i="15"/>
  <c r="AW476" i="15"/>
  <c r="AW477" i="15"/>
  <c r="AW478" i="15"/>
  <c r="AW479" i="15"/>
  <c r="AW480" i="15"/>
  <c r="AW481" i="15"/>
  <c r="AW482" i="15"/>
  <c r="AW483" i="15"/>
  <c r="AW484" i="15"/>
  <c r="AW485" i="15"/>
  <c r="AW486" i="15"/>
  <c r="AW487" i="15"/>
  <c r="AW488" i="15"/>
  <c r="AW489" i="15"/>
  <c r="AW490" i="15"/>
  <c r="AW491" i="15"/>
  <c r="AW492" i="15"/>
  <c r="AW493" i="15"/>
  <c r="AW494" i="15"/>
  <c r="AW495" i="15"/>
  <c r="AW496" i="15"/>
  <c r="AW497" i="15"/>
  <c r="AW498" i="15"/>
  <c r="AW499" i="15"/>
  <c r="AW500" i="15"/>
  <c r="AW501" i="15"/>
  <c r="AW502" i="15"/>
  <c r="AW503" i="15"/>
  <c r="AW504" i="15"/>
  <c r="AW505" i="15"/>
  <c r="AW506" i="15"/>
  <c r="AW507" i="15"/>
  <c r="AW508" i="15"/>
  <c r="AW509" i="15"/>
  <c r="AW510" i="15"/>
  <c r="AW511" i="15"/>
  <c r="AW512" i="15"/>
  <c r="AW513" i="15"/>
  <c r="AW514" i="15"/>
  <c r="AW515" i="15"/>
  <c r="AW516" i="15"/>
  <c r="AW517" i="15"/>
  <c r="AW518" i="15"/>
  <c r="AW519" i="15"/>
  <c r="AW520" i="15"/>
  <c r="AW521" i="15"/>
  <c r="AW522" i="15"/>
  <c r="AW523" i="15"/>
  <c r="AW524" i="15"/>
  <c r="AW525" i="15"/>
  <c r="AW526" i="15"/>
  <c r="AW527" i="15"/>
  <c r="AW528" i="15"/>
  <c r="AW529" i="15"/>
  <c r="AW530" i="15"/>
  <c r="AW531" i="15"/>
  <c r="AW532" i="15"/>
  <c r="AW533" i="15"/>
  <c r="AW534" i="15"/>
  <c r="AW535" i="15"/>
  <c r="AW536" i="15"/>
  <c r="AW537" i="15"/>
  <c r="AW538" i="15"/>
  <c r="AW539" i="15"/>
  <c r="AW540" i="15"/>
  <c r="AW541" i="15"/>
  <c r="AW542" i="15"/>
  <c r="AW543" i="15"/>
  <c r="AW544" i="15"/>
  <c r="AW545" i="15"/>
  <c r="AW546" i="15"/>
  <c r="AW547" i="15"/>
  <c r="AW548" i="15"/>
  <c r="AW549" i="15"/>
  <c r="AW550" i="15"/>
  <c r="AW551" i="15"/>
  <c r="AW552" i="15"/>
  <c r="AW553" i="15"/>
  <c r="AW554" i="15"/>
  <c r="AW555" i="15"/>
  <c r="AW556" i="15"/>
  <c r="AW557" i="15"/>
  <c r="AW558" i="15"/>
  <c r="AW559" i="15"/>
  <c r="AW560" i="15"/>
  <c r="AW561" i="15"/>
  <c r="AW562" i="15"/>
  <c r="AW563" i="15"/>
  <c r="AW564" i="15"/>
  <c r="AW565" i="15"/>
  <c r="AW566" i="15"/>
  <c r="AW567" i="15"/>
  <c r="AW568" i="15"/>
  <c r="AW569" i="15"/>
  <c r="AW570" i="15"/>
  <c r="AW571" i="15"/>
  <c r="AW572" i="15"/>
  <c r="AW573" i="15"/>
  <c r="AW574" i="15"/>
  <c r="AW575" i="15"/>
  <c r="AW576" i="15"/>
  <c r="AW577" i="15"/>
  <c r="AW578" i="15"/>
  <c r="AW579" i="15"/>
  <c r="AW580" i="15"/>
  <c r="AW581" i="15"/>
  <c r="AW582" i="15"/>
  <c r="AW583" i="15"/>
  <c r="AW584" i="15"/>
  <c r="AW585" i="15"/>
  <c r="AW586" i="15"/>
  <c r="AW587" i="15"/>
  <c r="AW588" i="15"/>
  <c r="AW589" i="15"/>
  <c r="AW590" i="15"/>
  <c r="AW591" i="15"/>
  <c r="AW592" i="15"/>
  <c r="AW593" i="15"/>
  <c r="AW594" i="15"/>
  <c r="AW595" i="15"/>
  <c r="AW596" i="15"/>
  <c r="AW597" i="15"/>
  <c r="AW598" i="15"/>
  <c r="AW599" i="15"/>
  <c r="AW600" i="15"/>
  <c r="AW601" i="15"/>
  <c r="AW603" i="15"/>
  <c r="AW604" i="15"/>
  <c r="AW636" i="15"/>
  <c r="AW637" i="15"/>
  <c r="AW638" i="15"/>
  <c r="AW639" i="15"/>
  <c r="AW640" i="15"/>
  <c r="AW641" i="15"/>
  <c r="AW642" i="15"/>
  <c r="AW643" i="15"/>
  <c r="AW644" i="15"/>
  <c r="AW645" i="15"/>
  <c r="AW646" i="15"/>
  <c r="AW647" i="15"/>
  <c r="AW648" i="15"/>
  <c r="AW649" i="15"/>
  <c r="AW650" i="15"/>
  <c r="AW651" i="15"/>
  <c r="AW652" i="15"/>
  <c r="AW653" i="15"/>
  <c r="AW654" i="15"/>
  <c r="AW655" i="15"/>
  <c r="AW656" i="15"/>
  <c r="AW657" i="15"/>
  <c r="AW658" i="15"/>
  <c r="AW659" i="15"/>
  <c r="AW660" i="15"/>
  <c r="AW661" i="15"/>
  <c r="AW662" i="15"/>
  <c r="AW663" i="15"/>
  <c r="AW664" i="15"/>
  <c r="AW665" i="15"/>
  <c r="AW666" i="15"/>
  <c r="AW667" i="15"/>
  <c r="AW668" i="15"/>
  <c r="AW669" i="15"/>
  <c r="AW670" i="15"/>
  <c r="AW696" i="15"/>
  <c r="AW697" i="15"/>
  <c r="AW698" i="15"/>
  <c r="AW699" i="15"/>
  <c r="AW700" i="15"/>
  <c r="AW701" i="15"/>
  <c r="AW702" i="15"/>
  <c r="AW703" i="15"/>
  <c r="AW704" i="15"/>
  <c r="AW705" i="15"/>
  <c r="AW706" i="15"/>
  <c r="AW707" i="15"/>
  <c r="AW708" i="15"/>
  <c r="AW709" i="15"/>
  <c r="AW710" i="15"/>
  <c r="AW711" i="15"/>
  <c r="AW712" i="15"/>
  <c r="AW713" i="15"/>
  <c r="AW714" i="15"/>
  <c r="AW715" i="15"/>
  <c r="AW716" i="15"/>
  <c r="AW717" i="15"/>
  <c r="AW718" i="15"/>
  <c r="AW719" i="15"/>
  <c r="AW720" i="15"/>
  <c r="AW721" i="15"/>
  <c r="AW722" i="15"/>
  <c r="AW723" i="15"/>
  <c r="AW724" i="15"/>
  <c r="AW725" i="15"/>
  <c r="AW726" i="15"/>
  <c r="AW727" i="15"/>
  <c r="AW728" i="15"/>
  <c r="AW729" i="15"/>
  <c r="AW730" i="15"/>
  <c r="AW731" i="15"/>
  <c r="AW732" i="15"/>
  <c r="AW733" i="15"/>
  <c r="AW734" i="15"/>
  <c r="AW735" i="15"/>
  <c r="AW736" i="15"/>
  <c r="AW737" i="15"/>
  <c r="AW738" i="15"/>
  <c r="AW739" i="15"/>
  <c r="AW740" i="15"/>
  <c r="AW741" i="15"/>
  <c r="AW742" i="15"/>
  <c r="AW743" i="15"/>
  <c r="AW744" i="15"/>
  <c r="AW745" i="15"/>
  <c r="AW746" i="15"/>
  <c r="AW747" i="15"/>
  <c r="AW748" i="15"/>
  <c r="AW749" i="15"/>
  <c r="AW750" i="15"/>
  <c r="AW751" i="15"/>
  <c r="AW752" i="15"/>
  <c r="AW753" i="15"/>
  <c r="AW754" i="15"/>
  <c r="AW755" i="15"/>
  <c r="AW756" i="15"/>
  <c r="AW757" i="15"/>
  <c r="AW758" i="15"/>
  <c r="AW759" i="15"/>
  <c r="AW760" i="15"/>
  <c r="AW761" i="15"/>
  <c r="AW762" i="15"/>
  <c r="AW763" i="15"/>
  <c r="AW764" i="15"/>
  <c r="AW765" i="15"/>
  <c r="AW766" i="15"/>
  <c r="AW767" i="15"/>
  <c r="AW768" i="15"/>
  <c r="AW769" i="15"/>
  <c r="AW770" i="15"/>
  <c r="AW771" i="15"/>
  <c r="AW772" i="15"/>
  <c r="AW773" i="15"/>
  <c r="AW774" i="15"/>
  <c r="AW775" i="15"/>
  <c r="AW776" i="15"/>
  <c r="AW777" i="15"/>
  <c r="AW778" i="15"/>
  <c r="AW779" i="15"/>
  <c r="AW780" i="15"/>
  <c r="AW781" i="15"/>
  <c r="AW782" i="15"/>
  <c r="AW783" i="15"/>
  <c r="AW784" i="15"/>
  <c r="AW785" i="15"/>
  <c r="AW786" i="15"/>
  <c r="AW787" i="15"/>
  <c r="AW788" i="15"/>
  <c r="AW789" i="15"/>
  <c r="AW790" i="15"/>
  <c r="AW791" i="15"/>
  <c r="AW792" i="15"/>
  <c r="AW793" i="15"/>
  <c r="AW794" i="15"/>
  <c r="AW795" i="15"/>
  <c r="AW796" i="15"/>
  <c r="AW797" i="15"/>
  <c r="AW798" i="15"/>
  <c r="AW799" i="15"/>
  <c r="AW800" i="15"/>
  <c r="AW801" i="15"/>
  <c r="AW802" i="15"/>
  <c r="AW803" i="15"/>
  <c r="AW804" i="15"/>
  <c r="AW805" i="15"/>
  <c r="AW806" i="15"/>
  <c r="AW807" i="15"/>
  <c r="AW808" i="15"/>
  <c r="AW809" i="15"/>
  <c r="AW810" i="15"/>
  <c r="AW811" i="15"/>
  <c r="AW812" i="15"/>
  <c r="AW813" i="15"/>
  <c r="AW814" i="15"/>
  <c r="AW815" i="15"/>
  <c r="AW816" i="15"/>
  <c r="AW817" i="15"/>
  <c r="AW818" i="15"/>
  <c r="AW819" i="15"/>
  <c r="AW820" i="15"/>
  <c r="AW821" i="15"/>
  <c r="AW822" i="15"/>
  <c r="AW823" i="15"/>
  <c r="AW824" i="15"/>
  <c r="AW825" i="15"/>
  <c r="AW826" i="15"/>
  <c r="AW827" i="15"/>
  <c r="AW828" i="15"/>
  <c r="AW829" i="15"/>
  <c r="AW830" i="15"/>
  <c r="AW831" i="15"/>
  <c r="AW832" i="15"/>
  <c r="AW833" i="15"/>
  <c r="AW834" i="15"/>
  <c r="AW835" i="15"/>
  <c r="AW836" i="15"/>
  <c r="AW837" i="15"/>
  <c r="AW838" i="15"/>
  <c r="AW839" i="15"/>
  <c r="AW840" i="15"/>
  <c r="AW841" i="15"/>
  <c r="AW842" i="15"/>
  <c r="AW843" i="15"/>
  <c r="AW844" i="15"/>
  <c r="AW845" i="15"/>
  <c r="AW846" i="15"/>
  <c r="AW847" i="15"/>
  <c r="AW848" i="15"/>
  <c r="AW849" i="15"/>
  <c r="AW850" i="15"/>
  <c r="AW851" i="15"/>
  <c r="AW852" i="15"/>
  <c r="AW853" i="15"/>
  <c r="AW854" i="15"/>
  <c r="AW855" i="15"/>
  <c r="AW856" i="15"/>
  <c r="AW857" i="15"/>
  <c r="AW858" i="15"/>
  <c r="AW859" i="15"/>
  <c r="AW860" i="15"/>
  <c r="AW861" i="15"/>
  <c r="AW862" i="15"/>
  <c r="AW863" i="15"/>
  <c r="AW864" i="15"/>
  <c r="AW865" i="15"/>
  <c r="AW866" i="15"/>
  <c r="AW867" i="15"/>
  <c r="AW868" i="15"/>
  <c r="AW869" i="15"/>
  <c r="AW870" i="15"/>
  <c r="AW871" i="15"/>
  <c r="AW872" i="15"/>
  <c r="AW873" i="15"/>
  <c r="AW874" i="15"/>
  <c r="AW875" i="15"/>
  <c r="AW876" i="15"/>
  <c r="AW877" i="15"/>
  <c r="AW878" i="15"/>
  <c r="AW879" i="15"/>
  <c r="AW880" i="15"/>
  <c r="AW881" i="15"/>
  <c r="AW882" i="15"/>
  <c r="AW883" i="15"/>
  <c r="AW884" i="15"/>
  <c r="AW885" i="15"/>
  <c r="AW886" i="15"/>
  <c r="AW887" i="15"/>
  <c r="AW888" i="15"/>
  <c r="AW889" i="15"/>
  <c r="AW890" i="15"/>
  <c r="AW891" i="15"/>
  <c r="AW892" i="15"/>
  <c r="AW893" i="15"/>
  <c r="AW894" i="15"/>
  <c r="AW895" i="15"/>
  <c r="AW896" i="15"/>
  <c r="AW897" i="15"/>
  <c r="AW898" i="15"/>
  <c r="AV672" i="15"/>
  <c r="AW672" i="15" s="1"/>
  <c r="AV673" i="15"/>
  <c r="AW673" i="15" s="1"/>
  <c r="AV674" i="15"/>
  <c r="AW674" i="15" s="1"/>
  <c r="AV675" i="15"/>
  <c r="AW675" i="15" s="1"/>
  <c r="AV676" i="15"/>
  <c r="AW676" i="15" s="1"/>
  <c r="AV677" i="15"/>
  <c r="AW677" i="15" s="1"/>
  <c r="AV678" i="15"/>
  <c r="AW678" i="15" s="1"/>
  <c r="AV679" i="15"/>
  <c r="AW679" i="15" s="1"/>
  <c r="AV680" i="15"/>
  <c r="AW680" i="15" s="1"/>
  <c r="AV681" i="15"/>
  <c r="AW681" i="15" s="1"/>
  <c r="AV682" i="15"/>
  <c r="AW682" i="15" s="1"/>
  <c r="AV683" i="15"/>
  <c r="AW683" i="15" s="1"/>
  <c r="AV684" i="15"/>
  <c r="AW684" i="15" s="1"/>
  <c r="AV685" i="15"/>
  <c r="AW685" i="15" s="1"/>
  <c r="AV686" i="15"/>
  <c r="AW686" i="15" s="1"/>
  <c r="AV687" i="15"/>
  <c r="AW687" i="15" s="1"/>
  <c r="AV688" i="15"/>
  <c r="AW688" i="15" s="1"/>
  <c r="AV689" i="15"/>
  <c r="AW689" i="15" s="1"/>
  <c r="AV690" i="15"/>
  <c r="AW690" i="15" s="1"/>
  <c r="AV691" i="15"/>
  <c r="AW691" i="15" s="1"/>
  <c r="AV692" i="15"/>
  <c r="AW692" i="15" s="1"/>
  <c r="AV693" i="15"/>
  <c r="AW693" i="15" s="1"/>
  <c r="AV694" i="15"/>
  <c r="AW694" i="15" s="1"/>
  <c r="AV695" i="15"/>
  <c r="AW695" i="15" s="1"/>
  <c r="AV671" i="15"/>
  <c r="AW671" i="15" s="1"/>
  <c r="AV606" i="15"/>
  <c r="AW606" i="15" s="1"/>
  <c r="AV607" i="15"/>
  <c r="AW607" i="15" s="1"/>
  <c r="AV608" i="15"/>
  <c r="AW608" i="15" s="1"/>
  <c r="AV609" i="15"/>
  <c r="AW609" i="15" s="1"/>
  <c r="AV610" i="15"/>
  <c r="AW610" i="15" s="1"/>
  <c r="AV611" i="15"/>
  <c r="AW611" i="15" s="1"/>
  <c r="AV612" i="15"/>
  <c r="AW612" i="15" s="1"/>
  <c r="AV613" i="15"/>
  <c r="AW613" i="15" s="1"/>
  <c r="AV614" i="15"/>
  <c r="AW614" i="15" s="1"/>
  <c r="AV615" i="15"/>
  <c r="AW615" i="15" s="1"/>
  <c r="AV616" i="15"/>
  <c r="AW616" i="15" s="1"/>
  <c r="AV617" i="15"/>
  <c r="AW617" i="15" s="1"/>
  <c r="AV618" i="15"/>
  <c r="AW618" i="15" s="1"/>
  <c r="AV619" i="15"/>
  <c r="AW619" i="15" s="1"/>
  <c r="AV620" i="15"/>
  <c r="AW620" i="15" s="1"/>
  <c r="AV621" i="15"/>
  <c r="AW621" i="15" s="1"/>
  <c r="AV622" i="15"/>
  <c r="AW622" i="15" s="1"/>
  <c r="AV623" i="15"/>
  <c r="AW623" i="15" s="1"/>
  <c r="AV624" i="15"/>
  <c r="AW624" i="15" s="1"/>
  <c r="AV625" i="15"/>
  <c r="AW625" i="15" s="1"/>
  <c r="AV626" i="15"/>
  <c r="AW626" i="15" s="1"/>
  <c r="AV627" i="15"/>
  <c r="AW627" i="15" s="1"/>
  <c r="AV628" i="15"/>
  <c r="AW628" i="15" s="1"/>
  <c r="AV629" i="15"/>
  <c r="AW629" i="15" s="1"/>
  <c r="AV630" i="15"/>
  <c r="AW630" i="15" s="1"/>
  <c r="AV631" i="15"/>
  <c r="AW631" i="15" s="1"/>
  <c r="AV632" i="15"/>
  <c r="AW632" i="15" s="1"/>
  <c r="AV633" i="15"/>
  <c r="AW633" i="15" s="1"/>
  <c r="AV634" i="15"/>
  <c r="AW634" i="15" s="1"/>
  <c r="AV635" i="15"/>
  <c r="AW635" i="15" s="1"/>
  <c r="AV605" i="15"/>
  <c r="AW605" i="15" s="1"/>
  <c r="AV343" i="15"/>
  <c r="AW343" i="15" s="1"/>
  <c r="AV344" i="15"/>
  <c r="AW344" i="15" s="1"/>
  <c r="AV345" i="15"/>
  <c r="AW345" i="15" s="1"/>
  <c r="AV346" i="15"/>
  <c r="AW346" i="15" s="1"/>
  <c r="AV347" i="15"/>
  <c r="AW347" i="15" s="1"/>
  <c r="AV348" i="15"/>
  <c r="AW348" i="15" s="1"/>
  <c r="AV349" i="15"/>
  <c r="AW349" i="15" s="1"/>
  <c r="AV350" i="15"/>
  <c r="AW350" i="15" s="1"/>
  <c r="AV351" i="15"/>
  <c r="AW351" i="15" s="1"/>
  <c r="AV352" i="15"/>
  <c r="AW352" i="15" s="1"/>
  <c r="AV353" i="15"/>
  <c r="AW353" i="15" s="1"/>
  <c r="AV354" i="15"/>
  <c r="AW354" i="15" s="1"/>
  <c r="AV355" i="15"/>
  <c r="AW355" i="15" s="1"/>
  <c r="AV356" i="15"/>
  <c r="AW356" i="15" s="1"/>
  <c r="AV357" i="15"/>
  <c r="AW357" i="15" s="1"/>
  <c r="AV358" i="15"/>
  <c r="AW358" i="15" s="1"/>
  <c r="AV359" i="15"/>
  <c r="AW359" i="15" s="1"/>
  <c r="AV360" i="15"/>
  <c r="AW360" i="15" s="1"/>
  <c r="AV361" i="15"/>
  <c r="AW361" i="15" s="1"/>
  <c r="AV362" i="15"/>
  <c r="AW362" i="15" s="1"/>
  <c r="AV363" i="15"/>
  <c r="AW363" i="15" s="1"/>
  <c r="AV364" i="15"/>
  <c r="AW364" i="15" s="1"/>
  <c r="AV365" i="15"/>
  <c r="AW365" i="15" s="1"/>
  <c r="AV366" i="15"/>
  <c r="AW366" i="15" s="1"/>
  <c r="AV367" i="15"/>
  <c r="AW367" i="15" s="1"/>
  <c r="AV368" i="15"/>
  <c r="AW368" i="15" s="1"/>
  <c r="AV369" i="15"/>
  <c r="AW369" i="15" s="1"/>
  <c r="AV370" i="15"/>
  <c r="AW370" i="15" s="1"/>
  <c r="AV371" i="15"/>
  <c r="AW371" i="15" s="1"/>
  <c r="AV372" i="15"/>
  <c r="AW372" i="15" s="1"/>
  <c r="AV373" i="15"/>
  <c r="AW373" i="15" s="1"/>
  <c r="AV374" i="15"/>
  <c r="AW374" i="15" s="1"/>
  <c r="AV375" i="15"/>
  <c r="AW375" i="15" s="1"/>
  <c r="AV376" i="15"/>
  <c r="AW376" i="15" s="1"/>
  <c r="AV377" i="15"/>
  <c r="AW377" i="15" s="1"/>
  <c r="AV378" i="15"/>
  <c r="AW378" i="15" s="1"/>
  <c r="AV379" i="15"/>
  <c r="AW379" i="15" s="1"/>
  <c r="AV380" i="15"/>
  <c r="AW380" i="15" s="1"/>
  <c r="AV381" i="15"/>
  <c r="AW381" i="15" s="1"/>
  <c r="AV382" i="15"/>
  <c r="AW382" i="15" s="1"/>
  <c r="AV383" i="15"/>
  <c r="AW383" i="15" s="1"/>
  <c r="AV384" i="15"/>
  <c r="AW384" i="15" s="1"/>
  <c r="AV385" i="15"/>
  <c r="AW385" i="15" s="1"/>
  <c r="AV342" i="15"/>
  <c r="AW342" i="15" s="1"/>
  <c r="AV317" i="15"/>
  <c r="AW317" i="15" s="1"/>
  <c r="AV318" i="15"/>
  <c r="AW318" i="15" s="1"/>
  <c r="AV319" i="15"/>
  <c r="AW319" i="15" s="1"/>
  <c r="AV320" i="15"/>
  <c r="AW320" i="15" s="1"/>
  <c r="AV321" i="15"/>
  <c r="AW321" i="15" s="1"/>
  <c r="AV322" i="15"/>
  <c r="AW322" i="15" s="1"/>
  <c r="AV323" i="15"/>
  <c r="AW323" i="15" s="1"/>
  <c r="AV324" i="15"/>
  <c r="AW324" i="15" s="1"/>
  <c r="AV325" i="15"/>
  <c r="AW325" i="15" s="1"/>
  <c r="AV326" i="15"/>
  <c r="AW326" i="15" s="1"/>
  <c r="AV327" i="15"/>
  <c r="AW327" i="15" s="1"/>
  <c r="AV328" i="15"/>
  <c r="AW328" i="15" s="1"/>
  <c r="AV329" i="15"/>
  <c r="AW329" i="15" s="1"/>
  <c r="AV330" i="15"/>
  <c r="AW330" i="15" s="1"/>
  <c r="AV331" i="15"/>
  <c r="AW331" i="15" s="1"/>
  <c r="AV332" i="15"/>
  <c r="AW332" i="15" s="1"/>
  <c r="AV333" i="15"/>
  <c r="AW333" i="15" s="1"/>
  <c r="AV334" i="15"/>
  <c r="AW334" i="15" s="1"/>
  <c r="AV335" i="15"/>
  <c r="AW335" i="15" s="1"/>
  <c r="AV336" i="15"/>
  <c r="AW336" i="15" s="1"/>
  <c r="AV337" i="15"/>
  <c r="AW337" i="15" s="1"/>
  <c r="AV338" i="15"/>
  <c r="AW338" i="15" s="1"/>
  <c r="AV316" i="15"/>
  <c r="AW316" i="15" s="1"/>
  <c r="AV266" i="15"/>
  <c r="AW266" i="15" s="1"/>
  <c r="AV267" i="15"/>
  <c r="AW267" i="15" s="1"/>
  <c r="AV268" i="15"/>
  <c r="AW268" i="15" s="1"/>
  <c r="AV269" i="15"/>
  <c r="AW269" i="15" s="1"/>
  <c r="AV270" i="15"/>
  <c r="AW270" i="15" s="1"/>
  <c r="AV271" i="15"/>
  <c r="AW271" i="15" s="1"/>
  <c r="AV272" i="15"/>
  <c r="AW272" i="15" s="1"/>
  <c r="AV273" i="15"/>
  <c r="AW273" i="15" s="1"/>
  <c r="AV274" i="15"/>
  <c r="AW274" i="15" s="1"/>
  <c r="AV275" i="15"/>
  <c r="AW275" i="15" s="1"/>
  <c r="AV276" i="15"/>
  <c r="AW276" i="15" s="1"/>
  <c r="AV277" i="15"/>
  <c r="AW277" i="15" s="1"/>
  <c r="AV278" i="15"/>
  <c r="AW278" i="15" s="1"/>
  <c r="AV279" i="15"/>
  <c r="AW279" i="15" s="1"/>
  <c r="AV280" i="15"/>
  <c r="AW280" i="15" s="1"/>
  <c r="AV281" i="15"/>
  <c r="AW281" i="15" s="1"/>
  <c r="AV265" i="15"/>
  <c r="AW265" i="15" s="1"/>
  <c r="AV246" i="15"/>
  <c r="AW246" i="15" s="1"/>
  <c r="AV247" i="15"/>
  <c r="AW247" i="15" s="1"/>
  <c r="AV248" i="15"/>
  <c r="AW248" i="15" s="1"/>
  <c r="AV249" i="15"/>
  <c r="AW249" i="15" s="1"/>
  <c r="AV250" i="15"/>
  <c r="AW250" i="15" s="1"/>
  <c r="AV251" i="15"/>
  <c r="AW251" i="15" s="1"/>
  <c r="AV252" i="15"/>
  <c r="AW252" i="15" s="1"/>
  <c r="AV253" i="15"/>
  <c r="AW253" i="15" s="1"/>
  <c r="AV254" i="15"/>
  <c r="AW254" i="15" s="1"/>
  <c r="AV255" i="15"/>
  <c r="AW255" i="15" s="1"/>
  <c r="AV256" i="15"/>
  <c r="AW256" i="15" s="1"/>
  <c r="AV257" i="15"/>
  <c r="AW257" i="15" s="1"/>
  <c r="AV258" i="15"/>
  <c r="AW258" i="15" s="1"/>
  <c r="AV259" i="15"/>
  <c r="AW259" i="15" s="1"/>
  <c r="AV260" i="15"/>
  <c r="AW260" i="15" s="1"/>
  <c r="AV261" i="15"/>
  <c r="AW261" i="15" s="1"/>
  <c r="AV245" i="15"/>
  <c r="AW245" i="15" s="1"/>
  <c r="AV106" i="15"/>
  <c r="AW106" i="15" s="1"/>
  <c r="AV107" i="15"/>
  <c r="AW107" i="15" s="1"/>
  <c r="AV108" i="15"/>
  <c r="AW108" i="15" s="1"/>
  <c r="AV109" i="15"/>
  <c r="AW109" i="15" s="1"/>
  <c r="AV110" i="15"/>
  <c r="AW110" i="15" s="1"/>
  <c r="AV111" i="15"/>
  <c r="AW111" i="15" s="1"/>
  <c r="AV112" i="15"/>
  <c r="AW112" i="15" s="1"/>
  <c r="AV113" i="15"/>
  <c r="AW113" i="15" s="1"/>
  <c r="AV114" i="15"/>
  <c r="AW114" i="15" s="1"/>
  <c r="AV115" i="15"/>
  <c r="AW115" i="15" s="1"/>
  <c r="AV116" i="15"/>
  <c r="AW116" i="15" s="1"/>
  <c r="AV117" i="15"/>
  <c r="AW117" i="15" s="1"/>
  <c r="AV118" i="15"/>
  <c r="AW118" i="15" s="1"/>
  <c r="AV119" i="15"/>
  <c r="AW119" i="15" s="1"/>
  <c r="AV120" i="15"/>
  <c r="AW120" i="15" s="1"/>
  <c r="AV121" i="15"/>
  <c r="AW121" i="15" s="1"/>
  <c r="AV122" i="15"/>
  <c r="AW122" i="15" s="1"/>
  <c r="AV123" i="15"/>
  <c r="AW123" i="15" s="1"/>
  <c r="AV124" i="15"/>
  <c r="AW124" i="15" s="1"/>
  <c r="AV125" i="15"/>
  <c r="AW125" i="15" s="1"/>
  <c r="AV126" i="15"/>
  <c r="AW126" i="15" s="1"/>
  <c r="AV127" i="15"/>
  <c r="AW127" i="15" s="1"/>
  <c r="AV128" i="15"/>
  <c r="AW128" i="15" s="1"/>
  <c r="AV129" i="15"/>
  <c r="AW129" i="15" s="1"/>
  <c r="AV105" i="15"/>
  <c r="AW105" i="15" s="1"/>
  <c r="AV90" i="15"/>
  <c r="AW90" i="15" s="1"/>
  <c r="AV91" i="15"/>
  <c r="AW91" i="15" s="1"/>
  <c r="AV92" i="15"/>
  <c r="AW92" i="15" s="1"/>
  <c r="AV93" i="15"/>
  <c r="AW93" i="15" s="1"/>
  <c r="AV94" i="15"/>
  <c r="AW94" i="15" s="1"/>
  <c r="AV95" i="15"/>
  <c r="AW95" i="15" s="1"/>
  <c r="AV96" i="15"/>
  <c r="AW96" i="15" s="1"/>
  <c r="AV97" i="15"/>
  <c r="AW97" i="15" s="1"/>
  <c r="AV98" i="15"/>
  <c r="AW98" i="15" s="1"/>
  <c r="AV99" i="15"/>
  <c r="AW99" i="15" s="1"/>
  <c r="AV100" i="15"/>
  <c r="AW100" i="15" s="1"/>
  <c r="AV101" i="15"/>
  <c r="AW101" i="15" s="1"/>
  <c r="AV89" i="15"/>
  <c r="AW89" i="15" s="1"/>
  <c r="BA7" i="15"/>
  <c r="BA34" i="15"/>
  <c r="BA36" i="15"/>
  <c r="BA43" i="15"/>
  <c r="BA45" i="15"/>
  <c r="BA67" i="15"/>
  <c r="BA69" i="15"/>
  <c r="BA86" i="15"/>
  <c r="BA88" i="15"/>
  <c r="BA130" i="15"/>
  <c r="BA132" i="15"/>
  <c r="BA150" i="15"/>
  <c r="BA153" i="15"/>
  <c r="BA175" i="15"/>
  <c r="BA177" i="15"/>
  <c r="BA198" i="15"/>
  <c r="BA200" i="15"/>
  <c r="BA228" i="15"/>
  <c r="BA230" i="15"/>
  <c r="BA242" i="15"/>
  <c r="BA244" i="15"/>
  <c r="BA262" i="15"/>
  <c r="BA264" i="15"/>
  <c r="BA313" i="15"/>
  <c r="BA315" i="15"/>
  <c r="BA339" i="15"/>
  <c r="BA341" i="15"/>
  <c r="BA386" i="15"/>
  <c r="BA388" i="15"/>
  <c r="BA423" i="15"/>
  <c r="BA425" i="15"/>
  <c r="BA447" i="15"/>
  <c r="BA449" i="15"/>
  <c r="BA473" i="15"/>
  <c r="BA475" i="15"/>
  <c r="BA490" i="15"/>
  <c r="BA493" i="15"/>
  <c r="BA511" i="15"/>
  <c r="BA513" i="15"/>
  <c r="BA535" i="15"/>
  <c r="BA537" i="15"/>
  <c r="BA551" i="15"/>
  <c r="BA553" i="15"/>
  <c r="BA571" i="15"/>
  <c r="BA573" i="15"/>
  <c r="BA601" i="15"/>
  <c r="BA604" i="15"/>
  <c r="BA636" i="15"/>
  <c r="BA638" i="15"/>
  <c r="BA647" i="15"/>
  <c r="BA649" i="15"/>
  <c r="BA668" i="15"/>
  <c r="BA670" i="15"/>
  <c r="BA696" i="15"/>
  <c r="BA698" i="15"/>
  <c r="BA717" i="15"/>
  <c r="BA719" i="15"/>
  <c r="BA743" i="15"/>
  <c r="BA746" i="15"/>
  <c r="BA763" i="15"/>
  <c r="BA765" i="15"/>
  <c r="BA786" i="15"/>
  <c r="BA788" i="15"/>
  <c r="BA809" i="15"/>
  <c r="BA811" i="15"/>
  <c r="BA830" i="15"/>
  <c r="BA832" i="15"/>
  <c r="BA863" i="15"/>
  <c r="BA865" i="15"/>
  <c r="AZ102" i="15"/>
  <c r="BA102" i="15" s="1"/>
  <c r="AZ104" i="15"/>
  <c r="BA104" i="15" s="1"/>
  <c r="AZ282" i="15"/>
  <c r="BA282" i="15" s="1"/>
  <c r="BA285" i="15"/>
  <c r="BN571" i="15"/>
  <c r="BN572" i="15"/>
  <c r="BN573" i="15"/>
  <c r="BN601" i="15"/>
  <c r="BN603" i="15"/>
  <c r="BN604" i="15"/>
  <c r="BN636" i="15"/>
  <c r="BN637" i="15"/>
  <c r="BN638" i="15"/>
  <c r="BN647" i="15"/>
  <c r="BN648" i="15"/>
  <c r="BN649" i="15"/>
  <c r="BN668" i="15"/>
  <c r="BN669" i="15"/>
  <c r="BN670" i="15"/>
  <c r="BN696" i="15"/>
  <c r="BN697" i="15"/>
  <c r="BN698" i="15"/>
  <c r="BN717" i="15"/>
  <c r="BN718" i="15"/>
  <c r="BN719" i="15"/>
  <c r="BN743" i="15"/>
  <c r="BN745" i="15"/>
  <c r="BN746" i="15"/>
  <c r="BN763" i="15"/>
  <c r="BN764" i="15"/>
  <c r="BN765" i="15"/>
  <c r="BN786" i="15"/>
  <c r="BN787" i="15"/>
  <c r="BN788" i="15"/>
  <c r="BN809" i="15"/>
  <c r="BN810" i="15"/>
  <c r="BN811" i="15"/>
  <c r="BN830" i="15"/>
  <c r="BN831" i="15"/>
  <c r="BN832" i="15"/>
  <c r="BN863" i="15"/>
  <c r="BN864" i="15"/>
  <c r="BN865" i="15"/>
  <c r="BN7" i="15"/>
  <c r="BN9" i="15"/>
  <c r="BN10" i="15"/>
  <c r="BN34" i="15"/>
  <c r="BN35" i="15"/>
  <c r="BN36" i="15"/>
  <c r="BN43" i="15"/>
  <c r="BN44" i="15"/>
  <c r="BN45" i="15"/>
  <c r="BN67" i="15"/>
  <c r="BN68" i="15"/>
  <c r="BN69" i="15"/>
  <c r="BN86" i="15"/>
  <c r="BN87" i="15"/>
  <c r="BN88" i="15"/>
  <c r="BN102" i="15"/>
  <c r="BN103" i="15"/>
  <c r="BN104" i="15"/>
  <c r="BN130" i="15"/>
  <c r="BN131" i="15"/>
  <c r="BN132" i="15"/>
  <c r="BN150" i="15"/>
  <c r="BN152" i="15"/>
  <c r="BN153" i="15"/>
  <c r="BN175" i="15"/>
  <c r="BN176" i="15"/>
  <c r="BN177" i="15"/>
  <c r="BN198" i="15"/>
  <c r="BN199" i="15"/>
  <c r="BN200" i="15"/>
  <c r="BN228" i="15"/>
  <c r="BN229" i="15"/>
  <c r="BN230" i="15"/>
  <c r="BN242" i="15"/>
  <c r="BN243" i="15"/>
  <c r="BN244" i="15"/>
  <c r="BN262" i="15"/>
  <c r="BN263" i="15"/>
  <c r="BN264" i="15"/>
  <c r="BN282" i="15"/>
  <c r="BN284" i="15"/>
  <c r="BN285" i="15"/>
  <c r="BN313" i="15"/>
  <c r="BN314" i="15"/>
  <c r="BN315" i="15"/>
  <c r="BN339" i="15"/>
  <c r="BN340" i="15"/>
  <c r="BN341" i="15"/>
  <c r="BN386" i="15"/>
  <c r="BN387" i="15"/>
  <c r="BN388" i="15"/>
  <c r="BN423" i="15"/>
  <c r="BN424" i="15"/>
  <c r="BN425" i="15"/>
  <c r="BN447" i="15"/>
  <c r="BN448" i="15"/>
  <c r="BN449" i="15"/>
  <c r="BN473" i="15"/>
  <c r="BN474" i="15"/>
  <c r="BN475" i="15"/>
  <c r="BN490" i="15"/>
  <c r="BN492" i="15"/>
  <c r="BN493" i="15"/>
  <c r="BN511" i="15"/>
  <c r="BN512" i="15"/>
  <c r="BN513" i="15"/>
  <c r="BN535" i="15"/>
  <c r="BN536" i="15"/>
  <c r="BN537" i="15"/>
  <c r="BN551" i="15"/>
  <c r="BN552" i="15"/>
  <c r="BN553" i="15"/>
  <c r="BM602" i="15"/>
  <c r="BN602" i="15" s="1"/>
  <c r="BM491" i="15"/>
  <c r="BN491" i="15" s="1"/>
  <c r="BM283" i="15"/>
  <c r="BN283" i="15" s="1"/>
  <c r="BM151" i="15"/>
  <c r="BN151" i="15" s="1"/>
  <c r="BM8" i="15"/>
  <c r="BN8" i="15" s="1"/>
  <c r="BM744" i="15"/>
  <c r="BN744" i="15" s="1"/>
  <c r="BM6" i="15" l="1"/>
  <c r="O196" i="1" l="1"/>
  <c r="CL262" i="15" l="1"/>
  <c r="CL313" i="15"/>
  <c r="CK865" i="15"/>
  <c r="CL865" i="15" s="1"/>
  <c r="CK832" i="15"/>
  <c r="CL832" i="15" s="1"/>
  <c r="CK788" i="15"/>
  <c r="CL788" i="15" s="1"/>
  <c r="CK765" i="15"/>
  <c r="CL765" i="15" s="1"/>
  <c r="CK649" i="15"/>
  <c r="CL649" i="15" s="1"/>
  <c r="BF10" i="15"/>
  <c r="BF36" i="15"/>
  <c r="BF45" i="15"/>
  <c r="BF69" i="15"/>
  <c r="BF88" i="15"/>
  <c r="BF104" i="15"/>
  <c r="BF132" i="15"/>
  <c r="BF150" i="15"/>
  <c r="BF153" i="15"/>
  <c r="BF177" i="15"/>
  <c r="BF200" i="15"/>
  <c r="BF230" i="15"/>
  <c r="BF244" i="15"/>
  <c r="BF261" i="15"/>
  <c r="BF264" i="15"/>
  <c r="BF282" i="15"/>
  <c r="BF285" i="15"/>
  <c r="BF315" i="15"/>
  <c r="BF341" i="15"/>
  <c r="BF388" i="15"/>
  <c r="BF425" i="15"/>
  <c r="BF449" i="15"/>
  <c r="BF475" i="15"/>
  <c r="BF490" i="15"/>
  <c r="BF491" i="15"/>
  <c r="BF492" i="15"/>
  <c r="BF493" i="15"/>
  <c r="BF512" i="15"/>
  <c r="BF513" i="15"/>
  <c r="BF537" i="15"/>
  <c r="BF553" i="15"/>
  <c r="BF573" i="15"/>
  <c r="BF601" i="15"/>
  <c r="BF603" i="15"/>
  <c r="BF604" i="15"/>
  <c r="BF637" i="15"/>
  <c r="BF638" i="15"/>
  <c r="BF648" i="15"/>
  <c r="BF649" i="15"/>
  <c r="BF669" i="15"/>
  <c r="BF670" i="15"/>
  <c r="BF697" i="15"/>
  <c r="BF698" i="15"/>
  <c r="BF718" i="15"/>
  <c r="BF719" i="15"/>
  <c r="BF743" i="15"/>
  <c r="BF744" i="15"/>
  <c r="BF745" i="15"/>
  <c r="BF746" i="15"/>
  <c r="BF764" i="15"/>
  <c r="BF765" i="15"/>
  <c r="BF787" i="15"/>
  <c r="BF788" i="15"/>
  <c r="BF810" i="15"/>
  <c r="BF811" i="15"/>
  <c r="BF831" i="15"/>
  <c r="BF832" i="15"/>
  <c r="BF865" i="15"/>
  <c r="BD7" i="15"/>
  <c r="BD10" i="15"/>
  <c r="BD36" i="15"/>
  <c r="BD45" i="15"/>
  <c r="BD69" i="15"/>
  <c r="BD88" i="15"/>
  <c r="BD104" i="15"/>
  <c r="BD132" i="15"/>
  <c r="BD150" i="15"/>
  <c r="BD153" i="15"/>
  <c r="BD177" i="15"/>
  <c r="BD200" i="15"/>
  <c r="BD230" i="15"/>
  <c r="BD244" i="15"/>
  <c r="BD261" i="15"/>
  <c r="BD264" i="15"/>
  <c r="BD285" i="15"/>
  <c r="BD315" i="15"/>
  <c r="BD341" i="15"/>
  <c r="BD388" i="15"/>
  <c r="BD425" i="15"/>
  <c r="BD449" i="15"/>
  <c r="BD475" i="15"/>
  <c r="BD490" i="15"/>
  <c r="BD491" i="15"/>
  <c r="BD492" i="15"/>
  <c r="BD493" i="15"/>
  <c r="BD512" i="15"/>
  <c r="BD513" i="15"/>
  <c r="BD537" i="15"/>
  <c r="BD553" i="15"/>
  <c r="BD573" i="15"/>
  <c r="BD601" i="15"/>
  <c r="BD603" i="15"/>
  <c r="BD604" i="15"/>
  <c r="BD637" i="15"/>
  <c r="BD638" i="15"/>
  <c r="BD648" i="15"/>
  <c r="BD649" i="15"/>
  <c r="BD669" i="15"/>
  <c r="BD670" i="15"/>
  <c r="BD697" i="15"/>
  <c r="BD698" i="15"/>
  <c r="BD718" i="15"/>
  <c r="BD719" i="15"/>
  <c r="BD743" i="15"/>
  <c r="BD744" i="15"/>
  <c r="BD745" i="15"/>
  <c r="BD746" i="15"/>
  <c r="BD764" i="15"/>
  <c r="BD765" i="15"/>
  <c r="BD787" i="15"/>
  <c r="BD788" i="15"/>
  <c r="BD810" i="15"/>
  <c r="BD811" i="15"/>
  <c r="BD831" i="15"/>
  <c r="BD832" i="15"/>
  <c r="BD865" i="15"/>
  <c r="G24" i="3"/>
  <c r="G19" i="3"/>
  <c r="G13" i="3"/>
  <c r="N98" i="1" s="1"/>
  <c r="G15" i="3"/>
  <c r="G16" i="3"/>
  <c r="G17" i="3"/>
  <c r="G18" i="3"/>
  <c r="G20" i="3"/>
  <c r="G21" i="3"/>
  <c r="G22" i="3"/>
  <c r="G23" i="3"/>
  <c r="BV19" i="15"/>
  <c r="AC8" i="15"/>
  <c r="AC6" i="15" s="1"/>
  <c r="AC162" i="1" l="1"/>
  <c r="AI162" i="1" s="1"/>
  <c r="N156" i="1"/>
  <c r="AB156" i="1"/>
  <c r="AH156" i="1" s="1"/>
  <c r="AA156" i="1"/>
  <c r="AG156" i="1" s="1"/>
  <c r="AB162" i="1"/>
  <c r="AH162" i="1" s="1"/>
  <c r="Z162" i="1"/>
  <c r="AF162" i="1" s="1"/>
  <c r="AA162" i="1"/>
  <c r="AG162" i="1" s="1"/>
  <c r="AC156" i="1"/>
  <c r="AI156" i="1" s="1"/>
  <c r="Y162" i="1"/>
  <c r="Z156" i="1"/>
  <c r="AF156" i="1" s="1"/>
  <c r="N162" i="1"/>
  <c r="Y156" i="1"/>
  <c r="Z160" i="1"/>
  <c r="AF160" i="1" s="1"/>
  <c r="AB154" i="1"/>
  <c r="AH154" i="1" s="1"/>
  <c r="AA160" i="1"/>
  <c r="AG160" i="1" s="1"/>
  <c r="Y160" i="1"/>
  <c r="AA154" i="1"/>
  <c r="AG154" i="1" s="1"/>
  <c r="N160" i="1"/>
  <c r="Z154" i="1"/>
  <c r="AF154" i="1" s="1"/>
  <c r="AC154" i="1"/>
  <c r="AI154" i="1" s="1"/>
  <c r="Y154" i="1"/>
  <c r="AC160" i="1"/>
  <c r="AI160" i="1" s="1"/>
  <c r="N154" i="1"/>
  <c r="AB160" i="1"/>
  <c r="AH160" i="1" s="1"/>
  <c r="AY744" i="15"/>
  <c r="AY602" i="15"/>
  <c r="AY283" i="15"/>
  <c r="AY151" i="15"/>
  <c r="AY8" i="15"/>
  <c r="AV8" i="15"/>
  <c r="AW8" i="15" s="1"/>
  <c r="AQ35" i="15"/>
  <c r="AQ44" i="15"/>
  <c r="AQ68" i="15"/>
  <c r="AQ87" i="15"/>
  <c r="AQ103" i="15"/>
  <c r="AQ131" i="15"/>
  <c r="AQ152" i="15"/>
  <c r="AQ176" i="15"/>
  <c r="AQ199" i="15"/>
  <c r="AQ229" i="15"/>
  <c r="AQ243" i="15"/>
  <c r="AQ263" i="15"/>
  <c r="AQ284" i="15"/>
  <c r="AQ314" i="15"/>
  <c r="AQ340" i="15"/>
  <c r="AQ387" i="15"/>
  <c r="AQ424" i="15"/>
  <c r="AQ448" i="15"/>
  <c r="AQ474" i="15"/>
  <c r="AQ492" i="15"/>
  <c r="AQ512" i="15"/>
  <c r="AQ536" i="15"/>
  <c r="AQ552" i="15"/>
  <c r="AQ572" i="15"/>
  <c r="AQ603" i="15"/>
  <c r="AQ637" i="15"/>
  <c r="AQ648" i="15"/>
  <c r="AQ669" i="15"/>
  <c r="AQ697" i="15"/>
  <c r="AQ718" i="15"/>
  <c r="AQ745" i="15"/>
  <c r="AQ764" i="15"/>
  <c r="AQ787" i="15"/>
  <c r="AQ810" i="15"/>
  <c r="AQ831" i="15"/>
  <c r="AQ864" i="15"/>
  <c r="X8" i="15"/>
  <c r="AO474" i="15"/>
  <c r="AP474" i="15" s="1"/>
  <c r="AO263" i="15"/>
  <c r="AP263" i="15" s="1"/>
  <c r="AO243" i="15"/>
  <c r="AP243" i="15" s="1"/>
  <c r="AO448" i="15"/>
  <c r="AP448" i="15" s="1"/>
  <c r="AO718" i="15"/>
  <c r="AP718" i="15" s="1"/>
  <c r="AO864" i="15"/>
  <c r="AP864" i="15" s="1"/>
  <c r="AO131" i="15"/>
  <c r="AP131" i="15" s="1"/>
  <c r="AO103" i="15"/>
  <c r="AP103" i="15" s="1"/>
  <c r="AO87" i="15"/>
  <c r="AP87" i="15" s="1"/>
  <c r="AO68" i="15"/>
  <c r="AP68" i="15" s="1"/>
  <c r="AO44" i="15"/>
  <c r="AP44" i="15" s="1"/>
  <c r="AO35" i="15"/>
  <c r="AP35" i="15" s="1"/>
  <c r="AQ9" i="15"/>
  <c r="AO9" i="15"/>
  <c r="AP9" i="15" s="1"/>
  <c r="W9" i="15"/>
  <c r="AO831" i="15"/>
  <c r="AP831" i="15" s="1"/>
  <c r="U37" i="15"/>
  <c r="Y37" i="15"/>
  <c r="AA37" i="15" s="1"/>
  <c r="AB37" i="15" s="1"/>
  <c r="BV37" i="15"/>
  <c r="U46" i="15"/>
  <c r="Y46" i="15"/>
  <c r="AA46" i="15" s="1"/>
  <c r="AB46" i="15" s="1"/>
  <c r="BV46" i="15"/>
  <c r="C35" i="15"/>
  <c r="U70" i="15"/>
  <c r="Y70" i="15"/>
  <c r="AA70" i="15" s="1"/>
  <c r="AB70" i="15" s="1"/>
  <c r="BV70" i="15"/>
  <c r="AE160" i="1" l="1"/>
  <c r="AJ160" i="1" s="1"/>
  <c r="AD160" i="1"/>
  <c r="AD154" i="1"/>
  <c r="AE154" i="1"/>
  <c r="AJ154" i="1" s="1"/>
  <c r="AE156" i="1"/>
  <c r="AJ156" i="1" s="1"/>
  <c r="AD156" i="1"/>
  <c r="AE162" i="1"/>
  <c r="AJ162" i="1" s="1"/>
  <c r="AD162" i="1"/>
  <c r="AK46" i="15"/>
  <c r="AL46" i="15"/>
  <c r="BJ46" i="15" s="1"/>
  <c r="AK70" i="15"/>
  <c r="AL70" i="15"/>
  <c r="BJ70" i="15" s="1"/>
  <c r="AH37" i="15"/>
  <c r="BM37" i="15" s="1"/>
  <c r="BN37" i="15" s="1"/>
  <c r="AK37" i="15"/>
  <c r="AL37" i="15"/>
  <c r="BJ37" i="15" s="1"/>
  <c r="AD70" i="15"/>
  <c r="BE70" i="15" s="1"/>
  <c r="BF70" i="15" s="1"/>
  <c r="AH70" i="15"/>
  <c r="AD46" i="15"/>
  <c r="AE46" i="15" s="1"/>
  <c r="AH46" i="15"/>
  <c r="AQ151" i="15"/>
  <c r="AQ744" i="15"/>
  <c r="AQ602" i="15"/>
  <c r="AQ283" i="15"/>
  <c r="AQ491" i="15"/>
  <c r="AQ8" i="15"/>
  <c r="AO8" i="15"/>
  <c r="AP8" i="15" s="1"/>
  <c r="BV8" i="15"/>
  <c r="AD37" i="15"/>
  <c r="AF46" i="15" l="1"/>
  <c r="AG46" i="15"/>
  <c r="AI37" i="15"/>
  <c r="AJ37" i="15"/>
  <c r="AY37" i="15" s="1"/>
  <c r="AZ37" i="15" s="1"/>
  <c r="BI70" i="15"/>
  <c r="BK70" i="15" s="1"/>
  <c r="BL70" i="15" s="1"/>
  <c r="AM70" i="15"/>
  <c r="AN70" i="15" s="1"/>
  <c r="BI37" i="15"/>
  <c r="BK37" i="15" s="1"/>
  <c r="BL37" i="15" s="1"/>
  <c r="AM37" i="15"/>
  <c r="AN37" i="15" s="1"/>
  <c r="BI46" i="15"/>
  <c r="BK46" i="15" s="1"/>
  <c r="BL46" i="15" s="1"/>
  <c r="AM46" i="15"/>
  <c r="AN46" i="15" s="1"/>
  <c r="AE70" i="15"/>
  <c r="AG70" i="15" s="1"/>
  <c r="AJ70" i="15"/>
  <c r="BM70" i="15"/>
  <c r="BN70" i="15" s="1"/>
  <c r="AI70" i="15"/>
  <c r="BM46" i="15"/>
  <c r="BN46" i="15" s="1"/>
  <c r="AI46" i="15"/>
  <c r="BE46" i="15"/>
  <c r="BF46" i="15" s="1"/>
  <c r="AJ46" i="15"/>
  <c r="BC46" i="15"/>
  <c r="BD46" i="15" s="1"/>
  <c r="BC70" i="15"/>
  <c r="BD70" i="15" s="1"/>
  <c r="AQ6" i="15"/>
  <c r="O169" i="1" s="1"/>
  <c r="BE37" i="15"/>
  <c r="BF37" i="15" s="1"/>
  <c r="BC37" i="15"/>
  <c r="BD37" i="15" s="1"/>
  <c r="AE37" i="15"/>
  <c r="AF37" i="15" l="1"/>
  <c r="AG37" i="15"/>
  <c r="AF70" i="15"/>
  <c r="BA37" i="15"/>
  <c r="AY46" i="15"/>
  <c r="AZ46" i="15" s="1"/>
  <c r="AY70" i="15"/>
  <c r="AZ70" i="15" s="1"/>
  <c r="BG46" i="15"/>
  <c r="BG70" i="15"/>
  <c r="BG37" i="15"/>
  <c r="BA70" i="15" l="1"/>
  <c r="BA46" i="15"/>
  <c r="AO810" i="15"/>
  <c r="AP810" i="15" s="1"/>
  <c r="AO787" i="15"/>
  <c r="AP787" i="15" s="1"/>
  <c r="AO764" i="15"/>
  <c r="AP764" i="15" s="1"/>
  <c r="AO424" i="15"/>
  <c r="AP424" i="15" s="1"/>
  <c r="AO387" i="15"/>
  <c r="AP387" i="15" s="1"/>
  <c r="BV397" i="15"/>
  <c r="Y397" i="15"/>
  <c r="AA397" i="15" s="1"/>
  <c r="AB397" i="15" s="1"/>
  <c r="U397" i="15"/>
  <c r="AO340" i="15"/>
  <c r="AP340" i="15" s="1"/>
  <c r="AO284" i="15"/>
  <c r="AP284" i="15" s="1"/>
  <c r="AO572" i="15"/>
  <c r="AP572" i="15" s="1"/>
  <c r="BC282" i="15"/>
  <c r="BD282" i="15" s="1"/>
  <c r="G12" i="3"/>
  <c r="AH397" i="15" l="1"/>
  <c r="BM397" i="15" s="1"/>
  <c r="BN397" i="15" s="1"/>
  <c r="AL397" i="15"/>
  <c r="BJ397" i="15" s="1"/>
  <c r="AK397" i="15"/>
  <c r="AD397" i="15"/>
  <c r="AJ397" i="15" l="1"/>
  <c r="AY397" i="15" s="1"/>
  <c r="AZ397" i="15" s="1"/>
  <c r="BA397" i="15" s="1"/>
  <c r="AI397" i="15"/>
  <c r="BI397" i="15"/>
  <c r="BK397" i="15" s="1"/>
  <c r="BL397" i="15" s="1"/>
  <c r="AM397" i="15"/>
  <c r="AN397" i="15" s="1"/>
  <c r="BE397" i="15"/>
  <c r="BF397" i="15" s="1"/>
  <c r="BC397" i="15"/>
  <c r="BD397" i="15" s="1"/>
  <c r="AE397" i="15"/>
  <c r="AG397" i="15" s="1"/>
  <c r="AF397" i="15" l="1"/>
  <c r="BG397" i="15"/>
  <c r="AO229" i="15" l="1"/>
  <c r="AP229" i="15" s="1"/>
  <c r="AO552" i="15"/>
  <c r="AP552" i="15" s="1"/>
  <c r="AO745" i="15"/>
  <c r="AO697" i="15"/>
  <c r="AP697" i="15" s="1"/>
  <c r="AO536" i="15"/>
  <c r="AP536" i="15" s="1"/>
  <c r="AO669" i="15"/>
  <c r="AP669" i="15" s="1"/>
  <c r="BV657" i="15"/>
  <c r="Y657" i="15"/>
  <c r="AA657" i="15" s="1"/>
  <c r="AB657" i="15" s="1"/>
  <c r="U657" i="15"/>
  <c r="AO648" i="15"/>
  <c r="AP648" i="15" s="1"/>
  <c r="AO199" i="15"/>
  <c r="AP199" i="15" s="1"/>
  <c r="AO637" i="15"/>
  <c r="AP637" i="15" s="1"/>
  <c r="AO176" i="15"/>
  <c r="AP176" i="15" s="1"/>
  <c r="AO512" i="15"/>
  <c r="AP512" i="15" s="1"/>
  <c r="AO603" i="15"/>
  <c r="AP603" i="15" s="1"/>
  <c r="AO152" i="15"/>
  <c r="AP152" i="15" s="1"/>
  <c r="AO492" i="15"/>
  <c r="AP492" i="15" s="1"/>
  <c r="AH657" i="15" l="1"/>
  <c r="AI657" i="15" s="1"/>
  <c r="AL657" i="15"/>
  <c r="BJ657" i="15" s="1"/>
  <c r="AK657" i="15"/>
  <c r="AO744" i="15"/>
  <c r="AP744" i="15" s="1"/>
  <c r="AP745" i="15"/>
  <c r="AO151" i="15"/>
  <c r="AP151" i="15" s="1"/>
  <c r="AO602" i="15"/>
  <c r="AP602" i="15" s="1"/>
  <c r="AO491" i="15"/>
  <c r="AP491" i="15" s="1"/>
  <c r="AD657" i="15"/>
  <c r="BM657" i="15" l="1"/>
  <c r="BN657" i="15" s="1"/>
  <c r="BI657" i="15"/>
  <c r="BK657" i="15" s="1"/>
  <c r="BL657" i="15" s="1"/>
  <c r="AM657" i="15"/>
  <c r="AN657" i="15" s="1"/>
  <c r="AE657" i="15"/>
  <c r="AG657" i="15" s="1"/>
  <c r="AJ657" i="15"/>
  <c r="AY657" i="15" s="1"/>
  <c r="AZ657" i="15" s="1"/>
  <c r="BA657" i="15" s="1"/>
  <c r="BC657" i="15"/>
  <c r="BD657" i="15" s="1"/>
  <c r="BE657" i="15"/>
  <c r="BF657" i="15" s="1"/>
  <c r="AF657" i="15" l="1"/>
  <c r="BG657" i="15"/>
  <c r="AV602" i="15"/>
  <c r="AV151" i="15"/>
  <c r="AW151" i="15" s="1"/>
  <c r="BV866" i="15"/>
  <c r="BV867" i="15"/>
  <c r="BV868" i="15"/>
  <c r="BV869" i="15"/>
  <c r="BV870" i="15"/>
  <c r="BV871" i="15"/>
  <c r="BV872" i="15"/>
  <c r="BV873" i="15"/>
  <c r="BV874" i="15"/>
  <c r="BV875" i="15"/>
  <c r="BV876" i="15"/>
  <c r="BV877" i="15"/>
  <c r="BV878" i="15"/>
  <c r="BV879" i="15"/>
  <c r="BV880" i="15"/>
  <c r="BV881" i="15"/>
  <c r="BV882" i="15"/>
  <c r="BV883" i="15"/>
  <c r="BV884" i="15"/>
  <c r="BV885" i="15"/>
  <c r="BV886" i="15"/>
  <c r="BV887" i="15"/>
  <c r="BV888" i="15"/>
  <c r="BV889" i="15"/>
  <c r="BV890" i="15"/>
  <c r="BV891" i="15"/>
  <c r="BV892" i="15"/>
  <c r="BV893" i="15"/>
  <c r="BV894" i="15"/>
  <c r="BV895" i="15"/>
  <c r="BV896" i="15"/>
  <c r="BV897" i="15"/>
  <c r="BV898" i="15"/>
  <c r="BV11" i="15"/>
  <c r="BV12" i="15"/>
  <c r="BV13" i="15"/>
  <c r="BV14" i="15"/>
  <c r="BV15" i="15"/>
  <c r="BV16" i="15"/>
  <c r="BV17" i="15"/>
  <c r="BV18" i="15"/>
  <c r="BV20" i="15"/>
  <c r="BV21" i="15"/>
  <c r="BV22" i="15"/>
  <c r="BV23" i="15"/>
  <c r="BV24" i="15"/>
  <c r="BV25" i="15"/>
  <c r="BV26" i="15"/>
  <c r="BV27" i="15"/>
  <c r="BV28" i="15"/>
  <c r="BV29" i="15"/>
  <c r="BV30" i="15"/>
  <c r="BV31" i="15"/>
  <c r="BV32" i="15"/>
  <c r="BV33" i="15"/>
  <c r="BV35" i="15"/>
  <c r="BV38" i="15"/>
  <c r="BV39" i="15"/>
  <c r="BV40" i="15"/>
  <c r="BV41" i="15"/>
  <c r="BV42" i="15"/>
  <c r="BV44" i="15"/>
  <c r="BV47" i="15"/>
  <c r="BV48" i="15"/>
  <c r="BV49" i="15"/>
  <c r="BV50" i="15"/>
  <c r="BV51" i="15"/>
  <c r="BV52" i="15"/>
  <c r="BV53" i="15"/>
  <c r="BV54" i="15"/>
  <c r="BV55" i="15"/>
  <c r="BV56" i="15"/>
  <c r="BV57" i="15"/>
  <c r="BV58" i="15"/>
  <c r="BV59" i="15"/>
  <c r="BV60" i="15"/>
  <c r="BV61" i="15"/>
  <c r="BV62" i="15"/>
  <c r="BV63" i="15"/>
  <c r="BV64" i="15"/>
  <c r="BV65" i="15"/>
  <c r="BV66" i="15"/>
  <c r="BV68" i="15"/>
  <c r="BV71" i="15"/>
  <c r="BV72" i="15"/>
  <c r="BV73" i="15"/>
  <c r="BV74" i="15"/>
  <c r="BV75" i="15"/>
  <c r="BV76" i="15"/>
  <c r="BV77" i="15"/>
  <c r="BV78" i="15"/>
  <c r="BV79" i="15"/>
  <c r="BV80" i="15"/>
  <c r="BV81" i="15"/>
  <c r="BV82" i="15"/>
  <c r="BV83" i="15"/>
  <c r="BV84" i="15"/>
  <c r="BV85" i="15"/>
  <c r="BV87" i="15"/>
  <c r="BV89" i="15"/>
  <c r="BV90" i="15"/>
  <c r="BV91" i="15"/>
  <c r="BV92" i="15"/>
  <c r="BV93" i="15"/>
  <c r="BV94" i="15"/>
  <c r="BV95" i="15"/>
  <c r="BV96" i="15"/>
  <c r="BV97" i="15"/>
  <c r="BV98" i="15"/>
  <c r="BV99" i="15"/>
  <c r="BV100" i="15"/>
  <c r="BV101" i="15"/>
  <c r="BV103" i="15"/>
  <c r="BV105" i="15"/>
  <c r="BV106" i="15"/>
  <c r="BV107" i="15"/>
  <c r="BV108" i="15"/>
  <c r="BV109" i="15"/>
  <c r="BV110" i="15"/>
  <c r="BV111" i="15"/>
  <c r="BV112" i="15"/>
  <c r="BV113" i="15"/>
  <c r="BV114" i="15"/>
  <c r="BV115" i="15"/>
  <c r="BV116" i="15"/>
  <c r="BV117" i="15"/>
  <c r="BV118" i="15"/>
  <c r="BV119" i="15"/>
  <c r="BV120" i="15"/>
  <c r="BV121" i="15"/>
  <c r="BV122" i="15"/>
  <c r="BV123" i="15"/>
  <c r="BV124" i="15"/>
  <c r="BV125" i="15"/>
  <c r="BV126" i="15"/>
  <c r="BV127" i="15"/>
  <c r="BV128" i="15"/>
  <c r="BV129" i="15"/>
  <c r="BV131" i="15"/>
  <c r="BV133" i="15"/>
  <c r="BV134" i="15"/>
  <c r="BV135" i="15"/>
  <c r="BV136" i="15"/>
  <c r="BV137" i="15"/>
  <c r="BV138" i="15"/>
  <c r="BV139" i="15"/>
  <c r="BV140" i="15"/>
  <c r="BV141" i="15"/>
  <c r="BV142" i="15"/>
  <c r="BV143" i="15"/>
  <c r="BV144" i="15"/>
  <c r="BV145" i="15"/>
  <c r="BV146" i="15"/>
  <c r="BV147" i="15"/>
  <c r="BV148" i="15"/>
  <c r="BV149" i="15"/>
  <c r="BV150" i="15"/>
  <c r="BV152" i="15"/>
  <c r="BV154" i="15"/>
  <c r="BV155" i="15"/>
  <c r="BV156" i="15"/>
  <c r="BV157" i="15"/>
  <c r="BV158" i="15"/>
  <c r="BV159" i="15"/>
  <c r="BV160" i="15"/>
  <c r="BV161" i="15"/>
  <c r="BV162" i="15"/>
  <c r="BV163" i="15"/>
  <c r="BV164" i="15"/>
  <c r="BV165" i="15"/>
  <c r="BV166" i="15"/>
  <c r="BV167" i="15"/>
  <c r="BV168" i="15"/>
  <c r="BV169" i="15"/>
  <c r="BV170" i="15"/>
  <c r="BV171" i="15"/>
  <c r="BV172" i="15"/>
  <c r="BV173" i="15"/>
  <c r="BV174" i="15"/>
  <c r="BV176" i="15"/>
  <c r="BV178" i="15"/>
  <c r="BV179" i="15"/>
  <c r="BV180" i="15"/>
  <c r="BV181" i="15"/>
  <c r="BV182" i="15"/>
  <c r="BV183" i="15"/>
  <c r="BV184" i="15"/>
  <c r="BV185" i="15"/>
  <c r="BV186" i="15"/>
  <c r="BV187" i="15"/>
  <c r="BV188" i="15"/>
  <c r="BV189" i="15"/>
  <c r="BV190" i="15"/>
  <c r="BV191" i="15"/>
  <c r="BV192" i="15"/>
  <c r="BV193" i="15"/>
  <c r="BV194" i="15"/>
  <c r="BV195" i="15"/>
  <c r="BV196" i="15"/>
  <c r="BV197" i="15"/>
  <c r="BV199" i="15"/>
  <c r="BV201" i="15"/>
  <c r="BV202" i="15"/>
  <c r="BV203" i="15"/>
  <c r="BV204" i="15"/>
  <c r="BV205" i="15"/>
  <c r="BV206" i="15"/>
  <c r="BV207" i="15"/>
  <c r="BV208" i="15"/>
  <c r="BV209" i="15"/>
  <c r="BV210" i="15"/>
  <c r="BV211" i="15"/>
  <c r="BV212" i="15"/>
  <c r="BV213" i="15"/>
  <c r="BV214" i="15"/>
  <c r="BV215" i="15"/>
  <c r="BV216" i="15"/>
  <c r="BV217" i="15"/>
  <c r="BV218" i="15"/>
  <c r="BV219" i="15"/>
  <c r="BV220" i="15"/>
  <c r="BV221" i="15"/>
  <c r="BV222" i="15"/>
  <c r="BV223" i="15"/>
  <c r="BV224" i="15"/>
  <c r="BV225" i="15"/>
  <c r="BV226" i="15"/>
  <c r="BV227" i="15"/>
  <c r="BV229" i="15"/>
  <c r="BV231" i="15"/>
  <c r="BV232" i="15"/>
  <c r="BV233" i="15"/>
  <c r="BV234" i="15"/>
  <c r="BV235" i="15"/>
  <c r="BV236" i="15"/>
  <c r="BV237" i="15"/>
  <c r="BV238" i="15"/>
  <c r="BV239" i="15"/>
  <c r="BV240" i="15"/>
  <c r="BV241" i="15"/>
  <c r="BV243" i="15"/>
  <c r="BV245" i="15"/>
  <c r="BV246" i="15"/>
  <c r="BV247" i="15"/>
  <c r="BV248" i="15"/>
  <c r="BV249" i="15"/>
  <c r="BV250" i="15"/>
  <c r="BV251" i="15"/>
  <c r="BV252" i="15"/>
  <c r="BV253" i="15"/>
  <c r="BV254" i="15"/>
  <c r="BV255" i="15"/>
  <c r="BV256" i="15"/>
  <c r="BV257" i="15"/>
  <c r="BV258" i="15"/>
  <c r="BV259" i="15"/>
  <c r="BV260" i="15"/>
  <c r="BV261" i="15"/>
  <c r="BV263" i="15"/>
  <c r="BV265" i="15"/>
  <c r="BV266" i="15"/>
  <c r="BV267" i="15"/>
  <c r="BV268" i="15"/>
  <c r="BV269" i="15"/>
  <c r="BV270" i="15"/>
  <c r="BV271" i="15"/>
  <c r="BV272" i="15"/>
  <c r="BV273" i="15"/>
  <c r="BV274" i="15"/>
  <c r="BV275" i="15"/>
  <c r="BV276" i="15"/>
  <c r="BV277" i="15"/>
  <c r="BV278" i="15"/>
  <c r="BV279" i="15"/>
  <c r="BV280" i="15"/>
  <c r="BV281" i="15"/>
  <c r="BV282" i="15"/>
  <c r="BV286" i="15"/>
  <c r="BV287" i="15"/>
  <c r="BV288" i="15"/>
  <c r="BV289" i="15"/>
  <c r="BV290" i="15"/>
  <c r="BV291" i="15"/>
  <c r="BV292" i="15"/>
  <c r="BV293" i="15"/>
  <c r="BV294" i="15"/>
  <c r="BV295" i="15"/>
  <c r="BV296" i="15"/>
  <c r="BV297" i="15"/>
  <c r="BV298" i="15"/>
  <c r="BV299" i="15"/>
  <c r="BV300" i="15"/>
  <c r="BV301" i="15"/>
  <c r="BV302" i="15"/>
  <c r="BV303" i="15"/>
  <c r="BV304" i="15"/>
  <c r="BV305" i="15"/>
  <c r="BV306" i="15"/>
  <c r="BV307" i="15"/>
  <c r="BV308" i="15"/>
  <c r="BV309" i="15"/>
  <c r="BV310" i="15"/>
  <c r="BV311" i="15"/>
  <c r="BV312" i="15"/>
  <c r="BV314" i="15"/>
  <c r="BV316" i="15"/>
  <c r="BV317" i="15"/>
  <c r="BV318" i="15"/>
  <c r="BV319" i="15"/>
  <c r="BV320" i="15"/>
  <c r="BV321" i="15"/>
  <c r="BV322" i="15"/>
  <c r="BV323" i="15"/>
  <c r="BV324" i="15"/>
  <c r="BV325" i="15"/>
  <c r="BV326" i="15"/>
  <c r="BV327" i="15"/>
  <c r="BV328" i="15"/>
  <c r="BV329" i="15"/>
  <c r="BV330" i="15"/>
  <c r="BV331" i="15"/>
  <c r="BV332" i="15"/>
  <c r="BV333" i="15"/>
  <c r="BV334" i="15"/>
  <c r="BV335" i="15"/>
  <c r="BV336" i="15"/>
  <c r="BV337" i="15"/>
  <c r="BV338" i="15"/>
  <c r="BV340" i="15"/>
  <c r="BV342" i="15"/>
  <c r="BV343" i="15"/>
  <c r="BV344" i="15"/>
  <c r="BV345" i="15"/>
  <c r="BV346" i="15"/>
  <c r="BV347" i="15"/>
  <c r="BV348" i="15"/>
  <c r="BV349" i="15"/>
  <c r="BV350" i="15"/>
  <c r="BV351" i="15"/>
  <c r="BV352" i="15"/>
  <c r="BV353" i="15"/>
  <c r="BV354" i="15"/>
  <c r="BV355" i="15"/>
  <c r="BV356" i="15"/>
  <c r="BV357" i="15"/>
  <c r="BV358" i="15"/>
  <c r="BV359" i="15"/>
  <c r="BV360" i="15"/>
  <c r="BV361" i="15"/>
  <c r="BV362" i="15"/>
  <c r="BV363" i="15"/>
  <c r="BV364" i="15"/>
  <c r="BV365" i="15"/>
  <c r="BV366" i="15"/>
  <c r="BV367" i="15"/>
  <c r="BV368" i="15"/>
  <c r="BV369" i="15"/>
  <c r="BV370" i="15"/>
  <c r="BV371" i="15"/>
  <c r="BV372" i="15"/>
  <c r="BV373" i="15"/>
  <c r="BV374" i="15"/>
  <c r="BV375" i="15"/>
  <c r="BV376" i="15"/>
  <c r="BV377" i="15"/>
  <c r="BV378" i="15"/>
  <c r="BV379" i="15"/>
  <c r="BV380" i="15"/>
  <c r="BV381" i="15"/>
  <c r="BV382" i="15"/>
  <c r="BV383" i="15"/>
  <c r="BV384" i="15"/>
  <c r="BV385" i="15"/>
  <c r="BV387" i="15"/>
  <c r="BV389" i="15"/>
  <c r="BV390" i="15"/>
  <c r="BV391" i="15"/>
  <c r="BV392" i="15"/>
  <c r="BV393" i="15"/>
  <c r="BV394" i="15"/>
  <c r="BV395" i="15"/>
  <c r="BV396" i="15"/>
  <c r="BV398" i="15"/>
  <c r="BV399" i="15"/>
  <c r="BV400" i="15"/>
  <c r="BV401" i="15"/>
  <c r="BV402" i="15"/>
  <c r="BV403" i="15"/>
  <c r="BV404" i="15"/>
  <c r="BV405" i="15"/>
  <c r="BV406" i="15"/>
  <c r="BV407" i="15"/>
  <c r="BV408" i="15"/>
  <c r="BV409" i="15"/>
  <c r="BV410" i="15"/>
  <c r="BV411" i="15"/>
  <c r="BV412" i="15"/>
  <c r="BV413" i="15"/>
  <c r="BV414" i="15"/>
  <c r="BV415" i="15"/>
  <c r="BV416" i="15"/>
  <c r="BV417" i="15"/>
  <c r="BV418" i="15"/>
  <c r="BV419" i="15"/>
  <c r="BV420" i="15"/>
  <c r="BV421" i="15"/>
  <c r="BV422" i="15"/>
  <c r="BV424" i="15"/>
  <c r="BV426" i="15"/>
  <c r="BV427" i="15"/>
  <c r="BV428" i="15"/>
  <c r="BV429" i="15"/>
  <c r="BV430" i="15"/>
  <c r="BV431" i="15"/>
  <c r="BV432" i="15"/>
  <c r="BV433" i="15"/>
  <c r="BV434" i="15"/>
  <c r="BV435" i="15"/>
  <c r="BV436" i="15"/>
  <c r="BV437" i="15"/>
  <c r="BV438" i="15"/>
  <c r="BV439" i="15"/>
  <c r="BV440" i="15"/>
  <c r="BV441" i="15"/>
  <c r="BV442" i="15"/>
  <c r="BV443" i="15"/>
  <c r="BV444" i="15"/>
  <c r="BV445" i="15"/>
  <c r="BV446" i="15"/>
  <c r="BV448" i="15"/>
  <c r="BV450" i="15"/>
  <c r="BV451" i="15"/>
  <c r="BV452" i="15"/>
  <c r="BV453" i="15"/>
  <c r="BV454" i="15"/>
  <c r="BV455" i="15"/>
  <c r="BV456" i="15"/>
  <c r="BV457" i="15"/>
  <c r="BV458" i="15"/>
  <c r="BV459" i="15"/>
  <c r="BV460" i="15"/>
  <c r="BV461" i="15"/>
  <c r="BV462" i="15"/>
  <c r="BV463" i="15"/>
  <c r="BV464" i="15"/>
  <c r="BV465" i="15"/>
  <c r="BV466" i="15"/>
  <c r="BV467" i="15"/>
  <c r="BV468" i="15"/>
  <c r="BV469" i="15"/>
  <c r="BV470" i="15"/>
  <c r="BV471" i="15"/>
  <c r="BV472" i="15"/>
  <c r="BV474" i="15"/>
  <c r="BV476" i="15"/>
  <c r="BV477" i="15"/>
  <c r="BV478" i="15"/>
  <c r="BV479" i="15"/>
  <c r="BV480" i="15"/>
  <c r="BV481" i="15"/>
  <c r="BV482" i="15"/>
  <c r="BV483" i="15"/>
  <c r="BV484" i="15"/>
  <c r="BV485" i="15"/>
  <c r="BV486" i="15"/>
  <c r="BV487" i="15"/>
  <c r="BV488" i="15"/>
  <c r="BV489" i="15"/>
  <c r="BV490" i="15"/>
  <c r="BV491" i="15"/>
  <c r="BV492" i="15"/>
  <c r="BV494" i="15"/>
  <c r="BV495" i="15"/>
  <c r="BV496" i="15"/>
  <c r="BV497" i="15"/>
  <c r="BV498" i="15"/>
  <c r="BV499" i="15"/>
  <c r="BV500" i="15"/>
  <c r="BV501" i="15"/>
  <c r="BV502" i="15"/>
  <c r="BV503" i="15"/>
  <c r="BV504" i="15"/>
  <c r="BV505" i="15"/>
  <c r="BV506" i="15"/>
  <c r="BV507" i="15"/>
  <c r="BV508" i="15"/>
  <c r="BV509" i="15"/>
  <c r="BV510" i="15"/>
  <c r="BV512" i="15"/>
  <c r="BV514" i="15"/>
  <c r="BV515" i="15"/>
  <c r="BV516" i="15"/>
  <c r="BV517" i="15"/>
  <c r="BV518" i="15"/>
  <c r="BV519" i="15"/>
  <c r="BV520" i="15"/>
  <c r="BV521" i="15"/>
  <c r="BV522" i="15"/>
  <c r="BV523" i="15"/>
  <c r="BV524" i="15"/>
  <c r="BV525" i="15"/>
  <c r="BV526" i="15"/>
  <c r="BV527" i="15"/>
  <c r="BV528" i="15"/>
  <c r="BV529" i="15"/>
  <c r="BV530" i="15"/>
  <c r="BV531" i="15"/>
  <c r="BV532" i="15"/>
  <c r="BV533" i="15"/>
  <c r="BV534" i="15"/>
  <c r="BV536" i="15"/>
  <c r="BV538" i="15"/>
  <c r="BV539" i="15"/>
  <c r="BV540" i="15"/>
  <c r="BV541" i="15"/>
  <c r="BV542" i="15"/>
  <c r="BV543" i="15"/>
  <c r="BV544" i="15"/>
  <c r="BV545" i="15"/>
  <c r="BV546" i="15"/>
  <c r="BV547" i="15"/>
  <c r="BV548" i="15"/>
  <c r="BV549" i="15"/>
  <c r="BV550" i="15"/>
  <c r="BV552" i="15"/>
  <c r="BV554" i="15"/>
  <c r="BV555" i="15"/>
  <c r="BV556" i="15"/>
  <c r="BV557" i="15"/>
  <c r="BV558" i="15"/>
  <c r="BV559" i="15"/>
  <c r="BV560" i="15"/>
  <c r="BV561" i="15"/>
  <c r="BV562" i="15"/>
  <c r="BV563" i="15"/>
  <c r="BV564" i="15"/>
  <c r="BV565" i="15"/>
  <c r="BV566" i="15"/>
  <c r="BV567" i="15"/>
  <c r="BV568" i="15"/>
  <c r="BV569" i="15"/>
  <c r="BV570" i="15"/>
  <c r="BV572" i="15"/>
  <c r="BV574" i="15"/>
  <c r="BV575" i="15"/>
  <c r="BV576" i="15"/>
  <c r="BV577" i="15"/>
  <c r="BV578" i="15"/>
  <c r="BV579" i="15"/>
  <c r="BV580" i="15"/>
  <c r="BV581" i="15"/>
  <c r="BV582" i="15"/>
  <c r="BV583" i="15"/>
  <c r="BV584" i="15"/>
  <c r="BV585" i="15"/>
  <c r="BV586" i="15"/>
  <c r="BV587" i="15"/>
  <c r="BV588" i="15"/>
  <c r="BV589" i="15"/>
  <c r="BV590" i="15"/>
  <c r="BV591" i="15"/>
  <c r="BV592" i="15"/>
  <c r="BV593" i="15"/>
  <c r="BV594" i="15"/>
  <c r="BV595" i="15"/>
  <c r="BV596" i="15"/>
  <c r="BV597" i="15"/>
  <c r="BV598" i="15"/>
  <c r="BV599" i="15"/>
  <c r="BV600" i="15"/>
  <c r="BV601" i="15"/>
  <c r="BV603" i="15"/>
  <c r="BV605" i="15"/>
  <c r="BV606" i="15"/>
  <c r="BV607" i="15"/>
  <c r="BV608" i="15"/>
  <c r="BV609" i="15"/>
  <c r="BV610" i="15"/>
  <c r="BV611" i="15"/>
  <c r="BV612" i="15"/>
  <c r="BV613" i="15"/>
  <c r="BV614" i="15"/>
  <c r="BV615" i="15"/>
  <c r="BV616" i="15"/>
  <c r="BV617" i="15"/>
  <c r="BV618" i="15"/>
  <c r="BV619" i="15"/>
  <c r="BV620" i="15"/>
  <c r="BV621" i="15"/>
  <c r="BV622" i="15"/>
  <c r="BV623" i="15"/>
  <c r="BV624" i="15"/>
  <c r="BV625" i="15"/>
  <c r="BV626" i="15"/>
  <c r="BV627" i="15"/>
  <c r="BV628" i="15"/>
  <c r="BV629" i="15"/>
  <c r="BV630" i="15"/>
  <c r="BV631" i="15"/>
  <c r="BV632" i="15"/>
  <c r="BV633" i="15"/>
  <c r="BV634" i="15"/>
  <c r="BV635" i="15"/>
  <c r="BV637" i="15"/>
  <c r="BV639" i="15"/>
  <c r="BV640" i="15"/>
  <c r="BV641" i="15"/>
  <c r="BV642" i="15"/>
  <c r="BV643" i="15"/>
  <c r="BV644" i="15"/>
  <c r="BV645" i="15"/>
  <c r="BV646" i="15"/>
  <c r="BV648" i="15"/>
  <c r="BV650" i="15"/>
  <c r="BV651" i="15"/>
  <c r="BV652" i="15"/>
  <c r="BV653" i="15"/>
  <c r="BV654" i="15"/>
  <c r="BV655" i="15"/>
  <c r="BV656" i="15"/>
  <c r="BV658" i="15"/>
  <c r="BV659" i="15"/>
  <c r="BV660" i="15"/>
  <c r="BV661" i="15"/>
  <c r="BV662" i="15"/>
  <c r="BV663" i="15"/>
  <c r="BV664" i="15"/>
  <c r="BV665" i="15"/>
  <c r="BV666" i="15"/>
  <c r="BV667" i="15"/>
  <c r="BV669" i="15"/>
  <c r="BV671" i="15"/>
  <c r="BV672" i="15"/>
  <c r="BV673" i="15"/>
  <c r="BV674" i="15"/>
  <c r="BV675" i="15"/>
  <c r="BV676" i="15"/>
  <c r="BV677" i="15"/>
  <c r="BV678" i="15"/>
  <c r="BV679" i="15"/>
  <c r="BV680" i="15"/>
  <c r="BV681" i="15"/>
  <c r="BV682" i="15"/>
  <c r="BV683" i="15"/>
  <c r="BV684" i="15"/>
  <c r="BV685" i="15"/>
  <c r="BV686" i="15"/>
  <c r="BV687" i="15"/>
  <c r="BV688" i="15"/>
  <c r="BV689" i="15"/>
  <c r="BV690" i="15"/>
  <c r="BV691" i="15"/>
  <c r="BV692" i="15"/>
  <c r="BV693" i="15"/>
  <c r="BV694" i="15"/>
  <c r="BV695" i="15"/>
  <c r="BV697" i="15"/>
  <c r="BV699" i="15"/>
  <c r="BV700" i="15"/>
  <c r="BV701" i="15"/>
  <c r="BV702" i="15"/>
  <c r="BV703" i="15"/>
  <c r="BV704" i="15"/>
  <c r="BV705" i="15"/>
  <c r="BV706" i="15"/>
  <c r="BV707" i="15"/>
  <c r="BV708" i="15"/>
  <c r="BV709" i="15"/>
  <c r="BV710" i="15"/>
  <c r="BV711" i="15"/>
  <c r="BV712" i="15"/>
  <c r="BV713" i="15"/>
  <c r="BV714" i="15"/>
  <c r="BV715" i="15"/>
  <c r="BV716" i="15"/>
  <c r="BV718" i="15"/>
  <c r="BV720" i="15"/>
  <c r="BV721" i="15"/>
  <c r="BV722" i="15"/>
  <c r="BV723" i="15"/>
  <c r="BV724" i="15"/>
  <c r="BV725" i="15"/>
  <c r="BV726" i="15"/>
  <c r="BV727" i="15"/>
  <c r="BV728" i="15"/>
  <c r="BV729" i="15"/>
  <c r="BV730" i="15"/>
  <c r="BV731" i="15"/>
  <c r="BV732" i="15"/>
  <c r="BV733" i="15"/>
  <c r="BV734" i="15"/>
  <c r="BV735" i="15"/>
  <c r="BV736" i="15"/>
  <c r="BV737" i="15"/>
  <c r="BV738" i="15"/>
  <c r="BV739" i="15"/>
  <c r="BV740" i="15"/>
  <c r="BV741" i="15"/>
  <c r="BV742" i="15"/>
  <c r="BV743" i="15"/>
  <c r="BV744" i="15"/>
  <c r="BV745" i="15"/>
  <c r="BV747" i="15"/>
  <c r="BV748" i="15"/>
  <c r="BV749" i="15"/>
  <c r="BV750" i="15"/>
  <c r="BV751" i="15"/>
  <c r="BV752" i="15"/>
  <c r="BV753" i="15"/>
  <c r="BV754" i="15"/>
  <c r="BV755" i="15"/>
  <c r="BV756" i="15"/>
  <c r="BV757" i="15"/>
  <c r="BV758" i="15"/>
  <c r="BV759" i="15"/>
  <c r="BV760" i="15"/>
  <c r="BV761" i="15"/>
  <c r="BV762" i="15"/>
  <c r="BV764" i="15"/>
  <c r="BV766" i="15"/>
  <c r="BV767" i="15"/>
  <c r="BV768" i="15"/>
  <c r="BV769" i="15"/>
  <c r="BV770" i="15"/>
  <c r="BV771" i="15"/>
  <c r="BV772" i="15"/>
  <c r="BV773" i="15"/>
  <c r="BV774" i="15"/>
  <c r="BV775" i="15"/>
  <c r="BV776" i="15"/>
  <c r="BV777" i="15"/>
  <c r="BV778" i="15"/>
  <c r="BV779" i="15"/>
  <c r="BV780" i="15"/>
  <c r="BV781" i="15"/>
  <c r="BV782" i="15"/>
  <c r="BV783" i="15"/>
  <c r="BV784" i="15"/>
  <c r="BV785" i="15"/>
  <c r="BV787" i="15"/>
  <c r="BV789" i="15"/>
  <c r="BV790" i="15"/>
  <c r="BV791" i="15"/>
  <c r="BV792" i="15"/>
  <c r="BV793" i="15"/>
  <c r="BV794" i="15"/>
  <c r="BV795" i="15"/>
  <c r="BV796" i="15"/>
  <c r="BV797" i="15"/>
  <c r="BV798" i="15"/>
  <c r="BV799" i="15"/>
  <c r="BV800" i="15"/>
  <c r="BV801" i="15"/>
  <c r="BV802" i="15"/>
  <c r="BV803" i="15"/>
  <c r="BV804" i="15"/>
  <c r="BV805" i="15"/>
  <c r="BV806" i="15"/>
  <c r="BV807" i="15"/>
  <c r="BV808" i="15"/>
  <c r="BV810" i="15"/>
  <c r="BV812" i="15"/>
  <c r="BV813" i="15"/>
  <c r="BV814" i="15"/>
  <c r="BV815" i="15"/>
  <c r="BV816" i="15"/>
  <c r="BV817" i="15"/>
  <c r="BV818" i="15"/>
  <c r="BV819" i="15"/>
  <c r="BV820" i="15"/>
  <c r="BV821" i="15"/>
  <c r="BV822" i="15"/>
  <c r="BV823" i="15"/>
  <c r="BV824" i="15"/>
  <c r="BV825" i="15"/>
  <c r="BV826" i="15"/>
  <c r="BV827" i="15"/>
  <c r="BV828" i="15"/>
  <c r="BV829" i="15"/>
  <c r="BV831" i="15"/>
  <c r="BV833" i="15"/>
  <c r="BV834" i="15"/>
  <c r="BV835" i="15"/>
  <c r="BV836" i="15"/>
  <c r="BV837" i="15"/>
  <c r="BV838" i="15"/>
  <c r="BV839" i="15"/>
  <c r="BV840" i="15"/>
  <c r="BV841" i="15"/>
  <c r="BV842" i="15"/>
  <c r="BV843" i="15"/>
  <c r="BV844" i="15"/>
  <c r="BV845" i="15"/>
  <c r="BV846" i="15"/>
  <c r="BV847" i="15"/>
  <c r="BV848" i="15"/>
  <c r="BV849" i="15"/>
  <c r="BV850" i="15"/>
  <c r="BV851" i="15"/>
  <c r="BV852" i="15"/>
  <c r="BV853" i="15"/>
  <c r="BV854" i="15"/>
  <c r="BV855" i="15"/>
  <c r="BV856" i="15"/>
  <c r="BV857" i="15"/>
  <c r="BV858" i="15"/>
  <c r="BV859" i="15"/>
  <c r="BV860" i="15"/>
  <c r="BV861" i="15"/>
  <c r="BV862" i="15"/>
  <c r="BV864" i="15"/>
  <c r="BV9" i="15"/>
  <c r="B537" i="16"/>
  <c r="H536" i="16"/>
  <c r="I536" i="16" s="1"/>
  <c r="H535" i="16"/>
  <c r="I535" i="16" s="1"/>
  <c r="I534" i="16"/>
  <c r="H534" i="16"/>
  <c r="G533" i="16"/>
  <c r="H533" i="16" s="1"/>
  <c r="I533" i="16" s="1"/>
  <c r="G532" i="16"/>
  <c r="H532" i="16" s="1"/>
  <c r="I532" i="16" s="1"/>
  <c r="H531" i="16"/>
  <c r="I531" i="16" s="1"/>
  <c r="G530" i="16"/>
  <c r="H530" i="16" s="1"/>
  <c r="I530" i="16" s="1"/>
  <c r="G529" i="16"/>
  <c r="H529" i="16" s="1"/>
  <c r="I529" i="16" s="1"/>
  <c r="H528" i="16"/>
  <c r="I528" i="16" s="1"/>
  <c r="F527" i="16"/>
  <c r="H527" i="16" s="1"/>
  <c r="I527" i="16" s="1"/>
  <c r="H526" i="16"/>
  <c r="I526" i="16" s="1"/>
  <c r="G525" i="16"/>
  <c r="H525" i="16" s="1"/>
  <c r="I525" i="16" s="1"/>
  <c r="F524" i="16"/>
  <c r="H524" i="16" s="1"/>
  <c r="I524" i="16" s="1"/>
  <c r="H523" i="16"/>
  <c r="I523" i="16" s="1"/>
  <c r="H574" i="16" s="1"/>
  <c r="G520" i="16"/>
  <c r="H520" i="16" s="1"/>
  <c r="I520" i="16" s="1"/>
  <c r="H519" i="16"/>
  <c r="I519" i="16" s="1"/>
  <c r="G517" i="16"/>
  <c r="F517" i="16"/>
  <c r="G516" i="16"/>
  <c r="H516" i="16" s="1"/>
  <c r="I516" i="16" s="1"/>
  <c r="I515" i="16"/>
  <c r="H515" i="16"/>
  <c r="F513" i="16"/>
  <c r="G512" i="16"/>
  <c r="G513" i="16" s="1"/>
  <c r="F512" i="16"/>
  <c r="I511" i="16"/>
  <c r="F511" i="16"/>
  <c r="H511" i="16" s="1"/>
  <c r="F509" i="16"/>
  <c r="H508" i="16"/>
  <c r="I508" i="16" s="1"/>
  <c r="G508" i="16"/>
  <c r="G509" i="16" s="1"/>
  <c r="F508" i="16"/>
  <c r="H507" i="16"/>
  <c r="I507" i="16" s="1"/>
  <c r="H506" i="16"/>
  <c r="I506" i="16" s="1"/>
  <c r="F503" i="16"/>
  <c r="H503" i="16" s="1"/>
  <c r="I503" i="16" s="1"/>
  <c r="G501" i="16"/>
  <c r="H501" i="16" s="1"/>
  <c r="I501" i="16" s="1"/>
  <c r="H500" i="16"/>
  <c r="I500" i="16" s="1"/>
  <c r="E500" i="16"/>
  <c r="E497" i="16"/>
  <c r="G496" i="16"/>
  <c r="F496" i="16"/>
  <c r="H496" i="16" s="1"/>
  <c r="I496" i="16" s="1"/>
  <c r="H495" i="16"/>
  <c r="I495" i="16" s="1"/>
  <c r="G495" i="16"/>
  <c r="F495" i="16"/>
  <c r="G494" i="16"/>
  <c r="G493" i="16"/>
  <c r="G492" i="16"/>
  <c r="G490" i="16"/>
  <c r="G491" i="16" s="1"/>
  <c r="H491" i="16" s="1"/>
  <c r="I491" i="16" s="1"/>
  <c r="E490" i="16"/>
  <c r="G485" i="16"/>
  <c r="E485" i="16"/>
  <c r="H484" i="16"/>
  <c r="I484" i="16" s="1"/>
  <c r="C484" i="16"/>
  <c r="I483" i="16"/>
  <c r="C483" i="16"/>
  <c r="H483" i="16" s="1"/>
  <c r="G481" i="16"/>
  <c r="G480" i="16"/>
  <c r="G482" i="16" s="1"/>
  <c r="H478" i="16"/>
  <c r="I478" i="16" s="1"/>
  <c r="C478" i="16"/>
  <c r="G477" i="16"/>
  <c r="G473" i="16"/>
  <c r="C473" i="16"/>
  <c r="H473" i="16" s="1"/>
  <c r="I473" i="16" s="1"/>
  <c r="G472" i="16"/>
  <c r="C472" i="16"/>
  <c r="G471" i="16"/>
  <c r="C471" i="16"/>
  <c r="H471" i="16" s="1"/>
  <c r="I471" i="16" s="1"/>
  <c r="G470" i="16"/>
  <c r="C470" i="16"/>
  <c r="H470" i="16" s="1"/>
  <c r="I470" i="16" s="1"/>
  <c r="G469" i="16"/>
  <c r="F505" i="16" s="1"/>
  <c r="G468" i="16"/>
  <c r="F504" i="16" s="1"/>
  <c r="H467" i="16"/>
  <c r="I467" i="16" s="1"/>
  <c r="H465" i="16"/>
  <c r="I465" i="16" s="1"/>
  <c r="C465" i="16"/>
  <c r="C464" i="16"/>
  <c r="H464" i="16" s="1"/>
  <c r="I464" i="16" s="1"/>
  <c r="G463" i="16"/>
  <c r="F463" i="16"/>
  <c r="G462" i="16"/>
  <c r="F462" i="16"/>
  <c r="G461" i="16"/>
  <c r="F499" i="16" s="1"/>
  <c r="F461" i="16"/>
  <c r="C461" i="16"/>
  <c r="I460" i="16"/>
  <c r="F460" i="16"/>
  <c r="H460" i="16" s="1"/>
  <c r="I459" i="16"/>
  <c r="H459" i="16"/>
  <c r="G458" i="16"/>
  <c r="F494" i="16" s="1"/>
  <c r="H494" i="16" s="1"/>
  <c r="I494" i="16" s="1"/>
  <c r="F458" i="16"/>
  <c r="H458" i="16" s="1"/>
  <c r="I458" i="16" s="1"/>
  <c r="G457" i="16"/>
  <c r="F493" i="16" s="1"/>
  <c r="F457" i="16"/>
  <c r="F456" i="16"/>
  <c r="F450" i="16"/>
  <c r="G450" i="16" s="1"/>
  <c r="H450" i="16" s="1"/>
  <c r="F448" i="16"/>
  <c r="E448" i="16"/>
  <c r="G448" i="16" s="1"/>
  <c r="H448" i="16" s="1"/>
  <c r="F447" i="16"/>
  <c r="E447" i="16"/>
  <c r="G446" i="16"/>
  <c r="H446" i="16" s="1"/>
  <c r="F446" i="16"/>
  <c r="F445" i="16"/>
  <c r="G445" i="16" s="1"/>
  <c r="H445" i="16" s="1"/>
  <c r="G444" i="16"/>
  <c r="H444" i="16" s="1"/>
  <c r="G420" i="16"/>
  <c r="H420" i="16" s="1"/>
  <c r="G419" i="16"/>
  <c r="H419" i="16" s="1"/>
  <c r="G418" i="16"/>
  <c r="H418" i="16" s="1"/>
  <c r="G417" i="16"/>
  <c r="H417" i="16" s="1"/>
  <c r="G416" i="16"/>
  <c r="H416" i="16" s="1"/>
  <c r="G415" i="16"/>
  <c r="H415" i="16" s="1"/>
  <c r="G414" i="16"/>
  <c r="H414" i="16" s="1"/>
  <c r="F413" i="16"/>
  <c r="G413" i="16" s="1"/>
  <c r="H413" i="16" s="1"/>
  <c r="F412" i="16"/>
  <c r="F378" i="16" s="1"/>
  <c r="F411" i="16"/>
  <c r="G411" i="16" s="1"/>
  <c r="F410" i="16"/>
  <c r="G410" i="16" s="1"/>
  <c r="H410" i="16" s="1"/>
  <c r="H409" i="16"/>
  <c r="E404" i="16"/>
  <c r="G404" i="16" s="1"/>
  <c r="H404" i="16" s="1"/>
  <c r="E403" i="16"/>
  <c r="G403" i="16" s="1"/>
  <c r="H403" i="16" s="1"/>
  <c r="E402" i="16"/>
  <c r="G402" i="16" s="1"/>
  <c r="H402" i="16" s="1"/>
  <c r="H546" i="16" s="1"/>
  <c r="E401" i="16"/>
  <c r="G401" i="16" s="1"/>
  <c r="H401" i="16" s="1"/>
  <c r="H567" i="16" s="1"/>
  <c r="F399" i="16"/>
  <c r="E399" i="16"/>
  <c r="G399" i="16" s="1"/>
  <c r="H399" i="16" s="1"/>
  <c r="G398" i="16"/>
  <c r="H398" i="16" s="1"/>
  <c r="H397" i="16"/>
  <c r="H565" i="16" s="1"/>
  <c r="G397" i="16"/>
  <c r="G396" i="16"/>
  <c r="H396" i="16" s="1"/>
  <c r="F395" i="16"/>
  <c r="E395" i="16"/>
  <c r="F394" i="16"/>
  <c r="E394" i="16"/>
  <c r="G394" i="16" s="1"/>
  <c r="H394" i="16" s="1"/>
  <c r="F393" i="16"/>
  <c r="E393" i="16"/>
  <c r="G393" i="16" s="1"/>
  <c r="H393" i="16" s="1"/>
  <c r="E391" i="16"/>
  <c r="E390" i="16"/>
  <c r="E389" i="16"/>
  <c r="H388" i="16"/>
  <c r="G387" i="16"/>
  <c r="H387" i="16" s="1"/>
  <c r="H386" i="16"/>
  <c r="G386" i="16"/>
  <c r="G385" i="16"/>
  <c r="H385" i="16" s="1"/>
  <c r="G384" i="16"/>
  <c r="H384" i="16" s="1"/>
  <c r="E383" i="16"/>
  <c r="G382" i="16"/>
  <c r="H382" i="16" s="1"/>
  <c r="G381" i="16"/>
  <c r="H381" i="16" s="1"/>
  <c r="G380" i="16"/>
  <c r="H380" i="16" s="1"/>
  <c r="E378" i="16"/>
  <c r="G378" i="16" s="1"/>
  <c r="H378" i="16" s="1"/>
  <c r="F377" i="16"/>
  <c r="E377" i="16"/>
  <c r="G377" i="16" s="1"/>
  <c r="H377" i="16" s="1"/>
  <c r="F376" i="16"/>
  <c r="E376" i="16"/>
  <c r="G376" i="16" s="1"/>
  <c r="H376" i="16" s="1"/>
  <c r="F375" i="16"/>
  <c r="E375" i="16"/>
  <c r="G375" i="16" s="1"/>
  <c r="H375" i="16" s="1"/>
  <c r="H551" i="16" s="1"/>
  <c r="H374" i="16"/>
  <c r="G374" i="16"/>
  <c r="F373" i="16"/>
  <c r="E373" i="16"/>
  <c r="F372" i="16"/>
  <c r="E372" i="16"/>
  <c r="F371" i="16"/>
  <c r="E371" i="16"/>
  <c r="F370" i="16"/>
  <c r="E370" i="16"/>
  <c r="F369" i="16"/>
  <c r="E369" i="16"/>
  <c r="G369" i="16" s="1"/>
  <c r="H369" i="16" s="1"/>
  <c r="F368" i="16"/>
  <c r="E368" i="16"/>
  <c r="F367" i="16"/>
  <c r="F366" i="16"/>
  <c r="E366" i="16"/>
  <c r="F365" i="16"/>
  <c r="E365" i="16"/>
  <c r="F364" i="16"/>
  <c r="E364" i="16"/>
  <c r="F363" i="16"/>
  <c r="E363" i="16"/>
  <c r="F362" i="16"/>
  <c r="E362" i="16"/>
  <c r="G361" i="16"/>
  <c r="H361" i="16" s="1"/>
  <c r="H360" i="16"/>
  <c r="G360" i="16"/>
  <c r="E359" i="16"/>
  <c r="G359" i="16" s="1"/>
  <c r="H359" i="16" s="1"/>
  <c r="E358" i="16"/>
  <c r="G358" i="16" s="1"/>
  <c r="H358" i="16" s="1"/>
  <c r="G357" i="16"/>
  <c r="H357" i="16" s="1"/>
  <c r="E357" i="16"/>
  <c r="E356" i="16"/>
  <c r="G356" i="16" s="1"/>
  <c r="H356" i="16" s="1"/>
  <c r="F355" i="16"/>
  <c r="E355" i="16"/>
  <c r="G355" i="16" s="1"/>
  <c r="H355" i="16" s="1"/>
  <c r="E354" i="16"/>
  <c r="G354" i="16" s="1"/>
  <c r="H354" i="16" s="1"/>
  <c r="G353" i="16"/>
  <c r="H353" i="16" s="1"/>
  <c r="E351" i="16"/>
  <c r="G351" i="16" s="1"/>
  <c r="H351" i="16" s="1"/>
  <c r="E350" i="16"/>
  <c r="E349" i="16"/>
  <c r="F348" i="16"/>
  <c r="F349" i="16" s="1"/>
  <c r="F350" i="16" s="1"/>
  <c r="G350" i="16" s="1"/>
  <c r="H350" i="16" s="1"/>
  <c r="E348" i="16"/>
  <c r="G348" i="16" s="1"/>
  <c r="H348" i="16" s="1"/>
  <c r="G347" i="16"/>
  <c r="H347" i="16" s="1"/>
  <c r="F346" i="16"/>
  <c r="E346" i="16"/>
  <c r="G346" i="16" s="1"/>
  <c r="H346" i="16" s="1"/>
  <c r="E345" i="16"/>
  <c r="F344" i="16"/>
  <c r="F345" i="16" s="1"/>
  <c r="E344" i="16"/>
  <c r="G344" i="16" s="1"/>
  <c r="H344" i="16" s="1"/>
  <c r="F342" i="16"/>
  <c r="E342" i="16"/>
  <c r="G342" i="16" s="1"/>
  <c r="H342" i="16" s="1"/>
  <c r="F341" i="16"/>
  <c r="E341" i="16"/>
  <c r="G341" i="16" s="1"/>
  <c r="H341" i="16" s="1"/>
  <c r="F340" i="16"/>
  <c r="E340" i="16"/>
  <c r="F339" i="16"/>
  <c r="E339" i="16"/>
  <c r="F322" i="16"/>
  <c r="G322" i="16" s="1"/>
  <c r="F321" i="16"/>
  <c r="G321" i="16" s="1"/>
  <c r="F320" i="16"/>
  <c r="G320" i="16" s="1"/>
  <c r="F319" i="16"/>
  <c r="G319" i="16" s="1"/>
  <c r="F318" i="16"/>
  <c r="G318" i="16" s="1"/>
  <c r="F317" i="16"/>
  <c r="G316" i="16"/>
  <c r="G315" i="16"/>
  <c r="G314" i="16"/>
  <c r="G312" i="16"/>
  <c r="F308" i="16"/>
  <c r="G308" i="16" s="1"/>
  <c r="G307" i="16"/>
  <c r="F307" i="16"/>
  <c r="F306" i="16"/>
  <c r="G306" i="16" s="1"/>
  <c r="F305" i="16"/>
  <c r="G305" i="16" s="1"/>
  <c r="F304" i="16"/>
  <c r="G304" i="16" s="1"/>
  <c r="G303" i="16"/>
  <c r="F303" i="16"/>
  <c r="F302" i="16"/>
  <c r="G302" i="16" s="1"/>
  <c r="F301" i="16"/>
  <c r="G301" i="16" s="1"/>
  <c r="F300" i="16"/>
  <c r="G300" i="16" s="1"/>
  <c r="F299" i="16"/>
  <c r="G299" i="16" s="1"/>
  <c r="F298" i="16"/>
  <c r="G297" i="16"/>
  <c r="G296" i="16"/>
  <c r="G295" i="16"/>
  <c r="G294" i="16"/>
  <c r="G292" i="16"/>
  <c r="F281" i="16"/>
  <c r="G281" i="16" s="1"/>
  <c r="F263" i="16"/>
  <c r="G263" i="16" s="1"/>
  <c r="G260" i="16"/>
  <c r="G238" i="16"/>
  <c r="G258" i="16" s="1"/>
  <c r="F226" i="16"/>
  <c r="F234" i="16" s="1"/>
  <c r="G234" i="16" s="1"/>
  <c r="F225" i="16"/>
  <c r="F233" i="16" s="1"/>
  <c r="G233" i="16" s="1"/>
  <c r="F218" i="16"/>
  <c r="G218" i="16" s="1"/>
  <c r="F206" i="16"/>
  <c r="F217" i="16" s="1"/>
  <c r="G217" i="16" s="1"/>
  <c r="G201" i="16"/>
  <c r="G198" i="16"/>
  <c r="F198" i="16"/>
  <c r="G197" i="16"/>
  <c r="E197" i="16"/>
  <c r="F197" i="16" s="1"/>
  <c r="F196" i="16"/>
  <c r="G196" i="16" s="1"/>
  <c r="F195" i="16"/>
  <c r="G195" i="16" s="1"/>
  <c r="F194" i="16"/>
  <c r="G194" i="16" s="1"/>
  <c r="F193" i="16"/>
  <c r="G192" i="16"/>
  <c r="G191" i="16"/>
  <c r="G189" i="16"/>
  <c r="F185" i="16"/>
  <c r="G185" i="16" s="1"/>
  <c r="F184" i="16"/>
  <c r="G184" i="16" s="1"/>
  <c r="E183" i="16"/>
  <c r="F183" i="16" s="1"/>
  <c r="G183" i="16" s="1"/>
  <c r="G182" i="16"/>
  <c r="F182" i="16"/>
  <c r="F181" i="16"/>
  <c r="G181" i="16" s="1"/>
  <c r="F177" i="16"/>
  <c r="G177" i="16" s="1"/>
  <c r="G176" i="16"/>
  <c r="G175" i="16"/>
  <c r="G173" i="16"/>
  <c r="F173" i="16"/>
  <c r="F180" i="16" s="1"/>
  <c r="G180" i="16" s="1"/>
  <c r="F169" i="16"/>
  <c r="G169" i="16" s="1"/>
  <c r="F168" i="16"/>
  <c r="G168" i="16" s="1"/>
  <c r="E167" i="16"/>
  <c r="F167" i="16" s="1"/>
  <c r="G167" i="16" s="1"/>
  <c r="F166" i="16"/>
  <c r="G166" i="16" s="1"/>
  <c r="G165" i="16"/>
  <c r="F165" i="16"/>
  <c r="G162" i="16"/>
  <c r="G161" i="16"/>
  <c r="G160" i="16"/>
  <c r="F158" i="16"/>
  <c r="F154" i="16"/>
  <c r="G154" i="16" s="1"/>
  <c r="G152" i="16"/>
  <c r="F152" i="16"/>
  <c r="E150" i="16"/>
  <c r="F149" i="16"/>
  <c r="G149" i="16" s="1"/>
  <c r="F148" i="16"/>
  <c r="G148" i="16" s="1"/>
  <c r="F147" i="16"/>
  <c r="G146" i="16"/>
  <c r="F145" i="16"/>
  <c r="F153" i="16" s="1"/>
  <c r="G153" i="16" s="1"/>
  <c r="G143" i="16"/>
  <c r="F138" i="16"/>
  <c r="G138" i="16" s="1"/>
  <c r="F137" i="16"/>
  <c r="G137" i="16" s="1"/>
  <c r="F136" i="16"/>
  <c r="G136" i="16" s="1"/>
  <c r="F135" i="16"/>
  <c r="G135" i="16" s="1"/>
  <c r="E135" i="16"/>
  <c r="F133" i="16"/>
  <c r="G133" i="16" s="1"/>
  <c r="G130" i="16"/>
  <c r="F130" i="16"/>
  <c r="G129" i="16"/>
  <c r="G128" i="16"/>
  <c r="G127" i="16"/>
  <c r="F122" i="16"/>
  <c r="G122" i="16" s="1"/>
  <c r="F121" i="16"/>
  <c r="G121" i="16" s="1"/>
  <c r="F120" i="16"/>
  <c r="G120" i="16" s="1"/>
  <c r="F119" i="16"/>
  <c r="E119" i="16"/>
  <c r="G118" i="16"/>
  <c r="F118" i="16"/>
  <c r="G117" i="16"/>
  <c r="F117" i="16"/>
  <c r="F116" i="16"/>
  <c r="G116" i="16" s="1"/>
  <c r="G115" i="16"/>
  <c r="F115" i="16"/>
  <c r="G114" i="16"/>
  <c r="F114" i="16"/>
  <c r="G113" i="16"/>
  <c r="F113" i="16"/>
  <c r="G112" i="16"/>
  <c r="G111" i="16"/>
  <c r="G110" i="16"/>
  <c r="G109" i="16"/>
  <c r="G108" i="16"/>
  <c r="G107" i="16"/>
  <c r="G125" i="16" s="1"/>
  <c r="G142" i="16" s="1"/>
  <c r="F104" i="16"/>
  <c r="G104" i="16" s="1"/>
  <c r="E101" i="16"/>
  <c r="F101" i="16" s="1"/>
  <c r="G101" i="16" s="1"/>
  <c r="G100" i="16"/>
  <c r="F100" i="16"/>
  <c r="F97" i="16"/>
  <c r="G97" i="16" s="1"/>
  <c r="G96" i="16"/>
  <c r="F96" i="16"/>
  <c r="F103" i="16" s="1"/>
  <c r="G103" i="16" s="1"/>
  <c r="G95" i="16"/>
  <c r="G94" i="16"/>
  <c r="G456" i="16" s="1"/>
  <c r="E85" i="16"/>
  <c r="F84" i="16"/>
  <c r="G84" i="16" s="1"/>
  <c r="F81" i="16"/>
  <c r="G81" i="16" s="1"/>
  <c r="F80" i="16"/>
  <c r="F88" i="16" s="1"/>
  <c r="G88" i="16" s="1"/>
  <c r="G79" i="16"/>
  <c r="G78" i="16"/>
  <c r="F71" i="16"/>
  <c r="G71" i="16" s="1"/>
  <c r="G68" i="16"/>
  <c r="F67" i="16"/>
  <c r="G67" i="16" s="1"/>
  <c r="G66" i="16"/>
  <c r="F64" i="16"/>
  <c r="F75" i="16" s="1"/>
  <c r="E60" i="16"/>
  <c r="F59" i="16"/>
  <c r="G59" i="16" s="1"/>
  <c r="G57" i="16"/>
  <c r="F57" i="16"/>
  <c r="E55" i="16"/>
  <c r="F53" i="16"/>
  <c r="G53" i="16" s="1"/>
  <c r="F51" i="16"/>
  <c r="G51" i="16" s="1"/>
  <c r="G50" i="16"/>
  <c r="F49" i="16"/>
  <c r="G49" i="16" s="1"/>
  <c r="G48" i="16"/>
  <c r="F48" i="16"/>
  <c r="G45" i="16"/>
  <c r="F44" i="16"/>
  <c r="G44" i="16" s="1"/>
  <c r="F43" i="16"/>
  <c r="F60" i="16" s="1"/>
  <c r="G60" i="16" s="1"/>
  <c r="G42" i="16"/>
  <c r="G39" i="16"/>
  <c r="G64" i="16" s="1"/>
  <c r="F39" i="16"/>
  <c r="D35" i="16"/>
  <c r="C35" i="16"/>
  <c r="F76" i="16" s="1"/>
  <c r="D34" i="16"/>
  <c r="C33" i="16"/>
  <c r="F328" i="16" s="1"/>
  <c r="C32" i="16"/>
  <c r="F261" i="16" s="1"/>
  <c r="D30" i="16"/>
  <c r="D28" i="16"/>
  <c r="D27" i="16"/>
  <c r="C26" i="16"/>
  <c r="C23" i="16"/>
  <c r="C474" i="16" s="1"/>
  <c r="H474" i="16" s="1"/>
  <c r="I474" i="16" s="1"/>
  <c r="C22" i="16"/>
  <c r="C485" i="16" s="1"/>
  <c r="C21" i="16"/>
  <c r="C20" i="16"/>
  <c r="C19" i="16"/>
  <c r="C466" i="16" s="1"/>
  <c r="H466" i="16" s="1"/>
  <c r="I466" i="16" s="1"/>
  <c r="D18" i="16"/>
  <c r="D17" i="16"/>
  <c r="C16" i="16"/>
  <c r="F282" i="16" s="1"/>
  <c r="G282" i="16" s="1"/>
  <c r="D15" i="16"/>
  <c r="C14" i="16"/>
  <c r="D14" i="16" s="1"/>
  <c r="C463" i="16" s="1"/>
  <c r="D13" i="16"/>
  <c r="C462" i="16" s="1"/>
  <c r="D12" i="16"/>
  <c r="D11" i="16"/>
  <c r="D10" i="16"/>
  <c r="C9" i="16"/>
  <c r="F449" i="16" s="1"/>
  <c r="G449" i="16" s="1"/>
  <c r="H449" i="16" s="1"/>
  <c r="C8" i="16"/>
  <c r="F278" i="16" s="1"/>
  <c r="G278" i="16" s="1"/>
  <c r="C6" i="16"/>
  <c r="C7" i="16" s="1"/>
  <c r="D7" i="16" s="1"/>
  <c r="C5" i="16"/>
  <c r="D5" i="16" s="1"/>
  <c r="C4" i="16"/>
  <c r="D4" i="16" s="1"/>
  <c r="D3" i="16"/>
  <c r="G30" i="3"/>
  <c r="X248" i="1"/>
  <c r="M248" i="1"/>
  <c r="D248" i="1"/>
  <c r="X247" i="1"/>
  <c r="N247" i="1"/>
  <c r="M247" i="1"/>
  <c r="D247" i="1"/>
  <c r="AC258" i="1"/>
  <c r="AI258" i="1" s="1"/>
  <c r="AB258" i="1"/>
  <c r="AH258" i="1" s="1"/>
  <c r="AA258" i="1"/>
  <c r="AG258" i="1" s="1"/>
  <c r="Z258" i="1"/>
  <c r="AF258" i="1" s="1"/>
  <c r="Y258" i="1"/>
  <c r="AE258" i="1" s="1"/>
  <c r="X258" i="1"/>
  <c r="N258" i="1"/>
  <c r="M258" i="1"/>
  <c r="D258" i="1"/>
  <c r="AC253" i="1"/>
  <c r="AI253" i="1" s="1"/>
  <c r="AB253" i="1"/>
  <c r="AH253" i="1" s="1"/>
  <c r="AA253" i="1"/>
  <c r="AG253" i="1" s="1"/>
  <c r="Z253" i="1"/>
  <c r="AF253" i="1" s="1"/>
  <c r="Y253" i="1"/>
  <c r="AE253" i="1" s="1"/>
  <c r="X253" i="1"/>
  <c r="N253" i="1"/>
  <c r="M253" i="1"/>
  <c r="D253" i="1"/>
  <c r="X252" i="1"/>
  <c r="N252" i="1"/>
  <c r="M252" i="1"/>
  <c r="D252" i="1"/>
  <c r="AC251" i="1"/>
  <c r="AI251" i="1" s="1"/>
  <c r="AB251" i="1"/>
  <c r="AH251" i="1" s="1"/>
  <c r="AA251" i="1"/>
  <c r="AG251" i="1" s="1"/>
  <c r="Z251" i="1"/>
  <c r="AF251" i="1" s="1"/>
  <c r="Y251" i="1"/>
  <c r="AE251" i="1" s="1"/>
  <c r="X251" i="1"/>
  <c r="N251" i="1"/>
  <c r="M251" i="1"/>
  <c r="D251" i="1"/>
  <c r="X250" i="1"/>
  <c r="N250" i="1"/>
  <c r="M250" i="1"/>
  <c r="D250" i="1"/>
  <c r="X249" i="1"/>
  <c r="N249" i="1"/>
  <c r="M249" i="1"/>
  <c r="D249" i="1"/>
  <c r="X241" i="1"/>
  <c r="M241" i="1"/>
  <c r="D241" i="1"/>
  <c r="G81" i="3"/>
  <c r="X231" i="1"/>
  <c r="M231" i="1"/>
  <c r="D231" i="1"/>
  <c r="X230" i="1"/>
  <c r="N230" i="1"/>
  <c r="M230" i="1"/>
  <c r="D230" i="1"/>
  <c r="X235" i="1"/>
  <c r="M235" i="1"/>
  <c r="D235" i="1"/>
  <c r="X234" i="1"/>
  <c r="N234" i="1"/>
  <c r="M234" i="1"/>
  <c r="D234" i="1"/>
  <c r="X233" i="1"/>
  <c r="N233" i="1"/>
  <c r="M233" i="1"/>
  <c r="D233" i="1"/>
  <c r="AC227" i="1"/>
  <c r="AI227" i="1" s="1"/>
  <c r="AB227" i="1"/>
  <c r="AH227" i="1" s="1"/>
  <c r="AA227" i="1"/>
  <c r="AG227" i="1" s="1"/>
  <c r="Z227" i="1"/>
  <c r="AF227" i="1" s="1"/>
  <c r="Y227" i="1"/>
  <c r="AE227" i="1" s="1"/>
  <c r="X227" i="1"/>
  <c r="N227" i="1"/>
  <c r="M227" i="1"/>
  <c r="D227" i="1"/>
  <c r="X226" i="1"/>
  <c r="N226" i="1"/>
  <c r="M226" i="1"/>
  <c r="D226" i="1"/>
  <c r="X225" i="1"/>
  <c r="N225" i="1"/>
  <c r="M225" i="1"/>
  <c r="D225" i="1"/>
  <c r="AC224" i="1"/>
  <c r="AI224" i="1" s="1"/>
  <c r="AB224" i="1"/>
  <c r="AH224" i="1" s="1"/>
  <c r="AA224" i="1"/>
  <c r="AG224" i="1" s="1"/>
  <c r="Z224" i="1"/>
  <c r="AF224" i="1" s="1"/>
  <c r="Y224" i="1"/>
  <c r="AE224" i="1" s="1"/>
  <c r="X224" i="1"/>
  <c r="N224" i="1"/>
  <c r="M224" i="1"/>
  <c r="D224" i="1"/>
  <c r="X219" i="1"/>
  <c r="M219" i="1"/>
  <c r="D219" i="1"/>
  <c r="X218" i="1"/>
  <c r="N218" i="1"/>
  <c r="M218" i="1"/>
  <c r="D218" i="1"/>
  <c r="X217" i="1"/>
  <c r="M217" i="1"/>
  <c r="D217" i="1"/>
  <c r="X216" i="1"/>
  <c r="N216" i="1"/>
  <c r="M216" i="1"/>
  <c r="D216" i="1"/>
  <c r="X215" i="1"/>
  <c r="N215" i="1"/>
  <c r="M215" i="1"/>
  <c r="D215" i="1"/>
  <c r="X214" i="1"/>
  <c r="M214" i="1"/>
  <c r="D214" i="1"/>
  <c r="X213" i="1"/>
  <c r="N213" i="1"/>
  <c r="M213" i="1"/>
  <c r="D213" i="1"/>
  <c r="X212" i="1"/>
  <c r="M212" i="1"/>
  <c r="D212" i="1"/>
  <c r="X211" i="1"/>
  <c r="N211" i="1"/>
  <c r="M211" i="1"/>
  <c r="D211" i="1"/>
  <c r="X210" i="1"/>
  <c r="N210" i="1"/>
  <c r="M210" i="1"/>
  <c r="D210" i="1"/>
  <c r="X209" i="1"/>
  <c r="M209" i="1"/>
  <c r="D209" i="1"/>
  <c r="X208" i="1"/>
  <c r="N208" i="1"/>
  <c r="M208" i="1"/>
  <c r="D208" i="1"/>
  <c r="X207" i="1"/>
  <c r="M207" i="1"/>
  <c r="D207" i="1"/>
  <c r="X206" i="1"/>
  <c r="N206" i="1"/>
  <c r="M206" i="1"/>
  <c r="D206" i="1"/>
  <c r="X205" i="1"/>
  <c r="N205" i="1"/>
  <c r="M205" i="1"/>
  <c r="D205" i="1"/>
  <c r="X204" i="1"/>
  <c r="M204" i="1"/>
  <c r="D204" i="1"/>
  <c r="X203" i="1"/>
  <c r="N203" i="1"/>
  <c r="M203" i="1"/>
  <c r="D203" i="1"/>
  <c r="X202" i="1"/>
  <c r="M202" i="1"/>
  <c r="D202" i="1"/>
  <c r="X201" i="1"/>
  <c r="N201" i="1"/>
  <c r="M201" i="1"/>
  <c r="D201" i="1"/>
  <c r="X200" i="1"/>
  <c r="N200" i="1"/>
  <c r="M200" i="1"/>
  <c r="D200" i="1"/>
  <c r="X199" i="1"/>
  <c r="N199" i="1"/>
  <c r="M199" i="1"/>
  <c r="D199" i="1"/>
  <c r="X198" i="1"/>
  <c r="M198" i="1"/>
  <c r="D198" i="1"/>
  <c r="X197" i="1"/>
  <c r="N197" i="1"/>
  <c r="M197" i="1"/>
  <c r="D197" i="1"/>
  <c r="X196" i="1"/>
  <c r="M196" i="1"/>
  <c r="D196" i="1"/>
  <c r="X195" i="1"/>
  <c r="N195" i="1"/>
  <c r="M195" i="1"/>
  <c r="D195" i="1"/>
  <c r="X194" i="1"/>
  <c r="N194" i="1"/>
  <c r="M194" i="1"/>
  <c r="D194" i="1"/>
  <c r="X193" i="1"/>
  <c r="N193" i="1"/>
  <c r="M193" i="1"/>
  <c r="D193" i="1"/>
  <c r="X192" i="1"/>
  <c r="M192" i="1"/>
  <c r="D192" i="1"/>
  <c r="X191" i="1"/>
  <c r="N191" i="1"/>
  <c r="M191" i="1"/>
  <c r="D191" i="1"/>
  <c r="X190" i="1"/>
  <c r="M190" i="1"/>
  <c r="D190" i="1"/>
  <c r="X189" i="1"/>
  <c r="N189" i="1"/>
  <c r="M189" i="1"/>
  <c r="D189" i="1"/>
  <c r="X188" i="1"/>
  <c r="N188" i="1"/>
  <c r="M188" i="1"/>
  <c r="D188" i="1"/>
  <c r="X187" i="1"/>
  <c r="N187" i="1"/>
  <c r="M187" i="1"/>
  <c r="D187" i="1"/>
  <c r="D8" i="16" l="1"/>
  <c r="G206" i="16"/>
  <c r="G370" i="16"/>
  <c r="H370" i="16" s="1"/>
  <c r="G518" i="16"/>
  <c r="H518" i="16" s="1"/>
  <c r="I518" i="16" s="1"/>
  <c r="D9" i="16"/>
  <c r="C476" i="16" s="1"/>
  <c r="H476" i="16" s="1"/>
  <c r="I476" i="16" s="1"/>
  <c r="C24" i="16"/>
  <c r="C475" i="16" s="1"/>
  <c r="H475" i="16" s="1"/>
  <c r="I475" i="16" s="1"/>
  <c r="G371" i="16"/>
  <c r="H371" i="16" s="1"/>
  <c r="G412" i="16"/>
  <c r="H412" i="16" s="1"/>
  <c r="H548" i="16" s="1"/>
  <c r="C25" i="16"/>
  <c r="D25" i="16" s="1"/>
  <c r="F309" i="16"/>
  <c r="D6" i="16"/>
  <c r="F150" i="16"/>
  <c r="G150" i="16" s="1"/>
  <c r="G225" i="16"/>
  <c r="G298" i="16"/>
  <c r="G309" i="16" s="1"/>
  <c r="G368" i="16"/>
  <c r="H368" i="16" s="1"/>
  <c r="G372" i="16"/>
  <c r="H372" i="16" s="1"/>
  <c r="H490" i="16"/>
  <c r="F85" i="16"/>
  <c r="G85" i="16" s="1"/>
  <c r="F123" i="16"/>
  <c r="G340" i="16"/>
  <c r="H340" i="16" s="1"/>
  <c r="G395" i="16"/>
  <c r="H395" i="16" s="1"/>
  <c r="G447" i="16"/>
  <c r="H447" i="16" s="1"/>
  <c r="H493" i="16"/>
  <c r="I493" i="16" s="1"/>
  <c r="H461" i="16"/>
  <c r="I461" i="16" s="1"/>
  <c r="H572" i="16" s="1"/>
  <c r="H472" i="16"/>
  <c r="I472" i="16" s="1"/>
  <c r="G226" i="16"/>
  <c r="G373" i="16"/>
  <c r="H373" i="16" s="1"/>
  <c r="C29" i="16"/>
  <c r="G145" i="16"/>
  <c r="BV602" i="15"/>
  <c r="AW602" i="15"/>
  <c r="BV151" i="15"/>
  <c r="AV283" i="15"/>
  <c r="BV284" i="15"/>
  <c r="G75" i="16"/>
  <c r="G92" i="16"/>
  <c r="G261" i="16"/>
  <c r="F273" i="16"/>
  <c r="G273" i="16" s="1"/>
  <c r="F268" i="16"/>
  <c r="G268" i="16" s="1"/>
  <c r="G291" i="16"/>
  <c r="G325" i="16" s="1"/>
  <c r="G222" i="16" s="1"/>
  <c r="H337" i="16" s="1"/>
  <c r="H408" i="16" s="1"/>
  <c r="I455" i="16" s="1"/>
  <c r="I488" i="16" s="1"/>
  <c r="G277" i="16"/>
  <c r="F333" i="16"/>
  <c r="G333" i="16" s="1"/>
  <c r="G328" i="16"/>
  <c r="F332" i="16"/>
  <c r="G332" i="16" s="1"/>
  <c r="F438" i="16"/>
  <c r="G438" i="16" s="1"/>
  <c r="H438" i="16" s="1"/>
  <c r="F434" i="16"/>
  <c r="F430" i="16"/>
  <c r="F426" i="16"/>
  <c r="F422" i="16"/>
  <c r="F437" i="16"/>
  <c r="G437" i="16" s="1"/>
  <c r="H437" i="16" s="1"/>
  <c r="F439" i="16"/>
  <c r="G439" i="16" s="1"/>
  <c r="H439" i="16" s="1"/>
  <c r="C480" i="16"/>
  <c r="H480" i="16" s="1"/>
  <c r="I480" i="16" s="1"/>
  <c r="H557" i="16" s="1"/>
  <c r="F389" i="16"/>
  <c r="F239" i="16"/>
  <c r="C479" i="16"/>
  <c r="H479" i="16" s="1"/>
  <c r="I479" i="16" s="1"/>
  <c r="H555" i="16" s="1"/>
  <c r="F223" i="16"/>
  <c r="C481" i="16"/>
  <c r="H481" i="16" s="1"/>
  <c r="I481" i="16" s="1"/>
  <c r="F259" i="16"/>
  <c r="F107" i="16"/>
  <c r="F125" i="16" s="1"/>
  <c r="F142" i="16" s="1"/>
  <c r="F157" i="16" s="1"/>
  <c r="D20" i="16"/>
  <c r="D22" i="16"/>
  <c r="D24" i="16"/>
  <c r="D26" i="16"/>
  <c r="D32" i="16"/>
  <c r="C468" i="16"/>
  <c r="G504" i="16" s="1"/>
  <c r="F243" i="16"/>
  <c r="F41" i="16"/>
  <c r="G41" i="16" s="1"/>
  <c r="G43" i="16"/>
  <c r="F56" i="16"/>
  <c r="G56" i="16" s="1"/>
  <c r="F58" i="16"/>
  <c r="G58" i="16" s="1"/>
  <c r="G76" i="16"/>
  <c r="F87" i="16"/>
  <c r="G87" i="16" s="1"/>
  <c r="F89" i="16"/>
  <c r="G89" i="16" s="1"/>
  <c r="F92" i="16"/>
  <c r="F492" i="16"/>
  <c r="H492" i="16" s="1"/>
  <c r="I492" i="16" s="1"/>
  <c r="H456" i="16"/>
  <c r="G119" i="16"/>
  <c r="G147" i="16"/>
  <c r="F163" i="16"/>
  <c r="G158" i="16"/>
  <c r="F164" i="16"/>
  <c r="G164" i="16" s="1"/>
  <c r="F264" i="16"/>
  <c r="G264" i="16" s="1"/>
  <c r="F272" i="16"/>
  <c r="G272" i="16" s="1"/>
  <c r="E367" i="16"/>
  <c r="G367" i="16" s="1"/>
  <c r="H367" i="16" s="1"/>
  <c r="G339" i="16"/>
  <c r="F391" i="16"/>
  <c r="C469" i="16"/>
  <c r="F227" i="16"/>
  <c r="G227" i="16" s="1"/>
  <c r="F207" i="16"/>
  <c r="G207" i="16" s="1"/>
  <c r="F244" i="16"/>
  <c r="G244" i="16" s="1"/>
  <c r="C31" i="16"/>
  <c r="D31" i="16" s="1"/>
  <c r="C477" i="16"/>
  <c r="F241" i="16"/>
  <c r="F202" i="16"/>
  <c r="F65" i="16"/>
  <c r="F77" i="16"/>
  <c r="G77" i="16" s="1"/>
  <c r="F126" i="16"/>
  <c r="F287" i="16"/>
  <c r="G287" i="16" s="1"/>
  <c r="G317" i="16"/>
  <c r="G323" i="16" s="1"/>
  <c r="F323" i="16"/>
  <c r="F421" i="16"/>
  <c r="G421" i="16" s="1"/>
  <c r="H421" i="16" s="1"/>
  <c r="F440" i="16"/>
  <c r="G440" i="16" s="1"/>
  <c r="H440" i="16" s="1"/>
  <c r="F441" i="16"/>
  <c r="G441" i="16" s="1"/>
  <c r="H441" i="16" s="1"/>
  <c r="F425" i="16"/>
  <c r="C482" i="16"/>
  <c r="F326" i="16"/>
  <c r="F82" i="16"/>
  <c r="F390" i="16"/>
  <c r="G390" i="16" s="1"/>
  <c r="H390" i="16" s="1"/>
  <c r="H573" i="16" s="1"/>
  <c r="F205" i="16"/>
  <c r="F329" i="16"/>
  <c r="G329" i="16" s="1"/>
  <c r="D16" i="16"/>
  <c r="D19" i="16"/>
  <c r="D21" i="16"/>
  <c r="D23" i="16"/>
  <c r="D33" i="16"/>
  <c r="C36" i="16"/>
  <c r="F40" i="16"/>
  <c r="F55" i="16" s="1"/>
  <c r="G55" i="16" s="1"/>
  <c r="G80" i="16"/>
  <c r="F86" i="16"/>
  <c r="G86" i="16" s="1"/>
  <c r="N468" i="16" s="1"/>
  <c r="F93" i="16"/>
  <c r="F199" i="16"/>
  <c r="G193" i="16"/>
  <c r="G199" i="16" s="1"/>
  <c r="F262" i="16"/>
  <c r="F270" i="16"/>
  <c r="G270" i="16" s="1"/>
  <c r="F280" i="16"/>
  <c r="F284" i="16"/>
  <c r="G284" i="16" s="1"/>
  <c r="G345" i="16"/>
  <c r="H345" i="16" s="1"/>
  <c r="G349" i="16"/>
  <c r="H349" i="16" s="1"/>
  <c r="F242" i="16"/>
  <c r="F204" i="16"/>
  <c r="G123" i="16"/>
  <c r="F271" i="16"/>
  <c r="G271" i="16" s="1"/>
  <c r="F285" i="16"/>
  <c r="G285" i="16" s="1"/>
  <c r="H462" i="16"/>
  <c r="I462" i="16" s="1"/>
  <c r="H482" i="16"/>
  <c r="I482" i="16" s="1"/>
  <c r="H559" i="16" s="1"/>
  <c r="F179" i="16"/>
  <c r="G179" i="16" s="1"/>
  <c r="F216" i="16"/>
  <c r="G216" i="16" s="1"/>
  <c r="F232" i="16"/>
  <c r="G232" i="16" s="1"/>
  <c r="G362" i="16"/>
  <c r="H362" i="16" s="1"/>
  <c r="G364" i="16"/>
  <c r="H364" i="16" s="1"/>
  <c r="G366" i="16"/>
  <c r="H366" i="16" s="1"/>
  <c r="G391" i="16"/>
  <c r="H391" i="16" s="1"/>
  <c r="H477" i="16"/>
  <c r="I477" i="16" s="1"/>
  <c r="N477" i="16" s="1"/>
  <c r="H561" i="16"/>
  <c r="H411" i="16"/>
  <c r="H549" i="16" s="1"/>
  <c r="H463" i="16"/>
  <c r="I463" i="16" s="1"/>
  <c r="F151" i="16"/>
  <c r="G151" i="16" s="1"/>
  <c r="F178" i="16"/>
  <c r="F215" i="16"/>
  <c r="G215" i="16" s="1"/>
  <c r="F231" i="16"/>
  <c r="G231" i="16" s="1"/>
  <c r="G363" i="16"/>
  <c r="H363" i="16" s="1"/>
  <c r="H556" i="16" s="1"/>
  <c r="G365" i="16"/>
  <c r="H365" i="16" s="1"/>
  <c r="G389" i="16"/>
  <c r="H389" i="16" s="1"/>
  <c r="H504" i="16"/>
  <c r="I504" i="16" s="1"/>
  <c r="O468" i="16" s="1"/>
  <c r="G510" i="16"/>
  <c r="H510" i="16" s="1"/>
  <c r="I510" i="16" s="1"/>
  <c r="H509" i="16"/>
  <c r="I509" i="16" s="1"/>
  <c r="H457" i="16"/>
  <c r="I457" i="16" s="1"/>
  <c r="F443" i="16"/>
  <c r="G443" i="16" s="1"/>
  <c r="H443" i="16" s="1"/>
  <c r="H563" i="16" s="1"/>
  <c r="H468" i="16"/>
  <c r="I468" i="16" s="1"/>
  <c r="G514" i="16"/>
  <c r="H514" i="16" s="1"/>
  <c r="I514" i="16" s="1"/>
  <c r="H513" i="16"/>
  <c r="I513" i="16" s="1"/>
  <c r="G522" i="16"/>
  <c r="H522" i="16" s="1"/>
  <c r="I522" i="16" s="1"/>
  <c r="G497" i="16"/>
  <c r="H497" i="16" s="1"/>
  <c r="I497" i="16" s="1"/>
  <c r="H512" i="16"/>
  <c r="I512" i="16" s="1"/>
  <c r="H517" i="16"/>
  <c r="I517" i="16" s="1"/>
  <c r="H485" i="16"/>
  <c r="I485" i="16" s="1"/>
  <c r="I490" i="16"/>
  <c r="G502" i="16"/>
  <c r="H502" i="16" s="1"/>
  <c r="I502" i="16" s="1"/>
  <c r="G521" i="16"/>
  <c r="H521" i="16" s="1"/>
  <c r="I521" i="16" s="1"/>
  <c r="AJ258" i="1"/>
  <c r="AD258" i="1"/>
  <c r="AJ253" i="1"/>
  <c r="AD253" i="1"/>
  <c r="AJ251" i="1"/>
  <c r="AD251" i="1"/>
  <c r="AJ227" i="1"/>
  <c r="AD227" i="1"/>
  <c r="AJ224" i="1"/>
  <c r="AD224" i="1"/>
  <c r="AO314" i="15"/>
  <c r="G26" i="3"/>
  <c r="X176" i="1"/>
  <c r="M176" i="1"/>
  <c r="D176" i="1"/>
  <c r="X175" i="1"/>
  <c r="M175" i="1"/>
  <c r="D175" i="1"/>
  <c r="BE602" i="15"/>
  <c r="BF602" i="15" s="1"/>
  <c r="BG602" i="15"/>
  <c r="BC602" i="15"/>
  <c r="BD602" i="15" s="1"/>
  <c r="H558" i="16" l="1"/>
  <c r="F83" i="16"/>
  <c r="G83" i="16" s="1"/>
  <c r="AO283" i="15"/>
  <c r="AP314" i="15"/>
  <c r="BV283" i="15"/>
  <c r="AW283" i="15"/>
  <c r="AV6" i="15"/>
  <c r="F102" i="16"/>
  <c r="G102" i="16" s="1"/>
  <c r="F98" i="16"/>
  <c r="F99" i="16"/>
  <c r="G99" i="16" s="1"/>
  <c r="G93" i="16"/>
  <c r="F383" i="16"/>
  <c r="G383" i="16" s="1"/>
  <c r="H383" i="16" s="1"/>
  <c r="H571" i="16" s="1"/>
  <c r="D36" i="16"/>
  <c r="F433" i="16"/>
  <c r="G433" i="16" s="1"/>
  <c r="H433" i="16" s="1"/>
  <c r="F429" i="16"/>
  <c r="G429" i="16" s="1"/>
  <c r="H429" i="16" s="1"/>
  <c r="G425" i="16"/>
  <c r="H425" i="16" s="1"/>
  <c r="F131" i="16"/>
  <c r="F134" i="16"/>
  <c r="G134" i="16" s="1"/>
  <c r="F132" i="16"/>
  <c r="G132" i="16" s="1"/>
  <c r="G126" i="16"/>
  <c r="F139" i="16"/>
  <c r="G139" i="16" s="1"/>
  <c r="F251" i="16"/>
  <c r="G251" i="16" s="1"/>
  <c r="F249" i="16"/>
  <c r="G249" i="16" s="1"/>
  <c r="G241" i="16"/>
  <c r="G155" i="16"/>
  <c r="F201" i="16"/>
  <c r="F238" i="16" s="1"/>
  <c r="F258" i="16" s="1"/>
  <c r="F277" i="16" s="1"/>
  <c r="F291" i="16" s="1"/>
  <c r="F172" i="16"/>
  <c r="F188" i="16" s="1"/>
  <c r="F431" i="16"/>
  <c r="G430" i="16"/>
  <c r="H430" i="16" s="1"/>
  <c r="G262" i="16"/>
  <c r="F274" i="16"/>
  <c r="G274" i="16" s="1"/>
  <c r="F269" i="16"/>
  <c r="G269" i="16" s="1"/>
  <c r="F90" i="16"/>
  <c r="G82" i="16"/>
  <c r="G90" i="16" s="1"/>
  <c r="G405" i="16"/>
  <c r="H339" i="16"/>
  <c r="F155" i="16"/>
  <c r="F253" i="16"/>
  <c r="G253" i="16" s="1"/>
  <c r="F254" i="16"/>
  <c r="G254" i="16" s="1"/>
  <c r="F252" i="16"/>
  <c r="G252" i="16" s="1"/>
  <c r="G243" i="16"/>
  <c r="F267" i="16"/>
  <c r="G267" i="16" s="1"/>
  <c r="G259" i="16"/>
  <c r="F266" i="16"/>
  <c r="G266" i="16" s="1"/>
  <c r="F265" i="16"/>
  <c r="F255" i="16"/>
  <c r="G255" i="16" s="1"/>
  <c r="F247" i="16"/>
  <c r="G247" i="16" s="1"/>
  <c r="F245" i="16"/>
  <c r="F246" i="16"/>
  <c r="G246" i="16" s="1"/>
  <c r="G239" i="16"/>
  <c r="F435" i="16"/>
  <c r="G434" i="16"/>
  <c r="H434" i="16" s="1"/>
  <c r="G499" i="16"/>
  <c r="H499" i="16" s="1"/>
  <c r="I499" i="16" s="1"/>
  <c r="G498" i="16"/>
  <c r="H498" i="16" s="1"/>
  <c r="I498" i="16" s="1"/>
  <c r="F213" i="16"/>
  <c r="G213" i="16" s="1"/>
  <c r="F211" i="16"/>
  <c r="G211" i="16" s="1"/>
  <c r="H552" i="16" s="1"/>
  <c r="G204" i="16"/>
  <c r="G326" i="16"/>
  <c r="F331" i="16"/>
  <c r="G331" i="16" s="1"/>
  <c r="F330" i="16"/>
  <c r="F69" i="16"/>
  <c r="G65" i="16"/>
  <c r="F72" i="16"/>
  <c r="G72" i="16" s="1"/>
  <c r="F70" i="16"/>
  <c r="G70" i="16" s="1"/>
  <c r="G505" i="16"/>
  <c r="H505" i="16" s="1"/>
  <c r="I505" i="16" s="1"/>
  <c r="H469" i="16"/>
  <c r="I469" i="16" s="1"/>
  <c r="F424" i="16"/>
  <c r="G424" i="16" s="1"/>
  <c r="H424" i="16" s="1"/>
  <c r="G422" i="16"/>
  <c r="F423" i="16"/>
  <c r="G423" i="16" s="1"/>
  <c r="H423" i="16" s="1"/>
  <c r="P468" i="16"/>
  <c r="G178" i="16"/>
  <c r="G186" i="16" s="1"/>
  <c r="F186" i="16"/>
  <c r="F250" i="16"/>
  <c r="G250" i="16" s="1"/>
  <c r="F248" i="16"/>
  <c r="G248" i="16" s="1"/>
  <c r="G242" i="16"/>
  <c r="G280" i="16"/>
  <c r="F288" i="16"/>
  <c r="G288" i="16" s="1"/>
  <c r="F286" i="16"/>
  <c r="G286" i="16" s="1"/>
  <c r="G40" i="16"/>
  <c r="F47" i="16"/>
  <c r="G47" i="16" s="1"/>
  <c r="F46" i="16"/>
  <c r="F61" i="16"/>
  <c r="G61" i="16" s="1"/>
  <c r="F54" i="16"/>
  <c r="G54" i="16" s="1"/>
  <c r="F52" i="16"/>
  <c r="G52" i="16" s="1"/>
  <c r="F214" i="16"/>
  <c r="G214" i="16" s="1"/>
  <c r="F212" i="16"/>
  <c r="G212" i="16" s="1"/>
  <c r="G205" i="16"/>
  <c r="F283" i="16"/>
  <c r="F219" i="16"/>
  <c r="G219" i="16" s="1"/>
  <c r="F209" i="16"/>
  <c r="G209" i="16" s="1"/>
  <c r="F210" i="16"/>
  <c r="G210" i="16" s="1"/>
  <c r="F208" i="16"/>
  <c r="G202" i="16"/>
  <c r="F170" i="16"/>
  <c r="G163" i="16"/>
  <c r="G170" i="16" s="1"/>
  <c r="I456" i="16"/>
  <c r="H486" i="16"/>
  <c r="F235" i="16"/>
  <c r="G235" i="16" s="1"/>
  <c r="F229" i="16"/>
  <c r="G229" i="16" s="1"/>
  <c r="F230" i="16"/>
  <c r="G230" i="16" s="1"/>
  <c r="F228" i="16"/>
  <c r="G223" i="16"/>
  <c r="F428" i="16"/>
  <c r="G428" i="16" s="1"/>
  <c r="H428" i="16" s="1"/>
  <c r="G426" i="16"/>
  <c r="H426" i="16" s="1"/>
  <c r="F427" i="16"/>
  <c r="G427" i="16" s="1"/>
  <c r="H427" i="16" s="1"/>
  <c r="N176" i="1"/>
  <c r="I537" i="16" l="1"/>
  <c r="AO6" i="15"/>
  <c r="AP283" i="15"/>
  <c r="BV6" i="15"/>
  <c r="AW6" i="15"/>
  <c r="O13" i="1"/>
  <c r="O24" i="1"/>
  <c r="F62" i="16"/>
  <c r="G46" i="16"/>
  <c r="F73" i="16"/>
  <c r="G69" i="16"/>
  <c r="G73" i="16" s="1"/>
  <c r="I486" i="16"/>
  <c r="H562" i="16"/>
  <c r="G283" i="16"/>
  <c r="G289" i="16" s="1"/>
  <c r="F289" i="16"/>
  <c r="G265" i="16"/>
  <c r="G275" i="16" s="1"/>
  <c r="F275" i="16"/>
  <c r="H537" i="16"/>
  <c r="F256" i="16"/>
  <c r="G245" i="16"/>
  <c r="G256" i="16" s="1"/>
  <c r="H405" i="16"/>
  <c r="H547" i="16"/>
  <c r="F140" i="16"/>
  <c r="G131" i="16"/>
  <c r="G140" i="16" s="1"/>
  <c r="G98" i="16"/>
  <c r="G105" i="16" s="1"/>
  <c r="F105" i="16"/>
  <c r="F236" i="16"/>
  <c r="G228" i="16"/>
  <c r="G236" i="16" s="1"/>
  <c r="F220" i="16"/>
  <c r="G208" i="16"/>
  <c r="G220" i="16" s="1"/>
  <c r="H422" i="16"/>
  <c r="G330" i="16"/>
  <c r="G334" i="16" s="1"/>
  <c r="F334" i="16"/>
  <c r="F311" i="16"/>
  <c r="F325" i="16"/>
  <c r="G435" i="16"/>
  <c r="H435" i="16" s="1"/>
  <c r="F436" i="16"/>
  <c r="G436" i="16" s="1"/>
  <c r="H436" i="16" s="1"/>
  <c r="G431" i="16"/>
  <c r="H431" i="16" s="1"/>
  <c r="F432" i="16"/>
  <c r="G432" i="16" s="1"/>
  <c r="H432" i="16" s="1"/>
  <c r="O166" i="1" l="1"/>
  <c r="O170" i="1"/>
  <c r="AP6" i="15"/>
  <c r="O167" i="1"/>
  <c r="H553" i="16"/>
  <c r="H575" i="16" s="1"/>
  <c r="G62" i="16"/>
  <c r="H451" i="16"/>
  <c r="H554" i="16"/>
  <c r="F222" i="16"/>
  <c r="F337" i="16"/>
  <c r="F408" i="16" s="1"/>
  <c r="H455" i="16" s="1"/>
  <c r="H488" i="16" s="1"/>
  <c r="H542" i="16" s="1"/>
  <c r="G451" i="16"/>
  <c r="H540" i="16" s="1"/>
  <c r="H541" i="16" s="1"/>
  <c r="Y898" i="15"/>
  <c r="AA898" i="15" s="1"/>
  <c r="AB898" i="15" s="1"/>
  <c r="U898" i="15"/>
  <c r="Y897" i="15"/>
  <c r="AA897" i="15" s="1"/>
  <c r="AB897" i="15" s="1"/>
  <c r="U897" i="15"/>
  <c r="Y896" i="15"/>
  <c r="AA896" i="15" s="1"/>
  <c r="AB896" i="15" s="1"/>
  <c r="U896" i="15"/>
  <c r="Y895" i="15"/>
  <c r="AA895" i="15" s="1"/>
  <c r="AB895" i="15" s="1"/>
  <c r="U895" i="15"/>
  <c r="Y894" i="15"/>
  <c r="AA894" i="15" s="1"/>
  <c r="AB894" i="15" s="1"/>
  <c r="U894" i="15"/>
  <c r="Y893" i="15"/>
  <c r="AA893" i="15" s="1"/>
  <c r="AB893" i="15" s="1"/>
  <c r="U893" i="15"/>
  <c r="Y892" i="15"/>
  <c r="AA892" i="15" s="1"/>
  <c r="AB892" i="15" s="1"/>
  <c r="U892" i="15"/>
  <c r="Y891" i="15"/>
  <c r="AA891" i="15" s="1"/>
  <c r="AB891" i="15" s="1"/>
  <c r="U891" i="15"/>
  <c r="Y890" i="15"/>
  <c r="AA890" i="15" s="1"/>
  <c r="AB890" i="15" s="1"/>
  <c r="U890" i="15"/>
  <c r="Y889" i="15"/>
  <c r="AA889" i="15" s="1"/>
  <c r="AB889" i="15" s="1"/>
  <c r="U889" i="15"/>
  <c r="Y888" i="15"/>
  <c r="AA888" i="15" s="1"/>
  <c r="AB888" i="15" s="1"/>
  <c r="U888" i="15"/>
  <c r="Y887" i="15"/>
  <c r="AA887" i="15" s="1"/>
  <c r="AB887" i="15" s="1"/>
  <c r="U887" i="15"/>
  <c r="Y886" i="15"/>
  <c r="AA886" i="15" s="1"/>
  <c r="AB886" i="15" s="1"/>
  <c r="U886" i="15"/>
  <c r="Y885" i="15"/>
  <c r="AA885" i="15" s="1"/>
  <c r="AB885" i="15" s="1"/>
  <c r="U885" i="15"/>
  <c r="Y884" i="15"/>
  <c r="AA884" i="15" s="1"/>
  <c r="AB884" i="15" s="1"/>
  <c r="U884" i="15"/>
  <c r="Y883" i="15"/>
  <c r="AA883" i="15" s="1"/>
  <c r="AB883" i="15" s="1"/>
  <c r="U883" i="15"/>
  <c r="Y882" i="15"/>
  <c r="AA882" i="15" s="1"/>
  <c r="AB882" i="15" s="1"/>
  <c r="U882" i="15"/>
  <c r="Y881" i="15"/>
  <c r="AA881" i="15" s="1"/>
  <c r="AB881" i="15" s="1"/>
  <c r="U881" i="15"/>
  <c r="Y880" i="15"/>
  <c r="AA880" i="15" s="1"/>
  <c r="AB880" i="15" s="1"/>
  <c r="U880" i="15"/>
  <c r="Y879" i="15"/>
  <c r="AA879" i="15" s="1"/>
  <c r="AB879" i="15" s="1"/>
  <c r="U879" i="15"/>
  <c r="Y878" i="15"/>
  <c r="AA878" i="15" s="1"/>
  <c r="AB878" i="15" s="1"/>
  <c r="U878" i="15"/>
  <c r="Y877" i="15"/>
  <c r="AA877" i="15" s="1"/>
  <c r="AB877" i="15" s="1"/>
  <c r="U877" i="15"/>
  <c r="Y876" i="15"/>
  <c r="AA876" i="15" s="1"/>
  <c r="AB876" i="15" s="1"/>
  <c r="U876" i="15"/>
  <c r="Y875" i="15"/>
  <c r="AA875" i="15" s="1"/>
  <c r="AB875" i="15" s="1"/>
  <c r="U875" i="15"/>
  <c r="Y874" i="15"/>
  <c r="AA874" i="15" s="1"/>
  <c r="AB874" i="15" s="1"/>
  <c r="U874" i="15"/>
  <c r="Y873" i="15"/>
  <c r="AA873" i="15" s="1"/>
  <c r="AB873" i="15" s="1"/>
  <c r="U873" i="15"/>
  <c r="Y872" i="15"/>
  <c r="AA872" i="15" s="1"/>
  <c r="AB872" i="15" s="1"/>
  <c r="U872" i="15"/>
  <c r="Y871" i="15"/>
  <c r="AA871" i="15" s="1"/>
  <c r="AB871" i="15" s="1"/>
  <c r="U871" i="15"/>
  <c r="Y870" i="15"/>
  <c r="AA870" i="15" s="1"/>
  <c r="AB870" i="15" s="1"/>
  <c r="U870" i="15"/>
  <c r="Y869" i="15"/>
  <c r="AA869" i="15" s="1"/>
  <c r="AB869" i="15" s="1"/>
  <c r="U869" i="15"/>
  <c r="Y868" i="15"/>
  <c r="AA868" i="15" s="1"/>
  <c r="AB868" i="15" s="1"/>
  <c r="U868" i="15"/>
  <c r="Y867" i="15"/>
  <c r="AA867" i="15" s="1"/>
  <c r="AB867" i="15" s="1"/>
  <c r="U867" i="15"/>
  <c r="Y866" i="15"/>
  <c r="AA866" i="15" s="1"/>
  <c r="AB866" i="15" s="1"/>
  <c r="U866" i="15"/>
  <c r="Y864" i="15"/>
  <c r="AA864" i="15" s="1"/>
  <c r="W864" i="15"/>
  <c r="T864" i="15"/>
  <c r="S864" i="15"/>
  <c r="R864" i="15"/>
  <c r="Q864" i="15"/>
  <c r="P864" i="15"/>
  <c r="O864" i="15"/>
  <c r="N864" i="15"/>
  <c r="M864" i="15"/>
  <c r="L864" i="15"/>
  <c r="K864" i="15"/>
  <c r="J864" i="15"/>
  <c r="I864" i="15"/>
  <c r="H864" i="15"/>
  <c r="G864" i="15"/>
  <c r="F864" i="15"/>
  <c r="E864" i="15"/>
  <c r="D864" i="15"/>
  <c r="C864" i="15"/>
  <c r="Y862" i="15"/>
  <c r="AA862" i="15" s="1"/>
  <c r="AB862" i="15" s="1"/>
  <c r="U862" i="15"/>
  <c r="Y861" i="15"/>
  <c r="AA861" i="15" s="1"/>
  <c r="AB861" i="15" s="1"/>
  <c r="U861" i="15"/>
  <c r="Y860" i="15"/>
  <c r="AA860" i="15" s="1"/>
  <c r="AB860" i="15" s="1"/>
  <c r="U860" i="15"/>
  <c r="Y859" i="15"/>
  <c r="AA859" i="15" s="1"/>
  <c r="AB859" i="15" s="1"/>
  <c r="U859" i="15"/>
  <c r="Y858" i="15"/>
  <c r="AA858" i="15" s="1"/>
  <c r="AB858" i="15" s="1"/>
  <c r="U858" i="15"/>
  <c r="Y857" i="15"/>
  <c r="AA857" i="15" s="1"/>
  <c r="AB857" i="15" s="1"/>
  <c r="U857" i="15"/>
  <c r="Y856" i="15"/>
  <c r="AA856" i="15" s="1"/>
  <c r="AB856" i="15" s="1"/>
  <c r="U856" i="15"/>
  <c r="Y855" i="15"/>
  <c r="AA855" i="15" s="1"/>
  <c r="AB855" i="15" s="1"/>
  <c r="U855" i="15"/>
  <c r="Y854" i="15"/>
  <c r="AA854" i="15" s="1"/>
  <c r="AB854" i="15" s="1"/>
  <c r="U854" i="15"/>
  <c r="Y853" i="15"/>
  <c r="AA853" i="15" s="1"/>
  <c r="AB853" i="15" s="1"/>
  <c r="U853" i="15"/>
  <c r="Y852" i="15"/>
  <c r="AA852" i="15" s="1"/>
  <c r="AB852" i="15" s="1"/>
  <c r="U852" i="15"/>
  <c r="Y851" i="15"/>
  <c r="AA851" i="15" s="1"/>
  <c r="AB851" i="15" s="1"/>
  <c r="U851" i="15"/>
  <c r="Y850" i="15"/>
  <c r="AA850" i="15" s="1"/>
  <c r="AB850" i="15" s="1"/>
  <c r="U850" i="15"/>
  <c r="Y849" i="15"/>
  <c r="AA849" i="15" s="1"/>
  <c r="AB849" i="15" s="1"/>
  <c r="U849" i="15"/>
  <c r="Y848" i="15"/>
  <c r="AA848" i="15" s="1"/>
  <c r="AB848" i="15" s="1"/>
  <c r="U848" i="15"/>
  <c r="Y847" i="15"/>
  <c r="AA847" i="15" s="1"/>
  <c r="AB847" i="15" s="1"/>
  <c r="U847" i="15"/>
  <c r="Y846" i="15"/>
  <c r="AA846" i="15" s="1"/>
  <c r="AB846" i="15" s="1"/>
  <c r="U846" i="15"/>
  <c r="Y845" i="15"/>
  <c r="AA845" i="15" s="1"/>
  <c r="AB845" i="15" s="1"/>
  <c r="U845" i="15"/>
  <c r="Y844" i="15"/>
  <c r="AA844" i="15" s="1"/>
  <c r="AB844" i="15" s="1"/>
  <c r="U844" i="15"/>
  <c r="Y843" i="15"/>
  <c r="AA843" i="15" s="1"/>
  <c r="AB843" i="15" s="1"/>
  <c r="U843" i="15"/>
  <c r="Y842" i="15"/>
  <c r="AA842" i="15" s="1"/>
  <c r="AB842" i="15" s="1"/>
  <c r="U842" i="15"/>
  <c r="Y841" i="15"/>
  <c r="AA841" i="15" s="1"/>
  <c r="AB841" i="15" s="1"/>
  <c r="U841" i="15"/>
  <c r="Y840" i="15"/>
  <c r="AA840" i="15" s="1"/>
  <c r="AB840" i="15" s="1"/>
  <c r="U840" i="15"/>
  <c r="Y839" i="15"/>
  <c r="AA839" i="15" s="1"/>
  <c r="AB839" i="15" s="1"/>
  <c r="U839" i="15"/>
  <c r="Y838" i="15"/>
  <c r="AA838" i="15" s="1"/>
  <c r="AB838" i="15" s="1"/>
  <c r="U838" i="15"/>
  <c r="Y837" i="15"/>
  <c r="AA837" i="15" s="1"/>
  <c r="AB837" i="15" s="1"/>
  <c r="U837" i="15"/>
  <c r="Y836" i="15"/>
  <c r="AA836" i="15" s="1"/>
  <c r="AB836" i="15" s="1"/>
  <c r="U836" i="15"/>
  <c r="Y835" i="15"/>
  <c r="AA835" i="15" s="1"/>
  <c r="AB835" i="15" s="1"/>
  <c r="U835" i="15"/>
  <c r="Y834" i="15"/>
  <c r="AA834" i="15" s="1"/>
  <c r="AB834" i="15" s="1"/>
  <c r="U834" i="15"/>
  <c r="Y833" i="15"/>
  <c r="AA833" i="15" s="1"/>
  <c r="AB833" i="15" s="1"/>
  <c r="U833" i="15"/>
  <c r="Y831" i="15"/>
  <c r="AA831" i="15" s="1"/>
  <c r="W831" i="15"/>
  <c r="T831" i="15"/>
  <c r="S831" i="15"/>
  <c r="R831" i="15"/>
  <c r="Q831" i="15"/>
  <c r="P831" i="15"/>
  <c r="O831" i="15"/>
  <c r="N831" i="15"/>
  <c r="M831" i="15"/>
  <c r="L831" i="15"/>
  <c r="K831" i="15"/>
  <c r="J831" i="15"/>
  <c r="I831" i="15"/>
  <c r="H831" i="15"/>
  <c r="G831" i="15"/>
  <c r="F831" i="15"/>
  <c r="E831" i="15"/>
  <c r="D831" i="15"/>
  <c r="C831" i="15"/>
  <c r="Y829" i="15"/>
  <c r="AA829" i="15" s="1"/>
  <c r="AB829" i="15" s="1"/>
  <c r="U829" i="15"/>
  <c r="Y828" i="15"/>
  <c r="AA828" i="15" s="1"/>
  <c r="AB828" i="15" s="1"/>
  <c r="U828" i="15"/>
  <c r="Y827" i="15"/>
  <c r="AA827" i="15" s="1"/>
  <c r="AB827" i="15" s="1"/>
  <c r="U827" i="15"/>
  <c r="Y826" i="15"/>
  <c r="AA826" i="15" s="1"/>
  <c r="AB826" i="15" s="1"/>
  <c r="U826" i="15"/>
  <c r="Y825" i="15"/>
  <c r="AA825" i="15" s="1"/>
  <c r="AB825" i="15" s="1"/>
  <c r="U825" i="15"/>
  <c r="Y824" i="15"/>
  <c r="AA824" i="15" s="1"/>
  <c r="AB824" i="15" s="1"/>
  <c r="U824" i="15"/>
  <c r="Y823" i="15"/>
  <c r="AA823" i="15" s="1"/>
  <c r="AB823" i="15" s="1"/>
  <c r="U823" i="15"/>
  <c r="Y822" i="15"/>
  <c r="AA822" i="15" s="1"/>
  <c r="AB822" i="15" s="1"/>
  <c r="U822" i="15"/>
  <c r="Y821" i="15"/>
  <c r="AA821" i="15" s="1"/>
  <c r="AB821" i="15" s="1"/>
  <c r="U821" i="15"/>
  <c r="Y820" i="15"/>
  <c r="AA820" i="15" s="1"/>
  <c r="AB820" i="15" s="1"/>
  <c r="U820" i="15"/>
  <c r="Y819" i="15"/>
  <c r="AA819" i="15" s="1"/>
  <c r="AB819" i="15" s="1"/>
  <c r="U819" i="15"/>
  <c r="Y818" i="15"/>
  <c r="AA818" i="15" s="1"/>
  <c r="AB818" i="15" s="1"/>
  <c r="U818" i="15"/>
  <c r="Y817" i="15"/>
  <c r="AA817" i="15" s="1"/>
  <c r="AB817" i="15" s="1"/>
  <c r="U817" i="15"/>
  <c r="Y816" i="15"/>
  <c r="AA816" i="15" s="1"/>
  <c r="AB816" i="15" s="1"/>
  <c r="U816" i="15"/>
  <c r="Y815" i="15"/>
  <c r="AA815" i="15" s="1"/>
  <c r="AB815" i="15" s="1"/>
  <c r="U815" i="15"/>
  <c r="Y814" i="15"/>
  <c r="AA814" i="15" s="1"/>
  <c r="AB814" i="15" s="1"/>
  <c r="U814" i="15"/>
  <c r="Y813" i="15"/>
  <c r="AA813" i="15" s="1"/>
  <c r="AB813" i="15" s="1"/>
  <c r="U813" i="15"/>
  <c r="Y812" i="15"/>
  <c r="AA812" i="15" s="1"/>
  <c r="AB812" i="15" s="1"/>
  <c r="U812" i="15"/>
  <c r="Y810" i="15"/>
  <c r="AA810" i="15" s="1"/>
  <c r="W810" i="15"/>
  <c r="T810" i="15"/>
  <c r="S810" i="15"/>
  <c r="R810" i="15"/>
  <c r="Q810" i="15"/>
  <c r="P810" i="15"/>
  <c r="O810" i="15"/>
  <c r="N810" i="15"/>
  <c r="M810" i="15"/>
  <c r="L810" i="15"/>
  <c r="K810" i="15"/>
  <c r="J810" i="15"/>
  <c r="I810" i="15"/>
  <c r="H810" i="15"/>
  <c r="G810" i="15"/>
  <c r="F810" i="15"/>
  <c r="E810" i="15"/>
  <c r="D810" i="15"/>
  <c r="C810" i="15"/>
  <c r="Y808" i="15"/>
  <c r="AA808" i="15" s="1"/>
  <c r="AB808" i="15" s="1"/>
  <c r="U808" i="15"/>
  <c r="Y807" i="15"/>
  <c r="AA807" i="15" s="1"/>
  <c r="AB807" i="15" s="1"/>
  <c r="U807" i="15"/>
  <c r="Y806" i="15"/>
  <c r="AA806" i="15" s="1"/>
  <c r="AB806" i="15" s="1"/>
  <c r="U806" i="15"/>
  <c r="Y805" i="15"/>
  <c r="AA805" i="15" s="1"/>
  <c r="AB805" i="15" s="1"/>
  <c r="U805" i="15"/>
  <c r="Y804" i="15"/>
  <c r="AA804" i="15" s="1"/>
  <c r="AB804" i="15" s="1"/>
  <c r="U804" i="15"/>
  <c r="Y803" i="15"/>
  <c r="AA803" i="15" s="1"/>
  <c r="AB803" i="15" s="1"/>
  <c r="U803" i="15"/>
  <c r="Y802" i="15"/>
  <c r="AA802" i="15" s="1"/>
  <c r="AB802" i="15" s="1"/>
  <c r="U802" i="15"/>
  <c r="Y801" i="15"/>
  <c r="AA801" i="15" s="1"/>
  <c r="AB801" i="15" s="1"/>
  <c r="U801" i="15"/>
  <c r="Y800" i="15"/>
  <c r="AA800" i="15" s="1"/>
  <c r="AB800" i="15" s="1"/>
  <c r="U800" i="15"/>
  <c r="Y799" i="15"/>
  <c r="AA799" i="15" s="1"/>
  <c r="AB799" i="15" s="1"/>
  <c r="U799" i="15"/>
  <c r="Y798" i="15"/>
  <c r="AA798" i="15" s="1"/>
  <c r="AB798" i="15" s="1"/>
  <c r="U798" i="15"/>
  <c r="Y797" i="15"/>
  <c r="AA797" i="15" s="1"/>
  <c r="AB797" i="15" s="1"/>
  <c r="U797" i="15"/>
  <c r="Y796" i="15"/>
  <c r="AA796" i="15" s="1"/>
  <c r="AB796" i="15" s="1"/>
  <c r="U796" i="15"/>
  <c r="Y795" i="15"/>
  <c r="AA795" i="15" s="1"/>
  <c r="AB795" i="15" s="1"/>
  <c r="U795" i="15"/>
  <c r="Y794" i="15"/>
  <c r="AA794" i="15" s="1"/>
  <c r="AB794" i="15" s="1"/>
  <c r="U794" i="15"/>
  <c r="Y793" i="15"/>
  <c r="AA793" i="15" s="1"/>
  <c r="AB793" i="15" s="1"/>
  <c r="U793" i="15"/>
  <c r="Y792" i="15"/>
  <c r="AA792" i="15" s="1"/>
  <c r="AB792" i="15" s="1"/>
  <c r="U792" i="15"/>
  <c r="Y791" i="15"/>
  <c r="AA791" i="15" s="1"/>
  <c r="AB791" i="15" s="1"/>
  <c r="U791" i="15"/>
  <c r="Y790" i="15"/>
  <c r="AA790" i="15" s="1"/>
  <c r="AB790" i="15" s="1"/>
  <c r="U790" i="15"/>
  <c r="Y789" i="15"/>
  <c r="AA789" i="15" s="1"/>
  <c r="AB789" i="15" s="1"/>
  <c r="U789" i="15"/>
  <c r="Y787" i="15"/>
  <c r="AA787" i="15" s="1"/>
  <c r="W787" i="15"/>
  <c r="T787" i="15"/>
  <c r="S787" i="15"/>
  <c r="R787" i="15"/>
  <c r="Q787" i="15"/>
  <c r="P787" i="15"/>
  <c r="O787" i="15"/>
  <c r="N787" i="15"/>
  <c r="M787" i="15"/>
  <c r="L787" i="15"/>
  <c r="K787" i="15"/>
  <c r="J787" i="15"/>
  <c r="I787" i="15"/>
  <c r="H787" i="15"/>
  <c r="G787" i="15"/>
  <c r="F787" i="15"/>
  <c r="E787" i="15"/>
  <c r="D787" i="15"/>
  <c r="C787" i="15"/>
  <c r="Y785" i="15"/>
  <c r="AA785" i="15" s="1"/>
  <c r="AB785" i="15" s="1"/>
  <c r="U785" i="15"/>
  <c r="Y784" i="15"/>
  <c r="AA784" i="15" s="1"/>
  <c r="AB784" i="15" s="1"/>
  <c r="U784" i="15"/>
  <c r="Y783" i="15"/>
  <c r="AA783" i="15" s="1"/>
  <c r="AB783" i="15" s="1"/>
  <c r="U783" i="15"/>
  <c r="Y782" i="15"/>
  <c r="AA782" i="15" s="1"/>
  <c r="AB782" i="15" s="1"/>
  <c r="U782" i="15"/>
  <c r="Y781" i="15"/>
  <c r="AA781" i="15" s="1"/>
  <c r="AB781" i="15" s="1"/>
  <c r="U781" i="15"/>
  <c r="Y780" i="15"/>
  <c r="AA780" i="15" s="1"/>
  <c r="AB780" i="15" s="1"/>
  <c r="U780" i="15"/>
  <c r="Y779" i="15"/>
  <c r="AA779" i="15" s="1"/>
  <c r="AB779" i="15" s="1"/>
  <c r="U779" i="15"/>
  <c r="Y778" i="15"/>
  <c r="AA778" i="15" s="1"/>
  <c r="AB778" i="15" s="1"/>
  <c r="U778" i="15"/>
  <c r="Y777" i="15"/>
  <c r="AA777" i="15" s="1"/>
  <c r="AB777" i="15" s="1"/>
  <c r="U777" i="15"/>
  <c r="Y776" i="15"/>
  <c r="AA776" i="15" s="1"/>
  <c r="AB776" i="15" s="1"/>
  <c r="U776" i="15"/>
  <c r="Y775" i="15"/>
  <c r="AA775" i="15" s="1"/>
  <c r="AB775" i="15" s="1"/>
  <c r="U775" i="15"/>
  <c r="Y774" i="15"/>
  <c r="AA774" i="15" s="1"/>
  <c r="AB774" i="15" s="1"/>
  <c r="U774" i="15"/>
  <c r="Y773" i="15"/>
  <c r="AA773" i="15" s="1"/>
  <c r="AB773" i="15" s="1"/>
  <c r="U773" i="15"/>
  <c r="Y772" i="15"/>
  <c r="AA772" i="15" s="1"/>
  <c r="AB772" i="15" s="1"/>
  <c r="U772" i="15"/>
  <c r="Y771" i="15"/>
  <c r="AA771" i="15" s="1"/>
  <c r="AB771" i="15" s="1"/>
  <c r="U771" i="15"/>
  <c r="Y770" i="15"/>
  <c r="AA770" i="15" s="1"/>
  <c r="AB770" i="15" s="1"/>
  <c r="U770" i="15"/>
  <c r="Y769" i="15"/>
  <c r="AA769" i="15" s="1"/>
  <c r="AB769" i="15" s="1"/>
  <c r="U769" i="15"/>
  <c r="Y768" i="15"/>
  <c r="AA768" i="15" s="1"/>
  <c r="AB768" i="15" s="1"/>
  <c r="U768" i="15"/>
  <c r="Y767" i="15"/>
  <c r="AA767" i="15" s="1"/>
  <c r="AB767" i="15" s="1"/>
  <c r="U767" i="15"/>
  <c r="Y766" i="15"/>
  <c r="AA766" i="15" s="1"/>
  <c r="AB766" i="15" s="1"/>
  <c r="U766" i="15"/>
  <c r="Y764" i="15"/>
  <c r="AA764" i="15" s="1"/>
  <c r="W764" i="15"/>
  <c r="T764" i="15"/>
  <c r="S764" i="15"/>
  <c r="R764" i="15"/>
  <c r="Q764" i="15"/>
  <c r="P764" i="15"/>
  <c r="O764" i="15"/>
  <c r="N764" i="15"/>
  <c r="M764" i="15"/>
  <c r="L764" i="15"/>
  <c r="K764" i="15"/>
  <c r="J764" i="15"/>
  <c r="I764" i="15"/>
  <c r="H764" i="15"/>
  <c r="G764" i="15"/>
  <c r="F764" i="15"/>
  <c r="E764" i="15"/>
  <c r="D764" i="15"/>
  <c r="C764" i="15"/>
  <c r="Y762" i="15"/>
  <c r="AA762" i="15" s="1"/>
  <c r="AB762" i="15" s="1"/>
  <c r="U762" i="15"/>
  <c r="Y761" i="15"/>
  <c r="AA761" i="15" s="1"/>
  <c r="AB761" i="15" s="1"/>
  <c r="U761" i="15"/>
  <c r="Y760" i="15"/>
  <c r="AA760" i="15" s="1"/>
  <c r="AB760" i="15" s="1"/>
  <c r="U760" i="15"/>
  <c r="Y759" i="15"/>
  <c r="AA759" i="15" s="1"/>
  <c r="AB759" i="15" s="1"/>
  <c r="U759" i="15"/>
  <c r="Y758" i="15"/>
  <c r="AA758" i="15" s="1"/>
  <c r="AB758" i="15" s="1"/>
  <c r="U758" i="15"/>
  <c r="Y757" i="15"/>
  <c r="AA757" i="15" s="1"/>
  <c r="AB757" i="15" s="1"/>
  <c r="U757" i="15"/>
  <c r="Y756" i="15"/>
  <c r="AA756" i="15" s="1"/>
  <c r="AB756" i="15" s="1"/>
  <c r="U756" i="15"/>
  <c r="Y755" i="15"/>
  <c r="AA755" i="15" s="1"/>
  <c r="AB755" i="15" s="1"/>
  <c r="U755" i="15"/>
  <c r="Y754" i="15"/>
  <c r="AA754" i="15" s="1"/>
  <c r="AB754" i="15" s="1"/>
  <c r="U754" i="15"/>
  <c r="Y753" i="15"/>
  <c r="AA753" i="15" s="1"/>
  <c r="AB753" i="15" s="1"/>
  <c r="U753" i="15"/>
  <c r="Y752" i="15"/>
  <c r="AA752" i="15" s="1"/>
  <c r="AB752" i="15" s="1"/>
  <c r="U752" i="15"/>
  <c r="Y751" i="15"/>
  <c r="AA751" i="15" s="1"/>
  <c r="AB751" i="15" s="1"/>
  <c r="U751" i="15"/>
  <c r="Y750" i="15"/>
  <c r="AA750" i="15" s="1"/>
  <c r="AB750" i="15" s="1"/>
  <c r="U750" i="15"/>
  <c r="Y749" i="15"/>
  <c r="AA749" i="15" s="1"/>
  <c r="AB749" i="15" s="1"/>
  <c r="U749" i="15"/>
  <c r="Y748" i="15"/>
  <c r="AA748" i="15" s="1"/>
  <c r="AB748" i="15" s="1"/>
  <c r="U748" i="15"/>
  <c r="Y747" i="15"/>
  <c r="AA747" i="15" s="1"/>
  <c r="AB747" i="15" s="1"/>
  <c r="U747" i="15"/>
  <c r="Y745" i="15"/>
  <c r="AA745" i="15" s="1"/>
  <c r="W745" i="15"/>
  <c r="T745" i="15"/>
  <c r="S745" i="15"/>
  <c r="R745" i="15"/>
  <c r="Q745" i="15"/>
  <c r="P745" i="15"/>
  <c r="O745" i="15"/>
  <c r="N745" i="15"/>
  <c r="M745" i="15"/>
  <c r="L745" i="15"/>
  <c r="K745" i="15"/>
  <c r="J745" i="15"/>
  <c r="I745" i="15"/>
  <c r="H745" i="15"/>
  <c r="G745" i="15"/>
  <c r="F745" i="15"/>
  <c r="E745" i="15"/>
  <c r="D745" i="15"/>
  <c r="C745" i="15"/>
  <c r="X744" i="15"/>
  <c r="Y742" i="15"/>
  <c r="AA742" i="15" s="1"/>
  <c r="AB742" i="15" s="1"/>
  <c r="U742" i="15"/>
  <c r="Y741" i="15"/>
  <c r="AA741" i="15" s="1"/>
  <c r="AB741" i="15" s="1"/>
  <c r="U741" i="15"/>
  <c r="Y740" i="15"/>
  <c r="AA740" i="15" s="1"/>
  <c r="AB740" i="15" s="1"/>
  <c r="U740" i="15"/>
  <c r="Y739" i="15"/>
  <c r="AA739" i="15" s="1"/>
  <c r="AB739" i="15" s="1"/>
  <c r="U739" i="15"/>
  <c r="Y738" i="15"/>
  <c r="AA738" i="15" s="1"/>
  <c r="AB738" i="15" s="1"/>
  <c r="U738" i="15"/>
  <c r="Y737" i="15"/>
  <c r="AA737" i="15" s="1"/>
  <c r="AB737" i="15" s="1"/>
  <c r="U737" i="15"/>
  <c r="Y736" i="15"/>
  <c r="AA736" i="15" s="1"/>
  <c r="AB736" i="15" s="1"/>
  <c r="U736" i="15"/>
  <c r="Y735" i="15"/>
  <c r="AA735" i="15" s="1"/>
  <c r="AB735" i="15" s="1"/>
  <c r="U735" i="15"/>
  <c r="Y734" i="15"/>
  <c r="AA734" i="15" s="1"/>
  <c r="AB734" i="15" s="1"/>
  <c r="U734" i="15"/>
  <c r="Y733" i="15"/>
  <c r="AA733" i="15" s="1"/>
  <c r="AB733" i="15" s="1"/>
  <c r="U733" i="15"/>
  <c r="Y732" i="15"/>
  <c r="AA732" i="15" s="1"/>
  <c r="AB732" i="15" s="1"/>
  <c r="U732" i="15"/>
  <c r="Y731" i="15"/>
  <c r="AA731" i="15" s="1"/>
  <c r="AB731" i="15" s="1"/>
  <c r="U731" i="15"/>
  <c r="Y730" i="15"/>
  <c r="AA730" i="15" s="1"/>
  <c r="AB730" i="15" s="1"/>
  <c r="U730" i="15"/>
  <c r="Y729" i="15"/>
  <c r="AA729" i="15" s="1"/>
  <c r="AB729" i="15" s="1"/>
  <c r="U729" i="15"/>
  <c r="Y728" i="15"/>
  <c r="AA728" i="15" s="1"/>
  <c r="AB728" i="15" s="1"/>
  <c r="U728" i="15"/>
  <c r="Y727" i="15"/>
  <c r="AA727" i="15" s="1"/>
  <c r="AB727" i="15" s="1"/>
  <c r="U727" i="15"/>
  <c r="Y726" i="15"/>
  <c r="AA726" i="15" s="1"/>
  <c r="AB726" i="15" s="1"/>
  <c r="U726" i="15"/>
  <c r="Y725" i="15"/>
  <c r="AA725" i="15" s="1"/>
  <c r="AB725" i="15" s="1"/>
  <c r="U725" i="15"/>
  <c r="Y724" i="15"/>
  <c r="AA724" i="15" s="1"/>
  <c r="AB724" i="15" s="1"/>
  <c r="U724" i="15"/>
  <c r="Y723" i="15"/>
  <c r="AA723" i="15" s="1"/>
  <c r="AB723" i="15" s="1"/>
  <c r="U723" i="15"/>
  <c r="Y722" i="15"/>
  <c r="AA722" i="15" s="1"/>
  <c r="AB722" i="15" s="1"/>
  <c r="U722" i="15"/>
  <c r="Y721" i="15"/>
  <c r="AA721" i="15" s="1"/>
  <c r="AB721" i="15" s="1"/>
  <c r="U721" i="15"/>
  <c r="Y720" i="15"/>
  <c r="AA720" i="15" s="1"/>
  <c r="AB720" i="15" s="1"/>
  <c r="U720" i="15"/>
  <c r="Y718" i="15"/>
  <c r="AA718" i="15" s="1"/>
  <c r="W718" i="15"/>
  <c r="T718" i="15"/>
  <c r="S718" i="15"/>
  <c r="R718" i="15"/>
  <c r="Q718" i="15"/>
  <c r="P718" i="15"/>
  <c r="O718" i="15"/>
  <c r="N718" i="15"/>
  <c r="M718" i="15"/>
  <c r="L718" i="15"/>
  <c r="K718" i="15"/>
  <c r="J718" i="15"/>
  <c r="I718" i="15"/>
  <c r="H718" i="15"/>
  <c r="G718" i="15"/>
  <c r="F718" i="15"/>
  <c r="E718" i="15"/>
  <c r="D718" i="15"/>
  <c r="C718" i="15"/>
  <c r="Y716" i="15"/>
  <c r="AA716" i="15" s="1"/>
  <c r="AB716" i="15" s="1"/>
  <c r="U716" i="15"/>
  <c r="Y715" i="15"/>
  <c r="AA715" i="15" s="1"/>
  <c r="AB715" i="15" s="1"/>
  <c r="U715" i="15"/>
  <c r="Y714" i="15"/>
  <c r="AA714" i="15" s="1"/>
  <c r="AB714" i="15" s="1"/>
  <c r="U714" i="15"/>
  <c r="Y713" i="15"/>
  <c r="AA713" i="15" s="1"/>
  <c r="AB713" i="15" s="1"/>
  <c r="U713" i="15"/>
  <c r="Y712" i="15"/>
  <c r="AA712" i="15" s="1"/>
  <c r="AB712" i="15" s="1"/>
  <c r="U712" i="15"/>
  <c r="Y711" i="15"/>
  <c r="AA711" i="15" s="1"/>
  <c r="AB711" i="15" s="1"/>
  <c r="U711" i="15"/>
  <c r="Y710" i="15"/>
  <c r="AA710" i="15" s="1"/>
  <c r="AB710" i="15" s="1"/>
  <c r="U710" i="15"/>
  <c r="Y709" i="15"/>
  <c r="AA709" i="15" s="1"/>
  <c r="AB709" i="15" s="1"/>
  <c r="U709" i="15"/>
  <c r="Y708" i="15"/>
  <c r="AA708" i="15" s="1"/>
  <c r="AB708" i="15" s="1"/>
  <c r="U708" i="15"/>
  <c r="Y707" i="15"/>
  <c r="AA707" i="15" s="1"/>
  <c r="AB707" i="15" s="1"/>
  <c r="U707" i="15"/>
  <c r="Y706" i="15"/>
  <c r="AA706" i="15" s="1"/>
  <c r="AB706" i="15" s="1"/>
  <c r="U706" i="15"/>
  <c r="Y705" i="15"/>
  <c r="AA705" i="15" s="1"/>
  <c r="AB705" i="15" s="1"/>
  <c r="U705" i="15"/>
  <c r="Y704" i="15"/>
  <c r="AA704" i="15" s="1"/>
  <c r="AB704" i="15" s="1"/>
  <c r="U704" i="15"/>
  <c r="Y703" i="15"/>
  <c r="AA703" i="15" s="1"/>
  <c r="AB703" i="15" s="1"/>
  <c r="U703" i="15"/>
  <c r="Y702" i="15"/>
  <c r="AA702" i="15" s="1"/>
  <c r="AB702" i="15" s="1"/>
  <c r="U702" i="15"/>
  <c r="Y701" i="15"/>
  <c r="AA701" i="15" s="1"/>
  <c r="AB701" i="15" s="1"/>
  <c r="U701" i="15"/>
  <c r="Y700" i="15"/>
  <c r="AA700" i="15" s="1"/>
  <c r="AB700" i="15" s="1"/>
  <c r="U700" i="15"/>
  <c r="Y699" i="15"/>
  <c r="AA699" i="15" s="1"/>
  <c r="AB699" i="15" s="1"/>
  <c r="U699" i="15"/>
  <c r="Y697" i="15"/>
  <c r="AA697" i="15" s="1"/>
  <c r="W697" i="15"/>
  <c r="T697" i="15"/>
  <c r="S697" i="15"/>
  <c r="R697" i="15"/>
  <c r="Q697" i="15"/>
  <c r="P697" i="15"/>
  <c r="O697" i="15"/>
  <c r="N697" i="15"/>
  <c r="M697" i="15"/>
  <c r="L697" i="15"/>
  <c r="K697" i="15"/>
  <c r="J697" i="15"/>
  <c r="I697" i="15"/>
  <c r="H697" i="15"/>
  <c r="G697" i="15"/>
  <c r="F697" i="15"/>
  <c r="E697" i="15"/>
  <c r="D697" i="15"/>
  <c r="C697" i="15"/>
  <c r="Y695" i="15"/>
  <c r="AA695" i="15" s="1"/>
  <c r="AB695" i="15" s="1"/>
  <c r="U695" i="15"/>
  <c r="Y694" i="15"/>
  <c r="AA694" i="15" s="1"/>
  <c r="AB694" i="15" s="1"/>
  <c r="U694" i="15"/>
  <c r="Y693" i="15"/>
  <c r="AA693" i="15" s="1"/>
  <c r="AB693" i="15" s="1"/>
  <c r="U693" i="15"/>
  <c r="Y692" i="15"/>
  <c r="AA692" i="15" s="1"/>
  <c r="AB692" i="15" s="1"/>
  <c r="U692" i="15"/>
  <c r="Y691" i="15"/>
  <c r="AA691" i="15" s="1"/>
  <c r="AB691" i="15" s="1"/>
  <c r="U691" i="15"/>
  <c r="Y690" i="15"/>
  <c r="AA690" i="15" s="1"/>
  <c r="AB690" i="15" s="1"/>
  <c r="U690" i="15"/>
  <c r="Y689" i="15"/>
  <c r="AA689" i="15" s="1"/>
  <c r="AB689" i="15" s="1"/>
  <c r="U689" i="15"/>
  <c r="Y688" i="15"/>
  <c r="AA688" i="15" s="1"/>
  <c r="AB688" i="15" s="1"/>
  <c r="U688" i="15"/>
  <c r="Y687" i="15"/>
  <c r="AA687" i="15" s="1"/>
  <c r="AB687" i="15" s="1"/>
  <c r="U687" i="15"/>
  <c r="Y686" i="15"/>
  <c r="AA686" i="15" s="1"/>
  <c r="AB686" i="15" s="1"/>
  <c r="U686" i="15"/>
  <c r="Y685" i="15"/>
  <c r="AA685" i="15" s="1"/>
  <c r="AB685" i="15" s="1"/>
  <c r="U685" i="15"/>
  <c r="Y684" i="15"/>
  <c r="AA684" i="15" s="1"/>
  <c r="AB684" i="15" s="1"/>
  <c r="U684" i="15"/>
  <c r="Y683" i="15"/>
  <c r="AA683" i="15" s="1"/>
  <c r="AB683" i="15" s="1"/>
  <c r="U683" i="15"/>
  <c r="Y682" i="15"/>
  <c r="AA682" i="15" s="1"/>
  <c r="AB682" i="15" s="1"/>
  <c r="U682" i="15"/>
  <c r="Y681" i="15"/>
  <c r="AA681" i="15" s="1"/>
  <c r="AB681" i="15" s="1"/>
  <c r="U681" i="15"/>
  <c r="Y680" i="15"/>
  <c r="AA680" i="15" s="1"/>
  <c r="AB680" i="15" s="1"/>
  <c r="U680" i="15"/>
  <c r="Y679" i="15"/>
  <c r="AA679" i="15" s="1"/>
  <c r="AB679" i="15" s="1"/>
  <c r="U679" i="15"/>
  <c r="Y678" i="15"/>
  <c r="AA678" i="15" s="1"/>
  <c r="AB678" i="15" s="1"/>
  <c r="U678" i="15"/>
  <c r="Y677" i="15"/>
  <c r="AA677" i="15" s="1"/>
  <c r="AB677" i="15" s="1"/>
  <c r="U677" i="15"/>
  <c r="Y676" i="15"/>
  <c r="AA676" i="15" s="1"/>
  <c r="AB676" i="15" s="1"/>
  <c r="U676" i="15"/>
  <c r="Y675" i="15"/>
  <c r="AA675" i="15" s="1"/>
  <c r="AB675" i="15" s="1"/>
  <c r="U675" i="15"/>
  <c r="Y674" i="15"/>
  <c r="AA674" i="15" s="1"/>
  <c r="AB674" i="15" s="1"/>
  <c r="U674" i="15"/>
  <c r="Y673" i="15"/>
  <c r="AA673" i="15" s="1"/>
  <c r="AB673" i="15" s="1"/>
  <c r="U673" i="15"/>
  <c r="Y672" i="15"/>
  <c r="AA672" i="15" s="1"/>
  <c r="AB672" i="15" s="1"/>
  <c r="U672" i="15"/>
  <c r="Y671" i="15"/>
  <c r="AA671" i="15" s="1"/>
  <c r="AB671" i="15" s="1"/>
  <c r="U671" i="15"/>
  <c r="Y669" i="15"/>
  <c r="AA669" i="15" s="1"/>
  <c r="W669" i="15"/>
  <c r="T669" i="15"/>
  <c r="S669" i="15"/>
  <c r="R669" i="15"/>
  <c r="Q669" i="15"/>
  <c r="P669" i="15"/>
  <c r="O669" i="15"/>
  <c r="N669" i="15"/>
  <c r="M669" i="15"/>
  <c r="L669" i="15"/>
  <c r="K669" i="15"/>
  <c r="J669" i="15"/>
  <c r="I669" i="15"/>
  <c r="H669" i="15"/>
  <c r="G669" i="15"/>
  <c r="F669" i="15"/>
  <c r="E669" i="15"/>
  <c r="D669" i="15"/>
  <c r="C669" i="15"/>
  <c r="Y667" i="15"/>
  <c r="AA667" i="15" s="1"/>
  <c r="AB667" i="15" s="1"/>
  <c r="U667" i="15"/>
  <c r="Y666" i="15"/>
  <c r="AA666" i="15" s="1"/>
  <c r="AB666" i="15" s="1"/>
  <c r="U666" i="15"/>
  <c r="Y665" i="15"/>
  <c r="AA665" i="15" s="1"/>
  <c r="AB665" i="15" s="1"/>
  <c r="U665" i="15"/>
  <c r="Y664" i="15"/>
  <c r="AA664" i="15" s="1"/>
  <c r="AB664" i="15" s="1"/>
  <c r="U664" i="15"/>
  <c r="Y663" i="15"/>
  <c r="AA663" i="15" s="1"/>
  <c r="AB663" i="15" s="1"/>
  <c r="U663" i="15"/>
  <c r="Y662" i="15"/>
  <c r="AA662" i="15" s="1"/>
  <c r="AB662" i="15" s="1"/>
  <c r="U662" i="15"/>
  <c r="Y661" i="15"/>
  <c r="AA661" i="15" s="1"/>
  <c r="AB661" i="15" s="1"/>
  <c r="U661" i="15"/>
  <c r="Y660" i="15"/>
  <c r="AA660" i="15" s="1"/>
  <c r="AB660" i="15" s="1"/>
  <c r="U660" i="15"/>
  <c r="Y659" i="15"/>
  <c r="AA659" i="15" s="1"/>
  <c r="AB659" i="15" s="1"/>
  <c r="U659" i="15"/>
  <c r="Y658" i="15"/>
  <c r="AA658" i="15" s="1"/>
  <c r="AB658" i="15" s="1"/>
  <c r="U658" i="15"/>
  <c r="Y656" i="15"/>
  <c r="AA656" i="15" s="1"/>
  <c r="AB656" i="15" s="1"/>
  <c r="U656" i="15"/>
  <c r="Y655" i="15"/>
  <c r="AA655" i="15" s="1"/>
  <c r="AB655" i="15" s="1"/>
  <c r="U655" i="15"/>
  <c r="Y654" i="15"/>
  <c r="AA654" i="15" s="1"/>
  <c r="AB654" i="15" s="1"/>
  <c r="U654" i="15"/>
  <c r="Y653" i="15"/>
  <c r="AA653" i="15" s="1"/>
  <c r="AB653" i="15" s="1"/>
  <c r="U653" i="15"/>
  <c r="Y652" i="15"/>
  <c r="AA652" i="15" s="1"/>
  <c r="AB652" i="15" s="1"/>
  <c r="U652" i="15"/>
  <c r="Y651" i="15"/>
  <c r="AA651" i="15" s="1"/>
  <c r="AB651" i="15" s="1"/>
  <c r="U651" i="15"/>
  <c r="Y650" i="15"/>
  <c r="AA650" i="15" s="1"/>
  <c r="AB650" i="15" s="1"/>
  <c r="U650" i="15"/>
  <c r="Y648" i="15"/>
  <c r="AA648" i="15" s="1"/>
  <c r="W648" i="15"/>
  <c r="T648" i="15"/>
  <c r="S648" i="15"/>
  <c r="R648" i="15"/>
  <c r="Q648" i="15"/>
  <c r="P648" i="15"/>
  <c r="O648" i="15"/>
  <c r="N648" i="15"/>
  <c r="M648" i="15"/>
  <c r="L648" i="15"/>
  <c r="K648" i="15"/>
  <c r="J648" i="15"/>
  <c r="I648" i="15"/>
  <c r="H648" i="15"/>
  <c r="G648" i="15"/>
  <c r="F648" i="15"/>
  <c r="E648" i="15"/>
  <c r="D648" i="15"/>
  <c r="C648" i="15"/>
  <c r="Y646" i="15"/>
  <c r="AA646" i="15" s="1"/>
  <c r="AB646" i="15" s="1"/>
  <c r="U646" i="15"/>
  <c r="Y645" i="15"/>
  <c r="AA645" i="15" s="1"/>
  <c r="AB645" i="15" s="1"/>
  <c r="U645" i="15"/>
  <c r="Y644" i="15"/>
  <c r="AA644" i="15" s="1"/>
  <c r="AB644" i="15" s="1"/>
  <c r="U644" i="15"/>
  <c r="Y643" i="15"/>
  <c r="AA643" i="15" s="1"/>
  <c r="AB643" i="15" s="1"/>
  <c r="U643" i="15"/>
  <c r="Y642" i="15"/>
  <c r="AA642" i="15" s="1"/>
  <c r="AB642" i="15" s="1"/>
  <c r="U642" i="15"/>
  <c r="Y641" i="15"/>
  <c r="AA641" i="15" s="1"/>
  <c r="AB641" i="15" s="1"/>
  <c r="U641" i="15"/>
  <c r="Y640" i="15"/>
  <c r="AA640" i="15" s="1"/>
  <c r="AB640" i="15" s="1"/>
  <c r="U640" i="15"/>
  <c r="Y639" i="15"/>
  <c r="AA639" i="15" s="1"/>
  <c r="AB639" i="15" s="1"/>
  <c r="U639" i="15"/>
  <c r="Y637" i="15"/>
  <c r="AA637" i="15" s="1"/>
  <c r="W637" i="15"/>
  <c r="T637" i="15"/>
  <c r="S637" i="15"/>
  <c r="R637" i="15"/>
  <c r="Q637" i="15"/>
  <c r="P637" i="15"/>
  <c r="O637" i="15"/>
  <c r="N637" i="15"/>
  <c r="M637" i="15"/>
  <c r="L637" i="15"/>
  <c r="K637" i="15"/>
  <c r="J637" i="15"/>
  <c r="I637" i="15"/>
  <c r="H637" i="15"/>
  <c r="G637" i="15"/>
  <c r="F637" i="15"/>
  <c r="E637" i="15"/>
  <c r="D637" i="15"/>
  <c r="C637" i="15"/>
  <c r="Y635" i="15"/>
  <c r="AA635" i="15" s="1"/>
  <c r="AB635" i="15" s="1"/>
  <c r="U635" i="15"/>
  <c r="Y634" i="15"/>
  <c r="AA634" i="15" s="1"/>
  <c r="AB634" i="15" s="1"/>
  <c r="U634" i="15"/>
  <c r="Y633" i="15"/>
  <c r="AA633" i="15" s="1"/>
  <c r="AB633" i="15" s="1"/>
  <c r="U633" i="15"/>
  <c r="Y632" i="15"/>
  <c r="AA632" i="15" s="1"/>
  <c r="AB632" i="15" s="1"/>
  <c r="U632" i="15"/>
  <c r="Y631" i="15"/>
  <c r="AA631" i="15" s="1"/>
  <c r="AB631" i="15" s="1"/>
  <c r="U631" i="15"/>
  <c r="Y630" i="15"/>
  <c r="AA630" i="15" s="1"/>
  <c r="AB630" i="15" s="1"/>
  <c r="U630" i="15"/>
  <c r="Y629" i="15"/>
  <c r="AA629" i="15" s="1"/>
  <c r="AB629" i="15" s="1"/>
  <c r="U629" i="15"/>
  <c r="Y628" i="15"/>
  <c r="AA628" i="15" s="1"/>
  <c r="AB628" i="15" s="1"/>
  <c r="U628" i="15"/>
  <c r="Y627" i="15"/>
  <c r="AA627" i="15" s="1"/>
  <c r="AB627" i="15" s="1"/>
  <c r="U627" i="15"/>
  <c r="Y626" i="15"/>
  <c r="AA626" i="15" s="1"/>
  <c r="AB626" i="15" s="1"/>
  <c r="U626" i="15"/>
  <c r="Y625" i="15"/>
  <c r="AA625" i="15" s="1"/>
  <c r="AB625" i="15" s="1"/>
  <c r="U625" i="15"/>
  <c r="Y624" i="15"/>
  <c r="AA624" i="15" s="1"/>
  <c r="AB624" i="15" s="1"/>
  <c r="U624" i="15"/>
  <c r="Y623" i="15"/>
  <c r="AA623" i="15" s="1"/>
  <c r="AB623" i="15" s="1"/>
  <c r="U623" i="15"/>
  <c r="Y622" i="15"/>
  <c r="AA622" i="15" s="1"/>
  <c r="AB622" i="15" s="1"/>
  <c r="U622" i="15"/>
  <c r="Y621" i="15"/>
  <c r="AA621" i="15" s="1"/>
  <c r="AB621" i="15" s="1"/>
  <c r="U621" i="15"/>
  <c r="Y620" i="15"/>
  <c r="AA620" i="15" s="1"/>
  <c r="AB620" i="15" s="1"/>
  <c r="U620" i="15"/>
  <c r="Y619" i="15"/>
  <c r="AA619" i="15" s="1"/>
  <c r="AB619" i="15" s="1"/>
  <c r="U619" i="15"/>
  <c r="Y618" i="15"/>
  <c r="AA618" i="15" s="1"/>
  <c r="AB618" i="15" s="1"/>
  <c r="U618" i="15"/>
  <c r="Y617" i="15"/>
  <c r="AA617" i="15" s="1"/>
  <c r="AB617" i="15" s="1"/>
  <c r="U617" i="15"/>
  <c r="Y616" i="15"/>
  <c r="AA616" i="15" s="1"/>
  <c r="AB616" i="15" s="1"/>
  <c r="U616" i="15"/>
  <c r="Y615" i="15"/>
  <c r="AA615" i="15" s="1"/>
  <c r="AB615" i="15" s="1"/>
  <c r="U615" i="15"/>
  <c r="Y614" i="15"/>
  <c r="AA614" i="15" s="1"/>
  <c r="AB614" i="15" s="1"/>
  <c r="U614" i="15"/>
  <c r="Y613" i="15"/>
  <c r="AA613" i="15" s="1"/>
  <c r="AB613" i="15" s="1"/>
  <c r="U613" i="15"/>
  <c r="Y612" i="15"/>
  <c r="AA612" i="15" s="1"/>
  <c r="AB612" i="15" s="1"/>
  <c r="U612" i="15"/>
  <c r="Y611" i="15"/>
  <c r="AA611" i="15" s="1"/>
  <c r="AB611" i="15" s="1"/>
  <c r="U611" i="15"/>
  <c r="Y610" i="15"/>
  <c r="AA610" i="15" s="1"/>
  <c r="AB610" i="15" s="1"/>
  <c r="U610" i="15"/>
  <c r="Y609" i="15"/>
  <c r="AA609" i="15" s="1"/>
  <c r="AB609" i="15" s="1"/>
  <c r="U609" i="15"/>
  <c r="Y608" i="15"/>
  <c r="AA608" i="15" s="1"/>
  <c r="AB608" i="15" s="1"/>
  <c r="U608" i="15"/>
  <c r="Y607" i="15"/>
  <c r="AA607" i="15" s="1"/>
  <c r="AB607" i="15" s="1"/>
  <c r="U607" i="15"/>
  <c r="Y606" i="15"/>
  <c r="AA606" i="15" s="1"/>
  <c r="AB606" i="15" s="1"/>
  <c r="U606" i="15"/>
  <c r="Y605" i="15"/>
  <c r="AA605" i="15" s="1"/>
  <c r="AB605" i="15" s="1"/>
  <c r="U605" i="15"/>
  <c r="Y603" i="15"/>
  <c r="AA603" i="15" s="1"/>
  <c r="W603" i="15"/>
  <c r="T603" i="15"/>
  <c r="S603" i="15"/>
  <c r="R603" i="15"/>
  <c r="Q603" i="15"/>
  <c r="P603" i="15"/>
  <c r="O603" i="15"/>
  <c r="N603" i="15"/>
  <c r="M603" i="15"/>
  <c r="L603" i="15"/>
  <c r="K603" i="15"/>
  <c r="J603" i="15"/>
  <c r="I603" i="15"/>
  <c r="H603" i="15"/>
  <c r="G603" i="15"/>
  <c r="F603" i="15"/>
  <c r="E603" i="15"/>
  <c r="D603" i="15"/>
  <c r="C603" i="15"/>
  <c r="X602" i="15"/>
  <c r="Y600" i="15"/>
  <c r="AA600" i="15" s="1"/>
  <c r="AB600" i="15" s="1"/>
  <c r="U600" i="15"/>
  <c r="Y599" i="15"/>
  <c r="AA599" i="15" s="1"/>
  <c r="AB599" i="15" s="1"/>
  <c r="U599" i="15"/>
  <c r="Y598" i="15"/>
  <c r="AA598" i="15" s="1"/>
  <c r="AB598" i="15" s="1"/>
  <c r="U598" i="15"/>
  <c r="Y597" i="15"/>
  <c r="AA597" i="15" s="1"/>
  <c r="AB597" i="15" s="1"/>
  <c r="U597" i="15"/>
  <c r="Y596" i="15"/>
  <c r="AA596" i="15" s="1"/>
  <c r="AB596" i="15" s="1"/>
  <c r="U596" i="15"/>
  <c r="Y595" i="15"/>
  <c r="AA595" i="15" s="1"/>
  <c r="AB595" i="15" s="1"/>
  <c r="U595" i="15"/>
  <c r="Y594" i="15"/>
  <c r="AA594" i="15" s="1"/>
  <c r="AB594" i="15" s="1"/>
  <c r="U594" i="15"/>
  <c r="Y593" i="15"/>
  <c r="AA593" i="15" s="1"/>
  <c r="AB593" i="15" s="1"/>
  <c r="U593" i="15"/>
  <c r="Y592" i="15"/>
  <c r="AA592" i="15" s="1"/>
  <c r="AB592" i="15" s="1"/>
  <c r="U592" i="15"/>
  <c r="Y591" i="15"/>
  <c r="AA591" i="15" s="1"/>
  <c r="AB591" i="15" s="1"/>
  <c r="U591" i="15"/>
  <c r="Y590" i="15"/>
  <c r="AA590" i="15" s="1"/>
  <c r="AB590" i="15" s="1"/>
  <c r="U590" i="15"/>
  <c r="Y589" i="15"/>
  <c r="AA589" i="15" s="1"/>
  <c r="AB589" i="15" s="1"/>
  <c r="U589" i="15"/>
  <c r="Y588" i="15"/>
  <c r="AA588" i="15" s="1"/>
  <c r="AB588" i="15" s="1"/>
  <c r="U588" i="15"/>
  <c r="Y587" i="15"/>
  <c r="AA587" i="15" s="1"/>
  <c r="AB587" i="15" s="1"/>
  <c r="U587" i="15"/>
  <c r="Y586" i="15"/>
  <c r="AA586" i="15" s="1"/>
  <c r="AB586" i="15" s="1"/>
  <c r="U586" i="15"/>
  <c r="Y585" i="15"/>
  <c r="AA585" i="15" s="1"/>
  <c r="AB585" i="15" s="1"/>
  <c r="U585" i="15"/>
  <c r="Y584" i="15"/>
  <c r="AA584" i="15" s="1"/>
  <c r="AB584" i="15" s="1"/>
  <c r="U584" i="15"/>
  <c r="Y583" i="15"/>
  <c r="AA583" i="15" s="1"/>
  <c r="AB583" i="15" s="1"/>
  <c r="U583" i="15"/>
  <c r="Y582" i="15"/>
  <c r="AA582" i="15" s="1"/>
  <c r="AB582" i="15" s="1"/>
  <c r="U582" i="15"/>
  <c r="Y581" i="15"/>
  <c r="AA581" i="15" s="1"/>
  <c r="AB581" i="15" s="1"/>
  <c r="U581" i="15"/>
  <c r="Y580" i="15"/>
  <c r="AA580" i="15" s="1"/>
  <c r="AB580" i="15" s="1"/>
  <c r="U580" i="15"/>
  <c r="Y579" i="15"/>
  <c r="AA579" i="15" s="1"/>
  <c r="AB579" i="15" s="1"/>
  <c r="U579" i="15"/>
  <c r="Y578" i="15"/>
  <c r="AA578" i="15" s="1"/>
  <c r="AB578" i="15" s="1"/>
  <c r="U578" i="15"/>
  <c r="Y577" i="15"/>
  <c r="AA577" i="15" s="1"/>
  <c r="AB577" i="15" s="1"/>
  <c r="U577" i="15"/>
  <c r="Y576" i="15"/>
  <c r="AA576" i="15" s="1"/>
  <c r="AB576" i="15" s="1"/>
  <c r="U576" i="15"/>
  <c r="Y575" i="15"/>
  <c r="AA575" i="15" s="1"/>
  <c r="AB575" i="15" s="1"/>
  <c r="U575" i="15"/>
  <c r="Y574" i="15"/>
  <c r="AA574" i="15" s="1"/>
  <c r="AB574" i="15" s="1"/>
  <c r="U574" i="15"/>
  <c r="Y572" i="15"/>
  <c r="AA572" i="15" s="1"/>
  <c r="W572" i="15"/>
  <c r="T572" i="15"/>
  <c r="S572" i="15"/>
  <c r="R572" i="15"/>
  <c r="Q572" i="15"/>
  <c r="P572" i="15"/>
  <c r="O572" i="15"/>
  <c r="N572" i="15"/>
  <c r="M572" i="15"/>
  <c r="L572" i="15"/>
  <c r="K572" i="15"/>
  <c r="J572" i="15"/>
  <c r="I572" i="15"/>
  <c r="H572" i="15"/>
  <c r="G572" i="15"/>
  <c r="F572" i="15"/>
  <c r="E572" i="15"/>
  <c r="D572" i="15"/>
  <c r="C572" i="15"/>
  <c r="Y570" i="15"/>
  <c r="AA570" i="15" s="1"/>
  <c r="AB570" i="15" s="1"/>
  <c r="U570" i="15"/>
  <c r="Y569" i="15"/>
  <c r="AA569" i="15" s="1"/>
  <c r="AB569" i="15" s="1"/>
  <c r="U569" i="15"/>
  <c r="Y568" i="15"/>
  <c r="AA568" i="15" s="1"/>
  <c r="AB568" i="15" s="1"/>
  <c r="U568" i="15"/>
  <c r="Y567" i="15"/>
  <c r="AA567" i="15" s="1"/>
  <c r="AB567" i="15" s="1"/>
  <c r="U567" i="15"/>
  <c r="Y566" i="15"/>
  <c r="AA566" i="15" s="1"/>
  <c r="AB566" i="15" s="1"/>
  <c r="U566" i="15"/>
  <c r="Y565" i="15"/>
  <c r="AA565" i="15" s="1"/>
  <c r="AB565" i="15" s="1"/>
  <c r="U565" i="15"/>
  <c r="Y564" i="15"/>
  <c r="AA564" i="15" s="1"/>
  <c r="AB564" i="15" s="1"/>
  <c r="U564" i="15"/>
  <c r="Y563" i="15"/>
  <c r="AA563" i="15" s="1"/>
  <c r="AB563" i="15" s="1"/>
  <c r="U563" i="15"/>
  <c r="Y562" i="15"/>
  <c r="AA562" i="15" s="1"/>
  <c r="AB562" i="15" s="1"/>
  <c r="U562" i="15"/>
  <c r="Y561" i="15"/>
  <c r="AA561" i="15" s="1"/>
  <c r="AB561" i="15" s="1"/>
  <c r="U561" i="15"/>
  <c r="Y560" i="15"/>
  <c r="AA560" i="15" s="1"/>
  <c r="AB560" i="15" s="1"/>
  <c r="U560" i="15"/>
  <c r="Y559" i="15"/>
  <c r="AA559" i="15" s="1"/>
  <c r="AB559" i="15" s="1"/>
  <c r="U559" i="15"/>
  <c r="Y558" i="15"/>
  <c r="AA558" i="15" s="1"/>
  <c r="AB558" i="15" s="1"/>
  <c r="U558" i="15"/>
  <c r="Y557" i="15"/>
  <c r="AA557" i="15" s="1"/>
  <c r="AB557" i="15" s="1"/>
  <c r="U557" i="15"/>
  <c r="Y556" i="15"/>
  <c r="AA556" i="15" s="1"/>
  <c r="AB556" i="15" s="1"/>
  <c r="U556" i="15"/>
  <c r="Y555" i="15"/>
  <c r="AA555" i="15" s="1"/>
  <c r="AB555" i="15" s="1"/>
  <c r="U555" i="15"/>
  <c r="Y554" i="15"/>
  <c r="AA554" i="15" s="1"/>
  <c r="AB554" i="15" s="1"/>
  <c r="U554" i="15"/>
  <c r="Y552" i="15"/>
  <c r="AA552" i="15" s="1"/>
  <c r="W552" i="15"/>
  <c r="T552" i="15"/>
  <c r="S552" i="15"/>
  <c r="R552" i="15"/>
  <c r="Q552" i="15"/>
  <c r="P552" i="15"/>
  <c r="O552" i="15"/>
  <c r="N552" i="15"/>
  <c r="M552" i="15"/>
  <c r="L552" i="15"/>
  <c r="K552" i="15"/>
  <c r="J552" i="15"/>
  <c r="I552" i="15"/>
  <c r="H552" i="15"/>
  <c r="G552" i="15"/>
  <c r="F552" i="15"/>
  <c r="E552" i="15"/>
  <c r="D552" i="15"/>
  <c r="C552" i="15"/>
  <c r="Y550" i="15"/>
  <c r="AA550" i="15" s="1"/>
  <c r="AB550" i="15" s="1"/>
  <c r="U550" i="15"/>
  <c r="Y549" i="15"/>
  <c r="AA549" i="15" s="1"/>
  <c r="AB549" i="15" s="1"/>
  <c r="U549" i="15"/>
  <c r="Y548" i="15"/>
  <c r="AA548" i="15" s="1"/>
  <c r="AB548" i="15" s="1"/>
  <c r="U548" i="15"/>
  <c r="Y547" i="15"/>
  <c r="AA547" i="15" s="1"/>
  <c r="AB547" i="15" s="1"/>
  <c r="U547" i="15"/>
  <c r="Y546" i="15"/>
  <c r="AA546" i="15" s="1"/>
  <c r="AB546" i="15" s="1"/>
  <c r="U546" i="15"/>
  <c r="Y545" i="15"/>
  <c r="AA545" i="15" s="1"/>
  <c r="AB545" i="15" s="1"/>
  <c r="U545" i="15"/>
  <c r="Y544" i="15"/>
  <c r="AA544" i="15" s="1"/>
  <c r="AB544" i="15" s="1"/>
  <c r="U544" i="15"/>
  <c r="Y543" i="15"/>
  <c r="AA543" i="15" s="1"/>
  <c r="AB543" i="15" s="1"/>
  <c r="U543" i="15"/>
  <c r="Y542" i="15"/>
  <c r="AA542" i="15" s="1"/>
  <c r="AB542" i="15" s="1"/>
  <c r="U542" i="15"/>
  <c r="Y541" i="15"/>
  <c r="AA541" i="15" s="1"/>
  <c r="AB541" i="15" s="1"/>
  <c r="U541" i="15"/>
  <c r="Y540" i="15"/>
  <c r="AA540" i="15" s="1"/>
  <c r="AB540" i="15" s="1"/>
  <c r="U540" i="15"/>
  <c r="Y539" i="15"/>
  <c r="AA539" i="15" s="1"/>
  <c r="AB539" i="15" s="1"/>
  <c r="U539" i="15"/>
  <c r="Y538" i="15"/>
  <c r="AA538" i="15" s="1"/>
  <c r="AB538" i="15" s="1"/>
  <c r="U538" i="15"/>
  <c r="Y536" i="15"/>
  <c r="AA536" i="15" s="1"/>
  <c r="W536" i="15"/>
  <c r="T536" i="15"/>
  <c r="S536" i="15"/>
  <c r="R536" i="15"/>
  <c r="Q536" i="15"/>
  <c r="P536" i="15"/>
  <c r="O536" i="15"/>
  <c r="N536" i="15"/>
  <c r="M536" i="15"/>
  <c r="L536" i="15"/>
  <c r="K536" i="15"/>
  <c r="J536" i="15"/>
  <c r="I536" i="15"/>
  <c r="H536" i="15"/>
  <c r="G536" i="15"/>
  <c r="F536" i="15"/>
  <c r="E536" i="15"/>
  <c r="D536" i="15"/>
  <c r="C536" i="15"/>
  <c r="Y534" i="15"/>
  <c r="AA534" i="15" s="1"/>
  <c r="AB534" i="15" s="1"/>
  <c r="U534" i="15"/>
  <c r="Y533" i="15"/>
  <c r="AA533" i="15" s="1"/>
  <c r="AB533" i="15" s="1"/>
  <c r="U533" i="15"/>
  <c r="Y532" i="15"/>
  <c r="AA532" i="15" s="1"/>
  <c r="AB532" i="15" s="1"/>
  <c r="U532" i="15"/>
  <c r="Y531" i="15"/>
  <c r="AA531" i="15" s="1"/>
  <c r="AB531" i="15" s="1"/>
  <c r="U531" i="15"/>
  <c r="Y530" i="15"/>
  <c r="AA530" i="15" s="1"/>
  <c r="AB530" i="15" s="1"/>
  <c r="U530" i="15"/>
  <c r="Y529" i="15"/>
  <c r="AA529" i="15" s="1"/>
  <c r="AB529" i="15" s="1"/>
  <c r="U529" i="15"/>
  <c r="Y528" i="15"/>
  <c r="AA528" i="15" s="1"/>
  <c r="AB528" i="15" s="1"/>
  <c r="U528" i="15"/>
  <c r="Y527" i="15"/>
  <c r="AA527" i="15" s="1"/>
  <c r="AB527" i="15" s="1"/>
  <c r="U527" i="15"/>
  <c r="Y526" i="15"/>
  <c r="AA526" i="15" s="1"/>
  <c r="AB526" i="15" s="1"/>
  <c r="U526" i="15"/>
  <c r="Y525" i="15"/>
  <c r="AA525" i="15" s="1"/>
  <c r="AB525" i="15" s="1"/>
  <c r="U525" i="15"/>
  <c r="Y524" i="15"/>
  <c r="AA524" i="15" s="1"/>
  <c r="AB524" i="15" s="1"/>
  <c r="U524" i="15"/>
  <c r="Y523" i="15"/>
  <c r="AA523" i="15" s="1"/>
  <c r="AB523" i="15" s="1"/>
  <c r="U523" i="15"/>
  <c r="Y522" i="15"/>
  <c r="AA522" i="15" s="1"/>
  <c r="AB522" i="15" s="1"/>
  <c r="U522" i="15"/>
  <c r="Y521" i="15"/>
  <c r="AA521" i="15" s="1"/>
  <c r="AB521" i="15" s="1"/>
  <c r="U521" i="15"/>
  <c r="Y520" i="15"/>
  <c r="AA520" i="15" s="1"/>
  <c r="AB520" i="15" s="1"/>
  <c r="U520" i="15"/>
  <c r="Y519" i="15"/>
  <c r="AA519" i="15" s="1"/>
  <c r="AB519" i="15" s="1"/>
  <c r="U519" i="15"/>
  <c r="Y518" i="15"/>
  <c r="AA518" i="15" s="1"/>
  <c r="AB518" i="15" s="1"/>
  <c r="U518" i="15"/>
  <c r="Y517" i="15"/>
  <c r="AA517" i="15" s="1"/>
  <c r="AB517" i="15" s="1"/>
  <c r="U517" i="15"/>
  <c r="Y516" i="15"/>
  <c r="AA516" i="15" s="1"/>
  <c r="AB516" i="15" s="1"/>
  <c r="U516" i="15"/>
  <c r="Y515" i="15"/>
  <c r="AA515" i="15" s="1"/>
  <c r="AB515" i="15" s="1"/>
  <c r="U515" i="15"/>
  <c r="Y514" i="15"/>
  <c r="AA514" i="15" s="1"/>
  <c r="AB514" i="15" s="1"/>
  <c r="U514" i="15"/>
  <c r="Y512" i="15"/>
  <c r="AA512" i="15" s="1"/>
  <c r="W512" i="15"/>
  <c r="T512" i="15"/>
  <c r="S512" i="15"/>
  <c r="R512" i="15"/>
  <c r="Q512" i="15"/>
  <c r="P512" i="15"/>
  <c r="O512" i="15"/>
  <c r="N512" i="15"/>
  <c r="M512" i="15"/>
  <c r="L512" i="15"/>
  <c r="K512" i="15"/>
  <c r="J512" i="15"/>
  <c r="I512" i="15"/>
  <c r="H512" i="15"/>
  <c r="G512" i="15"/>
  <c r="F512" i="15"/>
  <c r="E512" i="15"/>
  <c r="D512" i="15"/>
  <c r="C512" i="15"/>
  <c r="Y510" i="15"/>
  <c r="AA510" i="15" s="1"/>
  <c r="AB510" i="15" s="1"/>
  <c r="U510" i="15"/>
  <c r="Y509" i="15"/>
  <c r="AA509" i="15" s="1"/>
  <c r="AB509" i="15" s="1"/>
  <c r="U509" i="15"/>
  <c r="Y508" i="15"/>
  <c r="AA508" i="15" s="1"/>
  <c r="AB508" i="15" s="1"/>
  <c r="U508" i="15"/>
  <c r="Y507" i="15"/>
  <c r="AA507" i="15" s="1"/>
  <c r="AB507" i="15" s="1"/>
  <c r="U507" i="15"/>
  <c r="Y506" i="15"/>
  <c r="AA506" i="15" s="1"/>
  <c r="AB506" i="15" s="1"/>
  <c r="U506" i="15"/>
  <c r="Y505" i="15"/>
  <c r="AA505" i="15" s="1"/>
  <c r="AB505" i="15" s="1"/>
  <c r="U505" i="15"/>
  <c r="Y504" i="15"/>
  <c r="AA504" i="15" s="1"/>
  <c r="AB504" i="15" s="1"/>
  <c r="U504" i="15"/>
  <c r="Y503" i="15"/>
  <c r="AA503" i="15" s="1"/>
  <c r="AB503" i="15" s="1"/>
  <c r="U503" i="15"/>
  <c r="Y502" i="15"/>
  <c r="AA502" i="15" s="1"/>
  <c r="AB502" i="15" s="1"/>
  <c r="U502" i="15"/>
  <c r="Y501" i="15"/>
  <c r="AA501" i="15" s="1"/>
  <c r="AB501" i="15" s="1"/>
  <c r="U501" i="15"/>
  <c r="Y500" i="15"/>
  <c r="AA500" i="15" s="1"/>
  <c r="AB500" i="15" s="1"/>
  <c r="U500" i="15"/>
  <c r="Y499" i="15"/>
  <c r="AA499" i="15" s="1"/>
  <c r="AB499" i="15" s="1"/>
  <c r="U499" i="15"/>
  <c r="Y498" i="15"/>
  <c r="AA498" i="15" s="1"/>
  <c r="AB498" i="15" s="1"/>
  <c r="U498" i="15"/>
  <c r="Y497" i="15"/>
  <c r="AA497" i="15" s="1"/>
  <c r="AB497" i="15" s="1"/>
  <c r="U497" i="15"/>
  <c r="Y496" i="15"/>
  <c r="AA496" i="15" s="1"/>
  <c r="AB496" i="15" s="1"/>
  <c r="U496" i="15"/>
  <c r="Y495" i="15"/>
  <c r="AA495" i="15" s="1"/>
  <c r="AB495" i="15" s="1"/>
  <c r="U495" i="15"/>
  <c r="Y494" i="15"/>
  <c r="AA494" i="15" s="1"/>
  <c r="AB494" i="15" s="1"/>
  <c r="U494" i="15"/>
  <c r="Y492" i="15"/>
  <c r="AA492" i="15" s="1"/>
  <c r="W492" i="15"/>
  <c r="T492" i="15"/>
  <c r="S492" i="15"/>
  <c r="R492" i="15"/>
  <c r="Q492" i="15"/>
  <c r="P492" i="15"/>
  <c r="O492" i="15"/>
  <c r="N492" i="15"/>
  <c r="M492" i="15"/>
  <c r="L492" i="15"/>
  <c r="K492" i="15"/>
  <c r="J492" i="15"/>
  <c r="I492" i="15"/>
  <c r="H492" i="15"/>
  <c r="G492" i="15"/>
  <c r="F492" i="15"/>
  <c r="E492" i="15"/>
  <c r="D492" i="15"/>
  <c r="C492" i="15"/>
  <c r="X491" i="15"/>
  <c r="Y489" i="15"/>
  <c r="AA489" i="15" s="1"/>
  <c r="AB489" i="15" s="1"/>
  <c r="U489" i="15"/>
  <c r="Y488" i="15"/>
  <c r="AA488" i="15" s="1"/>
  <c r="AB488" i="15" s="1"/>
  <c r="U488" i="15"/>
  <c r="Y487" i="15"/>
  <c r="AA487" i="15" s="1"/>
  <c r="AB487" i="15" s="1"/>
  <c r="U487" i="15"/>
  <c r="Y486" i="15"/>
  <c r="AA486" i="15" s="1"/>
  <c r="AB486" i="15" s="1"/>
  <c r="U486" i="15"/>
  <c r="Y485" i="15"/>
  <c r="AA485" i="15" s="1"/>
  <c r="AB485" i="15" s="1"/>
  <c r="U485" i="15"/>
  <c r="Y484" i="15"/>
  <c r="AA484" i="15" s="1"/>
  <c r="AB484" i="15" s="1"/>
  <c r="U484" i="15"/>
  <c r="Y483" i="15"/>
  <c r="AA483" i="15" s="1"/>
  <c r="AB483" i="15" s="1"/>
  <c r="U483" i="15"/>
  <c r="Y482" i="15"/>
  <c r="AA482" i="15" s="1"/>
  <c r="AB482" i="15" s="1"/>
  <c r="U482" i="15"/>
  <c r="Y481" i="15"/>
  <c r="AA481" i="15" s="1"/>
  <c r="AB481" i="15" s="1"/>
  <c r="U481" i="15"/>
  <c r="Y480" i="15"/>
  <c r="AA480" i="15" s="1"/>
  <c r="AB480" i="15" s="1"/>
  <c r="U480" i="15"/>
  <c r="Y479" i="15"/>
  <c r="AA479" i="15" s="1"/>
  <c r="AB479" i="15" s="1"/>
  <c r="U479" i="15"/>
  <c r="Y478" i="15"/>
  <c r="AA478" i="15" s="1"/>
  <c r="AB478" i="15" s="1"/>
  <c r="U478" i="15"/>
  <c r="Y477" i="15"/>
  <c r="AA477" i="15" s="1"/>
  <c r="AB477" i="15" s="1"/>
  <c r="U477" i="15"/>
  <c r="Y476" i="15"/>
  <c r="AA476" i="15" s="1"/>
  <c r="AB476" i="15" s="1"/>
  <c r="U476" i="15"/>
  <c r="Y474" i="15"/>
  <c r="AA474" i="15" s="1"/>
  <c r="W474" i="15"/>
  <c r="T474" i="15"/>
  <c r="S474" i="15"/>
  <c r="R474" i="15"/>
  <c r="Q474" i="15"/>
  <c r="P474" i="15"/>
  <c r="O474" i="15"/>
  <c r="N474" i="15"/>
  <c r="M474" i="15"/>
  <c r="L474" i="15"/>
  <c r="K474" i="15"/>
  <c r="J474" i="15"/>
  <c r="I474" i="15"/>
  <c r="H474" i="15"/>
  <c r="G474" i="15"/>
  <c r="F474" i="15"/>
  <c r="E474" i="15"/>
  <c r="D474" i="15"/>
  <c r="C474" i="15"/>
  <c r="Y472" i="15"/>
  <c r="AA472" i="15" s="1"/>
  <c r="AB472" i="15" s="1"/>
  <c r="U472" i="15"/>
  <c r="Y471" i="15"/>
  <c r="AA471" i="15" s="1"/>
  <c r="AB471" i="15" s="1"/>
  <c r="U471" i="15"/>
  <c r="Y470" i="15"/>
  <c r="AA470" i="15" s="1"/>
  <c r="AB470" i="15" s="1"/>
  <c r="U470" i="15"/>
  <c r="Y469" i="15"/>
  <c r="AA469" i="15" s="1"/>
  <c r="AB469" i="15" s="1"/>
  <c r="U469" i="15"/>
  <c r="Y468" i="15"/>
  <c r="AA468" i="15" s="1"/>
  <c r="AB468" i="15" s="1"/>
  <c r="U468" i="15"/>
  <c r="Y467" i="15"/>
  <c r="AA467" i="15" s="1"/>
  <c r="AB467" i="15" s="1"/>
  <c r="U467" i="15"/>
  <c r="Y466" i="15"/>
  <c r="AA466" i="15" s="1"/>
  <c r="AB466" i="15" s="1"/>
  <c r="U466" i="15"/>
  <c r="Y465" i="15"/>
  <c r="AA465" i="15" s="1"/>
  <c r="AB465" i="15" s="1"/>
  <c r="U465" i="15"/>
  <c r="Y464" i="15"/>
  <c r="AA464" i="15" s="1"/>
  <c r="AB464" i="15" s="1"/>
  <c r="U464" i="15"/>
  <c r="Y463" i="15"/>
  <c r="AA463" i="15" s="1"/>
  <c r="AB463" i="15" s="1"/>
  <c r="U463" i="15"/>
  <c r="Y462" i="15"/>
  <c r="AA462" i="15" s="1"/>
  <c r="AB462" i="15" s="1"/>
  <c r="U462" i="15"/>
  <c r="Y461" i="15"/>
  <c r="AA461" i="15" s="1"/>
  <c r="AB461" i="15" s="1"/>
  <c r="U461" i="15"/>
  <c r="Y460" i="15"/>
  <c r="AA460" i="15" s="1"/>
  <c r="AB460" i="15" s="1"/>
  <c r="U460" i="15"/>
  <c r="Y459" i="15"/>
  <c r="AA459" i="15" s="1"/>
  <c r="AB459" i="15" s="1"/>
  <c r="U459" i="15"/>
  <c r="Y458" i="15"/>
  <c r="AA458" i="15" s="1"/>
  <c r="AB458" i="15" s="1"/>
  <c r="U458" i="15"/>
  <c r="Y457" i="15"/>
  <c r="AA457" i="15" s="1"/>
  <c r="AB457" i="15" s="1"/>
  <c r="U457" i="15"/>
  <c r="Y456" i="15"/>
  <c r="AA456" i="15" s="1"/>
  <c r="AB456" i="15" s="1"/>
  <c r="U456" i="15"/>
  <c r="Y455" i="15"/>
  <c r="AA455" i="15" s="1"/>
  <c r="AB455" i="15" s="1"/>
  <c r="U455" i="15"/>
  <c r="Y454" i="15"/>
  <c r="AA454" i="15" s="1"/>
  <c r="AB454" i="15" s="1"/>
  <c r="U454" i="15"/>
  <c r="Y453" i="15"/>
  <c r="AA453" i="15" s="1"/>
  <c r="AB453" i="15" s="1"/>
  <c r="U453" i="15"/>
  <c r="Y452" i="15"/>
  <c r="AA452" i="15" s="1"/>
  <c r="AB452" i="15" s="1"/>
  <c r="U452" i="15"/>
  <c r="Y451" i="15"/>
  <c r="AA451" i="15" s="1"/>
  <c r="AB451" i="15" s="1"/>
  <c r="U451" i="15"/>
  <c r="Y450" i="15"/>
  <c r="AA450" i="15" s="1"/>
  <c r="AB450" i="15" s="1"/>
  <c r="U450" i="15"/>
  <c r="Y448" i="15"/>
  <c r="AA448" i="15" s="1"/>
  <c r="W448" i="15"/>
  <c r="T448" i="15"/>
  <c r="S448" i="15"/>
  <c r="R448" i="15"/>
  <c r="Q448" i="15"/>
  <c r="P448" i="15"/>
  <c r="O448" i="15"/>
  <c r="N448" i="15"/>
  <c r="M448" i="15"/>
  <c r="L448" i="15"/>
  <c r="K448" i="15"/>
  <c r="J448" i="15"/>
  <c r="I448" i="15"/>
  <c r="H448" i="15"/>
  <c r="G448" i="15"/>
  <c r="F448" i="15"/>
  <c r="E448" i="15"/>
  <c r="D448" i="15"/>
  <c r="C448" i="15"/>
  <c r="Y446" i="15"/>
  <c r="AA446" i="15" s="1"/>
  <c r="AB446" i="15" s="1"/>
  <c r="U446" i="15"/>
  <c r="Y445" i="15"/>
  <c r="AA445" i="15" s="1"/>
  <c r="AB445" i="15" s="1"/>
  <c r="U445" i="15"/>
  <c r="Y444" i="15"/>
  <c r="AA444" i="15" s="1"/>
  <c r="AB444" i="15" s="1"/>
  <c r="U444" i="15"/>
  <c r="Y443" i="15"/>
  <c r="AA443" i="15" s="1"/>
  <c r="AB443" i="15" s="1"/>
  <c r="U443" i="15"/>
  <c r="Y442" i="15"/>
  <c r="AA442" i="15" s="1"/>
  <c r="AB442" i="15" s="1"/>
  <c r="U442" i="15"/>
  <c r="Y441" i="15"/>
  <c r="AA441" i="15" s="1"/>
  <c r="AB441" i="15" s="1"/>
  <c r="U441" i="15"/>
  <c r="Y440" i="15"/>
  <c r="AA440" i="15" s="1"/>
  <c r="AB440" i="15" s="1"/>
  <c r="U440" i="15"/>
  <c r="Y439" i="15"/>
  <c r="AA439" i="15" s="1"/>
  <c r="AB439" i="15" s="1"/>
  <c r="U439" i="15"/>
  <c r="Y438" i="15"/>
  <c r="AA438" i="15" s="1"/>
  <c r="AB438" i="15" s="1"/>
  <c r="U438" i="15"/>
  <c r="Y437" i="15"/>
  <c r="AA437" i="15" s="1"/>
  <c r="AB437" i="15" s="1"/>
  <c r="U437" i="15"/>
  <c r="Y436" i="15"/>
  <c r="AA436" i="15" s="1"/>
  <c r="AB436" i="15" s="1"/>
  <c r="U436" i="15"/>
  <c r="Y435" i="15"/>
  <c r="AA435" i="15" s="1"/>
  <c r="AB435" i="15" s="1"/>
  <c r="U435" i="15"/>
  <c r="Y434" i="15"/>
  <c r="AA434" i="15" s="1"/>
  <c r="AB434" i="15" s="1"/>
  <c r="U434" i="15"/>
  <c r="Y433" i="15"/>
  <c r="AA433" i="15" s="1"/>
  <c r="AB433" i="15" s="1"/>
  <c r="U433" i="15"/>
  <c r="Y432" i="15"/>
  <c r="AA432" i="15" s="1"/>
  <c r="AB432" i="15" s="1"/>
  <c r="U432" i="15"/>
  <c r="Y431" i="15"/>
  <c r="AA431" i="15" s="1"/>
  <c r="AB431" i="15" s="1"/>
  <c r="U431" i="15"/>
  <c r="Y430" i="15"/>
  <c r="AA430" i="15" s="1"/>
  <c r="AB430" i="15" s="1"/>
  <c r="U430" i="15"/>
  <c r="Y429" i="15"/>
  <c r="AA429" i="15" s="1"/>
  <c r="AB429" i="15" s="1"/>
  <c r="U429" i="15"/>
  <c r="Y428" i="15"/>
  <c r="AA428" i="15" s="1"/>
  <c r="AB428" i="15" s="1"/>
  <c r="U428" i="15"/>
  <c r="Y427" i="15"/>
  <c r="AA427" i="15" s="1"/>
  <c r="AB427" i="15" s="1"/>
  <c r="U427" i="15"/>
  <c r="Y426" i="15"/>
  <c r="AA426" i="15" s="1"/>
  <c r="AB426" i="15" s="1"/>
  <c r="U426" i="15"/>
  <c r="Y424" i="15"/>
  <c r="AA424" i="15" s="1"/>
  <c r="W424" i="15"/>
  <c r="T424" i="15"/>
  <c r="S424" i="15"/>
  <c r="R424" i="15"/>
  <c r="Q424" i="15"/>
  <c r="P424" i="15"/>
  <c r="O424" i="15"/>
  <c r="N424" i="15"/>
  <c r="M424" i="15"/>
  <c r="L424" i="15"/>
  <c r="K424" i="15"/>
  <c r="J424" i="15"/>
  <c r="I424" i="15"/>
  <c r="H424" i="15"/>
  <c r="G424" i="15"/>
  <c r="F424" i="15"/>
  <c r="E424" i="15"/>
  <c r="D424" i="15"/>
  <c r="C424" i="15"/>
  <c r="Y422" i="15"/>
  <c r="AA422" i="15" s="1"/>
  <c r="AB422" i="15" s="1"/>
  <c r="U422" i="15"/>
  <c r="Y421" i="15"/>
  <c r="AA421" i="15" s="1"/>
  <c r="AB421" i="15" s="1"/>
  <c r="U421" i="15"/>
  <c r="Y420" i="15"/>
  <c r="AA420" i="15" s="1"/>
  <c r="AB420" i="15" s="1"/>
  <c r="U420" i="15"/>
  <c r="Y419" i="15"/>
  <c r="AA419" i="15" s="1"/>
  <c r="AB419" i="15" s="1"/>
  <c r="U419" i="15"/>
  <c r="Y418" i="15"/>
  <c r="AA418" i="15" s="1"/>
  <c r="AB418" i="15" s="1"/>
  <c r="U418" i="15"/>
  <c r="Y417" i="15"/>
  <c r="AA417" i="15" s="1"/>
  <c r="AB417" i="15" s="1"/>
  <c r="U417" i="15"/>
  <c r="Y416" i="15"/>
  <c r="AA416" i="15" s="1"/>
  <c r="AB416" i="15" s="1"/>
  <c r="U416" i="15"/>
  <c r="Y415" i="15"/>
  <c r="AA415" i="15" s="1"/>
  <c r="AB415" i="15" s="1"/>
  <c r="U415" i="15"/>
  <c r="Y414" i="15"/>
  <c r="AA414" i="15" s="1"/>
  <c r="AB414" i="15" s="1"/>
  <c r="U414" i="15"/>
  <c r="Y413" i="15"/>
  <c r="AA413" i="15" s="1"/>
  <c r="AB413" i="15" s="1"/>
  <c r="U413" i="15"/>
  <c r="Y412" i="15"/>
  <c r="AA412" i="15" s="1"/>
  <c r="AB412" i="15" s="1"/>
  <c r="U412" i="15"/>
  <c r="Y411" i="15"/>
  <c r="AA411" i="15" s="1"/>
  <c r="AB411" i="15" s="1"/>
  <c r="U411" i="15"/>
  <c r="Y410" i="15"/>
  <c r="AA410" i="15" s="1"/>
  <c r="AB410" i="15" s="1"/>
  <c r="U410" i="15"/>
  <c r="Y409" i="15"/>
  <c r="AA409" i="15" s="1"/>
  <c r="AB409" i="15" s="1"/>
  <c r="U409" i="15"/>
  <c r="Y408" i="15"/>
  <c r="AA408" i="15" s="1"/>
  <c r="AB408" i="15" s="1"/>
  <c r="U408" i="15"/>
  <c r="Y407" i="15"/>
  <c r="AA407" i="15" s="1"/>
  <c r="AB407" i="15" s="1"/>
  <c r="U407" i="15"/>
  <c r="Y406" i="15"/>
  <c r="AA406" i="15" s="1"/>
  <c r="AB406" i="15" s="1"/>
  <c r="U406" i="15"/>
  <c r="Y405" i="15"/>
  <c r="AA405" i="15" s="1"/>
  <c r="AB405" i="15" s="1"/>
  <c r="U405" i="15"/>
  <c r="Y404" i="15"/>
  <c r="AA404" i="15" s="1"/>
  <c r="AB404" i="15" s="1"/>
  <c r="U404" i="15"/>
  <c r="Y403" i="15"/>
  <c r="AA403" i="15" s="1"/>
  <c r="AB403" i="15" s="1"/>
  <c r="U403" i="15"/>
  <c r="Y402" i="15"/>
  <c r="AA402" i="15" s="1"/>
  <c r="AB402" i="15" s="1"/>
  <c r="U402" i="15"/>
  <c r="Y401" i="15"/>
  <c r="AA401" i="15" s="1"/>
  <c r="AB401" i="15" s="1"/>
  <c r="U401" i="15"/>
  <c r="Y400" i="15"/>
  <c r="AA400" i="15" s="1"/>
  <c r="AB400" i="15" s="1"/>
  <c r="U400" i="15"/>
  <c r="Y399" i="15"/>
  <c r="AA399" i="15" s="1"/>
  <c r="AB399" i="15" s="1"/>
  <c r="U399" i="15"/>
  <c r="Y398" i="15"/>
  <c r="AA398" i="15" s="1"/>
  <c r="AB398" i="15" s="1"/>
  <c r="U398" i="15"/>
  <c r="Y396" i="15"/>
  <c r="AA396" i="15" s="1"/>
  <c r="AB396" i="15" s="1"/>
  <c r="U396" i="15"/>
  <c r="Y395" i="15"/>
  <c r="AA395" i="15" s="1"/>
  <c r="AB395" i="15" s="1"/>
  <c r="U395" i="15"/>
  <c r="Y394" i="15"/>
  <c r="AA394" i="15" s="1"/>
  <c r="AB394" i="15" s="1"/>
  <c r="U394" i="15"/>
  <c r="Y393" i="15"/>
  <c r="AA393" i="15" s="1"/>
  <c r="AB393" i="15" s="1"/>
  <c r="U393" i="15"/>
  <c r="Y392" i="15"/>
  <c r="AA392" i="15" s="1"/>
  <c r="AB392" i="15" s="1"/>
  <c r="U392" i="15"/>
  <c r="Y391" i="15"/>
  <c r="AA391" i="15" s="1"/>
  <c r="AB391" i="15" s="1"/>
  <c r="U391" i="15"/>
  <c r="Y390" i="15"/>
  <c r="AA390" i="15" s="1"/>
  <c r="AB390" i="15" s="1"/>
  <c r="U390" i="15"/>
  <c r="Y389" i="15"/>
  <c r="AA389" i="15" s="1"/>
  <c r="AB389" i="15" s="1"/>
  <c r="U389" i="15"/>
  <c r="Y387" i="15"/>
  <c r="AA387" i="15" s="1"/>
  <c r="W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D387" i="15"/>
  <c r="C387" i="15"/>
  <c r="Y385" i="15"/>
  <c r="AA385" i="15" s="1"/>
  <c r="AB385" i="15" s="1"/>
  <c r="U385" i="15"/>
  <c r="Y384" i="15"/>
  <c r="AA384" i="15" s="1"/>
  <c r="AB384" i="15" s="1"/>
  <c r="U384" i="15"/>
  <c r="Y383" i="15"/>
  <c r="AA383" i="15" s="1"/>
  <c r="AB383" i="15" s="1"/>
  <c r="U383" i="15"/>
  <c r="Y382" i="15"/>
  <c r="AA382" i="15" s="1"/>
  <c r="AB382" i="15" s="1"/>
  <c r="U382" i="15"/>
  <c r="Y381" i="15"/>
  <c r="AA381" i="15" s="1"/>
  <c r="AB381" i="15" s="1"/>
  <c r="U381" i="15"/>
  <c r="Y380" i="15"/>
  <c r="AA380" i="15" s="1"/>
  <c r="AB380" i="15" s="1"/>
  <c r="U380" i="15"/>
  <c r="Y379" i="15"/>
  <c r="AA379" i="15" s="1"/>
  <c r="AB379" i="15" s="1"/>
  <c r="U379" i="15"/>
  <c r="Y378" i="15"/>
  <c r="AA378" i="15" s="1"/>
  <c r="AB378" i="15" s="1"/>
  <c r="U378" i="15"/>
  <c r="Y377" i="15"/>
  <c r="AA377" i="15" s="1"/>
  <c r="AB377" i="15" s="1"/>
  <c r="U377" i="15"/>
  <c r="Y376" i="15"/>
  <c r="AA376" i="15" s="1"/>
  <c r="AB376" i="15" s="1"/>
  <c r="U376" i="15"/>
  <c r="Y375" i="15"/>
  <c r="AA375" i="15" s="1"/>
  <c r="AB375" i="15" s="1"/>
  <c r="U375" i="15"/>
  <c r="Y374" i="15"/>
  <c r="AA374" i="15" s="1"/>
  <c r="AB374" i="15" s="1"/>
  <c r="U374" i="15"/>
  <c r="Y373" i="15"/>
  <c r="AA373" i="15" s="1"/>
  <c r="AB373" i="15" s="1"/>
  <c r="U373" i="15"/>
  <c r="Y372" i="15"/>
  <c r="AA372" i="15" s="1"/>
  <c r="AB372" i="15" s="1"/>
  <c r="U372" i="15"/>
  <c r="Y371" i="15"/>
  <c r="AA371" i="15" s="1"/>
  <c r="AB371" i="15" s="1"/>
  <c r="U371" i="15"/>
  <c r="Y370" i="15"/>
  <c r="AA370" i="15" s="1"/>
  <c r="AB370" i="15" s="1"/>
  <c r="U370" i="15"/>
  <c r="Y369" i="15"/>
  <c r="AA369" i="15" s="1"/>
  <c r="AB369" i="15" s="1"/>
  <c r="U369" i="15"/>
  <c r="Y368" i="15"/>
  <c r="AA368" i="15" s="1"/>
  <c r="AB368" i="15" s="1"/>
  <c r="U368" i="15"/>
  <c r="Y367" i="15"/>
  <c r="AA367" i="15" s="1"/>
  <c r="AB367" i="15" s="1"/>
  <c r="U367" i="15"/>
  <c r="Y366" i="15"/>
  <c r="AA366" i="15" s="1"/>
  <c r="AB366" i="15" s="1"/>
  <c r="U366" i="15"/>
  <c r="Y365" i="15"/>
  <c r="AA365" i="15" s="1"/>
  <c r="AB365" i="15" s="1"/>
  <c r="U365" i="15"/>
  <c r="Y364" i="15"/>
  <c r="AA364" i="15" s="1"/>
  <c r="AB364" i="15" s="1"/>
  <c r="U364" i="15"/>
  <c r="Y363" i="15"/>
  <c r="AA363" i="15" s="1"/>
  <c r="AB363" i="15" s="1"/>
  <c r="U363" i="15"/>
  <c r="Y362" i="15"/>
  <c r="AA362" i="15" s="1"/>
  <c r="AB362" i="15" s="1"/>
  <c r="U362" i="15"/>
  <c r="Y361" i="15"/>
  <c r="AA361" i="15" s="1"/>
  <c r="AB361" i="15" s="1"/>
  <c r="U361" i="15"/>
  <c r="Y360" i="15"/>
  <c r="AA360" i="15" s="1"/>
  <c r="AB360" i="15" s="1"/>
  <c r="U360" i="15"/>
  <c r="Y359" i="15"/>
  <c r="AA359" i="15" s="1"/>
  <c r="AB359" i="15" s="1"/>
  <c r="U359" i="15"/>
  <c r="Y358" i="15"/>
  <c r="AA358" i="15" s="1"/>
  <c r="AB358" i="15" s="1"/>
  <c r="U358" i="15"/>
  <c r="Y357" i="15"/>
  <c r="AA357" i="15" s="1"/>
  <c r="AB357" i="15" s="1"/>
  <c r="U357" i="15"/>
  <c r="Y356" i="15"/>
  <c r="AA356" i="15" s="1"/>
  <c r="AB356" i="15" s="1"/>
  <c r="U356" i="15"/>
  <c r="Y355" i="15"/>
  <c r="AA355" i="15" s="1"/>
  <c r="AB355" i="15" s="1"/>
  <c r="U355" i="15"/>
  <c r="Y354" i="15"/>
  <c r="AA354" i="15" s="1"/>
  <c r="AB354" i="15" s="1"/>
  <c r="U354" i="15"/>
  <c r="Y353" i="15"/>
  <c r="AA353" i="15" s="1"/>
  <c r="AB353" i="15" s="1"/>
  <c r="U353" i="15"/>
  <c r="Y352" i="15"/>
  <c r="AA352" i="15" s="1"/>
  <c r="AB352" i="15" s="1"/>
  <c r="U352" i="15"/>
  <c r="Y351" i="15"/>
  <c r="AA351" i="15" s="1"/>
  <c r="AB351" i="15" s="1"/>
  <c r="U351" i="15"/>
  <c r="Y350" i="15"/>
  <c r="AA350" i="15" s="1"/>
  <c r="AB350" i="15" s="1"/>
  <c r="U350" i="15"/>
  <c r="Y349" i="15"/>
  <c r="AA349" i="15" s="1"/>
  <c r="AB349" i="15" s="1"/>
  <c r="U349" i="15"/>
  <c r="Y348" i="15"/>
  <c r="AA348" i="15" s="1"/>
  <c r="AB348" i="15" s="1"/>
  <c r="U348" i="15"/>
  <c r="Y347" i="15"/>
  <c r="AA347" i="15" s="1"/>
  <c r="AB347" i="15" s="1"/>
  <c r="U347" i="15"/>
  <c r="Y346" i="15"/>
  <c r="AA346" i="15" s="1"/>
  <c r="AB346" i="15" s="1"/>
  <c r="U346" i="15"/>
  <c r="Y345" i="15"/>
  <c r="AA345" i="15" s="1"/>
  <c r="AB345" i="15" s="1"/>
  <c r="U345" i="15"/>
  <c r="Y344" i="15"/>
  <c r="AA344" i="15" s="1"/>
  <c r="AB344" i="15" s="1"/>
  <c r="U344" i="15"/>
  <c r="Y343" i="15"/>
  <c r="AA343" i="15" s="1"/>
  <c r="AB343" i="15" s="1"/>
  <c r="U343" i="15"/>
  <c r="Y342" i="15"/>
  <c r="AA342" i="15" s="1"/>
  <c r="AB342" i="15" s="1"/>
  <c r="U342" i="15"/>
  <c r="Y340" i="15"/>
  <c r="AA340" i="15" s="1"/>
  <c r="W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D340" i="15"/>
  <c r="C340" i="15"/>
  <c r="Y338" i="15"/>
  <c r="AA338" i="15" s="1"/>
  <c r="AB338" i="15" s="1"/>
  <c r="U338" i="15"/>
  <c r="Y337" i="15"/>
  <c r="AA337" i="15" s="1"/>
  <c r="AB337" i="15" s="1"/>
  <c r="U337" i="15"/>
  <c r="Y336" i="15"/>
  <c r="AA336" i="15" s="1"/>
  <c r="AB336" i="15" s="1"/>
  <c r="U336" i="15"/>
  <c r="Y335" i="15"/>
  <c r="AA335" i="15" s="1"/>
  <c r="AB335" i="15" s="1"/>
  <c r="U335" i="15"/>
  <c r="Y334" i="15"/>
  <c r="AA334" i="15" s="1"/>
  <c r="AB334" i="15" s="1"/>
  <c r="U334" i="15"/>
  <c r="Y333" i="15"/>
  <c r="AA333" i="15" s="1"/>
  <c r="AB333" i="15" s="1"/>
  <c r="U333" i="15"/>
  <c r="Y332" i="15"/>
  <c r="AA332" i="15" s="1"/>
  <c r="AB332" i="15" s="1"/>
  <c r="U332" i="15"/>
  <c r="Y331" i="15"/>
  <c r="AA331" i="15" s="1"/>
  <c r="AB331" i="15" s="1"/>
  <c r="U331" i="15"/>
  <c r="Y330" i="15"/>
  <c r="AA330" i="15" s="1"/>
  <c r="AB330" i="15" s="1"/>
  <c r="U330" i="15"/>
  <c r="Y329" i="15"/>
  <c r="AA329" i="15" s="1"/>
  <c r="AB329" i="15" s="1"/>
  <c r="U329" i="15"/>
  <c r="Y328" i="15"/>
  <c r="AA328" i="15" s="1"/>
  <c r="AB328" i="15" s="1"/>
  <c r="U328" i="15"/>
  <c r="Y327" i="15"/>
  <c r="AA327" i="15" s="1"/>
  <c r="AB327" i="15" s="1"/>
  <c r="U327" i="15"/>
  <c r="Y326" i="15"/>
  <c r="AA326" i="15" s="1"/>
  <c r="AB326" i="15" s="1"/>
  <c r="U326" i="15"/>
  <c r="Y325" i="15"/>
  <c r="AA325" i="15" s="1"/>
  <c r="AB325" i="15" s="1"/>
  <c r="U325" i="15"/>
  <c r="Y324" i="15"/>
  <c r="AA324" i="15" s="1"/>
  <c r="AB324" i="15" s="1"/>
  <c r="U324" i="15"/>
  <c r="Y323" i="15"/>
  <c r="AA323" i="15" s="1"/>
  <c r="AB323" i="15" s="1"/>
  <c r="U323" i="15"/>
  <c r="Y322" i="15"/>
  <c r="AA322" i="15" s="1"/>
  <c r="AB322" i="15" s="1"/>
  <c r="U322" i="15"/>
  <c r="Y321" i="15"/>
  <c r="AA321" i="15" s="1"/>
  <c r="AB321" i="15" s="1"/>
  <c r="U321" i="15"/>
  <c r="Y320" i="15"/>
  <c r="AA320" i="15" s="1"/>
  <c r="AB320" i="15" s="1"/>
  <c r="U320" i="15"/>
  <c r="Y319" i="15"/>
  <c r="AA319" i="15" s="1"/>
  <c r="AB319" i="15" s="1"/>
  <c r="U319" i="15"/>
  <c r="Y318" i="15"/>
  <c r="AA318" i="15" s="1"/>
  <c r="AB318" i="15" s="1"/>
  <c r="U318" i="15"/>
  <c r="Y317" i="15"/>
  <c r="AA317" i="15" s="1"/>
  <c r="AB317" i="15" s="1"/>
  <c r="U317" i="15"/>
  <c r="Y316" i="15"/>
  <c r="AA316" i="15" s="1"/>
  <c r="AB316" i="15" s="1"/>
  <c r="U316" i="15"/>
  <c r="Y314" i="15"/>
  <c r="AA314" i="15" s="1"/>
  <c r="W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D314" i="15"/>
  <c r="C314" i="15"/>
  <c r="Y312" i="15"/>
  <c r="AA312" i="15" s="1"/>
  <c r="AB312" i="15" s="1"/>
  <c r="U312" i="15"/>
  <c r="Y311" i="15"/>
  <c r="AA311" i="15" s="1"/>
  <c r="AB311" i="15" s="1"/>
  <c r="U311" i="15"/>
  <c r="Y310" i="15"/>
  <c r="AA310" i="15" s="1"/>
  <c r="AB310" i="15" s="1"/>
  <c r="U310" i="15"/>
  <c r="Y309" i="15"/>
  <c r="AA309" i="15" s="1"/>
  <c r="AB309" i="15" s="1"/>
  <c r="U309" i="15"/>
  <c r="Y308" i="15"/>
  <c r="AA308" i="15" s="1"/>
  <c r="AB308" i="15" s="1"/>
  <c r="U308" i="15"/>
  <c r="Y307" i="15"/>
  <c r="AA307" i="15" s="1"/>
  <c r="AB307" i="15" s="1"/>
  <c r="U307" i="15"/>
  <c r="Y306" i="15"/>
  <c r="AA306" i="15" s="1"/>
  <c r="AB306" i="15" s="1"/>
  <c r="U306" i="15"/>
  <c r="Y305" i="15"/>
  <c r="AA305" i="15" s="1"/>
  <c r="AB305" i="15" s="1"/>
  <c r="U305" i="15"/>
  <c r="Y304" i="15"/>
  <c r="AA304" i="15" s="1"/>
  <c r="AB304" i="15" s="1"/>
  <c r="U304" i="15"/>
  <c r="Y303" i="15"/>
  <c r="AA303" i="15" s="1"/>
  <c r="AB303" i="15" s="1"/>
  <c r="U303" i="15"/>
  <c r="Y302" i="15"/>
  <c r="AA302" i="15" s="1"/>
  <c r="AB302" i="15" s="1"/>
  <c r="U302" i="15"/>
  <c r="Y301" i="15"/>
  <c r="AA301" i="15" s="1"/>
  <c r="AB301" i="15" s="1"/>
  <c r="U301" i="15"/>
  <c r="Y300" i="15"/>
  <c r="AA300" i="15" s="1"/>
  <c r="AB300" i="15" s="1"/>
  <c r="U300" i="15"/>
  <c r="Y299" i="15"/>
  <c r="AA299" i="15" s="1"/>
  <c r="AB299" i="15" s="1"/>
  <c r="U299" i="15"/>
  <c r="Y298" i="15"/>
  <c r="AA298" i="15" s="1"/>
  <c r="AB298" i="15" s="1"/>
  <c r="U298" i="15"/>
  <c r="Y297" i="15"/>
  <c r="AA297" i="15" s="1"/>
  <c r="AB297" i="15" s="1"/>
  <c r="U297" i="15"/>
  <c r="Y296" i="15"/>
  <c r="AA296" i="15" s="1"/>
  <c r="AB296" i="15" s="1"/>
  <c r="U296" i="15"/>
  <c r="Y295" i="15"/>
  <c r="AA295" i="15" s="1"/>
  <c r="AB295" i="15" s="1"/>
  <c r="U295" i="15"/>
  <c r="Y294" i="15"/>
  <c r="AA294" i="15" s="1"/>
  <c r="AB294" i="15" s="1"/>
  <c r="U294" i="15"/>
  <c r="Y293" i="15"/>
  <c r="AA293" i="15" s="1"/>
  <c r="AB293" i="15" s="1"/>
  <c r="U293" i="15"/>
  <c r="Y292" i="15"/>
  <c r="AA292" i="15" s="1"/>
  <c r="AB292" i="15" s="1"/>
  <c r="U292" i="15"/>
  <c r="Y291" i="15"/>
  <c r="AA291" i="15" s="1"/>
  <c r="AB291" i="15" s="1"/>
  <c r="U291" i="15"/>
  <c r="Y290" i="15"/>
  <c r="AA290" i="15" s="1"/>
  <c r="AB290" i="15" s="1"/>
  <c r="U290" i="15"/>
  <c r="Y289" i="15"/>
  <c r="AA289" i="15" s="1"/>
  <c r="AB289" i="15" s="1"/>
  <c r="U289" i="15"/>
  <c r="Y288" i="15"/>
  <c r="AA288" i="15" s="1"/>
  <c r="AB288" i="15" s="1"/>
  <c r="U288" i="15"/>
  <c r="Y287" i="15"/>
  <c r="AA287" i="15" s="1"/>
  <c r="AB287" i="15" s="1"/>
  <c r="U287" i="15"/>
  <c r="Y286" i="15"/>
  <c r="AA286" i="15" s="1"/>
  <c r="AB286" i="15" s="1"/>
  <c r="U286" i="15"/>
  <c r="Y284" i="15"/>
  <c r="AA284" i="15" s="1"/>
  <c r="W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D284" i="15"/>
  <c r="C284" i="15"/>
  <c r="X283" i="15"/>
  <c r="Y282" i="15"/>
  <c r="AA282" i="15" s="1"/>
  <c r="Y281" i="15"/>
  <c r="AA281" i="15" s="1"/>
  <c r="AB281" i="15" s="1"/>
  <c r="U281" i="15"/>
  <c r="Y280" i="15"/>
  <c r="AA280" i="15" s="1"/>
  <c r="AB280" i="15" s="1"/>
  <c r="U280" i="15"/>
  <c r="Y279" i="15"/>
  <c r="AA279" i="15" s="1"/>
  <c r="AB279" i="15" s="1"/>
  <c r="U279" i="15"/>
  <c r="Y278" i="15"/>
  <c r="AA278" i="15" s="1"/>
  <c r="AB278" i="15" s="1"/>
  <c r="U278" i="15"/>
  <c r="Y277" i="15"/>
  <c r="AA277" i="15" s="1"/>
  <c r="AB277" i="15" s="1"/>
  <c r="U277" i="15"/>
  <c r="Y276" i="15"/>
  <c r="AA276" i="15" s="1"/>
  <c r="AB276" i="15" s="1"/>
  <c r="U276" i="15"/>
  <c r="Y275" i="15"/>
  <c r="AA275" i="15" s="1"/>
  <c r="AB275" i="15" s="1"/>
  <c r="U275" i="15"/>
  <c r="Y274" i="15"/>
  <c r="AA274" i="15" s="1"/>
  <c r="AB274" i="15" s="1"/>
  <c r="U274" i="15"/>
  <c r="Y273" i="15"/>
  <c r="AA273" i="15" s="1"/>
  <c r="AB273" i="15" s="1"/>
  <c r="U273" i="15"/>
  <c r="Y272" i="15"/>
  <c r="AA272" i="15" s="1"/>
  <c r="AB272" i="15" s="1"/>
  <c r="U272" i="15"/>
  <c r="Y271" i="15"/>
  <c r="AA271" i="15" s="1"/>
  <c r="AB271" i="15" s="1"/>
  <c r="U271" i="15"/>
  <c r="Y270" i="15"/>
  <c r="AA270" i="15" s="1"/>
  <c r="AB270" i="15" s="1"/>
  <c r="U270" i="15"/>
  <c r="Y269" i="15"/>
  <c r="AA269" i="15" s="1"/>
  <c r="AB269" i="15" s="1"/>
  <c r="U269" i="15"/>
  <c r="Y268" i="15"/>
  <c r="AA268" i="15" s="1"/>
  <c r="AB268" i="15" s="1"/>
  <c r="U268" i="15"/>
  <c r="Y267" i="15"/>
  <c r="AA267" i="15" s="1"/>
  <c r="AB267" i="15" s="1"/>
  <c r="U267" i="15"/>
  <c r="Y266" i="15"/>
  <c r="AA266" i="15" s="1"/>
  <c r="AB266" i="15" s="1"/>
  <c r="U266" i="15"/>
  <c r="Y265" i="15"/>
  <c r="AA265" i="15" s="1"/>
  <c r="AB265" i="15" s="1"/>
  <c r="U265" i="15"/>
  <c r="Y263" i="15"/>
  <c r="AA263" i="15" s="1"/>
  <c r="W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D263" i="15"/>
  <c r="C263" i="15"/>
  <c r="Y261" i="15"/>
  <c r="AA261" i="15" s="1"/>
  <c r="AB261" i="15" s="1"/>
  <c r="Y260" i="15"/>
  <c r="AA260" i="15" s="1"/>
  <c r="AB260" i="15" s="1"/>
  <c r="U260" i="15"/>
  <c r="Y259" i="15"/>
  <c r="AA259" i="15" s="1"/>
  <c r="AB259" i="15" s="1"/>
  <c r="U259" i="15"/>
  <c r="Y258" i="15"/>
  <c r="AA258" i="15" s="1"/>
  <c r="AB258" i="15" s="1"/>
  <c r="U258" i="15"/>
  <c r="Y257" i="15"/>
  <c r="AA257" i="15" s="1"/>
  <c r="AB257" i="15" s="1"/>
  <c r="U257" i="15"/>
  <c r="Y256" i="15"/>
  <c r="AA256" i="15" s="1"/>
  <c r="AB256" i="15" s="1"/>
  <c r="U256" i="15"/>
  <c r="Y255" i="15"/>
  <c r="AA255" i="15" s="1"/>
  <c r="AB255" i="15" s="1"/>
  <c r="U255" i="15"/>
  <c r="Y254" i="15"/>
  <c r="AA254" i="15" s="1"/>
  <c r="AB254" i="15" s="1"/>
  <c r="U254" i="15"/>
  <c r="Y253" i="15"/>
  <c r="AA253" i="15" s="1"/>
  <c r="AB253" i="15" s="1"/>
  <c r="U253" i="15"/>
  <c r="Y252" i="15"/>
  <c r="AA252" i="15" s="1"/>
  <c r="AB252" i="15" s="1"/>
  <c r="U252" i="15"/>
  <c r="Y251" i="15"/>
  <c r="AA251" i="15" s="1"/>
  <c r="AB251" i="15" s="1"/>
  <c r="U251" i="15"/>
  <c r="Y250" i="15"/>
  <c r="AA250" i="15" s="1"/>
  <c r="AB250" i="15" s="1"/>
  <c r="U250" i="15"/>
  <c r="Y249" i="15"/>
  <c r="AA249" i="15" s="1"/>
  <c r="AB249" i="15" s="1"/>
  <c r="U249" i="15"/>
  <c r="Y248" i="15"/>
  <c r="AA248" i="15" s="1"/>
  <c r="AB248" i="15" s="1"/>
  <c r="U248" i="15"/>
  <c r="Y247" i="15"/>
  <c r="AA247" i="15" s="1"/>
  <c r="AB247" i="15" s="1"/>
  <c r="U247" i="15"/>
  <c r="Y246" i="15"/>
  <c r="AA246" i="15" s="1"/>
  <c r="AB246" i="15" s="1"/>
  <c r="U246" i="15"/>
  <c r="Y245" i="15"/>
  <c r="AA245" i="15" s="1"/>
  <c r="AB245" i="15" s="1"/>
  <c r="U245" i="15"/>
  <c r="Y243" i="15"/>
  <c r="AA243" i="15" s="1"/>
  <c r="W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Y241" i="15"/>
  <c r="AA241" i="15" s="1"/>
  <c r="AB241" i="15" s="1"/>
  <c r="U241" i="15"/>
  <c r="Y240" i="15"/>
  <c r="AA240" i="15" s="1"/>
  <c r="AB240" i="15" s="1"/>
  <c r="U240" i="15"/>
  <c r="Y239" i="15"/>
  <c r="AA239" i="15" s="1"/>
  <c r="AB239" i="15" s="1"/>
  <c r="U239" i="15"/>
  <c r="Y238" i="15"/>
  <c r="AA238" i="15" s="1"/>
  <c r="AB238" i="15" s="1"/>
  <c r="U238" i="15"/>
  <c r="Y237" i="15"/>
  <c r="AA237" i="15" s="1"/>
  <c r="AB237" i="15" s="1"/>
  <c r="U237" i="15"/>
  <c r="Y236" i="15"/>
  <c r="AA236" i="15" s="1"/>
  <c r="AB236" i="15" s="1"/>
  <c r="U236" i="15"/>
  <c r="Y235" i="15"/>
  <c r="AA235" i="15" s="1"/>
  <c r="AB235" i="15" s="1"/>
  <c r="U235" i="15"/>
  <c r="Y234" i="15"/>
  <c r="AA234" i="15" s="1"/>
  <c r="AB234" i="15" s="1"/>
  <c r="U234" i="15"/>
  <c r="Y233" i="15"/>
  <c r="AA233" i="15" s="1"/>
  <c r="AB233" i="15" s="1"/>
  <c r="U233" i="15"/>
  <c r="Y232" i="15"/>
  <c r="AA232" i="15" s="1"/>
  <c r="AB232" i="15" s="1"/>
  <c r="U232" i="15"/>
  <c r="Y231" i="15"/>
  <c r="AA231" i="15" s="1"/>
  <c r="AB231" i="15" s="1"/>
  <c r="U231" i="15"/>
  <c r="Y229" i="15"/>
  <c r="AA229" i="15" s="1"/>
  <c r="W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Y227" i="15"/>
  <c r="AA227" i="15" s="1"/>
  <c r="AB227" i="15" s="1"/>
  <c r="U227" i="15"/>
  <c r="Y226" i="15"/>
  <c r="AA226" i="15" s="1"/>
  <c r="AB226" i="15" s="1"/>
  <c r="U226" i="15"/>
  <c r="Y225" i="15"/>
  <c r="AA225" i="15" s="1"/>
  <c r="AB225" i="15" s="1"/>
  <c r="U225" i="15"/>
  <c r="Y224" i="15"/>
  <c r="AA224" i="15" s="1"/>
  <c r="AB224" i="15" s="1"/>
  <c r="U224" i="15"/>
  <c r="Y223" i="15"/>
  <c r="AA223" i="15" s="1"/>
  <c r="AB223" i="15" s="1"/>
  <c r="U223" i="15"/>
  <c r="Y222" i="15"/>
  <c r="AA222" i="15" s="1"/>
  <c r="AB222" i="15" s="1"/>
  <c r="U222" i="15"/>
  <c r="Y221" i="15"/>
  <c r="AA221" i="15" s="1"/>
  <c r="AB221" i="15" s="1"/>
  <c r="U221" i="15"/>
  <c r="Y220" i="15"/>
  <c r="AA220" i="15" s="1"/>
  <c r="AB220" i="15" s="1"/>
  <c r="U220" i="15"/>
  <c r="Y219" i="15"/>
  <c r="AA219" i="15" s="1"/>
  <c r="AB219" i="15" s="1"/>
  <c r="U219" i="15"/>
  <c r="Y218" i="15"/>
  <c r="AA218" i="15" s="1"/>
  <c r="AB218" i="15" s="1"/>
  <c r="U218" i="15"/>
  <c r="Y217" i="15"/>
  <c r="AA217" i="15" s="1"/>
  <c r="AB217" i="15" s="1"/>
  <c r="U217" i="15"/>
  <c r="Y216" i="15"/>
  <c r="AA216" i="15" s="1"/>
  <c r="AB216" i="15" s="1"/>
  <c r="U216" i="15"/>
  <c r="Y215" i="15"/>
  <c r="AA215" i="15" s="1"/>
  <c r="AB215" i="15" s="1"/>
  <c r="U215" i="15"/>
  <c r="Y214" i="15"/>
  <c r="AA214" i="15" s="1"/>
  <c r="AB214" i="15" s="1"/>
  <c r="U214" i="15"/>
  <c r="Y213" i="15"/>
  <c r="AA213" i="15" s="1"/>
  <c r="AB213" i="15" s="1"/>
  <c r="U213" i="15"/>
  <c r="Y212" i="15"/>
  <c r="AA212" i="15" s="1"/>
  <c r="AB212" i="15" s="1"/>
  <c r="U212" i="15"/>
  <c r="Y211" i="15"/>
  <c r="AA211" i="15" s="1"/>
  <c r="AB211" i="15" s="1"/>
  <c r="U211" i="15"/>
  <c r="Y210" i="15"/>
  <c r="AA210" i="15" s="1"/>
  <c r="AB210" i="15" s="1"/>
  <c r="U210" i="15"/>
  <c r="Y209" i="15"/>
  <c r="AA209" i="15" s="1"/>
  <c r="AB209" i="15" s="1"/>
  <c r="U209" i="15"/>
  <c r="Y208" i="15"/>
  <c r="AA208" i="15" s="1"/>
  <c r="AB208" i="15" s="1"/>
  <c r="U208" i="15"/>
  <c r="Y207" i="15"/>
  <c r="AA207" i="15" s="1"/>
  <c r="AB207" i="15" s="1"/>
  <c r="U207" i="15"/>
  <c r="Y206" i="15"/>
  <c r="AA206" i="15" s="1"/>
  <c r="AB206" i="15" s="1"/>
  <c r="U206" i="15"/>
  <c r="Y205" i="15"/>
  <c r="AA205" i="15" s="1"/>
  <c r="AB205" i="15" s="1"/>
  <c r="U205" i="15"/>
  <c r="Y204" i="15"/>
  <c r="AA204" i="15" s="1"/>
  <c r="AB204" i="15" s="1"/>
  <c r="U204" i="15"/>
  <c r="Y203" i="15"/>
  <c r="AA203" i="15" s="1"/>
  <c r="AB203" i="15" s="1"/>
  <c r="U203" i="15"/>
  <c r="Y202" i="15"/>
  <c r="AA202" i="15" s="1"/>
  <c r="AB202" i="15" s="1"/>
  <c r="U202" i="15"/>
  <c r="Y201" i="15"/>
  <c r="AA201" i="15" s="1"/>
  <c r="AB201" i="15" s="1"/>
  <c r="U201" i="15"/>
  <c r="Y199" i="15"/>
  <c r="AA199" i="15" s="1"/>
  <c r="W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D199" i="15"/>
  <c r="C199" i="15"/>
  <c r="Y197" i="15"/>
  <c r="AA197" i="15" s="1"/>
  <c r="AB197" i="15" s="1"/>
  <c r="U197" i="15"/>
  <c r="Y196" i="15"/>
  <c r="AA196" i="15" s="1"/>
  <c r="AB196" i="15" s="1"/>
  <c r="U196" i="15"/>
  <c r="Y195" i="15"/>
  <c r="AA195" i="15" s="1"/>
  <c r="AB195" i="15" s="1"/>
  <c r="U195" i="15"/>
  <c r="Y194" i="15"/>
  <c r="AA194" i="15" s="1"/>
  <c r="AB194" i="15" s="1"/>
  <c r="U194" i="15"/>
  <c r="Y193" i="15"/>
  <c r="AA193" i="15" s="1"/>
  <c r="AB193" i="15" s="1"/>
  <c r="U193" i="15"/>
  <c r="Y192" i="15"/>
  <c r="AA192" i="15" s="1"/>
  <c r="AB192" i="15" s="1"/>
  <c r="U192" i="15"/>
  <c r="Y191" i="15"/>
  <c r="AA191" i="15" s="1"/>
  <c r="AB191" i="15" s="1"/>
  <c r="U191" i="15"/>
  <c r="Y190" i="15"/>
  <c r="AA190" i="15" s="1"/>
  <c r="AB190" i="15" s="1"/>
  <c r="U190" i="15"/>
  <c r="Y189" i="15"/>
  <c r="AA189" i="15" s="1"/>
  <c r="AB189" i="15" s="1"/>
  <c r="U189" i="15"/>
  <c r="Y188" i="15"/>
  <c r="AA188" i="15" s="1"/>
  <c r="AB188" i="15" s="1"/>
  <c r="U188" i="15"/>
  <c r="Y187" i="15"/>
  <c r="AA187" i="15" s="1"/>
  <c r="AB187" i="15" s="1"/>
  <c r="U187" i="15"/>
  <c r="Y186" i="15"/>
  <c r="AA186" i="15" s="1"/>
  <c r="AB186" i="15" s="1"/>
  <c r="U186" i="15"/>
  <c r="Y185" i="15"/>
  <c r="AA185" i="15" s="1"/>
  <c r="AB185" i="15" s="1"/>
  <c r="U185" i="15"/>
  <c r="Y184" i="15"/>
  <c r="AA184" i="15" s="1"/>
  <c r="AB184" i="15" s="1"/>
  <c r="U184" i="15"/>
  <c r="Y183" i="15"/>
  <c r="AA183" i="15" s="1"/>
  <c r="AB183" i="15" s="1"/>
  <c r="U183" i="15"/>
  <c r="Y182" i="15"/>
  <c r="AA182" i="15" s="1"/>
  <c r="AB182" i="15" s="1"/>
  <c r="U182" i="15"/>
  <c r="Y181" i="15"/>
  <c r="AA181" i="15" s="1"/>
  <c r="AB181" i="15" s="1"/>
  <c r="U181" i="15"/>
  <c r="Y180" i="15"/>
  <c r="AA180" i="15" s="1"/>
  <c r="AB180" i="15" s="1"/>
  <c r="U180" i="15"/>
  <c r="Y179" i="15"/>
  <c r="AA179" i="15" s="1"/>
  <c r="AB179" i="15" s="1"/>
  <c r="U179" i="15"/>
  <c r="Y178" i="15"/>
  <c r="AA178" i="15" s="1"/>
  <c r="AB178" i="15" s="1"/>
  <c r="U178" i="15"/>
  <c r="Y176" i="15"/>
  <c r="AA176" i="15" s="1"/>
  <c r="W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D176" i="15"/>
  <c r="C176" i="15"/>
  <c r="Y174" i="15"/>
  <c r="AA174" i="15" s="1"/>
  <c r="AB174" i="15" s="1"/>
  <c r="U174" i="15"/>
  <c r="Y173" i="15"/>
  <c r="AA173" i="15" s="1"/>
  <c r="AB173" i="15" s="1"/>
  <c r="U173" i="15"/>
  <c r="Y172" i="15"/>
  <c r="AA172" i="15" s="1"/>
  <c r="AB172" i="15" s="1"/>
  <c r="U172" i="15"/>
  <c r="Y171" i="15"/>
  <c r="AA171" i="15" s="1"/>
  <c r="AB171" i="15" s="1"/>
  <c r="U171" i="15"/>
  <c r="Y170" i="15"/>
  <c r="AA170" i="15" s="1"/>
  <c r="AB170" i="15" s="1"/>
  <c r="U170" i="15"/>
  <c r="Y169" i="15"/>
  <c r="AA169" i="15" s="1"/>
  <c r="AB169" i="15" s="1"/>
  <c r="U169" i="15"/>
  <c r="Y168" i="15"/>
  <c r="AA168" i="15" s="1"/>
  <c r="AB168" i="15" s="1"/>
  <c r="U168" i="15"/>
  <c r="Y167" i="15"/>
  <c r="AA167" i="15" s="1"/>
  <c r="AB167" i="15" s="1"/>
  <c r="U167" i="15"/>
  <c r="Y166" i="15"/>
  <c r="AA166" i="15" s="1"/>
  <c r="AB166" i="15" s="1"/>
  <c r="U166" i="15"/>
  <c r="Y165" i="15"/>
  <c r="AA165" i="15" s="1"/>
  <c r="AB165" i="15" s="1"/>
  <c r="U165" i="15"/>
  <c r="Y164" i="15"/>
  <c r="AA164" i="15" s="1"/>
  <c r="AB164" i="15" s="1"/>
  <c r="U164" i="15"/>
  <c r="Y163" i="15"/>
  <c r="AA163" i="15" s="1"/>
  <c r="AB163" i="15" s="1"/>
  <c r="U163" i="15"/>
  <c r="Y162" i="15"/>
  <c r="AA162" i="15" s="1"/>
  <c r="AB162" i="15" s="1"/>
  <c r="U162" i="15"/>
  <c r="Y161" i="15"/>
  <c r="AA161" i="15" s="1"/>
  <c r="AB161" i="15" s="1"/>
  <c r="U161" i="15"/>
  <c r="Y160" i="15"/>
  <c r="AA160" i="15" s="1"/>
  <c r="AB160" i="15" s="1"/>
  <c r="U160" i="15"/>
  <c r="Y159" i="15"/>
  <c r="AA159" i="15" s="1"/>
  <c r="AB159" i="15" s="1"/>
  <c r="U159" i="15"/>
  <c r="Y158" i="15"/>
  <c r="AA158" i="15" s="1"/>
  <c r="AB158" i="15" s="1"/>
  <c r="U158" i="15"/>
  <c r="Y157" i="15"/>
  <c r="AA157" i="15" s="1"/>
  <c r="AB157" i="15" s="1"/>
  <c r="U157" i="15"/>
  <c r="Y156" i="15"/>
  <c r="AA156" i="15" s="1"/>
  <c r="AB156" i="15" s="1"/>
  <c r="U156" i="15"/>
  <c r="Y155" i="15"/>
  <c r="AA155" i="15" s="1"/>
  <c r="AB155" i="15" s="1"/>
  <c r="U155" i="15"/>
  <c r="Y154" i="15"/>
  <c r="AA154" i="15" s="1"/>
  <c r="AB154" i="15" s="1"/>
  <c r="U154" i="15"/>
  <c r="Y152" i="15"/>
  <c r="AA152" i="15" s="1"/>
  <c r="W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C152" i="15"/>
  <c r="X151" i="15"/>
  <c r="Y149" i="15"/>
  <c r="AA149" i="15" s="1"/>
  <c r="AB149" i="15" s="1"/>
  <c r="U149" i="15"/>
  <c r="Y148" i="15"/>
  <c r="AA148" i="15" s="1"/>
  <c r="AB148" i="15" s="1"/>
  <c r="U148" i="15"/>
  <c r="Y147" i="15"/>
  <c r="AA147" i="15" s="1"/>
  <c r="AB147" i="15" s="1"/>
  <c r="U147" i="15"/>
  <c r="Y146" i="15"/>
  <c r="AA146" i="15" s="1"/>
  <c r="AB146" i="15" s="1"/>
  <c r="U146" i="15"/>
  <c r="Y145" i="15"/>
  <c r="AA145" i="15" s="1"/>
  <c r="AB145" i="15" s="1"/>
  <c r="U145" i="15"/>
  <c r="Y144" i="15"/>
  <c r="AA144" i="15" s="1"/>
  <c r="AB144" i="15" s="1"/>
  <c r="U144" i="15"/>
  <c r="Y143" i="15"/>
  <c r="AA143" i="15" s="1"/>
  <c r="AB143" i="15" s="1"/>
  <c r="U143" i="15"/>
  <c r="Y142" i="15"/>
  <c r="AA142" i="15" s="1"/>
  <c r="AB142" i="15" s="1"/>
  <c r="U142" i="15"/>
  <c r="Y141" i="15"/>
  <c r="AA141" i="15" s="1"/>
  <c r="AB141" i="15" s="1"/>
  <c r="U141" i="15"/>
  <c r="Y140" i="15"/>
  <c r="AA140" i="15" s="1"/>
  <c r="AB140" i="15" s="1"/>
  <c r="U140" i="15"/>
  <c r="Y139" i="15"/>
  <c r="AA139" i="15" s="1"/>
  <c r="AB139" i="15" s="1"/>
  <c r="U139" i="15"/>
  <c r="Y138" i="15"/>
  <c r="AA138" i="15" s="1"/>
  <c r="AB138" i="15" s="1"/>
  <c r="U138" i="15"/>
  <c r="Y137" i="15"/>
  <c r="AA137" i="15" s="1"/>
  <c r="AB137" i="15" s="1"/>
  <c r="U137" i="15"/>
  <c r="Y136" i="15"/>
  <c r="AA136" i="15" s="1"/>
  <c r="AB136" i="15" s="1"/>
  <c r="U136" i="15"/>
  <c r="Y135" i="15"/>
  <c r="AA135" i="15" s="1"/>
  <c r="AB135" i="15" s="1"/>
  <c r="U135" i="15"/>
  <c r="Y134" i="15"/>
  <c r="AA134" i="15" s="1"/>
  <c r="AB134" i="15" s="1"/>
  <c r="U134" i="15"/>
  <c r="Y133" i="15"/>
  <c r="AA133" i="15" s="1"/>
  <c r="AB133" i="15" s="1"/>
  <c r="U133" i="15"/>
  <c r="Y131" i="15"/>
  <c r="AA131" i="15" s="1"/>
  <c r="W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C131" i="15"/>
  <c r="Y129" i="15"/>
  <c r="AA129" i="15" s="1"/>
  <c r="AB129" i="15" s="1"/>
  <c r="U129" i="15"/>
  <c r="Y128" i="15"/>
  <c r="AA128" i="15" s="1"/>
  <c r="AB128" i="15" s="1"/>
  <c r="U128" i="15"/>
  <c r="Y127" i="15"/>
  <c r="AA127" i="15" s="1"/>
  <c r="AB127" i="15" s="1"/>
  <c r="U127" i="15"/>
  <c r="Y126" i="15"/>
  <c r="AA126" i="15" s="1"/>
  <c r="AB126" i="15" s="1"/>
  <c r="U126" i="15"/>
  <c r="Y125" i="15"/>
  <c r="AA125" i="15" s="1"/>
  <c r="AB125" i="15" s="1"/>
  <c r="U125" i="15"/>
  <c r="Y124" i="15"/>
  <c r="AA124" i="15" s="1"/>
  <c r="AB124" i="15" s="1"/>
  <c r="U124" i="15"/>
  <c r="Y123" i="15"/>
  <c r="AA123" i="15" s="1"/>
  <c r="AB123" i="15" s="1"/>
  <c r="U123" i="15"/>
  <c r="Y122" i="15"/>
  <c r="AA122" i="15" s="1"/>
  <c r="AB122" i="15" s="1"/>
  <c r="U122" i="15"/>
  <c r="Y121" i="15"/>
  <c r="AA121" i="15" s="1"/>
  <c r="AB121" i="15" s="1"/>
  <c r="U121" i="15"/>
  <c r="Y120" i="15"/>
  <c r="AA120" i="15" s="1"/>
  <c r="AB120" i="15" s="1"/>
  <c r="U120" i="15"/>
  <c r="Y119" i="15"/>
  <c r="AA119" i="15" s="1"/>
  <c r="AB119" i="15" s="1"/>
  <c r="U119" i="15"/>
  <c r="Y118" i="15"/>
  <c r="AA118" i="15" s="1"/>
  <c r="AB118" i="15" s="1"/>
  <c r="U118" i="15"/>
  <c r="Y117" i="15"/>
  <c r="AA117" i="15" s="1"/>
  <c r="AB117" i="15" s="1"/>
  <c r="U117" i="15"/>
  <c r="Y116" i="15"/>
  <c r="AA116" i="15" s="1"/>
  <c r="AB116" i="15" s="1"/>
  <c r="U116" i="15"/>
  <c r="Y115" i="15"/>
  <c r="AA115" i="15" s="1"/>
  <c r="AB115" i="15" s="1"/>
  <c r="U115" i="15"/>
  <c r="Y114" i="15"/>
  <c r="AA114" i="15" s="1"/>
  <c r="AB114" i="15" s="1"/>
  <c r="U114" i="15"/>
  <c r="Y113" i="15"/>
  <c r="AA113" i="15" s="1"/>
  <c r="AB113" i="15" s="1"/>
  <c r="U113" i="15"/>
  <c r="Y112" i="15"/>
  <c r="AA112" i="15" s="1"/>
  <c r="AB112" i="15" s="1"/>
  <c r="U112" i="15"/>
  <c r="Y111" i="15"/>
  <c r="AA111" i="15" s="1"/>
  <c r="AB111" i="15" s="1"/>
  <c r="U111" i="15"/>
  <c r="Y110" i="15"/>
  <c r="AA110" i="15" s="1"/>
  <c r="AB110" i="15" s="1"/>
  <c r="U110" i="15"/>
  <c r="Y109" i="15"/>
  <c r="AA109" i="15" s="1"/>
  <c r="AB109" i="15" s="1"/>
  <c r="U109" i="15"/>
  <c r="Y108" i="15"/>
  <c r="AA108" i="15" s="1"/>
  <c r="AB108" i="15" s="1"/>
  <c r="U108" i="15"/>
  <c r="Y107" i="15"/>
  <c r="AA107" i="15" s="1"/>
  <c r="AB107" i="15" s="1"/>
  <c r="U107" i="15"/>
  <c r="Y106" i="15"/>
  <c r="AA106" i="15" s="1"/>
  <c r="AB106" i="15" s="1"/>
  <c r="U106" i="15"/>
  <c r="Y105" i="15"/>
  <c r="AA105" i="15" s="1"/>
  <c r="AB105" i="15" s="1"/>
  <c r="U105" i="15"/>
  <c r="Y103" i="15"/>
  <c r="AA103" i="15" s="1"/>
  <c r="W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C103" i="15"/>
  <c r="Y101" i="15"/>
  <c r="AA101" i="15" s="1"/>
  <c r="AB101" i="15" s="1"/>
  <c r="U101" i="15"/>
  <c r="Y100" i="15"/>
  <c r="AA100" i="15" s="1"/>
  <c r="AB100" i="15" s="1"/>
  <c r="U100" i="15"/>
  <c r="Y99" i="15"/>
  <c r="AA99" i="15" s="1"/>
  <c r="AB99" i="15" s="1"/>
  <c r="U99" i="15"/>
  <c r="Y98" i="15"/>
  <c r="AA98" i="15" s="1"/>
  <c r="AB98" i="15" s="1"/>
  <c r="U98" i="15"/>
  <c r="Y97" i="15"/>
  <c r="AA97" i="15" s="1"/>
  <c r="AB97" i="15" s="1"/>
  <c r="U97" i="15"/>
  <c r="Y96" i="15"/>
  <c r="AA96" i="15" s="1"/>
  <c r="AB96" i="15" s="1"/>
  <c r="U96" i="15"/>
  <c r="Y95" i="15"/>
  <c r="AA95" i="15" s="1"/>
  <c r="AB95" i="15" s="1"/>
  <c r="U95" i="15"/>
  <c r="Y94" i="15"/>
  <c r="AA94" i="15" s="1"/>
  <c r="AB94" i="15" s="1"/>
  <c r="U94" i="15"/>
  <c r="Y93" i="15"/>
  <c r="AA93" i="15" s="1"/>
  <c r="AB93" i="15" s="1"/>
  <c r="U93" i="15"/>
  <c r="Y92" i="15"/>
  <c r="AA92" i="15" s="1"/>
  <c r="AB92" i="15" s="1"/>
  <c r="U92" i="15"/>
  <c r="Y91" i="15"/>
  <c r="AA91" i="15" s="1"/>
  <c r="AB91" i="15" s="1"/>
  <c r="U91" i="15"/>
  <c r="Y90" i="15"/>
  <c r="AA90" i="15" s="1"/>
  <c r="AB90" i="15" s="1"/>
  <c r="U90" i="15"/>
  <c r="Y89" i="15"/>
  <c r="AA89" i="15" s="1"/>
  <c r="AB89" i="15" s="1"/>
  <c r="U89" i="15"/>
  <c r="Y87" i="15"/>
  <c r="AA87" i="15" s="1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C87" i="15"/>
  <c r="Y85" i="15"/>
  <c r="AA85" i="15" s="1"/>
  <c r="AB85" i="15" s="1"/>
  <c r="U85" i="15"/>
  <c r="Y84" i="15"/>
  <c r="AA84" i="15" s="1"/>
  <c r="AB84" i="15" s="1"/>
  <c r="U84" i="15"/>
  <c r="Y83" i="15"/>
  <c r="AA83" i="15" s="1"/>
  <c r="AB83" i="15" s="1"/>
  <c r="U83" i="15"/>
  <c r="Y82" i="15"/>
  <c r="AA82" i="15" s="1"/>
  <c r="AB82" i="15" s="1"/>
  <c r="U82" i="15"/>
  <c r="Y81" i="15"/>
  <c r="AA81" i="15" s="1"/>
  <c r="AB81" i="15" s="1"/>
  <c r="U81" i="15"/>
  <c r="Y80" i="15"/>
  <c r="AA80" i="15" s="1"/>
  <c r="AB80" i="15" s="1"/>
  <c r="U80" i="15"/>
  <c r="Y79" i="15"/>
  <c r="AA79" i="15" s="1"/>
  <c r="AB79" i="15" s="1"/>
  <c r="U79" i="15"/>
  <c r="Y78" i="15"/>
  <c r="AA78" i="15" s="1"/>
  <c r="AB78" i="15" s="1"/>
  <c r="U78" i="15"/>
  <c r="Y77" i="15"/>
  <c r="AA77" i="15" s="1"/>
  <c r="AB77" i="15" s="1"/>
  <c r="U77" i="15"/>
  <c r="Y76" i="15"/>
  <c r="AA76" i="15" s="1"/>
  <c r="AB76" i="15" s="1"/>
  <c r="U76" i="15"/>
  <c r="Y75" i="15"/>
  <c r="AA75" i="15" s="1"/>
  <c r="AB75" i="15" s="1"/>
  <c r="U75" i="15"/>
  <c r="Y74" i="15"/>
  <c r="AA74" i="15" s="1"/>
  <c r="AB74" i="15" s="1"/>
  <c r="U74" i="15"/>
  <c r="Y73" i="15"/>
  <c r="AA73" i="15" s="1"/>
  <c r="AB73" i="15" s="1"/>
  <c r="U73" i="15"/>
  <c r="Y72" i="15"/>
  <c r="AA72" i="15" s="1"/>
  <c r="AB72" i="15" s="1"/>
  <c r="U72" i="15"/>
  <c r="Y71" i="15"/>
  <c r="AA71" i="15" s="1"/>
  <c r="AB71" i="15" s="1"/>
  <c r="U71" i="15"/>
  <c r="Y68" i="15"/>
  <c r="AA68" i="15" s="1"/>
  <c r="W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C68" i="15"/>
  <c r="Y66" i="15"/>
  <c r="AA66" i="15" s="1"/>
  <c r="AB66" i="15" s="1"/>
  <c r="U66" i="15"/>
  <c r="Y65" i="15"/>
  <c r="AA65" i="15" s="1"/>
  <c r="AB65" i="15" s="1"/>
  <c r="U65" i="15"/>
  <c r="Y64" i="15"/>
  <c r="AA64" i="15" s="1"/>
  <c r="AB64" i="15" s="1"/>
  <c r="U64" i="15"/>
  <c r="Y63" i="15"/>
  <c r="AA63" i="15" s="1"/>
  <c r="AB63" i="15" s="1"/>
  <c r="U63" i="15"/>
  <c r="Y62" i="15"/>
  <c r="AA62" i="15" s="1"/>
  <c r="AB62" i="15" s="1"/>
  <c r="U62" i="15"/>
  <c r="Y61" i="15"/>
  <c r="AA61" i="15" s="1"/>
  <c r="AB61" i="15" s="1"/>
  <c r="U61" i="15"/>
  <c r="Y60" i="15"/>
  <c r="AA60" i="15" s="1"/>
  <c r="AB60" i="15" s="1"/>
  <c r="U60" i="15"/>
  <c r="Y59" i="15"/>
  <c r="AA59" i="15" s="1"/>
  <c r="AB59" i="15" s="1"/>
  <c r="U59" i="15"/>
  <c r="Y58" i="15"/>
  <c r="AA58" i="15" s="1"/>
  <c r="AB58" i="15" s="1"/>
  <c r="U58" i="15"/>
  <c r="Y57" i="15"/>
  <c r="AA57" i="15" s="1"/>
  <c r="AB57" i="15" s="1"/>
  <c r="U57" i="15"/>
  <c r="Y56" i="15"/>
  <c r="AA56" i="15" s="1"/>
  <c r="AB56" i="15" s="1"/>
  <c r="U56" i="15"/>
  <c r="Y55" i="15"/>
  <c r="AA55" i="15" s="1"/>
  <c r="AB55" i="15" s="1"/>
  <c r="U55" i="15"/>
  <c r="Y54" i="15"/>
  <c r="AA54" i="15" s="1"/>
  <c r="AB54" i="15" s="1"/>
  <c r="U54" i="15"/>
  <c r="Y53" i="15"/>
  <c r="AA53" i="15" s="1"/>
  <c r="AB53" i="15" s="1"/>
  <c r="U53" i="15"/>
  <c r="Y52" i="15"/>
  <c r="AA52" i="15" s="1"/>
  <c r="AB52" i="15" s="1"/>
  <c r="U52" i="15"/>
  <c r="Y51" i="15"/>
  <c r="AA51" i="15" s="1"/>
  <c r="AB51" i="15" s="1"/>
  <c r="U51" i="15"/>
  <c r="Y50" i="15"/>
  <c r="AA50" i="15" s="1"/>
  <c r="AB50" i="15" s="1"/>
  <c r="U50" i="15"/>
  <c r="Y49" i="15"/>
  <c r="AA49" i="15" s="1"/>
  <c r="AB49" i="15" s="1"/>
  <c r="U49" i="15"/>
  <c r="Y48" i="15"/>
  <c r="AA48" i="15" s="1"/>
  <c r="AB48" i="15" s="1"/>
  <c r="U48" i="15"/>
  <c r="Y47" i="15"/>
  <c r="AA47" i="15" s="1"/>
  <c r="AB47" i="15" s="1"/>
  <c r="U47" i="15"/>
  <c r="Y44" i="15"/>
  <c r="AA44" i="15" s="1"/>
  <c r="W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C44" i="15"/>
  <c r="Y42" i="15"/>
  <c r="AA42" i="15" s="1"/>
  <c r="AB42" i="15" s="1"/>
  <c r="U42" i="15"/>
  <c r="Y41" i="15"/>
  <c r="AA41" i="15" s="1"/>
  <c r="AB41" i="15" s="1"/>
  <c r="U41" i="15"/>
  <c r="Y40" i="15"/>
  <c r="AA40" i="15" s="1"/>
  <c r="AB40" i="15" s="1"/>
  <c r="U40" i="15"/>
  <c r="Y39" i="15"/>
  <c r="AA39" i="15" s="1"/>
  <c r="AB39" i="15" s="1"/>
  <c r="U39" i="15"/>
  <c r="Y38" i="15"/>
  <c r="AA38" i="15" s="1"/>
  <c r="AB38" i="15" s="1"/>
  <c r="U38" i="15"/>
  <c r="Y35" i="15"/>
  <c r="AA35" i="15" s="1"/>
  <c r="W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Y33" i="15"/>
  <c r="AA33" i="15" s="1"/>
  <c r="AB33" i="15" s="1"/>
  <c r="U33" i="15"/>
  <c r="Y32" i="15"/>
  <c r="AA32" i="15" s="1"/>
  <c r="AB32" i="15" s="1"/>
  <c r="U32" i="15"/>
  <c r="Y31" i="15"/>
  <c r="AA31" i="15" s="1"/>
  <c r="AB31" i="15" s="1"/>
  <c r="U31" i="15"/>
  <c r="Y30" i="15"/>
  <c r="AA30" i="15" s="1"/>
  <c r="AB30" i="15" s="1"/>
  <c r="U30" i="15"/>
  <c r="Y29" i="15"/>
  <c r="AA29" i="15" s="1"/>
  <c r="AB29" i="15" s="1"/>
  <c r="U29" i="15"/>
  <c r="Y28" i="15"/>
  <c r="AA28" i="15" s="1"/>
  <c r="AB28" i="15" s="1"/>
  <c r="U28" i="15"/>
  <c r="Y27" i="15"/>
  <c r="AA27" i="15" s="1"/>
  <c r="AB27" i="15" s="1"/>
  <c r="U27" i="15"/>
  <c r="Y26" i="15"/>
  <c r="AA26" i="15" s="1"/>
  <c r="AB26" i="15" s="1"/>
  <c r="U26" i="15"/>
  <c r="Y25" i="15"/>
  <c r="AA25" i="15" s="1"/>
  <c r="AB25" i="15" s="1"/>
  <c r="U25" i="15"/>
  <c r="Y24" i="15"/>
  <c r="AA24" i="15" s="1"/>
  <c r="AB24" i="15" s="1"/>
  <c r="U24" i="15"/>
  <c r="Y23" i="15"/>
  <c r="AA23" i="15" s="1"/>
  <c r="AB23" i="15" s="1"/>
  <c r="U23" i="15"/>
  <c r="Y22" i="15"/>
  <c r="AA22" i="15" s="1"/>
  <c r="AB22" i="15" s="1"/>
  <c r="U22" i="15"/>
  <c r="Y21" i="15"/>
  <c r="AA21" i="15" s="1"/>
  <c r="AB21" i="15" s="1"/>
  <c r="U21" i="15"/>
  <c r="Y20" i="15"/>
  <c r="AA20" i="15" s="1"/>
  <c r="AB20" i="15" s="1"/>
  <c r="U20" i="15"/>
  <c r="Y19" i="15"/>
  <c r="AA19" i="15" s="1"/>
  <c r="AB19" i="15" s="1"/>
  <c r="U19" i="15"/>
  <c r="Y18" i="15"/>
  <c r="AA18" i="15" s="1"/>
  <c r="AB18" i="15" s="1"/>
  <c r="U18" i="15"/>
  <c r="Y17" i="15"/>
  <c r="AA17" i="15" s="1"/>
  <c r="AB17" i="15" s="1"/>
  <c r="U17" i="15"/>
  <c r="Y16" i="15"/>
  <c r="AA16" i="15" s="1"/>
  <c r="AB16" i="15" s="1"/>
  <c r="U16" i="15"/>
  <c r="Y15" i="15"/>
  <c r="AA15" i="15" s="1"/>
  <c r="AB15" i="15" s="1"/>
  <c r="U15" i="15"/>
  <c r="Y14" i="15"/>
  <c r="AA14" i="15" s="1"/>
  <c r="AB14" i="15" s="1"/>
  <c r="U14" i="15"/>
  <c r="Y13" i="15"/>
  <c r="AA13" i="15" s="1"/>
  <c r="AB13" i="15" s="1"/>
  <c r="U13" i="15"/>
  <c r="Y12" i="15"/>
  <c r="AA12" i="15" s="1"/>
  <c r="AB12" i="15" s="1"/>
  <c r="U12" i="15"/>
  <c r="Y11" i="15"/>
  <c r="AA11" i="15" s="1"/>
  <c r="AB11" i="15" s="1"/>
  <c r="U11" i="15"/>
  <c r="Y9" i="15"/>
  <c r="AA9" i="15" s="1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AH898" i="15" l="1"/>
  <c r="AK898" i="15"/>
  <c r="AL898" i="15"/>
  <c r="BJ898" i="15" s="1"/>
  <c r="AL356" i="15"/>
  <c r="BJ356" i="15" s="1"/>
  <c r="AK356" i="15"/>
  <c r="AL12" i="15"/>
  <c r="BJ12" i="15" s="1"/>
  <c r="AK12" i="15"/>
  <c r="AK16" i="15"/>
  <c r="AL16" i="15"/>
  <c r="BJ16" i="15" s="1"/>
  <c r="AK20" i="15"/>
  <c r="AL20" i="15"/>
  <c r="BJ20" i="15" s="1"/>
  <c r="AK24" i="15"/>
  <c r="AL24" i="15"/>
  <c r="BJ24" i="15" s="1"/>
  <c r="AK28" i="15"/>
  <c r="AL28" i="15"/>
  <c r="BJ28" i="15" s="1"/>
  <c r="AK32" i="15"/>
  <c r="AL32" i="15"/>
  <c r="BJ32" i="15" s="1"/>
  <c r="AH157" i="15"/>
  <c r="AL157" i="15"/>
  <c r="BJ157" i="15" s="1"/>
  <c r="AK157" i="15"/>
  <c r="AH161" i="15"/>
  <c r="BM161" i="15" s="1"/>
  <c r="BN161" i="15" s="1"/>
  <c r="AL161" i="15"/>
  <c r="BJ161" i="15" s="1"/>
  <c r="AK161" i="15"/>
  <c r="AH165" i="15"/>
  <c r="BM165" i="15" s="1"/>
  <c r="BN165" i="15" s="1"/>
  <c r="AL165" i="15"/>
  <c r="BJ165" i="15" s="1"/>
  <c r="AK165" i="15"/>
  <c r="AH169" i="15"/>
  <c r="BM169" i="15" s="1"/>
  <c r="BN169" i="15" s="1"/>
  <c r="AL169" i="15"/>
  <c r="BJ169" i="15" s="1"/>
  <c r="AK169" i="15"/>
  <c r="AH171" i="15"/>
  <c r="AK171" i="15"/>
  <c r="AL171" i="15"/>
  <c r="BJ171" i="15" s="1"/>
  <c r="AH180" i="15"/>
  <c r="AK180" i="15"/>
  <c r="AL180" i="15"/>
  <c r="BJ180" i="15" s="1"/>
  <c r="AH184" i="15"/>
  <c r="BM184" i="15" s="1"/>
  <c r="BN184" i="15" s="1"/>
  <c r="AK184" i="15"/>
  <c r="AL184" i="15"/>
  <c r="BJ184" i="15" s="1"/>
  <c r="AH188" i="15"/>
  <c r="BM188" i="15" s="1"/>
  <c r="BN188" i="15" s="1"/>
  <c r="AK188" i="15"/>
  <c r="AL188" i="15"/>
  <c r="BJ188" i="15" s="1"/>
  <c r="AH192" i="15"/>
  <c r="AK192" i="15"/>
  <c r="AL192" i="15"/>
  <c r="BJ192" i="15" s="1"/>
  <c r="AH196" i="15"/>
  <c r="BM196" i="15" s="1"/>
  <c r="BN196" i="15" s="1"/>
  <c r="AK196" i="15"/>
  <c r="AL196" i="15"/>
  <c r="BJ196" i="15" s="1"/>
  <c r="AH201" i="15"/>
  <c r="AI201" i="15" s="1"/>
  <c r="AK201" i="15"/>
  <c r="AL201" i="15"/>
  <c r="BJ201" i="15" s="1"/>
  <c r="AH205" i="15"/>
  <c r="AI205" i="15" s="1"/>
  <c r="AK205" i="15"/>
  <c r="AL205" i="15"/>
  <c r="BJ205" i="15" s="1"/>
  <c r="AH209" i="15"/>
  <c r="AL209" i="15"/>
  <c r="BJ209" i="15" s="1"/>
  <c r="AK209" i="15"/>
  <c r="AH213" i="15"/>
  <c r="AK213" i="15"/>
  <c r="AL213" i="15"/>
  <c r="BJ213" i="15" s="1"/>
  <c r="AH217" i="15"/>
  <c r="BM217" i="15" s="1"/>
  <c r="BN217" i="15" s="1"/>
  <c r="AL217" i="15"/>
  <c r="BJ217" i="15" s="1"/>
  <c r="AK217" i="15"/>
  <c r="AH221" i="15"/>
  <c r="BM221" i="15" s="1"/>
  <c r="BN221" i="15" s="1"/>
  <c r="AK221" i="15"/>
  <c r="AL221" i="15"/>
  <c r="BJ221" i="15" s="1"/>
  <c r="AH225" i="15"/>
  <c r="AL225" i="15"/>
  <c r="BJ225" i="15" s="1"/>
  <c r="AK225" i="15"/>
  <c r="AL234" i="15"/>
  <c r="BJ234" i="15" s="1"/>
  <c r="AK234" i="15"/>
  <c r="AH240" i="15"/>
  <c r="BM240" i="15" s="1"/>
  <c r="BN240" i="15" s="1"/>
  <c r="AL240" i="15"/>
  <c r="BJ240" i="15" s="1"/>
  <c r="AK240" i="15"/>
  <c r="AH245" i="15"/>
  <c r="AI245" i="15" s="1"/>
  <c r="AK245" i="15"/>
  <c r="AL245" i="15"/>
  <c r="BJ245" i="15" s="1"/>
  <c r="AH249" i="15"/>
  <c r="BM249" i="15" s="1"/>
  <c r="BN249" i="15" s="1"/>
  <c r="AL249" i="15"/>
  <c r="BJ249" i="15" s="1"/>
  <c r="AK249" i="15"/>
  <c r="AH255" i="15"/>
  <c r="BM255" i="15" s="1"/>
  <c r="BN255" i="15" s="1"/>
  <c r="AK255" i="15"/>
  <c r="AL255" i="15"/>
  <c r="BJ255" i="15" s="1"/>
  <c r="AH259" i="15"/>
  <c r="BM259" i="15" s="1"/>
  <c r="BN259" i="15" s="1"/>
  <c r="AK259" i="15"/>
  <c r="AL259" i="15"/>
  <c r="BJ259" i="15" s="1"/>
  <c r="AH496" i="15"/>
  <c r="AL496" i="15"/>
  <c r="BJ496" i="15" s="1"/>
  <c r="AK496" i="15"/>
  <c r="AH504" i="15"/>
  <c r="AK504" i="15"/>
  <c r="AL504" i="15"/>
  <c r="BJ504" i="15" s="1"/>
  <c r="AH508" i="15"/>
  <c r="BM508" i="15" s="1"/>
  <c r="BN508" i="15" s="1"/>
  <c r="AL508" i="15"/>
  <c r="BJ508" i="15" s="1"/>
  <c r="AK508" i="15"/>
  <c r="AH517" i="15"/>
  <c r="BM517" i="15" s="1"/>
  <c r="BN517" i="15" s="1"/>
  <c r="AL517" i="15"/>
  <c r="BJ517" i="15" s="1"/>
  <c r="AK517" i="15"/>
  <c r="AH521" i="15"/>
  <c r="AL521" i="15"/>
  <c r="BJ521" i="15" s="1"/>
  <c r="AK521" i="15"/>
  <c r="AH525" i="15"/>
  <c r="AI525" i="15" s="1"/>
  <c r="AL525" i="15"/>
  <c r="BJ525" i="15" s="1"/>
  <c r="AK525" i="15"/>
  <c r="AH529" i="15"/>
  <c r="BM529" i="15" s="1"/>
  <c r="BN529" i="15" s="1"/>
  <c r="AL529" i="15"/>
  <c r="BJ529" i="15" s="1"/>
  <c r="AK529" i="15"/>
  <c r="AH533" i="15"/>
  <c r="BM533" i="15" s="1"/>
  <c r="BN533" i="15" s="1"/>
  <c r="AL533" i="15"/>
  <c r="BJ533" i="15" s="1"/>
  <c r="AK533" i="15"/>
  <c r="AK538" i="15"/>
  <c r="AL538" i="15"/>
  <c r="BJ538" i="15" s="1"/>
  <c r="AL542" i="15"/>
  <c r="BJ542" i="15" s="1"/>
  <c r="AK542" i="15"/>
  <c r="AK546" i="15"/>
  <c r="AL546" i="15"/>
  <c r="BJ546" i="15" s="1"/>
  <c r="AL550" i="15"/>
  <c r="BJ550" i="15" s="1"/>
  <c r="AK550" i="15"/>
  <c r="AH557" i="15"/>
  <c r="AL557" i="15"/>
  <c r="BJ557" i="15" s="1"/>
  <c r="AK557" i="15"/>
  <c r="AH561" i="15"/>
  <c r="AL561" i="15"/>
  <c r="BJ561" i="15" s="1"/>
  <c r="AK561" i="15"/>
  <c r="AH565" i="15"/>
  <c r="BM565" i="15" s="1"/>
  <c r="BN565" i="15" s="1"/>
  <c r="AL565" i="15"/>
  <c r="BJ565" i="15" s="1"/>
  <c r="AK565" i="15"/>
  <c r="AH569" i="15"/>
  <c r="BM569" i="15" s="1"/>
  <c r="BN569" i="15" s="1"/>
  <c r="AL569" i="15"/>
  <c r="BJ569" i="15" s="1"/>
  <c r="AK569" i="15"/>
  <c r="AH576" i="15"/>
  <c r="AL576" i="15"/>
  <c r="BJ576" i="15" s="1"/>
  <c r="AK576" i="15"/>
  <c r="AH749" i="15"/>
  <c r="BM749" i="15" s="1"/>
  <c r="BN749" i="15" s="1"/>
  <c r="AL749" i="15"/>
  <c r="BJ749" i="15" s="1"/>
  <c r="AK749" i="15"/>
  <c r="AH753" i="15"/>
  <c r="BM753" i="15" s="1"/>
  <c r="BN753" i="15" s="1"/>
  <c r="AL753" i="15"/>
  <c r="BJ753" i="15" s="1"/>
  <c r="AK753" i="15"/>
  <c r="AH757" i="15"/>
  <c r="BM757" i="15" s="1"/>
  <c r="BN757" i="15" s="1"/>
  <c r="AL757" i="15"/>
  <c r="BJ757" i="15" s="1"/>
  <c r="AK757" i="15"/>
  <c r="AH761" i="15"/>
  <c r="AL761" i="15"/>
  <c r="BJ761" i="15" s="1"/>
  <c r="AK761" i="15"/>
  <c r="AK766" i="15"/>
  <c r="AL766" i="15"/>
  <c r="BJ766" i="15" s="1"/>
  <c r="AH770" i="15"/>
  <c r="BM770" i="15" s="1"/>
  <c r="BN770" i="15" s="1"/>
  <c r="AK770" i="15"/>
  <c r="AL770" i="15"/>
  <c r="BJ770" i="15" s="1"/>
  <c r="AL774" i="15"/>
  <c r="BJ774" i="15" s="1"/>
  <c r="AK774" i="15"/>
  <c r="AH778" i="15"/>
  <c r="BM778" i="15" s="1"/>
  <c r="BN778" i="15" s="1"/>
  <c r="AK778" i="15"/>
  <c r="AL778" i="15"/>
  <c r="BJ778" i="15" s="1"/>
  <c r="AL782" i="15"/>
  <c r="BJ782" i="15" s="1"/>
  <c r="AK782" i="15"/>
  <c r="AL791" i="15"/>
  <c r="BJ791" i="15" s="1"/>
  <c r="AK791" i="15"/>
  <c r="AL797" i="15"/>
  <c r="BJ797" i="15" s="1"/>
  <c r="AK797" i="15"/>
  <c r="AH835" i="15"/>
  <c r="AL835" i="15"/>
  <c r="BJ835" i="15" s="1"/>
  <c r="AK835" i="15"/>
  <c r="AH839" i="15"/>
  <c r="BM839" i="15" s="1"/>
  <c r="BN839" i="15" s="1"/>
  <c r="AL839" i="15"/>
  <c r="BJ839" i="15" s="1"/>
  <c r="AK839" i="15"/>
  <c r="AH843" i="15"/>
  <c r="AI843" i="15" s="1"/>
  <c r="AL843" i="15"/>
  <c r="BJ843" i="15" s="1"/>
  <c r="AK843" i="15"/>
  <c r="AH847" i="15"/>
  <c r="AL847" i="15"/>
  <c r="BJ847" i="15" s="1"/>
  <c r="AK847" i="15"/>
  <c r="AH849" i="15"/>
  <c r="BM849" i="15" s="1"/>
  <c r="BN849" i="15" s="1"/>
  <c r="AL849" i="15"/>
  <c r="BJ849" i="15" s="1"/>
  <c r="AK849" i="15"/>
  <c r="AH853" i="15"/>
  <c r="BM853" i="15" s="1"/>
  <c r="BN853" i="15" s="1"/>
  <c r="AL853" i="15"/>
  <c r="BJ853" i="15" s="1"/>
  <c r="AK853" i="15"/>
  <c r="AH857" i="15"/>
  <c r="BM857" i="15" s="1"/>
  <c r="BN857" i="15" s="1"/>
  <c r="AL857" i="15"/>
  <c r="BJ857" i="15" s="1"/>
  <c r="AK857" i="15"/>
  <c r="AH861" i="15"/>
  <c r="AL861" i="15"/>
  <c r="BJ861" i="15" s="1"/>
  <c r="AK861" i="15"/>
  <c r="AK894" i="15"/>
  <c r="AL894" i="15"/>
  <c r="BJ894" i="15" s="1"/>
  <c r="AH39" i="15"/>
  <c r="BM39" i="15" s="1"/>
  <c r="BN39" i="15" s="1"/>
  <c r="AK39" i="15"/>
  <c r="AL39" i="15"/>
  <c r="BJ39" i="15" s="1"/>
  <c r="AK49" i="15"/>
  <c r="AL49" i="15"/>
  <c r="BJ49" i="15" s="1"/>
  <c r="AK53" i="15"/>
  <c r="AL53" i="15"/>
  <c r="BJ53" i="15" s="1"/>
  <c r="AK57" i="15"/>
  <c r="AL57" i="15"/>
  <c r="BJ57" i="15" s="1"/>
  <c r="AK61" i="15"/>
  <c r="AL61" i="15"/>
  <c r="BJ61" i="15" s="1"/>
  <c r="AK65" i="15"/>
  <c r="AL65" i="15"/>
  <c r="BJ65" i="15" s="1"/>
  <c r="AH71" i="15"/>
  <c r="BM71" i="15" s="1"/>
  <c r="BN71" i="15" s="1"/>
  <c r="AK71" i="15"/>
  <c r="AL71" i="15"/>
  <c r="BJ71" i="15" s="1"/>
  <c r="AK75" i="15"/>
  <c r="AL75" i="15"/>
  <c r="BJ75" i="15" s="1"/>
  <c r="AK79" i="15"/>
  <c r="AL79" i="15"/>
  <c r="BJ79" i="15" s="1"/>
  <c r="AK83" i="15"/>
  <c r="AL83" i="15"/>
  <c r="BJ83" i="15" s="1"/>
  <c r="AK92" i="15"/>
  <c r="AL92" i="15"/>
  <c r="BJ92" i="15" s="1"/>
  <c r="AK96" i="15"/>
  <c r="AL96" i="15"/>
  <c r="BJ96" i="15" s="1"/>
  <c r="AK100" i="15"/>
  <c r="AL100" i="15"/>
  <c r="BJ100" i="15" s="1"/>
  <c r="AH105" i="15"/>
  <c r="BM105" i="15" s="1"/>
  <c r="BN105" i="15" s="1"/>
  <c r="AK105" i="15"/>
  <c r="AL105" i="15"/>
  <c r="BJ105" i="15" s="1"/>
  <c r="AH109" i="15"/>
  <c r="AK109" i="15"/>
  <c r="AL109" i="15"/>
  <c r="BJ109" i="15" s="1"/>
  <c r="AH113" i="15"/>
  <c r="BM113" i="15" s="1"/>
  <c r="BN113" i="15" s="1"/>
  <c r="AK113" i="15"/>
  <c r="AL113" i="15"/>
  <c r="BJ113" i="15" s="1"/>
  <c r="AH117" i="15"/>
  <c r="BM117" i="15" s="1"/>
  <c r="BN117" i="15" s="1"/>
  <c r="AK117" i="15"/>
  <c r="AL117" i="15"/>
  <c r="BJ117" i="15" s="1"/>
  <c r="AH121" i="15"/>
  <c r="BM121" i="15" s="1"/>
  <c r="BN121" i="15" s="1"/>
  <c r="AK121" i="15"/>
  <c r="AL121" i="15"/>
  <c r="BJ121" i="15" s="1"/>
  <c r="AH125" i="15"/>
  <c r="AK125" i="15"/>
  <c r="AL125" i="15"/>
  <c r="BJ125" i="15" s="1"/>
  <c r="AH129" i="15"/>
  <c r="AK129" i="15"/>
  <c r="AL129" i="15"/>
  <c r="BJ129" i="15" s="1"/>
  <c r="AH134" i="15"/>
  <c r="BM134" i="15" s="1"/>
  <c r="BN134" i="15" s="1"/>
  <c r="AK134" i="15"/>
  <c r="AL134" i="15"/>
  <c r="BJ134" i="15" s="1"/>
  <c r="AH140" i="15"/>
  <c r="AI140" i="15" s="1"/>
  <c r="AK140" i="15"/>
  <c r="AL140" i="15"/>
  <c r="BJ140" i="15" s="1"/>
  <c r="AH144" i="15"/>
  <c r="AK144" i="15"/>
  <c r="AL144" i="15"/>
  <c r="BJ144" i="15" s="1"/>
  <c r="AH146" i="15"/>
  <c r="BM146" i="15" s="1"/>
  <c r="BN146" i="15" s="1"/>
  <c r="AK146" i="15"/>
  <c r="AL146" i="15"/>
  <c r="BJ146" i="15" s="1"/>
  <c r="AH267" i="15"/>
  <c r="BM267" i="15" s="1"/>
  <c r="BN267" i="15" s="1"/>
  <c r="AK267" i="15"/>
  <c r="AL267" i="15"/>
  <c r="BJ267" i="15" s="1"/>
  <c r="AH271" i="15"/>
  <c r="BM271" i="15" s="1"/>
  <c r="BN271" i="15" s="1"/>
  <c r="AK271" i="15"/>
  <c r="AL271" i="15"/>
  <c r="BJ271" i="15" s="1"/>
  <c r="AH275" i="15"/>
  <c r="AK275" i="15"/>
  <c r="AL275" i="15"/>
  <c r="BJ275" i="15" s="1"/>
  <c r="AH279" i="15"/>
  <c r="AL279" i="15"/>
  <c r="BJ279" i="15" s="1"/>
  <c r="AK279" i="15"/>
  <c r="AH288" i="15"/>
  <c r="BM288" i="15" s="1"/>
  <c r="BN288" i="15" s="1"/>
  <c r="AL288" i="15"/>
  <c r="BJ288" i="15" s="1"/>
  <c r="AK288" i="15"/>
  <c r="AH292" i="15"/>
  <c r="BM292" i="15" s="1"/>
  <c r="BN292" i="15" s="1"/>
  <c r="AL292" i="15"/>
  <c r="BJ292" i="15" s="1"/>
  <c r="AK292" i="15"/>
  <c r="AH296" i="15"/>
  <c r="AL296" i="15"/>
  <c r="BJ296" i="15" s="1"/>
  <c r="AK296" i="15"/>
  <c r="AH300" i="15"/>
  <c r="AI300" i="15" s="1"/>
  <c r="AL300" i="15"/>
  <c r="BJ300" i="15" s="1"/>
  <c r="AK300" i="15"/>
  <c r="AH304" i="15"/>
  <c r="BM304" i="15" s="1"/>
  <c r="BN304" i="15" s="1"/>
  <c r="AL304" i="15"/>
  <c r="BJ304" i="15" s="1"/>
  <c r="AK304" i="15"/>
  <c r="AH308" i="15"/>
  <c r="BM308" i="15" s="1"/>
  <c r="BN308" i="15" s="1"/>
  <c r="AL308" i="15"/>
  <c r="BJ308" i="15" s="1"/>
  <c r="AK308" i="15"/>
  <c r="AH312" i="15"/>
  <c r="AL312" i="15"/>
  <c r="BJ312" i="15" s="1"/>
  <c r="AK312" i="15"/>
  <c r="AH317" i="15"/>
  <c r="AK317" i="15"/>
  <c r="AL317" i="15"/>
  <c r="BJ317" i="15" s="1"/>
  <c r="AH321" i="15"/>
  <c r="BM321" i="15" s="1"/>
  <c r="BN321" i="15" s="1"/>
  <c r="AK321" i="15"/>
  <c r="AL321" i="15"/>
  <c r="BJ321" i="15" s="1"/>
  <c r="AH325" i="15"/>
  <c r="BM325" i="15" s="1"/>
  <c r="BN325" i="15" s="1"/>
  <c r="AK325" i="15"/>
  <c r="AL325" i="15"/>
  <c r="BJ325" i="15" s="1"/>
  <c r="AH329" i="15"/>
  <c r="AK329" i="15"/>
  <c r="AL329" i="15"/>
  <c r="BJ329" i="15" s="1"/>
  <c r="AH333" i="15"/>
  <c r="BM333" i="15" s="1"/>
  <c r="BN333" i="15" s="1"/>
  <c r="AK333" i="15"/>
  <c r="AL333" i="15"/>
  <c r="BJ333" i="15" s="1"/>
  <c r="AH337" i="15"/>
  <c r="BM337" i="15" s="1"/>
  <c r="BN337" i="15" s="1"/>
  <c r="AK337" i="15"/>
  <c r="AL337" i="15"/>
  <c r="BJ337" i="15" s="1"/>
  <c r="AL358" i="15"/>
  <c r="BJ358" i="15" s="1"/>
  <c r="AK358" i="15"/>
  <c r="AL360" i="15"/>
  <c r="BJ360" i="15" s="1"/>
  <c r="AK360" i="15"/>
  <c r="AL362" i="15"/>
  <c r="BJ362" i="15" s="1"/>
  <c r="AK362" i="15"/>
  <c r="AL364" i="15"/>
  <c r="BJ364" i="15" s="1"/>
  <c r="AK364" i="15"/>
  <c r="AH366" i="15"/>
  <c r="BM366" i="15" s="1"/>
  <c r="BN366" i="15" s="1"/>
  <c r="AL366" i="15"/>
  <c r="BJ366" i="15" s="1"/>
  <c r="AK366" i="15"/>
  <c r="AL368" i="15"/>
  <c r="BJ368" i="15" s="1"/>
  <c r="AK368" i="15"/>
  <c r="AL370" i="15"/>
  <c r="BJ370" i="15" s="1"/>
  <c r="AK370" i="15"/>
  <c r="AL372" i="15"/>
  <c r="BJ372" i="15" s="1"/>
  <c r="AK372" i="15"/>
  <c r="AL374" i="15"/>
  <c r="BJ374" i="15" s="1"/>
  <c r="AK374" i="15"/>
  <c r="AL376" i="15"/>
  <c r="BJ376" i="15" s="1"/>
  <c r="AK376" i="15"/>
  <c r="AL378" i="15"/>
  <c r="BJ378" i="15" s="1"/>
  <c r="AK378" i="15"/>
  <c r="AL380" i="15"/>
  <c r="BJ380" i="15" s="1"/>
  <c r="AK380" i="15"/>
  <c r="AL384" i="15"/>
  <c r="BJ384" i="15" s="1"/>
  <c r="AK384" i="15"/>
  <c r="AL391" i="15"/>
  <c r="BJ391" i="15" s="1"/>
  <c r="AK391" i="15"/>
  <c r="AH395" i="15"/>
  <c r="BM395" i="15" s="1"/>
  <c r="BN395" i="15" s="1"/>
  <c r="AL395" i="15"/>
  <c r="BJ395" i="15" s="1"/>
  <c r="AK395" i="15"/>
  <c r="AH400" i="15"/>
  <c r="AI400" i="15" s="1"/>
  <c r="AL400" i="15"/>
  <c r="BJ400" i="15" s="1"/>
  <c r="AK400" i="15"/>
  <c r="AH404" i="15"/>
  <c r="AL404" i="15"/>
  <c r="BJ404" i="15" s="1"/>
  <c r="AK404" i="15"/>
  <c r="AL408" i="15"/>
  <c r="BJ408" i="15" s="1"/>
  <c r="AK408" i="15"/>
  <c r="AH412" i="15"/>
  <c r="AI412" i="15" s="1"/>
  <c r="AL412" i="15"/>
  <c r="BJ412" i="15" s="1"/>
  <c r="AK412" i="15"/>
  <c r="AL416" i="15"/>
  <c r="BJ416" i="15" s="1"/>
  <c r="AK416" i="15"/>
  <c r="AL422" i="15"/>
  <c r="BJ422" i="15" s="1"/>
  <c r="AK422" i="15"/>
  <c r="AH429" i="15"/>
  <c r="AL429" i="15"/>
  <c r="BJ429" i="15" s="1"/>
  <c r="AK429" i="15"/>
  <c r="AH433" i="15"/>
  <c r="BM433" i="15" s="1"/>
  <c r="BN433" i="15" s="1"/>
  <c r="AK433" i="15"/>
  <c r="AL433" i="15"/>
  <c r="BJ433" i="15" s="1"/>
  <c r="AH437" i="15"/>
  <c r="BM437" i="15" s="1"/>
  <c r="BN437" i="15" s="1"/>
  <c r="AK437" i="15"/>
  <c r="AL437" i="15"/>
  <c r="BJ437" i="15" s="1"/>
  <c r="AH441" i="15"/>
  <c r="BM441" i="15" s="1"/>
  <c r="BN441" i="15" s="1"/>
  <c r="AK441" i="15"/>
  <c r="AL441" i="15"/>
  <c r="BJ441" i="15" s="1"/>
  <c r="AH445" i="15"/>
  <c r="AK445" i="15"/>
  <c r="AL445" i="15"/>
  <c r="BJ445" i="15" s="1"/>
  <c r="AH450" i="15"/>
  <c r="AI450" i="15" s="1"/>
  <c r="AL450" i="15"/>
  <c r="BJ450" i="15" s="1"/>
  <c r="AK450" i="15"/>
  <c r="AL452" i="15"/>
  <c r="BJ452" i="15" s="1"/>
  <c r="AK452" i="15"/>
  <c r="AH454" i="15"/>
  <c r="AL454" i="15"/>
  <c r="BJ454" i="15" s="1"/>
  <c r="AK454" i="15"/>
  <c r="AH456" i="15"/>
  <c r="AL456" i="15"/>
  <c r="BJ456" i="15" s="1"/>
  <c r="AK456" i="15"/>
  <c r="AH458" i="15"/>
  <c r="BM458" i="15" s="1"/>
  <c r="BN458" i="15" s="1"/>
  <c r="AL458" i="15"/>
  <c r="BJ458" i="15" s="1"/>
  <c r="AK458" i="15"/>
  <c r="AL460" i="15"/>
  <c r="BJ460" i="15" s="1"/>
  <c r="AK460" i="15"/>
  <c r="AH462" i="15"/>
  <c r="AL462" i="15"/>
  <c r="BJ462" i="15" s="1"/>
  <c r="AK462" i="15"/>
  <c r="AH464" i="15"/>
  <c r="BM464" i="15" s="1"/>
  <c r="BN464" i="15" s="1"/>
  <c r="AL464" i="15"/>
  <c r="BJ464" i="15" s="1"/>
  <c r="AK464" i="15"/>
  <c r="AH466" i="15"/>
  <c r="BM466" i="15" s="1"/>
  <c r="BN466" i="15" s="1"/>
  <c r="AL466" i="15"/>
  <c r="BJ466" i="15" s="1"/>
  <c r="AK466" i="15"/>
  <c r="AH468" i="15"/>
  <c r="AL468" i="15"/>
  <c r="BJ468" i="15" s="1"/>
  <c r="AK468" i="15"/>
  <c r="AH470" i="15"/>
  <c r="BM470" i="15" s="1"/>
  <c r="BN470" i="15" s="1"/>
  <c r="AL470" i="15"/>
  <c r="BJ470" i="15" s="1"/>
  <c r="AK470" i="15"/>
  <c r="AH472" i="15"/>
  <c r="BM472" i="15" s="1"/>
  <c r="BN472" i="15" s="1"/>
  <c r="AL472" i="15"/>
  <c r="BJ472" i="15" s="1"/>
  <c r="AK472" i="15"/>
  <c r="AH477" i="15"/>
  <c r="BM477" i="15" s="1"/>
  <c r="BN477" i="15" s="1"/>
  <c r="AK477" i="15"/>
  <c r="AL477" i="15"/>
  <c r="BJ477" i="15" s="1"/>
  <c r="AK479" i="15"/>
  <c r="AL479" i="15"/>
  <c r="BJ479" i="15" s="1"/>
  <c r="AK481" i="15"/>
  <c r="AL481" i="15"/>
  <c r="BJ481" i="15" s="1"/>
  <c r="AH485" i="15"/>
  <c r="AK485" i="15"/>
  <c r="AL485" i="15"/>
  <c r="BJ485" i="15" s="1"/>
  <c r="AK489" i="15"/>
  <c r="AL489" i="15"/>
  <c r="BJ489" i="15" s="1"/>
  <c r="AL606" i="15"/>
  <c r="BJ606" i="15" s="1"/>
  <c r="AK606" i="15"/>
  <c r="AK608" i="15"/>
  <c r="AL608" i="15"/>
  <c r="BJ608" i="15" s="1"/>
  <c r="AK610" i="15"/>
  <c r="AL610" i="15"/>
  <c r="BJ610" i="15" s="1"/>
  <c r="AK612" i="15"/>
  <c r="AL612" i="15"/>
  <c r="BJ612" i="15" s="1"/>
  <c r="AL614" i="15"/>
  <c r="BJ614" i="15" s="1"/>
  <c r="AK614" i="15"/>
  <c r="AH616" i="15"/>
  <c r="AL616" i="15"/>
  <c r="BJ616" i="15" s="1"/>
  <c r="AK616" i="15"/>
  <c r="AK618" i="15"/>
  <c r="AL618" i="15"/>
  <c r="BJ618" i="15" s="1"/>
  <c r="AK620" i="15"/>
  <c r="AL620" i="15"/>
  <c r="BJ620" i="15" s="1"/>
  <c r="AL622" i="15"/>
  <c r="BJ622" i="15" s="1"/>
  <c r="AK622" i="15"/>
  <c r="AK624" i="15"/>
  <c r="AL624" i="15"/>
  <c r="BJ624" i="15" s="1"/>
  <c r="AK626" i="15"/>
  <c r="AL626" i="15"/>
  <c r="BJ626" i="15" s="1"/>
  <c r="AK628" i="15"/>
  <c r="AL628" i="15"/>
  <c r="BJ628" i="15" s="1"/>
  <c r="AL630" i="15"/>
  <c r="BJ630" i="15" s="1"/>
  <c r="AK630" i="15"/>
  <c r="AK632" i="15"/>
  <c r="AL632" i="15"/>
  <c r="BJ632" i="15" s="1"/>
  <c r="AH641" i="15"/>
  <c r="BM641" i="15" s="1"/>
  <c r="BN641" i="15" s="1"/>
  <c r="AL641" i="15"/>
  <c r="BJ641" i="15" s="1"/>
  <c r="AK641" i="15"/>
  <c r="AH645" i="15"/>
  <c r="AI645" i="15" s="1"/>
  <c r="AL645" i="15"/>
  <c r="BJ645" i="15" s="1"/>
  <c r="AK645" i="15"/>
  <c r="AH650" i="15"/>
  <c r="AI650" i="15" s="1"/>
  <c r="AL650" i="15"/>
  <c r="BJ650" i="15" s="1"/>
  <c r="AK650" i="15"/>
  <c r="AH654" i="15"/>
  <c r="BM654" i="15" s="1"/>
  <c r="BN654" i="15" s="1"/>
  <c r="AK654" i="15"/>
  <c r="AL654" i="15"/>
  <c r="BJ654" i="15" s="1"/>
  <c r="AH659" i="15"/>
  <c r="BM659" i="15" s="1"/>
  <c r="BN659" i="15" s="1"/>
  <c r="AL659" i="15"/>
  <c r="BJ659" i="15" s="1"/>
  <c r="AK659" i="15"/>
  <c r="AH663" i="15"/>
  <c r="BM663" i="15" s="1"/>
  <c r="BN663" i="15" s="1"/>
  <c r="AL663" i="15"/>
  <c r="BJ663" i="15" s="1"/>
  <c r="AK663" i="15"/>
  <c r="AH667" i="15"/>
  <c r="AL667" i="15"/>
  <c r="BJ667" i="15" s="1"/>
  <c r="AK667" i="15"/>
  <c r="AK672" i="15"/>
  <c r="AL672" i="15"/>
  <c r="BJ672" i="15" s="1"/>
  <c r="AH676" i="15"/>
  <c r="BM676" i="15" s="1"/>
  <c r="BN676" i="15" s="1"/>
  <c r="AL676" i="15"/>
  <c r="BJ676" i="15" s="1"/>
  <c r="AK676" i="15"/>
  <c r="AK680" i="15"/>
  <c r="AL680" i="15"/>
  <c r="BJ680" i="15" s="1"/>
  <c r="AL684" i="15"/>
  <c r="BJ684" i="15" s="1"/>
  <c r="AK684" i="15"/>
  <c r="AK688" i="15"/>
  <c r="AL688" i="15"/>
  <c r="BJ688" i="15" s="1"/>
  <c r="AH692" i="15"/>
  <c r="BM692" i="15" s="1"/>
  <c r="BN692" i="15" s="1"/>
  <c r="AK692" i="15"/>
  <c r="AL692" i="15"/>
  <c r="BJ692" i="15" s="1"/>
  <c r="AL699" i="15"/>
  <c r="BJ699" i="15" s="1"/>
  <c r="AK699" i="15"/>
  <c r="AL701" i="15"/>
  <c r="BJ701" i="15" s="1"/>
  <c r="AK701" i="15"/>
  <c r="AL703" i="15"/>
  <c r="BJ703" i="15" s="1"/>
  <c r="AK703" i="15"/>
  <c r="AL705" i="15"/>
  <c r="BJ705" i="15" s="1"/>
  <c r="AK705" i="15"/>
  <c r="AL707" i="15"/>
  <c r="BJ707" i="15" s="1"/>
  <c r="AK707" i="15"/>
  <c r="AL711" i="15"/>
  <c r="BJ711" i="15" s="1"/>
  <c r="AK711" i="15"/>
  <c r="AL713" i="15"/>
  <c r="BJ713" i="15" s="1"/>
  <c r="AK713" i="15"/>
  <c r="AH715" i="15"/>
  <c r="BM715" i="15" s="1"/>
  <c r="BN715" i="15" s="1"/>
  <c r="AL715" i="15"/>
  <c r="BJ715" i="15" s="1"/>
  <c r="AK715" i="15"/>
  <c r="AH720" i="15"/>
  <c r="AI720" i="15" s="1"/>
  <c r="AK720" i="15"/>
  <c r="AL720" i="15"/>
  <c r="BJ720" i="15" s="1"/>
  <c r="AH722" i="15"/>
  <c r="BM722" i="15" s="1"/>
  <c r="BN722" i="15" s="1"/>
  <c r="AL722" i="15"/>
  <c r="BJ722" i="15" s="1"/>
  <c r="AK722" i="15"/>
  <c r="AH724" i="15"/>
  <c r="AK724" i="15"/>
  <c r="AL724" i="15"/>
  <c r="BJ724" i="15" s="1"/>
  <c r="AH726" i="15"/>
  <c r="AL726" i="15"/>
  <c r="BJ726" i="15" s="1"/>
  <c r="AK726" i="15"/>
  <c r="AH728" i="15"/>
  <c r="BM728" i="15" s="1"/>
  <c r="BN728" i="15" s="1"/>
  <c r="AL728" i="15"/>
  <c r="BJ728" i="15" s="1"/>
  <c r="AK728" i="15"/>
  <c r="AH730" i="15"/>
  <c r="BM730" i="15" s="1"/>
  <c r="BN730" i="15" s="1"/>
  <c r="AK730" i="15"/>
  <c r="AL730" i="15"/>
  <c r="BJ730" i="15" s="1"/>
  <c r="AH732" i="15"/>
  <c r="AK732" i="15"/>
  <c r="AL732" i="15"/>
  <c r="BJ732" i="15" s="1"/>
  <c r="AH734" i="15"/>
  <c r="BM734" i="15" s="1"/>
  <c r="BN734" i="15" s="1"/>
  <c r="AL734" i="15"/>
  <c r="BJ734" i="15" s="1"/>
  <c r="AK734" i="15"/>
  <c r="AH736" i="15"/>
  <c r="BM736" i="15" s="1"/>
  <c r="BN736" i="15" s="1"/>
  <c r="AL736" i="15"/>
  <c r="BJ736" i="15" s="1"/>
  <c r="AK736" i="15"/>
  <c r="AH738" i="15"/>
  <c r="BM738" i="15" s="1"/>
  <c r="BN738" i="15" s="1"/>
  <c r="AK738" i="15"/>
  <c r="AL738" i="15"/>
  <c r="BJ738" i="15" s="1"/>
  <c r="AH740" i="15"/>
  <c r="AK740" i="15"/>
  <c r="AL740" i="15"/>
  <c r="BJ740" i="15" s="1"/>
  <c r="AH742" i="15"/>
  <c r="AL742" i="15"/>
  <c r="BJ742" i="15" s="1"/>
  <c r="AK742" i="15"/>
  <c r="AH11" i="15"/>
  <c r="BM11" i="15" s="1"/>
  <c r="BN11" i="15" s="1"/>
  <c r="AL11" i="15"/>
  <c r="BJ11" i="15" s="1"/>
  <c r="AK11" i="15"/>
  <c r="AH13" i="15"/>
  <c r="BM13" i="15" s="1"/>
  <c r="BN13" i="15" s="1"/>
  <c r="AL13" i="15"/>
  <c r="BJ13" i="15" s="1"/>
  <c r="AK13" i="15"/>
  <c r="AH15" i="15"/>
  <c r="AL15" i="15"/>
  <c r="BJ15" i="15" s="1"/>
  <c r="AK15" i="15"/>
  <c r="AH17" i="15"/>
  <c r="BM17" i="15" s="1"/>
  <c r="BN17" i="15" s="1"/>
  <c r="AK17" i="15"/>
  <c r="AL17" i="15"/>
  <c r="BJ17" i="15" s="1"/>
  <c r="AH19" i="15"/>
  <c r="BM19" i="15" s="1"/>
  <c r="BN19" i="15" s="1"/>
  <c r="AK19" i="15"/>
  <c r="AL19" i="15"/>
  <c r="BJ19" i="15" s="1"/>
  <c r="AH21" i="15"/>
  <c r="BM21" i="15" s="1"/>
  <c r="BN21" i="15" s="1"/>
  <c r="AK21" i="15"/>
  <c r="AL21" i="15"/>
  <c r="BJ21" i="15" s="1"/>
  <c r="AH23" i="15"/>
  <c r="BM23" i="15" s="1"/>
  <c r="BN23" i="15" s="1"/>
  <c r="AK23" i="15"/>
  <c r="AL23" i="15"/>
  <c r="BJ23" i="15" s="1"/>
  <c r="AH25" i="15"/>
  <c r="BM25" i="15" s="1"/>
  <c r="BN25" i="15" s="1"/>
  <c r="AK25" i="15"/>
  <c r="AL25" i="15"/>
  <c r="BJ25" i="15" s="1"/>
  <c r="AH27" i="15"/>
  <c r="BM27" i="15" s="1"/>
  <c r="BN27" i="15" s="1"/>
  <c r="AK27" i="15"/>
  <c r="AL27" i="15"/>
  <c r="BJ27" i="15" s="1"/>
  <c r="AH29" i="15"/>
  <c r="BM29" i="15" s="1"/>
  <c r="BN29" i="15" s="1"/>
  <c r="AK29" i="15"/>
  <c r="AL29" i="15"/>
  <c r="BJ29" i="15" s="1"/>
  <c r="AH31" i="15"/>
  <c r="AK31" i="15"/>
  <c r="AL31" i="15"/>
  <c r="BJ31" i="15" s="1"/>
  <c r="AH33" i="15"/>
  <c r="BM33" i="15" s="1"/>
  <c r="BN33" i="15" s="1"/>
  <c r="AK33" i="15"/>
  <c r="AL33" i="15"/>
  <c r="BJ33" i="15" s="1"/>
  <c r="AK154" i="15"/>
  <c r="AL154" i="15"/>
  <c r="BJ154" i="15" s="1"/>
  <c r="AH156" i="15"/>
  <c r="AK156" i="15"/>
  <c r="AL156" i="15"/>
  <c r="BJ156" i="15" s="1"/>
  <c r="AK158" i="15"/>
  <c r="AL158" i="15"/>
  <c r="BJ158" i="15" s="1"/>
  <c r="AH160" i="15"/>
  <c r="BM160" i="15" s="1"/>
  <c r="BN160" i="15" s="1"/>
  <c r="AK160" i="15"/>
  <c r="AL160" i="15"/>
  <c r="BJ160" i="15" s="1"/>
  <c r="AK162" i="15"/>
  <c r="AL162" i="15"/>
  <c r="BJ162" i="15" s="1"/>
  <c r="AH164" i="15"/>
  <c r="BM164" i="15" s="1"/>
  <c r="BN164" i="15" s="1"/>
  <c r="AK164" i="15"/>
  <c r="AL164" i="15"/>
  <c r="BJ164" i="15" s="1"/>
  <c r="AK166" i="15"/>
  <c r="AL166" i="15"/>
  <c r="BJ166" i="15" s="1"/>
  <c r="AH168" i="15"/>
  <c r="AK168" i="15"/>
  <c r="AL168" i="15"/>
  <c r="BJ168" i="15" s="1"/>
  <c r="AK170" i="15"/>
  <c r="AL170" i="15"/>
  <c r="BJ170" i="15" s="1"/>
  <c r="AH172" i="15"/>
  <c r="AK172" i="15"/>
  <c r="AL172" i="15"/>
  <c r="BJ172" i="15" s="1"/>
  <c r="AK174" i="15"/>
  <c r="AL174" i="15"/>
  <c r="BJ174" i="15" s="1"/>
  <c r="AH179" i="15"/>
  <c r="BM179" i="15" s="1"/>
  <c r="BN179" i="15" s="1"/>
  <c r="AL179" i="15"/>
  <c r="BJ179" i="15" s="1"/>
  <c r="AK179" i="15"/>
  <c r="AH181" i="15"/>
  <c r="AK181" i="15"/>
  <c r="AL181" i="15"/>
  <c r="BJ181" i="15" s="1"/>
  <c r="AH183" i="15"/>
  <c r="BM183" i="15" s="1"/>
  <c r="BN183" i="15" s="1"/>
  <c r="AL183" i="15"/>
  <c r="BJ183" i="15" s="1"/>
  <c r="AK183" i="15"/>
  <c r="AH185" i="15"/>
  <c r="BM185" i="15" s="1"/>
  <c r="BN185" i="15" s="1"/>
  <c r="AK185" i="15"/>
  <c r="AL185" i="15"/>
  <c r="BJ185" i="15" s="1"/>
  <c r="AH187" i="15"/>
  <c r="BM187" i="15" s="1"/>
  <c r="BN187" i="15" s="1"/>
  <c r="AK187" i="15"/>
  <c r="AL187" i="15"/>
  <c r="BJ187" i="15" s="1"/>
  <c r="AH189" i="15"/>
  <c r="AK189" i="15"/>
  <c r="AL189" i="15"/>
  <c r="BJ189" i="15" s="1"/>
  <c r="AH191" i="15"/>
  <c r="BM191" i="15" s="1"/>
  <c r="BN191" i="15" s="1"/>
  <c r="AL191" i="15"/>
  <c r="BJ191" i="15" s="1"/>
  <c r="AK191" i="15"/>
  <c r="AH193" i="15"/>
  <c r="BM193" i="15" s="1"/>
  <c r="BN193" i="15" s="1"/>
  <c r="AL193" i="15"/>
  <c r="BJ193" i="15" s="1"/>
  <c r="AK193" i="15"/>
  <c r="AH195" i="15"/>
  <c r="BM195" i="15" s="1"/>
  <c r="BN195" i="15" s="1"/>
  <c r="AK195" i="15"/>
  <c r="AL195" i="15"/>
  <c r="BJ195" i="15" s="1"/>
  <c r="AH197" i="15"/>
  <c r="AK197" i="15"/>
  <c r="AL197" i="15"/>
  <c r="BJ197" i="15" s="1"/>
  <c r="AH202" i="15"/>
  <c r="BM202" i="15" s="1"/>
  <c r="BN202" i="15" s="1"/>
  <c r="AK202" i="15"/>
  <c r="AL202" i="15"/>
  <c r="BJ202" i="15" s="1"/>
  <c r="AH204" i="15"/>
  <c r="BM204" i="15" s="1"/>
  <c r="BN204" i="15" s="1"/>
  <c r="AK204" i="15"/>
  <c r="AL204" i="15"/>
  <c r="BJ204" i="15" s="1"/>
  <c r="AH206" i="15"/>
  <c r="BM206" i="15" s="1"/>
  <c r="BN206" i="15" s="1"/>
  <c r="AK206" i="15"/>
  <c r="AL206" i="15"/>
  <c r="BJ206" i="15" s="1"/>
  <c r="AH208" i="15"/>
  <c r="AL208" i="15"/>
  <c r="BJ208" i="15" s="1"/>
  <c r="AK208" i="15"/>
  <c r="AH210" i="15"/>
  <c r="BM210" i="15" s="1"/>
  <c r="BN210" i="15" s="1"/>
  <c r="AL210" i="15"/>
  <c r="BJ210" i="15" s="1"/>
  <c r="AK210" i="15"/>
  <c r="AH212" i="15"/>
  <c r="BM212" i="15" s="1"/>
  <c r="BN212" i="15" s="1"/>
  <c r="AL212" i="15"/>
  <c r="BJ212" i="15" s="1"/>
  <c r="AK212" i="15"/>
  <c r="AH214" i="15"/>
  <c r="BM214" i="15" s="1"/>
  <c r="BN214" i="15" s="1"/>
  <c r="AL214" i="15"/>
  <c r="BJ214" i="15" s="1"/>
  <c r="AK214" i="15"/>
  <c r="AH216" i="15"/>
  <c r="AL216" i="15"/>
  <c r="BJ216" i="15" s="1"/>
  <c r="AK216" i="15"/>
  <c r="AH218" i="15"/>
  <c r="BM218" i="15" s="1"/>
  <c r="BN218" i="15" s="1"/>
  <c r="AL218" i="15"/>
  <c r="BJ218" i="15" s="1"/>
  <c r="AK218" i="15"/>
  <c r="AH220" i="15"/>
  <c r="BM220" i="15" s="1"/>
  <c r="BN220" i="15" s="1"/>
  <c r="AL220" i="15"/>
  <c r="BJ220" i="15" s="1"/>
  <c r="AK220" i="15"/>
  <c r="AH222" i="15"/>
  <c r="BM222" i="15" s="1"/>
  <c r="BN222" i="15" s="1"/>
  <c r="AL222" i="15"/>
  <c r="BJ222" i="15" s="1"/>
  <c r="AK222" i="15"/>
  <c r="AH224" i="15"/>
  <c r="AL224" i="15"/>
  <c r="BJ224" i="15" s="1"/>
  <c r="AK224" i="15"/>
  <c r="AH226" i="15"/>
  <c r="BM226" i="15" s="1"/>
  <c r="BN226" i="15" s="1"/>
  <c r="AL226" i="15"/>
  <c r="BJ226" i="15" s="1"/>
  <c r="AK226" i="15"/>
  <c r="AK231" i="15"/>
  <c r="AL231" i="15"/>
  <c r="BJ231" i="15" s="1"/>
  <c r="AH233" i="15"/>
  <c r="AK233" i="15"/>
  <c r="AL233" i="15"/>
  <c r="BJ233" i="15" s="1"/>
  <c r="AK235" i="15"/>
  <c r="AL235" i="15"/>
  <c r="BJ235" i="15" s="1"/>
  <c r="AH237" i="15"/>
  <c r="BM237" i="15" s="1"/>
  <c r="BN237" i="15" s="1"/>
  <c r="AL237" i="15"/>
  <c r="BJ237" i="15" s="1"/>
  <c r="AK237" i="15"/>
  <c r="AL239" i="15"/>
  <c r="BJ239" i="15" s="1"/>
  <c r="AK239" i="15"/>
  <c r="AH241" i="15"/>
  <c r="BM241" i="15" s="1"/>
  <c r="BN241" i="15" s="1"/>
  <c r="AK241" i="15"/>
  <c r="AL241" i="15"/>
  <c r="BJ241" i="15" s="1"/>
  <c r="AH246" i="15"/>
  <c r="BM246" i="15" s="1"/>
  <c r="BN246" i="15" s="1"/>
  <c r="AL246" i="15"/>
  <c r="BJ246" i="15" s="1"/>
  <c r="AK246" i="15"/>
  <c r="AH248" i="15"/>
  <c r="AL248" i="15"/>
  <c r="BJ248" i="15" s="1"/>
  <c r="AK248" i="15"/>
  <c r="AH250" i="15"/>
  <c r="BM250" i="15" s="1"/>
  <c r="BN250" i="15" s="1"/>
  <c r="AL250" i="15"/>
  <c r="BJ250" i="15" s="1"/>
  <c r="AK250" i="15"/>
  <c r="AH252" i="15"/>
  <c r="BM252" i="15" s="1"/>
  <c r="BN252" i="15" s="1"/>
  <c r="AL252" i="15"/>
  <c r="BJ252" i="15" s="1"/>
  <c r="AK252" i="15"/>
  <c r="AH254" i="15"/>
  <c r="BM254" i="15" s="1"/>
  <c r="BN254" i="15" s="1"/>
  <c r="AL254" i="15"/>
  <c r="BJ254" i="15" s="1"/>
  <c r="AK254" i="15"/>
  <c r="AH256" i="15"/>
  <c r="AL256" i="15"/>
  <c r="BJ256" i="15" s="1"/>
  <c r="AK256" i="15"/>
  <c r="AH258" i="15"/>
  <c r="BM258" i="15" s="1"/>
  <c r="BN258" i="15" s="1"/>
  <c r="AL258" i="15"/>
  <c r="BJ258" i="15" s="1"/>
  <c r="AK258" i="15"/>
  <c r="AH260" i="15"/>
  <c r="BM260" i="15" s="1"/>
  <c r="BN260" i="15" s="1"/>
  <c r="AL260" i="15"/>
  <c r="BJ260" i="15" s="1"/>
  <c r="AK260" i="15"/>
  <c r="AK495" i="15"/>
  <c r="AL495" i="15"/>
  <c r="BJ495" i="15" s="1"/>
  <c r="AK497" i="15"/>
  <c r="AL497" i="15"/>
  <c r="BJ497" i="15" s="1"/>
  <c r="AK499" i="15"/>
  <c r="AL499" i="15"/>
  <c r="BJ499" i="15" s="1"/>
  <c r="AL501" i="15"/>
  <c r="BJ501" i="15" s="1"/>
  <c r="AK501" i="15"/>
  <c r="AL503" i="15"/>
  <c r="BJ503" i="15" s="1"/>
  <c r="AK503" i="15"/>
  <c r="AL505" i="15"/>
  <c r="BJ505" i="15" s="1"/>
  <c r="AK505" i="15"/>
  <c r="AL507" i="15"/>
  <c r="BJ507" i="15" s="1"/>
  <c r="AK507" i="15"/>
  <c r="AL509" i="15"/>
  <c r="BJ509" i="15" s="1"/>
  <c r="AK509" i="15"/>
  <c r="AK514" i="15"/>
  <c r="AL514" i="15"/>
  <c r="BJ514" i="15" s="1"/>
  <c r="AL516" i="15"/>
  <c r="BJ516" i="15" s="1"/>
  <c r="AK516" i="15"/>
  <c r="AK518" i="15"/>
  <c r="AL518" i="15"/>
  <c r="BJ518" i="15" s="1"/>
  <c r="AH520" i="15"/>
  <c r="BM520" i="15" s="1"/>
  <c r="BN520" i="15" s="1"/>
  <c r="AL520" i="15"/>
  <c r="BJ520" i="15" s="1"/>
  <c r="AK520" i="15"/>
  <c r="AK522" i="15"/>
  <c r="AL522" i="15"/>
  <c r="BJ522" i="15" s="1"/>
  <c r="AK524" i="15"/>
  <c r="AL524" i="15"/>
  <c r="BJ524" i="15" s="1"/>
  <c r="AH526" i="15"/>
  <c r="BM526" i="15" s="1"/>
  <c r="BN526" i="15" s="1"/>
  <c r="AK526" i="15"/>
  <c r="AL526" i="15"/>
  <c r="BJ526" i="15" s="1"/>
  <c r="AH528" i="15"/>
  <c r="BM528" i="15" s="1"/>
  <c r="BN528" i="15" s="1"/>
  <c r="AL528" i="15"/>
  <c r="BJ528" i="15" s="1"/>
  <c r="AK528" i="15"/>
  <c r="AL530" i="15"/>
  <c r="BJ530" i="15" s="1"/>
  <c r="AK530" i="15"/>
  <c r="AK532" i="15"/>
  <c r="AL532" i="15"/>
  <c r="BJ532" i="15" s="1"/>
  <c r="AK534" i="15"/>
  <c r="AL534" i="15"/>
  <c r="BJ534" i="15" s="1"/>
  <c r="AH539" i="15"/>
  <c r="BM539" i="15" s="1"/>
  <c r="BN539" i="15" s="1"/>
  <c r="AL539" i="15"/>
  <c r="BJ539" i="15" s="1"/>
  <c r="AK539" i="15"/>
  <c r="AH541" i="15"/>
  <c r="BM541" i="15" s="1"/>
  <c r="BN541" i="15" s="1"/>
  <c r="AL541" i="15"/>
  <c r="BJ541" i="15" s="1"/>
  <c r="AK541" i="15"/>
  <c r="AH543" i="15"/>
  <c r="AL543" i="15"/>
  <c r="BJ543" i="15" s="1"/>
  <c r="AK543" i="15"/>
  <c r="AL545" i="15"/>
  <c r="BJ545" i="15" s="1"/>
  <c r="AK545" i="15"/>
  <c r="AL547" i="15"/>
  <c r="BJ547" i="15" s="1"/>
  <c r="AK547" i="15"/>
  <c r="AL549" i="15"/>
  <c r="BJ549" i="15" s="1"/>
  <c r="AK549" i="15"/>
  <c r="AH554" i="15"/>
  <c r="AI554" i="15" s="1"/>
  <c r="AL554" i="15"/>
  <c r="BJ554" i="15" s="1"/>
  <c r="AK554" i="15"/>
  <c r="AH556" i="15"/>
  <c r="AK556" i="15"/>
  <c r="AL556" i="15"/>
  <c r="BJ556" i="15" s="1"/>
  <c r="AH558" i="15"/>
  <c r="AI558" i="15" s="1"/>
  <c r="AK558" i="15"/>
  <c r="AL558" i="15"/>
  <c r="BJ558" i="15" s="1"/>
  <c r="AH560" i="15"/>
  <c r="BM560" i="15" s="1"/>
  <c r="BN560" i="15" s="1"/>
  <c r="AL560" i="15"/>
  <c r="BJ560" i="15" s="1"/>
  <c r="AK560" i="15"/>
  <c r="AH562" i="15"/>
  <c r="BM562" i="15" s="1"/>
  <c r="BN562" i="15" s="1"/>
  <c r="AK562" i="15"/>
  <c r="AL562" i="15"/>
  <c r="BJ562" i="15" s="1"/>
  <c r="AH564" i="15"/>
  <c r="AL564" i="15"/>
  <c r="BJ564" i="15" s="1"/>
  <c r="AK564" i="15"/>
  <c r="AH566" i="15"/>
  <c r="AI566" i="15" s="1"/>
  <c r="AK566" i="15"/>
  <c r="AL566" i="15"/>
  <c r="BJ566" i="15" s="1"/>
  <c r="AH568" i="15"/>
  <c r="BM568" i="15" s="1"/>
  <c r="BN568" i="15" s="1"/>
  <c r="AL568" i="15"/>
  <c r="BJ568" i="15" s="1"/>
  <c r="AK568" i="15"/>
  <c r="AH570" i="15"/>
  <c r="AI570" i="15" s="1"/>
  <c r="AK570" i="15"/>
  <c r="AL570" i="15"/>
  <c r="BJ570" i="15" s="1"/>
  <c r="AH575" i="15"/>
  <c r="AL575" i="15"/>
  <c r="BJ575" i="15" s="1"/>
  <c r="AK575" i="15"/>
  <c r="AH577" i="15"/>
  <c r="BM577" i="15" s="1"/>
  <c r="BN577" i="15" s="1"/>
  <c r="AL577" i="15"/>
  <c r="BJ577" i="15" s="1"/>
  <c r="AK577" i="15"/>
  <c r="AH579" i="15"/>
  <c r="BM579" i="15" s="1"/>
  <c r="BN579" i="15" s="1"/>
  <c r="AL579" i="15"/>
  <c r="BJ579" i="15" s="1"/>
  <c r="AK579" i="15"/>
  <c r="AH581" i="15"/>
  <c r="BM581" i="15" s="1"/>
  <c r="BN581" i="15" s="1"/>
  <c r="AL581" i="15"/>
  <c r="BJ581" i="15" s="1"/>
  <c r="AK581" i="15"/>
  <c r="AH583" i="15"/>
  <c r="AL583" i="15"/>
  <c r="BJ583" i="15" s="1"/>
  <c r="AK583" i="15"/>
  <c r="AH585" i="15"/>
  <c r="BM585" i="15" s="1"/>
  <c r="BN585" i="15" s="1"/>
  <c r="AL585" i="15"/>
  <c r="BJ585" i="15" s="1"/>
  <c r="AK585" i="15"/>
  <c r="AH587" i="15"/>
  <c r="BM587" i="15" s="1"/>
  <c r="BN587" i="15" s="1"/>
  <c r="AL587" i="15"/>
  <c r="BJ587" i="15" s="1"/>
  <c r="AK587" i="15"/>
  <c r="AH589" i="15"/>
  <c r="AI589" i="15" s="1"/>
  <c r="AL589" i="15"/>
  <c r="BJ589" i="15" s="1"/>
  <c r="AK589" i="15"/>
  <c r="AH591" i="15"/>
  <c r="AL591" i="15"/>
  <c r="BJ591" i="15" s="1"/>
  <c r="AK591" i="15"/>
  <c r="AH593" i="15"/>
  <c r="AI593" i="15" s="1"/>
  <c r="AL593" i="15"/>
  <c r="BJ593" i="15" s="1"/>
  <c r="AK593" i="15"/>
  <c r="AH595" i="15"/>
  <c r="BM595" i="15" s="1"/>
  <c r="BN595" i="15" s="1"/>
  <c r="AL595" i="15"/>
  <c r="BJ595" i="15" s="1"/>
  <c r="AK595" i="15"/>
  <c r="AH597" i="15"/>
  <c r="BM597" i="15" s="1"/>
  <c r="BN597" i="15" s="1"/>
  <c r="AL597" i="15"/>
  <c r="BJ597" i="15" s="1"/>
  <c r="AK597" i="15"/>
  <c r="AL599" i="15"/>
  <c r="BJ599" i="15" s="1"/>
  <c r="AK599" i="15"/>
  <c r="AH748" i="15"/>
  <c r="BM748" i="15" s="1"/>
  <c r="BN748" i="15" s="1"/>
  <c r="AK748" i="15"/>
  <c r="AL748" i="15"/>
  <c r="BJ748" i="15" s="1"/>
  <c r="AH750" i="15"/>
  <c r="AI750" i="15" s="1"/>
  <c r="AK750" i="15"/>
  <c r="AL750" i="15"/>
  <c r="BJ750" i="15" s="1"/>
  <c r="AH752" i="15"/>
  <c r="AL752" i="15"/>
  <c r="BJ752" i="15" s="1"/>
  <c r="AK752" i="15"/>
  <c r="AH754" i="15"/>
  <c r="BM754" i="15" s="1"/>
  <c r="BN754" i="15" s="1"/>
  <c r="AK754" i="15"/>
  <c r="AL754" i="15"/>
  <c r="BJ754" i="15" s="1"/>
  <c r="AK756" i="15"/>
  <c r="AL756" i="15"/>
  <c r="BJ756" i="15" s="1"/>
  <c r="AK758" i="15"/>
  <c r="AL758" i="15"/>
  <c r="BJ758" i="15" s="1"/>
  <c r="AL760" i="15"/>
  <c r="BJ760" i="15" s="1"/>
  <c r="AK760" i="15"/>
  <c r="AH762" i="15"/>
  <c r="AK762" i="15"/>
  <c r="AL762" i="15"/>
  <c r="BJ762" i="15" s="1"/>
  <c r="AL767" i="15"/>
  <c r="BJ767" i="15" s="1"/>
  <c r="AK767" i="15"/>
  <c r="AH769" i="15"/>
  <c r="AI769" i="15" s="1"/>
  <c r="AL769" i="15"/>
  <c r="BJ769" i="15" s="1"/>
  <c r="AK769" i="15"/>
  <c r="AH771" i="15"/>
  <c r="AL771" i="15"/>
  <c r="BJ771" i="15" s="1"/>
  <c r="AK771" i="15"/>
  <c r="AL773" i="15"/>
  <c r="BJ773" i="15" s="1"/>
  <c r="AK773" i="15"/>
  <c r="AH775" i="15"/>
  <c r="AI775" i="15" s="1"/>
  <c r="AL775" i="15"/>
  <c r="BJ775" i="15" s="1"/>
  <c r="AK775" i="15"/>
  <c r="AH777" i="15"/>
  <c r="AL777" i="15"/>
  <c r="BJ777" i="15" s="1"/>
  <c r="AK777" i="15"/>
  <c r="AH779" i="15"/>
  <c r="BM779" i="15" s="1"/>
  <c r="BN779" i="15" s="1"/>
  <c r="AL779" i="15"/>
  <c r="BJ779" i="15" s="1"/>
  <c r="AK779" i="15"/>
  <c r="AL781" i="15"/>
  <c r="BJ781" i="15" s="1"/>
  <c r="AK781" i="15"/>
  <c r="AH783" i="15"/>
  <c r="AL783" i="15"/>
  <c r="BJ783" i="15" s="1"/>
  <c r="AK783" i="15"/>
  <c r="AH785" i="15"/>
  <c r="BM785" i="15" s="1"/>
  <c r="BN785" i="15" s="1"/>
  <c r="AL785" i="15"/>
  <c r="BJ785" i="15" s="1"/>
  <c r="AK785" i="15"/>
  <c r="AH790" i="15"/>
  <c r="BM790" i="15" s="1"/>
  <c r="BN790" i="15" s="1"/>
  <c r="AK790" i="15"/>
  <c r="AL790" i="15"/>
  <c r="BJ790" i="15" s="1"/>
  <c r="AH792" i="15"/>
  <c r="BM792" i="15" s="1"/>
  <c r="BN792" i="15" s="1"/>
  <c r="AK792" i="15"/>
  <c r="AL792" i="15"/>
  <c r="BJ792" i="15" s="1"/>
  <c r="AH794" i="15"/>
  <c r="AK794" i="15"/>
  <c r="AL794" i="15"/>
  <c r="BJ794" i="15" s="1"/>
  <c r="AH796" i="15"/>
  <c r="AI796" i="15" s="1"/>
  <c r="AL796" i="15"/>
  <c r="BJ796" i="15" s="1"/>
  <c r="AK796" i="15"/>
  <c r="AH798" i="15"/>
  <c r="BM798" i="15" s="1"/>
  <c r="BN798" i="15" s="1"/>
  <c r="AL798" i="15"/>
  <c r="BJ798" i="15" s="1"/>
  <c r="AK798" i="15"/>
  <c r="AH800" i="15"/>
  <c r="AI800" i="15" s="1"/>
  <c r="AK800" i="15"/>
  <c r="AL800" i="15"/>
  <c r="BJ800" i="15" s="1"/>
  <c r="AH802" i="15"/>
  <c r="AK802" i="15"/>
  <c r="AL802" i="15"/>
  <c r="BJ802" i="15" s="1"/>
  <c r="AH804" i="15"/>
  <c r="BM804" i="15" s="1"/>
  <c r="BN804" i="15" s="1"/>
  <c r="AL804" i="15"/>
  <c r="BJ804" i="15" s="1"/>
  <c r="AK804" i="15"/>
  <c r="AH806" i="15"/>
  <c r="BM806" i="15" s="1"/>
  <c r="BN806" i="15" s="1"/>
  <c r="AK806" i="15"/>
  <c r="AL806" i="15"/>
  <c r="BJ806" i="15" s="1"/>
  <c r="AH808" i="15"/>
  <c r="BM808" i="15" s="1"/>
  <c r="BN808" i="15" s="1"/>
  <c r="AK808" i="15"/>
  <c r="AL808" i="15"/>
  <c r="BJ808" i="15" s="1"/>
  <c r="AH813" i="15"/>
  <c r="AL813" i="15"/>
  <c r="BJ813" i="15" s="1"/>
  <c r="AK813" i="15"/>
  <c r="AL815" i="15"/>
  <c r="BJ815" i="15" s="1"/>
  <c r="AK815" i="15"/>
  <c r="AH817" i="15"/>
  <c r="BM817" i="15" s="1"/>
  <c r="BN817" i="15" s="1"/>
  <c r="AL817" i="15"/>
  <c r="BJ817" i="15" s="1"/>
  <c r="AK817" i="15"/>
  <c r="AH819" i="15"/>
  <c r="AL819" i="15"/>
  <c r="BJ819" i="15" s="1"/>
  <c r="AK819" i="15"/>
  <c r="AH821" i="15"/>
  <c r="BM821" i="15" s="1"/>
  <c r="BN821" i="15" s="1"/>
  <c r="AL821" i="15"/>
  <c r="BJ821" i="15" s="1"/>
  <c r="AK821" i="15"/>
  <c r="AH823" i="15"/>
  <c r="BM823" i="15" s="1"/>
  <c r="BN823" i="15" s="1"/>
  <c r="AL823" i="15"/>
  <c r="BJ823" i="15" s="1"/>
  <c r="AK823" i="15"/>
  <c r="AH825" i="15"/>
  <c r="AI825" i="15" s="1"/>
  <c r="AL825" i="15"/>
  <c r="BJ825" i="15" s="1"/>
  <c r="AK825" i="15"/>
  <c r="AH827" i="15"/>
  <c r="AL827" i="15"/>
  <c r="BJ827" i="15" s="1"/>
  <c r="AK827" i="15"/>
  <c r="AH829" i="15"/>
  <c r="BM829" i="15" s="1"/>
  <c r="BN829" i="15" s="1"/>
  <c r="AL829" i="15"/>
  <c r="BJ829" i="15" s="1"/>
  <c r="AK829" i="15"/>
  <c r="AH834" i="15"/>
  <c r="BM834" i="15" s="1"/>
  <c r="BN834" i="15" s="1"/>
  <c r="AK834" i="15"/>
  <c r="AL834" i="15"/>
  <c r="BJ834" i="15" s="1"/>
  <c r="AH836" i="15"/>
  <c r="BM836" i="15" s="1"/>
  <c r="BN836" i="15" s="1"/>
  <c r="AL836" i="15"/>
  <c r="BJ836" i="15" s="1"/>
  <c r="AK836" i="15"/>
  <c r="AH838" i="15"/>
  <c r="AK838" i="15"/>
  <c r="AL838" i="15"/>
  <c r="BJ838" i="15" s="1"/>
  <c r="AL840" i="15"/>
  <c r="BJ840" i="15" s="1"/>
  <c r="AK840" i="15"/>
  <c r="AH842" i="15"/>
  <c r="BM842" i="15" s="1"/>
  <c r="BN842" i="15" s="1"/>
  <c r="AK842" i="15"/>
  <c r="AL842" i="15"/>
  <c r="BJ842" i="15" s="1"/>
  <c r="AH844" i="15"/>
  <c r="AK844" i="15"/>
  <c r="AL844" i="15"/>
  <c r="BJ844" i="15" s="1"/>
  <c r="AH846" i="15"/>
  <c r="BM846" i="15" s="1"/>
  <c r="BN846" i="15" s="1"/>
  <c r="AK846" i="15"/>
  <c r="AL846" i="15"/>
  <c r="BJ846" i="15" s="1"/>
  <c r="AH848" i="15"/>
  <c r="BM848" i="15" s="1"/>
  <c r="BN848" i="15" s="1"/>
  <c r="AL848" i="15"/>
  <c r="BJ848" i="15" s="1"/>
  <c r="AK848" i="15"/>
  <c r="AH850" i="15"/>
  <c r="AI850" i="15" s="1"/>
  <c r="AL850" i="15"/>
  <c r="BJ850" i="15" s="1"/>
  <c r="AK850" i="15"/>
  <c r="AH852" i="15"/>
  <c r="AK852" i="15"/>
  <c r="AL852" i="15"/>
  <c r="BJ852" i="15" s="1"/>
  <c r="AK854" i="15"/>
  <c r="AL854" i="15"/>
  <c r="BJ854" i="15" s="1"/>
  <c r="AH856" i="15"/>
  <c r="AI856" i="15" s="1"/>
  <c r="AL856" i="15"/>
  <c r="BJ856" i="15" s="1"/>
  <c r="AK856" i="15"/>
  <c r="AH858" i="15"/>
  <c r="AK858" i="15"/>
  <c r="AL858" i="15"/>
  <c r="BJ858" i="15" s="1"/>
  <c r="AH860" i="15"/>
  <c r="BM860" i="15" s="1"/>
  <c r="BN860" i="15" s="1"/>
  <c r="AL860" i="15"/>
  <c r="BJ860" i="15" s="1"/>
  <c r="AK860" i="15"/>
  <c r="AK862" i="15"/>
  <c r="AL862" i="15"/>
  <c r="BJ862" i="15" s="1"/>
  <c r="AH867" i="15"/>
  <c r="AL867" i="15"/>
  <c r="BJ867" i="15" s="1"/>
  <c r="AK867" i="15"/>
  <c r="AH869" i="15"/>
  <c r="BM869" i="15" s="1"/>
  <c r="BN869" i="15" s="1"/>
  <c r="AL869" i="15"/>
  <c r="BJ869" i="15" s="1"/>
  <c r="AK869" i="15"/>
  <c r="AH871" i="15"/>
  <c r="BM871" i="15" s="1"/>
  <c r="BN871" i="15" s="1"/>
  <c r="AL871" i="15"/>
  <c r="BJ871" i="15" s="1"/>
  <c r="AK871" i="15"/>
  <c r="AH873" i="15"/>
  <c r="BM873" i="15" s="1"/>
  <c r="BN873" i="15" s="1"/>
  <c r="AL873" i="15"/>
  <c r="BJ873" i="15" s="1"/>
  <c r="AK873" i="15"/>
  <c r="AH875" i="15"/>
  <c r="AL875" i="15"/>
  <c r="BJ875" i="15" s="1"/>
  <c r="AK875" i="15"/>
  <c r="AH877" i="15"/>
  <c r="AI877" i="15" s="1"/>
  <c r="AL877" i="15"/>
  <c r="BJ877" i="15" s="1"/>
  <c r="AK877" i="15"/>
  <c r="AH879" i="15"/>
  <c r="BM879" i="15" s="1"/>
  <c r="BN879" i="15" s="1"/>
  <c r="AL879" i="15"/>
  <c r="BJ879" i="15" s="1"/>
  <c r="AK879" i="15"/>
  <c r="AH881" i="15"/>
  <c r="AI881" i="15" s="1"/>
  <c r="AL881" i="15"/>
  <c r="BJ881" i="15" s="1"/>
  <c r="AK881" i="15"/>
  <c r="AH883" i="15"/>
  <c r="AL883" i="15"/>
  <c r="BJ883" i="15" s="1"/>
  <c r="AK883" i="15"/>
  <c r="AH885" i="15"/>
  <c r="BM885" i="15" s="1"/>
  <c r="BN885" i="15" s="1"/>
  <c r="AL885" i="15"/>
  <c r="BJ885" i="15" s="1"/>
  <c r="AK885" i="15"/>
  <c r="AH887" i="15"/>
  <c r="BM887" i="15" s="1"/>
  <c r="BN887" i="15" s="1"/>
  <c r="AL887" i="15"/>
  <c r="BJ887" i="15" s="1"/>
  <c r="AK887" i="15"/>
  <c r="AH889" i="15"/>
  <c r="BM889" i="15" s="1"/>
  <c r="BN889" i="15" s="1"/>
  <c r="AL889" i="15"/>
  <c r="BJ889" i="15" s="1"/>
  <c r="AK889" i="15"/>
  <c r="AH891" i="15"/>
  <c r="AL891" i="15"/>
  <c r="BJ891" i="15" s="1"/>
  <c r="AK891" i="15"/>
  <c r="AH893" i="15"/>
  <c r="BM893" i="15" s="1"/>
  <c r="BN893" i="15" s="1"/>
  <c r="AL893" i="15"/>
  <c r="BJ893" i="15" s="1"/>
  <c r="AK893" i="15"/>
  <c r="AH895" i="15"/>
  <c r="BM895" i="15" s="1"/>
  <c r="BN895" i="15" s="1"/>
  <c r="AL895" i="15"/>
  <c r="BJ895" i="15" s="1"/>
  <c r="AK895" i="15"/>
  <c r="AH897" i="15"/>
  <c r="AI897" i="15" s="1"/>
  <c r="AL897" i="15"/>
  <c r="BJ897" i="15" s="1"/>
  <c r="AK897" i="15"/>
  <c r="AK14" i="15"/>
  <c r="AL14" i="15"/>
  <c r="BJ14" i="15" s="1"/>
  <c r="AK18" i="15"/>
  <c r="AL18" i="15"/>
  <c r="BJ18" i="15" s="1"/>
  <c r="AK22" i="15"/>
  <c r="AL22" i="15"/>
  <c r="BJ22" i="15" s="1"/>
  <c r="AK26" i="15"/>
  <c r="AL26" i="15"/>
  <c r="BJ26" i="15" s="1"/>
  <c r="AK30" i="15"/>
  <c r="AL30" i="15"/>
  <c r="BJ30" i="15" s="1"/>
  <c r="AH155" i="15"/>
  <c r="BM155" i="15" s="1"/>
  <c r="BN155" i="15" s="1"/>
  <c r="AK155" i="15"/>
  <c r="AL155" i="15"/>
  <c r="BJ155" i="15" s="1"/>
  <c r="AH159" i="15"/>
  <c r="BM159" i="15" s="1"/>
  <c r="BN159" i="15" s="1"/>
  <c r="AK159" i="15"/>
  <c r="AL159" i="15"/>
  <c r="BJ159" i="15" s="1"/>
  <c r="AH163" i="15"/>
  <c r="AL163" i="15"/>
  <c r="BJ163" i="15" s="1"/>
  <c r="AK163" i="15"/>
  <c r="AH167" i="15"/>
  <c r="BM167" i="15" s="1"/>
  <c r="BN167" i="15" s="1"/>
  <c r="AK167" i="15"/>
  <c r="AL167" i="15"/>
  <c r="BJ167" i="15" s="1"/>
  <c r="AH173" i="15"/>
  <c r="BM173" i="15" s="1"/>
  <c r="BN173" i="15" s="1"/>
  <c r="AK173" i="15"/>
  <c r="AL173" i="15"/>
  <c r="BJ173" i="15" s="1"/>
  <c r="AH178" i="15"/>
  <c r="AI178" i="15" s="1"/>
  <c r="AK178" i="15"/>
  <c r="AL178" i="15"/>
  <c r="BJ178" i="15" s="1"/>
  <c r="AH182" i="15"/>
  <c r="AK182" i="15"/>
  <c r="AL182" i="15"/>
  <c r="BJ182" i="15" s="1"/>
  <c r="AH186" i="15"/>
  <c r="AI186" i="15" s="1"/>
  <c r="AK186" i="15"/>
  <c r="AL186" i="15"/>
  <c r="BJ186" i="15" s="1"/>
  <c r="AH190" i="15"/>
  <c r="BM190" i="15" s="1"/>
  <c r="BN190" i="15" s="1"/>
  <c r="AK190" i="15"/>
  <c r="AL190" i="15"/>
  <c r="BJ190" i="15" s="1"/>
  <c r="AH194" i="15"/>
  <c r="AI194" i="15" s="1"/>
  <c r="AK194" i="15"/>
  <c r="AL194" i="15"/>
  <c r="BJ194" i="15" s="1"/>
  <c r="AH203" i="15"/>
  <c r="AL203" i="15"/>
  <c r="BJ203" i="15" s="1"/>
  <c r="AK203" i="15"/>
  <c r="AH207" i="15"/>
  <c r="BM207" i="15" s="1"/>
  <c r="BN207" i="15" s="1"/>
  <c r="AK207" i="15"/>
  <c r="AL207" i="15"/>
  <c r="BJ207" i="15" s="1"/>
  <c r="AH211" i="15"/>
  <c r="BM211" i="15" s="1"/>
  <c r="BN211" i="15" s="1"/>
  <c r="AK211" i="15"/>
  <c r="AL211" i="15"/>
  <c r="BJ211" i="15" s="1"/>
  <c r="AH215" i="15"/>
  <c r="BM215" i="15" s="1"/>
  <c r="BN215" i="15" s="1"/>
  <c r="AK215" i="15"/>
  <c r="AL215" i="15"/>
  <c r="BJ215" i="15" s="1"/>
  <c r="AH219" i="15"/>
  <c r="AK219" i="15"/>
  <c r="AL219" i="15"/>
  <c r="BJ219" i="15" s="1"/>
  <c r="AH223" i="15"/>
  <c r="BM223" i="15" s="1"/>
  <c r="BN223" i="15" s="1"/>
  <c r="AK223" i="15"/>
  <c r="AL223" i="15"/>
  <c r="BJ223" i="15" s="1"/>
  <c r="AH227" i="15"/>
  <c r="BM227" i="15" s="1"/>
  <c r="BN227" i="15" s="1"/>
  <c r="AK227" i="15"/>
  <c r="AL227" i="15"/>
  <c r="BJ227" i="15" s="1"/>
  <c r="AH232" i="15"/>
  <c r="BM232" i="15" s="1"/>
  <c r="BN232" i="15" s="1"/>
  <c r="AL232" i="15"/>
  <c r="BJ232" i="15" s="1"/>
  <c r="AK232" i="15"/>
  <c r="AH236" i="15"/>
  <c r="AL236" i="15"/>
  <c r="BJ236" i="15" s="1"/>
  <c r="AK236" i="15"/>
  <c r="AH238" i="15"/>
  <c r="BM238" i="15" s="1"/>
  <c r="BN238" i="15" s="1"/>
  <c r="AL238" i="15"/>
  <c r="BJ238" i="15" s="1"/>
  <c r="AK238" i="15"/>
  <c r="AH247" i="15"/>
  <c r="BM247" i="15" s="1"/>
  <c r="BN247" i="15" s="1"/>
  <c r="AK247" i="15"/>
  <c r="AL247" i="15"/>
  <c r="BJ247" i="15" s="1"/>
  <c r="AH251" i="15"/>
  <c r="AL251" i="15"/>
  <c r="BJ251" i="15" s="1"/>
  <c r="AK251" i="15"/>
  <c r="AH253" i="15"/>
  <c r="AK253" i="15"/>
  <c r="AL253" i="15"/>
  <c r="BJ253" i="15" s="1"/>
  <c r="AH257" i="15"/>
  <c r="BM257" i="15" s="1"/>
  <c r="BN257" i="15" s="1"/>
  <c r="AL257" i="15"/>
  <c r="BJ257" i="15" s="1"/>
  <c r="AK257" i="15"/>
  <c r="AH494" i="15"/>
  <c r="AI494" i="15" s="1"/>
  <c r="AL494" i="15"/>
  <c r="BJ494" i="15" s="1"/>
  <c r="AK494" i="15"/>
  <c r="AH498" i="15"/>
  <c r="BM498" i="15" s="1"/>
  <c r="BN498" i="15" s="1"/>
  <c r="AL498" i="15"/>
  <c r="BJ498" i="15" s="1"/>
  <c r="AK498" i="15"/>
  <c r="AH500" i="15"/>
  <c r="AL500" i="15"/>
  <c r="BJ500" i="15" s="1"/>
  <c r="AK500" i="15"/>
  <c r="AH502" i="15"/>
  <c r="AI502" i="15" s="1"/>
  <c r="AK502" i="15"/>
  <c r="AL502" i="15"/>
  <c r="BJ502" i="15" s="1"/>
  <c r="AH506" i="15"/>
  <c r="BM506" i="15" s="1"/>
  <c r="BN506" i="15" s="1"/>
  <c r="AK506" i="15"/>
  <c r="AL506" i="15"/>
  <c r="BJ506" i="15" s="1"/>
  <c r="AH510" i="15"/>
  <c r="BM510" i="15" s="1"/>
  <c r="BN510" i="15" s="1"/>
  <c r="AK510" i="15"/>
  <c r="AL510" i="15"/>
  <c r="BJ510" i="15" s="1"/>
  <c r="AH515" i="15"/>
  <c r="AL515" i="15"/>
  <c r="BJ515" i="15" s="1"/>
  <c r="AK515" i="15"/>
  <c r="AL519" i="15"/>
  <c r="BJ519" i="15" s="1"/>
  <c r="AK519" i="15"/>
  <c r="AH523" i="15"/>
  <c r="BM523" i="15" s="1"/>
  <c r="BN523" i="15" s="1"/>
  <c r="AL523" i="15"/>
  <c r="BJ523" i="15" s="1"/>
  <c r="AK523" i="15"/>
  <c r="AL527" i="15"/>
  <c r="BJ527" i="15" s="1"/>
  <c r="AK527" i="15"/>
  <c r="AH531" i="15"/>
  <c r="BM531" i="15" s="1"/>
  <c r="BN531" i="15" s="1"/>
  <c r="AL531" i="15"/>
  <c r="BJ531" i="15" s="1"/>
  <c r="AK531" i="15"/>
  <c r="AL540" i="15"/>
  <c r="BJ540" i="15" s="1"/>
  <c r="AK540" i="15"/>
  <c r="AK544" i="15"/>
  <c r="AL544" i="15"/>
  <c r="BJ544" i="15" s="1"/>
  <c r="AL548" i="15"/>
  <c r="BJ548" i="15" s="1"/>
  <c r="AK548" i="15"/>
  <c r="AH555" i="15"/>
  <c r="AI555" i="15" s="1"/>
  <c r="AL555" i="15"/>
  <c r="BJ555" i="15" s="1"/>
  <c r="AK555" i="15"/>
  <c r="AH559" i="15"/>
  <c r="BM559" i="15" s="1"/>
  <c r="BN559" i="15" s="1"/>
  <c r="AL559" i="15"/>
  <c r="BJ559" i="15" s="1"/>
  <c r="AK559" i="15"/>
  <c r="AH563" i="15"/>
  <c r="BM563" i="15" s="1"/>
  <c r="BN563" i="15" s="1"/>
  <c r="AL563" i="15"/>
  <c r="BJ563" i="15" s="1"/>
  <c r="AK563" i="15"/>
  <c r="AH567" i="15"/>
  <c r="AL567" i="15"/>
  <c r="BJ567" i="15" s="1"/>
  <c r="AK567" i="15"/>
  <c r="AH574" i="15"/>
  <c r="AI574" i="15" s="1"/>
  <c r="AK574" i="15"/>
  <c r="AL574" i="15"/>
  <c r="BJ574" i="15" s="1"/>
  <c r="AH578" i="15"/>
  <c r="BM578" i="15" s="1"/>
  <c r="BN578" i="15" s="1"/>
  <c r="AK578" i="15"/>
  <c r="AL578" i="15"/>
  <c r="BJ578" i="15" s="1"/>
  <c r="AH580" i="15"/>
  <c r="AI580" i="15" s="1"/>
  <c r="AL580" i="15"/>
  <c r="BJ580" i="15" s="1"/>
  <c r="AK580" i="15"/>
  <c r="AH582" i="15"/>
  <c r="AK582" i="15"/>
  <c r="AL582" i="15"/>
  <c r="BJ582" i="15" s="1"/>
  <c r="AH584" i="15"/>
  <c r="AI584" i="15" s="1"/>
  <c r="AK584" i="15"/>
  <c r="AL584" i="15"/>
  <c r="BJ584" i="15" s="1"/>
  <c r="AH586" i="15"/>
  <c r="BM586" i="15" s="1"/>
  <c r="BN586" i="15" s="1"/>
  <c r="AK586" i="15"/>
  <c r="AL586" i="15"/>
  <c r="BJ586" i="15" s="1"/>
  <c r="AH588" i="15"/>
  <c r="BM588" i="15" s="1"/>
  <c r="BN588" i="15" s="1"/>
  <c r="AL588" i="15"/>
  <c r="BJ588" i="15" s="1"/>
  <c r="AK588" i="15"/>
  <c r="AH590" i="15"/>
  <c r="AL590" i="15"/>
  <c r="BJ590" i="15" s="1"/>
  <c r="AK590" i="15"/>
  <c r="AH592" i="15"/>
  <c r="BM592" i="15" s="1"/>
  <c r="BN592" i="15" s="1"/>
  <c r="AK592" i="15"/>
  <c r="AL592" i="15"/>
  <c r="BJ592" i="15" s="1"/>
  <c r="AH594" i="15"/>
  <c r="BM594" i="15" s="1"/>
  <c r="BN594" i="15" s="1"/>
  <c r="AK594" i="15"/>
  <c r="AL594" i="15"/>
  <c r="BJ594" i="15" s="1"/>
  <c r="AH596" i="15"/>
  <c r="BM596" i="15" s="1"/>
  <c r="BN596" i="15" s="1"/>
  <c r="AL596" i="15"/>
  <c r="BJ596" i="15" s="1"/>
  <c r="AK596" i="15"/>
  <c r="AH598" i="15"/>
  <c r="AK598" i="15"/>
  <c r="AL598" i="15"/>
  <c r="BJ598" i="15" s="1"/>
  <c r="AH600" i="15"/>
  <c r="AI600" i="15" s="1"/>
  <c r="AL600" i="15"/>
  <c r="BJ600" i="15" s="1"/>
  <c r="AK600" i="15"/>
  <c r="AH747" i="15"/>
  <c r="AI747" i="15" s="1"/>
  <c r="AL747" i="15"/>
  <c r="BJ747" i="15" s="1"/>
  <c r="AK747" i="15"/>
  <c r="AL751" i="15"/>
  <c r="BJ751" i="15" s="1"/>
  <c r="AK751" i="15"/>
  <c r="AH755" i="15"/>
  <c r="BM755" i="15" s="1"/>
  <c r="BN755" i="15" s="1"/>
  <c r="AL755" i="15"/>
  <c r="BJ755" i="15" s="1"/>
  <c r="AK755" i="15"/>
  <c r="AH759" i="15"/>
  <c r="BM759" i="15" s="1"/>
  <c r="BN759" i="15" s="1"/>
  <c r="AL759" i="15"/>
  <c r="BJ759" i="15" s="1"/>
  <c r="AK759" i="15"/>
  <c r="AH768" i="15"/>
  <c r="AI768" i="15" s="1"/>
  <c r="AL768" i="15"/>
  <c r="BJ768" i="15" s="1"/>
  <c r="AK768" i="15"/>
  <c r="AH772" i="15"/>
  <c r="AL772" i="15"/>
  <c r="BJ772" i="15" s="1"/>
  <c r="AK772" i="15"/>
  <c r="AK776" i="15"/>
  <c r="AL776" i="15"/>
  <c r="BJ776" i="15" s="1"/>
  <c r="AH780" i="15"/>
  <c r="BM780" i="15" s="1"/>
  <c r="BN780" i="15" s="1"/>
  <c r="AL780" i="15"/>
  <c r="BJ780" i="15" s="1"/>
  <c r="AK780" i="15"/>
  <c r="AK784" i="15"/>
  <c r="AL784" i="15"/>
  <c r="BJ784" i="15" s="1"/>
  <c r="AL789" i="15"/>
  <c r="BJ789" i="15" s="1"/>
  <c r="AK789" i="15"/>
  <c r="AL793" i="15"/>
  <c r="BJ793" i="15" s="1"/>
  <c r="AK793" i="15"/>
  <c r="AH795" i="15"/>
  <c r="BM795" i="15" s="1"/>
  <c r="BN795" i="15" s="1"/>
  <c r="AL795" i="15"/>
  <c r="BJ795" i="15" s="1"/>
  <c r="AK795" i="15"/>
  <c r="AL799" i="15"/>
  <c r="BJ799" i="15" s="1"/>
  <c r="AK799" i="15"/>
  <c r="AL801" i="15"/>
  <c r="BJ801" i="15" s="1"/>
  <c r="AK801" i="15"/>
  <c r="AH803" i="15"/>
  <c r="BM803" i="15" s="1"/>
  <c r="BN803" i="15" s="1"/>
  <c r="AL803" i="15"/>
  <c r="BJ803" i="15" s="1"/>
  <c r="AK803" i="15"/>
  <c r="AL805" i="15"/>
  <c r="BJ805" i="15" s="1"/>
  <c r="AK805" i="15"/>
  <c r="AL807" i="15"/>
  <c r="BJ807" i="15" s="1"/>
  <c r="AK807" i="15"/>
  <c r="AH812" i="15"/>
  <c r="AI812" i="15" s="1"/>
  <c r="AK812" i="15"/>
  <c r="AL812" i="15"/>
  <c r="BJ812" i="15" s="1"/>
  <c r="AK814" i="15"/>
  <c r="AL814" i="15"/>
  <c r="BJ814" i="15" s="1"/>
  <c r="AH816" i="15"/>
  <c r="AL816" i="15"/>
  <c r="BJ816" i="15" s="1"/>
  <c r="AK816" i="15"/>
  <c r="AH818" i="15"/>
  <c r="AK818" i="15"/>
  <c r="AL818" i="15"/>
  <c r="BJ818" i="15" s="1"/>
  <c r="AH820" i="15"/>
  <c r="AI820" i="15" s="1"/>
  <c r="AL820" i="15"/>
  <c r="BJ820" i="15" s="1"/>
  <c r="AK820" i="15"/>
  <c r="AH822" i="15"/>
  <c r="BM822" i="15" s="1"/>
  <c r="BN822" i="15" s="1"/>
  <c r="AK822" i="15"/>
  <c r="AL822" i="15"/>
  <c r="BJ822" i="15" s="1"/>
  <c r="AH824" i="15"/>
  <c r="BM824" i="15" s="1"/>
  <c r="BN824" i="15" s="1"/>
  <c r="AL824" i="15"/>
  <c r="BJ824" i="15" s="1"/>
  <c r="AK824" i="15"/>
  <c r="AH826" i="15"/>
  <c r="AK826" i="15"/>
  <c r="AL826" i="15"/>
  <c r="BJ826" i="15" s="1"/>
  <c r="AH828" i="15"/>
  <c r="BM828" i="15" s="1"/>
  <c r="BN828" i="15" s="1"/>
  <c r="AK828" i="15"/>
  <c r="AL828" i="15"/>
  <c r="BJ828" i="15" s="1"/>
  <c r="AH833" i="15"/>
  <c r="AI833" i="15" s="1"/>
  <c r="AL833" i="15"/>
  <c r="BJ833" i="15" s="1"/>
  <c r="AK833" i="15"/>
  <c r="AH837" i="15"/>
  <c r="BM837" i="15" s="1"/>
  <c r="BN837" i="15" s="1"/>
  <c r="AL837" i="15"/>
  <c r="BJ837" i="15" s="1"/>
  <c r="AK837" i="15"/>
  <c r="AH841" i="15"/>
  <c r="AL841" i="15"/>
  <c r="BJ841" i="15" s="1"/>
  <c r="AK841" i="15"/>
  <c r="AH845" i="15"/>
  <c r="AI845" i="15" s="1"/>
  <c r="AL845" i="15"/>
  <c r="BJ845" i="15" s="1"/>
  <c r="AK845" i="15"/>
  <c r="AH851" i="15"/>
  <c r="BM851" i="15" s="1"/>
  <c r="BN851" i="15" s="1"/>
  <c r="AL851" i="15"/>
  <c r="BJ851" i="15" s="1"/>
  <c r="AK851" i="15"/>
  <c r="AH855" i="15"/>
  <c r="AI855" i="15" s="1"/>
  <c r="AL855" i="15"/>
  <c r="BJ855" i="15" s="1"/>
  <c r="AK855" i="15"/>
  <c r="AH859" i="15"/>
  <c r="BM859" i="15" s="1"/>
  <c r="BN859" i="15" s="1"/>
  <c r="AL859" i="15"/>
  <c r="BJ859" i="15" s="1"/>
  <c r="AK859" i="15"/>
  <c r="AH866" i="15"/>
  <c r="AI866" i="15" s="1"/>
  <c r="AK866" i="15"/>
  <c r="AL866" i="15"/>
  <c r="BJ866" i="15" s="1"/>
  <c r="AL868" i="15"/>
  <c r="BJ868" i="15" s="1"/>
  <c r="AK868" i="15"/>
  <c r="AL870" i="15"/>
  <c r="BJ870" i="15" s="1"/>
  <c r="AK870" i="15"/>
  <c r="AK872" i="15"/>
  <c r="AL872" i="15"/>
  <c r="BJ872" i="15" s="1"/>
  <c r="AH874" i="15"/>
  <c r="AI874" i="15" s="1"/>
  <c r="AK874" i="15"/>
  <c r="AL874" i="15"/>
  <c r="BJ874" i="15" s="1"/>
  <c r="AL876" i="15"/>
  <c r="BJ876" i="15" s="1"/>
  <c r="AK876" i="15"/>
  <c r="AK878" i="15"/>
  <c r="AL878" i="15"/>
  <c r="BJ878" i="15" s="1"/>
  <c r="AK880" i="15"/>
  <c r="AL880" i="15"/>
  <c r="BJ880" i="15" s="1"/>
  <c r="AH882" i="15"/>
  <c r="BM882" i="15" s="1"/>
  <c r="BN882" i="15" s="1"/>
  <c r="AK882" i="15"/>
  <c r="AL882" i="15"/>
  <c r="BJ882" i="15" s="1"/>
  <c r="AL884" i="15"/>
  <c r="BJ884" i="15" s="1"/>
  <c r="AK884" i="15"/>
  <c r="AH886" i="15"/>
  <c r="BM886" i="15" s="1"/>
  <c r="BN886" i="15" s="1"/>
  <c r="AK886" i="15"/>
  <c r="AL886" i="15"/>
  <c r="BJ886" i="15" s="1"/>
  <c r="AL888" i="15"/>
  <c r="BJ888" i="15" s="1"/>
  <c r="AK888" i="15"/>
  <c r="AH890" i="15"/>
  <c r="AI890" i="15" s="1"/>
  <c r="AK890" i="15"/>
  <c r="AL890" i="15"/>
  <c r="BJ890" i="15" s="1"/>
  <c r="AL892" i="15"/>
  <c r="BJ892" i="15" s="1"/>
  <c r="AK892" i="15"/>
  <c r="AK896" i="15"/>
  <c r="AL896" i="15"/>
  <c r="BJ896" i="15" s="1"/>
  <c r="AH41" i="15"/>
  <c r="BM41" i="15" s="1"/>
  <c r="BN41" i="15" s="1"/>
  <c r="AK41" i="15"/>
  <c r="AL41" i="15"/>
  <c r="BJ41" i="15" s="1"/>
  <c r="AH47" i="15"/>
  <c r="BM47" i="15" s="1"/>
  <c r="BN47" i="15" s="1"/>
  <c r="AK47" i="15"/>
  <c r="AL47" i="15"/>
  <c r="BJ47" i="15" s="1"/>
  <c r="AK51" i="15"/>
  <c r="AL51" i="15"/>
  <c r="BJ51" i="15" s="1"/>
  <c r="AK55" i="15"/>
  <c r="AL55" i="15"/>
  <c r="BJ55" i="15" s="1"/>
  <c r="AK59" i="15"/>
  <c r="AL59" i="15"/>
  <c r="BJ59" i="15" s="1"/>
  <c r="AK63" i="15"/>
  <c r="AL63" i="15"/>
  <c r="BJ63" i="15" s="1"/>
  <c r="AK73" i="15"/>
  <c r="AL73" i="15"/>
  <c r="BJ73" i="15" s="1"/>
  <c r="AK77" i="15"/>
  <c r="AL77" i="15"/>
  <c r="BJ77" i="15" s="1"/>
  <c r="AK81" i="15"/>
  <c r="AL81" i="15"/>
  <c r="BJ81" i="15" s="1"/>
  <c r="AK85" i="15"/>
  <c r="AL85" i="15"/>
  <c r="BJ85" i="15" s="1"/>
  <c r="AK90" i="15"/>
  <c r="AL90" i="15"/>
  <c r="BJ90" i="15" s="1"/>
  <c r="AK94" i="15"/>
  <c r="AL94" i="15"/>
  <c r="BJ94" i="15" s="1"/>
  <c r="AK98" i="15"/>
  <c r="AL98" i="15"/>
  <c r="BJ98" i="15" s="1"/>
  <c r="AH107" i="15"/>
  <c r="BM107" i="15" s="1"/>
  <c r="BN107" i="15" s="1"/>
  <c r="AK107" i="15"/>
  <c r="AL107" i="15"/>
  <c r="BJ107" i="15" s="1"/>
  <c r="AH111" i="15"/>
  <c r="BM111" i="15" s="1"/>
  <c r="BN111" i="15" s="1"/>
  <c r="AK111" i="15"/>
  <c r="AL111" i="15"/>
  <c r="BJ111" i="15" s="1"/>
  <c r="AH115" i="15"/>
  <c r="BM115" i="15" s="1"/>
  <c r="BN115" i="15" s="1"/>
  <c r="AK115" i="15"/>
  <c r="AL115" i="15"/>
  <c r="BJ115" i="15" s="1"/>
  <c r="AH119" i="15"/>
  <c r="BM119" i="15" s="1"/>
  <c r="BN119" i="15" s="1"/>
  <c r="AK119" i="15"/>
  <c r="AL119" i="15"/>
  <c r="BJ119" i="15" s="1"/>
  <c r="AH123" i="15"/>
  <c r="BM123" i="15" s="1"/>
  <c r="BN123" i="15" s="1"/>
  <c r="AK123" i="15"/>
  <c r="AL123" i="15"/>
  <c r="BJ123" i="15" s="1"/>
  <c r="AH127" i="15"/>
  <c r="BM127" i="15" s="1"/>
  <c r="BN127" i="15" s="1"/>
  <c r="AK127" i="15"/>
  <c r="AL127" i="15"/>
  <c r="BJ127" i="15" s="1"/>
  <c r="AH136" i="15"/>
  <c r="BM136" i="15" s="1"/>
  <c r="BN136" i="15" s="1"/>
  <c r="AK136" i="15"/>
  <c r="AL136" i="15"/>
  <c r="BJ136" i="15" s="1"/>
  <c r="AH138" i="15"/>
  <c r="BM138" i="15" s="1"/>
  <c r="BN138" i="15" s="1"/>
  <c r="AK138" i="15"/>
  <c r="AL138" i="15"/>
  <c r="BJ138" i="15" s="1"/>
  <c r="AH142" i="15"/>
  <c r="BM142" i="15" s="1"/>
  <c r="BN142" i="15" s="1"/>
  <c r="AK142" i="15"/>
  <c r="AL142" i="15"/>
  <c r="BJ142" i="15" s="1"/>
  <c r="AH148" i="15"/>
  <c r="BM148" i="15" s="1"/>
  <c r="BN148" i="15" s="1"/>
  <c r="AK148" i="15"/>
  <c r="AL148" i="15"/>
  <c r="BJ148" i="15" s="1"/>
  <c r="AH265" i="15"/>
  <c r="AI265" i="15" s="1"/>
  <c r="AK265" i="15"/>
  <c r="AL265" i="15"/>
  <c r="BJ265" i="15" s="1"/>
  <c r="AH269" i="15"/>
  <c r="BM269" i="15" s="1"/>
  <c r="BN269" i="15" s="1"/>
  <c r="AL269" i="15"/>
  <c r="BJ269" i="15" s="1"/>
  <c r="AK269" i="15"/>
  <c r="AH273" i="15"/>
  <c r="BM273" i="15" s="1"/>
  <c r="BN273" i="15" s="1"/>
  <c r="AL273" i="15"/>
  <c r="BJ273" i="15" s="1"/>
  <c r="AK273" i="15"/>
  <c r="AH277" i="15"/>
  <c r="BM277" i="15" s="1"/>
  <c r="BN277" i="15" s="1"/>
  <c r="AL277" i="15"/>
  <c r="BJ277" i="15" s="1"/>
  <c r="AK277" i="15"/>
  <c r="AH281" i="15"/>
  <c r="BM281" i="15" s="1"/>
  <c r="BN281" i="15" s="1"/>
  <c r="AK281" i="15"/>
  <c r="AL281" i="15"/>
  <c r="BJ281" i="15" s="1"/>
  <c r="AH286" i="15"/>
  <c r="AI286" i="15" s="1"/>
  <c r="AL286" i="15"/>
  <c r="BJ286" i="15" s="1"/>
  <c r="AK286" i="15"/>
  <c r="AH290" i="15"/>
  <c r="BM290" i="15" s="1"/>
  <c r="BN290" i="15" s="1"/>
  <c r="AL290" i="15"/>
  <c r="BJ290" i="15" s="1"/>
  <c r="AK290" i="15"/>
  <c r="AH294" i="15"/>
  <c r="AI294" i="15" s="1"/>
  <c r="AL294" i="15"/>
  <c r="BJ294" i="15" s="1"/>
  <c r="AK294" i="15"/>
  <c r="AH298" i="15"/>
  <c r="AL298" i="15"/>
  <c r="BJ298" i="15" s="1"/>
  <c r="AK298" i="15"/>
  <c r="AH302" i="15"/>
  <c r="BM302" i="15" s="1"/>
  <c r="BN302" i="15" s="1"/>
  <c r="AL302" i="15"/>
  <c r="BJ302" i="15" s="1"/>
  <c r="AK302" i="15"/>
  <c r="AH306" i="15"/>
  <c r="BM306" i="15" s="1"/>
  <c r="BN306" i="15" s="1"/>
  <c r="AL306" i="15"/>
  <c r="BJ306" i="15" s="1"/>
  <c r="AK306" i="15"/>
  <c r="AH310" i="15"/>
  <c r="AL310" i="15"/>
  <c r="BJ310" i="15" s="1"/>
  <c r="AK310" i="15"/>
  <c r="AH319" i="15"/>
  <c r="AI319" i="15" s="1"/>
  <c r="AL319" i="15"/>
  <c r="BJ319" i="15" s="1"/>
  <c r="AK319" i="15"/>
  <c r="AH323" i="15"/>
  <c r="BM323" i="15" s="1"/>
  <c r="BN323" i="15" s="1"/>
  <c r="AK323" i="15"/>
  <c r="AL323" i="15"/>
  <c r="BJ323" i="15" s="1"/>
  <c r="AH327" i="15"/>
  <c r="BM327" i="15" s="1"/>
  <c r="BN327" i="15" s="1"/>
  <c r="AL327" i="15"/>
  <c r="BJ327" i="15" s="1"/>
  <c r="AK327" i="15"/>
  <c r="AH331" i="15"/>
  <c r="BM331" i="15" s="1"/>
  <c r="BN331" i="15" s="1"/>
  <c r="AL331" i="15"/>
  <c r="BJ331" i="15" s="1"/>
  <c r="AK331" i="15"/>
  <c r="AH335" i="15"/>
  <c r="AI335" i="15" s="1"/>
  <c r="AL335" i="15"/>
  <c r="BJ335" i="15" s="1"/>
  <c r="AK335" i="15"/>
  <c r="AL342" i="15"/>
  <c r="BJ342" i="15" s="1"/>
  <c r="AK342" i="15"/>
  <c r="AL344" i="15"/>
  <c r="BJ344" i="15" s="1"/>
  <c r="AK344" i="15"/>
  <c r="AL346" i="15"/>
  <c r="BJ346" i="15" s="1"/>
  <c r="AK346" i="15"/>
  <c r="AL348" i="15"/>
  <c r="BJ348" i="15" s="1"/>
  <c r="AK348" i="15"/>
  <c r="AH350" i="15"/>
  <c r="BM350" i="15" s="1"/>
  <c r="BN350" i="15" s="1"/>
  <c r="AL350" i="15"/>
  <c r="BJ350" i="15" s="1"/>
  <c r="AK350" i="15"/>
  <c r="AL352" i="15"/>
  <c r="BJ352" i="15" s="1"/>
  <c r="AK352" i="15"/>
  <c r="AL354" i="15"/>
  <c r="BJ354" i="15" s="1"/>
  <c r="AK354" i="15"/>
  <c r="AH382" i="15"/>
  <c r="BM382" i="15" s="1"/>
  <c r="BN382" i="15" s="1"/>
  <c r="AL382" i="15"/>
  <c r="BJ382" i="15" s="1"/>
  <c r="AK382" i="15"/>
  <c r="AK389" i="15"/>
  <c r="AL389" i="15"/>
  <c r="BJ389" i="15" s="1"/>
  <c r="AK393" i="15"/>
  <c r="AL393" i="15"/>
  <c r="BJ393" i="15" s="1"/>
  <c r="AH398" i="15"/>
  <c r="BM398" i="15" s="1"/>
  <c r="BN398" i="15" s="1"/>
  <c r="AL398" i="15"/>
  <c r="BJ398" i="15" s="1"/>
  <c r="AK398" i="15"/>
  <c r="AH402" i="15"/>
  <c r="BM402" i="15" s="1"/>
  <c r="BN402" i="15" s="1"/>
  <c r="AL402" i="15"/>
  <c r="BJ402" i="15" s="1"/>
  <c r="AK402" i="15"/>
  <c r="AH406" i="15"/>
  <c r="BM406" i="15" s="1"/>
  <c r="BN406" i="15" s="1"/>
  <c r="AL406" i="15"/>
  <c r="BJ406" i="15" s="1"/>
  <c r="AK406" i="15"/>
  <c r="AL410" i="15"/>
  <c r="BJ410" i="15" s="1"/>
  <c r="AK410" i="15"/>
  <c r="AH414" i="15"/>
  <c r="AI414" i="15" s="1"/>
  <c r="AL414" i="15"/>
  <c r="BJ414" i="15" s="1"/>
  <c r="AK414" i="15"/>
  <c r="AL418" i="15"/>
  <c r="BJ418" i="15" s="1"/>
  <c r="AK418" i="15"/>
  <c r="AL420" i="15"/>
  <c r="BJ420" i="15" s="1"/>
  <c r="AK420" i="15"/>
  <c r="AH427" i="15"/>
  <c r="BM427" i="15" s="1"/>
  <c r="BN427" i="15" s="1"/>
  <c r="AL427" i="15"/>
  <c r="BJ427" i="15" s="1"/>
  <c r="AK427" i="15"/>
  <c r="AH431" i="15"/>
  <c r="BM431" i="15" s="1"/>
  <c r="BN431" i="15" s="1"/>
  <c r="AK431" i="15"/>
  <c r="AL431" i="15"/>
  <c r="BJ431" i="15" s="1"/>
  <c r="AH435" i="15"/>
  <c r="AL435" i="15"/>
  <c r="BJ435" i="15" s="1"/>
  <c r="AK435" i="15"/>
  <c r="AH439" i="15"/>
  <c r="BM439" i="15" s="1"/>
  <c r="BN439" i="15" s="1"/>
  <c r="AK439" i="15"/>
  <c r="AL439" i="15"/>
  <c r="BJ439" i="15" s="1"/>
  <c r="AH443" i="15"/>
  <c r="BM443" i="15" s="1"/>
  <c r="BN443" i="15" s="1"/>
  <c r="AL443" i="15"/>
  <c r="BJ443" i="15" s="1"/>
  <c r="AK443" i="15"/>
  <c r="AL483" i="15"/>
  <c r="BJ483" i="15" s="1"/>
  <c r="AK483" i="15"/>
  <c r="AL487" i="15"/>
  <c r="BJ487" i="15" s="1"/>
  <c r="AK487" i="15"/>
  <c r="AL634" i="15"/>
  <c r="BJ634" i="15" s="1"/>
  <c r="AK634" i="15"/>
  <c r="AH639" i="15"/>
  <c r="AI639" i="15" s="1"/>
  <c r="AL639" i="15"/>
  <c r="BJ639" i="15" s="1"/>
  <c r="AK639" i="15"/>
  <c r="AH643" i="15"/>
  <c r="BM643" i="15" s="1"/>
  <c r="BN643" i="15" s="1"/>
  <c r="AL643" i="15"/>
  <c r="BJ643" i="15" s="1"/>
  <c r="AK643" i="15"/>
  <c r="AH652" i="15"/>
  <c r="BM652" i="15" s="1"/>
  <c r="BN652" i="15" s="1"/>
  <c r="AL652" i="15"/>
  <c r="BJ652" i="15" s="1"/>
  <c r="AK652" i="15"/>
  <c r="AH656" i="15"/>
  <c r="BM656" i="15" s="1"/>
  <c r="BN656" i="15" s="1"/>
  <c r="AK656" i="15"/>
  <c r="AL656" i="15"/>
  <c r="BJ656" i="15" s="1"/>
  <c r="AL661" i="15"/>
  <c r="BJ661" i="15" s="1"/>
  <c r="AK661" i="15"/>
  <c r="AH665" i="15"/>
  <c r="BM665" i="15" s="1"/>
  <c r="BN665" i="15" s="1"/>
  <c r="AL665" i="15"/>
  <c r="BJ665" i="15" s="1"/>
  <c r="AK665" i="15"/>
  <c r="AH674" i="15"/>
  <c r="AI674" i="15" s="1"/>
  <c r="AL674" i="15"/>
  <c r="BJ674" i="15" s="1"/>
  <c r="AK674" i="15"/>
  <c r="AH678" i="15"/>
  <c r="AI678" i="15" s="1"/>
  <c r="AK678" i="15"/>
  <c r="AL678" i="15"/>
  <c r="BJ678" i="15" s="1"/>
  <c r="AH682" i="15"/>
  <c r="AI682" i="15" s="1"/>
  <c r="AL682" i="15"/>
  <c r="BJ682" i="15" s="1"/>
  <c r="AK682" i="15"/>
  <c r="AH686" i="15"/>
  <c r="BM686" i="15" s="1"/>
  <c r="BN686" i="15" s="1"/>
  <c r="AK686" i="15"/>
  <c r="AL686" i="15"/>
  <c r="BJ686" i="15" s="1"/>
  <c r="AH690" i="15"/>
  <c r="BM690" i="15" s="1"/>
  <c r="BN690" i="15" s="1"/>
  <c r="AL690" i="15"/>
  <c r="BJ690" i="15" s="1"/>
  <c r="AK690" i="15"/>
  <c r="AH694" i="15"/>
  <c r="AI694" i="15" s="1"/>
  <c r="AK694" i="15"/>
  <c r="AL694" i="15"/>
  <c r="BJ694" i="15" s="1"/>
  <c r="AL709" i="15"/>
  <c r="BJ709" i="15" s="1"/>
  <c r="AK709" i="15"/>
  <c r="AH38" i="15"/>
  <c r="BM38" i="15" s="1"/>
  <c r="BN38" i="15" s="1"/>
  <c r="AK38" i="15"/>
  <c r="AL38" i="15"/>
  <c r="BJ38" i="15" s="1"/>
  <c r="AK40" i="15"/>
  <c r="AL40" i="15"/>
  <c r="BJ40" i="15" s="1"/>
  <c r="AK42" i="15"/>
  <c r="AL42" i="15"/>
  <c r="BJ42" i="15" s="1"/>
  <c r="AH48" i="15"/>
  <c r="BM48" i="15" s="1"/>
  <c r="BN48" i="15" s="1"/>
  <c r="AK48" i="15"/>
  <c r="AL48" i="15"/>
  <c r="BJ48" i="15" s="1"/>
  <c r="AH50" i="15"/>
  <c r="AI50" i="15" s="1"/>
  <c r="AK50" i="15"/>
  <c r="AL50" i="15"/>
  <c r="BJ50" i="15" s="1"/>
  <c r="AH52" i="15"/>
  <c r="BM52" i="15" s="1"/>
  <c r="BN52" i="15" s="1"/>
  <c r="AK52" i="15"/>
  <c r="AL52" i="15"/>
  <c r="BJ52" i="15" s="1"/>
  <c r="AH54" i="15"/>
  <c r="BM54" i="15" s="1"/>
  <c r="BN54" i="15" s="1"/>
  <c r="AK54" i="15"/>
  <c r="AL54" i="15"/>
  <c r="BJ54" i="15" s="1"/>
  <c r="AH56" i="15"/>
  <c r="BM56" i="15" s="1"/>
  <c r="BN56" i="15" s="1"/>
  <c r="AK56" i="15"/>
  <c r="AL56" i="15"/>
  <c r="BJ56" i="15" s="1"/>
  <c r="AH58" i="15"/>
  <c r="BM58" i="15" s="1"/>
  <c r="BN58" i="15" s="1"/>
  <c r="AK58" i="15"/>
  <c r="AL58" i="15"/>
  <c r="BJ58" i="15" s="1"/>
  <c r="AH60" i="15"/>
  <c r="BM60" i="15" s="1"/>
  <c r="BN60" i="15" s="1"/>
  <c r="AK60" i="15"/>
  <c r="AL60" i="15"/>
  <c r="BJ60" i="15" s="1"/>
  <c r="AH62" i="15"/>
  <c r="BM62" i="15" s="1"/>
  <c r="BN62" i="15" s="1"/>
  <c r="AK62" i="15"/>
  <c r="AL62" i="15"/>
  <c r="BJ62" i="15" s="1"/>
  <c r="AH64" i="15"/>
  <c r="BM64" i="15" s="1"/>
  <c r="BN64" i="15" s="1"/>
  <c r="AK64" i="15"/>
  <c r="AL64" i="15"/>
  <c r="BJ64" i="15" s="1"/>
  <c r="AH66" i="15"/>
  <c r="AI66" i="15" s="1"/>
  <c r="AK66" i="15"/>
  <c r="AL66" i="15"/>
  <c r="BJ66" i="15" s="1"/>
  <c r="AH72" i="15"/>
  <c r="BM72" i="15" s="1"/>
  <c r="BN72" i="15" s="1"/>
  <c r="AK72" i="15"/>
  <c r="AL72" i="15"/>
  <c r="BJ72" i="15" s="1"/>
  <c r="AH74" i="15"/>
  <c r="BM74" i="15" s="1"/>
  <c r="BN74" i="15" s="1"/>
  <c r="AK74" i="15"/>
  <c r="AL74" i="15"/>
  <c r="BJ74" i="15" s="1"/>
  <c r="AH76" i="15"/>
  <c r="BM76" i="15" s="1"/>
  <c r="BN76" i="15" s="1"/>
  <c r="AK76" i="15"/>
  <c r="AL76" i="15"/>
  <c r="BJ76" i="15" s="1"/>
  <c r="AH78" i="15"/>
  <c r="BM78" i="15" s="1"/>
  <c r="BN78" i="15" s="1"/>
  <c r="AK78" i="15"/>
  <c r="AL78" i="15"/>
  <c r="BJ78" i="15" s="1"/>
  <c r="AH80" i="15"/>
  <c r="BM80" i="15" s="1"/>
  <c r="BN80" i="15" s="1"/>
  <c r="AK80" i="15"/>
  <c r="AL80" i="15"/>
  <c r="BJ80" i="15" s="1"/>
  <c r="AH82" i="15"/>
  <c r="BM82" i="15" s="1"/>
  <c r="BN82" i="15" s="1"/>
  <c r="AK82" i="15"/>
  <c r="AL82" i="15"/>
  <c r="BJ82" i="15" s="1"/>
  <c r="AH84" i="15"/>
  <c r="BM84" i="15" s="1"/>
  <c r="BN84" i="15" s="1"/>
  <c r="AK84" i="15"/>
  <c r="AL84" i="15"/>
  <c r="BJ84" i="15" s="1"/>
  <c r="AH89" i="15"/>
  <c r="AI89" i="15" s="1"/>
  <c r="AK89" i="15"/>
  <c r="AL89" i="15"/>
  <c r="BJ89" i="15" s="1"/>
  <c r="AH91" i="15"/>
  <c r="BM91" i="15" s="1"/>
  <c r="BN91" i="15" s="1"/>
  <c r="AK91" i="15"/>
  <c r="AL91" i="15"/>
  <c r="BJ91" i="15" s="1"/>
  <c r="AH93" i="15"/>
  <c r="BM93" i="15" s="1"/>
  <c r="BN93" i="15" s="1"/>
  <c r="AK93" i="15"/>
  <c r="AL93" i="15"/>
  <c r="BJ93" i="15" s="1"/>
  <c r="AH95" i="15"/>
  <c r="BM95" i="15" s="1"/>
  <c r="BN95" i="15" s="1"/>
  <c r="AK95" i="15"/>
  <c r="AL95" i="15"/>
  <c r="BJ95" i="15" s="1"/>
  <c r="AH97" i="15"/>
  <c r="BM97" i="15" s="1"/>
  <c r="BN97" i="15" s="1"/>
  <c r="AK97" i="15"/>
  <c r="AL97" i="15"/>
  <c r="BJ97" i="15" s="1"/>
  <c r="AH99" i="15"/>
  <c r="BM99" i="15" s="1"/>
  <c r="BN99" i="15" s="1"/>
  <c r="AK99" i="15"/>
  <c r="AL99" i="15"/>
  <c r="BJ99" i="15" s="1"/>
  <c r="AH101" i="15"/>
  <c r="BM101" i="15" s="1"/>
  <c r="BN101" i="15" s="1"/>
  <c r="AK101" i="15"/>
  <c r="AL101" i="15"/>
  <c r="BJ101" i="15" s="1"/>
  <c r="AK106" i="15"/>
  <c r="AL106" i="15"/>
  <c r="BJ106" i="15" s="1"/>
  <c r="AK108" i="15"/>
  <c r="AL108" i="15"/>
  <c r="BJ108" i="15" s="1"/>
  <c r="AK110" i="15"/>
  <c r="AL110" i="15"/>
  <c r="BJ110" i="15" s="1"/>
  <c r="AK112" i="15"/>
  <c r="AL112" i="15"/>
  <c r="BJ112" i="15" s="1"/>
  <c r="AK114" i="15"/>
  <c r="AL114" i="15"/>
  <c r="BJ114" i="15" s="1"/>
  <c r="AK116" i="15"/>
  <c r="AL116" i="15"/>
  <c r="BJ116" i="15" s="1"/>
  <c r="AK118" i="15"/>
  <c r="AL118" i="15"/>
  <c r="BJ118" i="15" s="1"/>
  <c r="AK120" i="15"/>
  <c r="AL120" i="15"/>
  <c r="BJ120" i="15" s="1"/>
  <c r="AK122" i="15"/>
  <c r="AL122" i="15"/>
  <c r="BJ122" i="15" s="1"/>
  <c r="AK124" i="15"/>
  <c r="AL124" i="15"/>
  <c r="BJ124" i="15" s="1"/>
  <c r="AK126" i="15"/>
  <c r="AL126" i="15"/>
  <c r="BJ126" i="15" s="1"/>
  <c r="AK128" i="15"/>
  <c r="AL128" i="15"/>
  <c r="BJ128" i="15" s="1"/>
  <c r="AH133" i="15"/>
  <c r="BM133" i="15" s="1"/>
  <c r="BN133" i="15" s="1"/>
  <c r="AK133" i="15"/>
  <c r="AL133" i="15"/>
  <c r="BJ133" i="15" s="1"/>
  <c r="AK135" i="15"/>
  <c r="AL135" i="15"/>
  <c r="BJ135" i="15" s="1"/>
  <c r="AK137" i="15"/>
  <c r="AL137" i="15"/>
  <c r="BJ137" i="15" s="1"/>
  <c r="AK139" i="15"/>
  <c r="AL139" i="15"/>
  <c r="BJ139" i="15" s="1"/>
  <c r="AK141" i="15"/>
  <c r="AL141" i="15"/>
  <c r="BJ141" i="15" s="1"/>
  <c r="AK143" i="15"/>
  <c r="AL143" i="15"/>
  <c r="BJ143" i="15" s="1"/>
  <c r="AH145" i="15"/>
  <c r="BM145" i="15" s="1"/>
  <c r="BN145" i="15" s="1"/>
  <c r="AK145" i="15"/>
  <c r="AL145" i="15"/>
  <c r="BJ145" i="15" s="1"/>
  <c r="AH147" i="15"/>
  <c r="AK147" i="15"/>
  <c r="AL147" i="15"/>
  <c r="BJ147" i="15" s="1"/>
  <c r="AH149" i="15"/>
  <c r="BM149" i="15" s="1"/>
  <c r="BN149" i="15" s="1"/>
  <c r="AK149" i="15"/>
  <c r="AL149" i="15"/>
  <c r="BJ149" i="15" s="1"/>
  <c r="AH261" i="15"/>
  <c r="AI261" i="15" s="1"/>
  <c r="AK261" i="15"/>
  <c r="AL261" i="15"/>
  <c r="BJ261" i="15" s="1"/>
  <c r="AH266" i="15"/>
  <c r="BM266" i="15" s="1"/>
  <c r="BN266" i="15" s="1"/>
  <c r="AL266" i="15"/>
  <c r="BJ266" i="15" s="1"/>
  <c r="AK266" i="15"/>
  <c r="AH268" i="15"/>
  <c r="AL268" i="15"/>
  <c r="BJ268" i="15" s="1"/>
  <c r="AK268" i="15"/>
  <c r="AH270" i="15"/>
  <c r="BM270" i="15" s="1"/>
  <c r="BN270" i="15" s="1"/>
  <c r="AL270" i="15"/>
  <c r="BJ270" i="15" s="1"/>
  <c r="AK270" i="15"/>
  <c r="AH272" i="15"/>
  <c r="BM272" i="15" s="1"/>
  <c r="BN272" i="15" s="1"/>
  <c r="AL272" i="15"/>
  <c r="BJ272" i="15" s="1"/>
  <c r="AK272" i="15"/>
  <c r="AH274" i="15"/>
  <c r="BM274" i="15" s="1"/>
  <c r="BN274" i="15" s="1"/>
  <c r="AL274" i="15"/>
  <c r="BJ274" i="15" s="1"/>
  <c r="AK274" i="15"/>
  <c r="AH276" i="15"/>
  <c r="AL276" i="15"/>
  <c r="BJ276" i="15" s="1"/>
  <c r="AK276" i="15"/>
  <c r="AH278" i="15"/>
  <c r="BM278" i="15" s="1"/>
  <c r="BN278" i="15" s="1"/>
  <c r="AL278" i="15"/>
  <c r="BJ278" i="15" s="1"/>
  <c r="AK278" i="15"/>
  <c r="AH280" i="15"/>
  <c r="BM280" i="15" s="1"/>
  <c r="BN280" i="15" s="1"/>
  <c r="AL280" i="15"/>
  <c r="BJ280" i="15" s="1"/>
  <c r="AK280" i="15"/>
  <c r="AL287" i="15"/>
  <c r="BJ287" i="15" s="1"/>
  <c r="AK287" i="15"/>
  <c r="AK289" i="15"/>
  <c r="AL289" i="15"/>
  <c r="BJ289" i="15" s="1"/>
  <c r="AK291" i="15"/>
  <c r="AL291" i="15"/>
  <c r="BJ291" i="15" s="1"/>
  <c r="AK293" i="15"/>
  <c r="AL293" i="15"/>
  <c r="BJ293" i="15" s="1"/>
  <c r="AL295" i="15"/>
  <c r="BJ295" i="15" s="1"/>
  <c r="AK295" i="15"/>
  <c r="AK297" i="15"/>
  <c r="AL297" i="15"/>
  <c r="BJ297" i="15" s="1"/>
  <c r="AL299" i="15"/>
  <c r="BJ299" i="15" s="1"/>
  <c r="AK299" i="15"/>
  <c r="AH301" i="15"/>
  <c r="AI301" i="15" s="1"/>
  <c r="AK301" i="15"/>
  <c r="AL301" i="15"/>
  <c r="BJ301" i="15" s="1"/>
  <c r="AL303" i="15"/>
  <c r="BJ303" i="15" s="1"/>
  <c r="AK303" i="15"/>
  <c r="AK305" i="15"/>
  <c r="AL305" i="15"/>
  <c r="BJ305" i="15" s="1"/>
  <c r="AK307" i="15"/>
  <c r="AL307" i="15"/>
  <c r="BJ307" i="15" s="1"/>
  <c r="AK309" i="15"/>
  <c r="AL309" i="15"/>
  <c r="BJ309" i="15" s="1"/>
  <c r="AL311" i="15"/>
  <c r="BJ311" i="15" s="1"/>
  <c r="AK311" i="15"/>
  <c r="AL316" i="15"/>
  <c r="BJ316" i="15" s="1"/>
  <c r="AK316" i="15"/>
  <c r="AL318" i="15"/>
  <c r="BJ318" i="15" s="1"/>
  <c r="AK318" i="15"/>
  <c r="AL320" i="15"/>
  <c r="BJ320" i="15" s="1"/>
  <c r="AK320" i="15"/>
  <c r="AL322" i="15"/>
  <c r="BJ322" i="15" s="1"/>
  <c r="AK322" i="15"/>
  <c r="AL324" i="15"/>
  <c r="BJ324" i="15" s="1"/>
  <c r="AK324" i="15"/>
  <c r="AL326" i="15"/>
  <c r="BJ326" i="15" s="1"/>
  <c r="AK326" i="15"/>
  <c r="AL328" i="15"/>
  <c r="BJ328" i="15" s="1"/>
  <c r="AK328" i="15"/>
  <c r="AL330" i="15"/>
  <c r="BJ330" i="15" s="1"/>
  <c r="AK330" i="15"/>
  <c r="AL332" i="15"/>
  <c r="BJ332" i="15" s="1"/>
  <c r="AK332" i="15"/>
  <c r="AL334" i="15"/>
  <c r="BJ334" i="15" s="1"/>
  <c r="AK334" i="15"/>
  <c r="AL336" i="15"/>
  <c r="BJ336" i="15" s="1"/>
  <c r="AK336" i="15"/>
  <c r="AL338" i="15"/>
  <c r="BJ338" i="15" s="1"/>
  <c r="AK338" i="15"/>
  <c r="AH343" i="15"/>
  <c r="BM343" i="15" s="1"/>
  <c r="BN343" i="15" s="1"/>
  <c r="AL343" i="15"/>
  <c r="BJ343" i="15" s="1"/>
  <c r="AK343" i="15"/>
  <c r="AH345" i="15"/>
  <c r="BM345" i="15" s="1"/>
  <c r="BN345" i="15" s="1"/>
  <c r="AK345" i="15"/>
  <c r="AL345" i="15"/>
  <c r="BJ345" i="15" s="1"/>
  <c r="AH347" i="15"/>
  <c r="BM347" i="15" s="1"/>
  <c r="BN347" i="15" s="1"/>
  <c r="AL347" i="15"/>
  <c r="BJ347" i="15" s="1"/>
  <c r="AK347" i="15"/>
  <c r="AH349" i="15"/>
  <c r="BM349" i="15" s="1"/>
  <c r="BN349" i="15" s="1"/>
  <c r="AK349" i="15"/>
  <c r="AL349" i="15"/>
  <c r="BJ349" i="15" s="1"/>
  <c r="AH351" i="15"/>
  <c r="BM351" i="15" s="1"/>
  <c r="BN351" i="15" s="1"/>
  <c r="AL351" i="15"/>
  <c r="BJ351" i="15" s="1"/>
  <c r="AK351" i="15"/>
  <c r="AH353" i="15"/>
  <c r="AI353" i="15" s="1"/>
  <c r="AK353" i="15"/>
  <c r="AL353" i="15"/>
  <c r="BJ353" i="15" s="1"/>
  <c r="AH355" i="15"/>
  <c r="BM355" i="15" s="1"/>
  <c r="BN355" i="15" s="1"/>
  <c r="AL355" i="15"/>
  <c r="BJ355" i="15" s="1"/>
  <c r="AK355" i="15"/>
  <c r="AH357" i="15"/>
  <c r="BM357" i="15" s="1"/>
  <c r="BN357" i="15" s="1"/>
  <c r="AK357" i="15"/>
  <c r="AL357" i="15"/>
  <c r="BJ357" i="15" s="1"/>
  <c r="AH359" i="15"/>
  <c r="BM359" i="15" s="1"/>
  <c r="BN359" i="15" s="1"/>
  <c r="AL359" i="15"/>
  <c r="BJ359" i="15" s="1"/>
  <c r="AK359" i="15"/>
  <c r="AH361" i="15"/>
  <c r="BM361" i="15" s="1"/>
  <c r="BN361" i="15" s="1"/>
  <c r="AL361" i="15"/>
  <c r="BJ361" i="15" s="1"/>
  <c r="AK361" i="15"/>
  <c r="AH363" i="15"/>
  <c r="BM363" i="15" s="1"/>
  <c r="BN363" i="15" s="1"/>
  <c r="AK363" i="15"/>
  <c r="AL363" i="15"/>
  <c r="BJ363" i="15" s="1"/>
  <c r="AH365" i="15"/>
  <c r="BM365" i="15" s="1"/>
  <c r="BN365" i="15" s="1"/>
  <c r="AK365" i="15"/>
  <c r="AL365" i="15"/>
  <c r="BJ365" i="15" s="1"/>
  <c r="AH367" i="15"/>
  <c r="BM367" i="15" s="1"/>
  <c r="BN367" i="15" s="1"/>
  <c r="AL367" i="15"/>
  <c r="BJ367" i="15" s="1"/>
  <c r="AK367" i="15"/>
  <c r="AH369" i="15"/>
  <c r="AI369" i="15" s="1"/>
  <c r="AL369" i="15"/>
  <c r="BJ369" i="15" s="1"/>
  <c r="AK369" i="15"/>
  <c r="AH371" i="15"/>
  <c r="BM371" i="15" s="1"/>
  <c r="BN371" i="15" s="1"/>
  <c r="AK371" i="15"/>
  <c r="AL371" i="15"/>
  <c r="BJ371" i="15" s="1"/>
  <c r="AH373" i="15"/>
  <c r="BM373" i="15" s="1"/>
  <c r="BN373" i="15" s="1"/>
  <c r="AK373" i="15"/>
  <c r="AL373" i="15"/>
  <c r="BJ373" i="15" s="1"/>
  <c r="AH375" i="15"/>
  <c r="BM375" i="15" s="1"/>
  <c r="BN375" i="15" s="1"/>
  <c r="AL375" i="15"/>
  <c r="BJ375" i="15" s="1"/>
  <c r="AK375" i="15"/>
  <c r="AH377" i="15"/>
  <c r="BM377" i="15" s="1"/>
  <c r="BN377" i="15" s="1"/>
  <c r="AK377" i="15"/>
  <c r="AL377" i="15"/>
  <c r="BJ377" i="15" s="1"/>
  <c r="AH379" i="15"/>
  <c r="BM379" i="15" s="1"/>
  <c r="BN379" i="15" s="1"/>
  <c r="AK379" i="15"/>
  <c r="AL379" i="15"/>
  <c r="BJ379" i="15" s="1"/>
  <c r="AH381" i="15"/>
  <c r="BM381" i="15" s="1"/>
  <c r="BN381" i="15" s="1"/>
  <c r="AK381" i="15"/>
  <c r="AL381" i="15"/>
  <c r="BJ381" i="15" s="1"/>
  <c r="AH383" i="15"/>
  <c r="BM383" i="15" s="1"/>
  <c r="BN383" i="15" s="1"/>
  <c r="AL383" i="15"/>
  <c r="BJ383" i="15" s="1"/>
  <c r="AK383" i="15"/>
  <c r="AH385" i="15"/>
  <c r="AI385" i="15" s="1"/>
  <c r="AK385" i="15"/>
  <c r="AL385" i="15"/>
  <c r="BJ385" i="15" s="1"/>
  <c r="AH390" i="15"/>
  <c r="BM390" i="15" s="1"/>
  <c r="BN390" i="15" s="1"/>
  <c r="AL390" i="15"/>
  <c r="BJ390" i="15" s="1"/>
  <c r="AK390" i="15"/>
  <c r="AH392" i="15"/>
  <c r="BM392" i="15" s="1"/>
  <c r="BN392" i="15" s="1"/>
  <c r="AL392" i="15"/>
  <c r="BJ392" i="15" s="1"/>
  <c r="AK392" i="15"/>
  <c r="AH394" i="15"/>
  <c r="BM394" i="15" s="1"/>
  <c r="BN394" i="15" s="1"/>
  <c r="AL394" i="15"/>
  <c r="BJ394" i="15" s="1"/>
  <c r="AK394" i="15"/>
  <c r="AL396" i="15"/>
  <c r="BJ396" i="15" s="1"/>
  <c r="AK396" i="15"/>
  <c r="AK399" i="15"/>
  <c r="AL399" i="15"/>
  <c r="BJ399" i="15" s="1"/>
  <c r="AK401" i="15"/>
  <c r="AL401" i="15"/>
  <c r="BJ401" i="15" s="1"/>
  <c r="AL403" i="15"/>
  <c r="BJ403" i="15" s="1"/>
  <c r="AK403" i="15"/>
  <c r="AL405" i="15"/>
  <c r="BJ405" i="15" s="1"/>
  <c r="AK405" i="15"/>
  <c r="AH407" i="15"/>
  <c r="BM407" i="15" s="1"/>
  <c r="BN407" i="15" s="1"/>
  <c r="AK407" i="15"/>
  <c r="AL407" i="15"/>
  <c r="BJ407" i="15" s="1"/>
  <c r="AH409" i="15"/>
  <c r="AK409" i="15"/>
  <c r="AL409" i="15"/>
  <c r="BJ409" i="15" s="1"/>
  <c r="AH411" i="15"/>
  <c r="AI411" i="15" s="1"/>
  <c r="AL411" i="15"/>
  <c r="BJ411" i="15" s="1"/>
  <c r="AK411" i="15"/>
  <c r="AK413" i="15"/>
  <c r="AL413" i="15"/>
  <c r="BJ413" i="15" s="1"/>
  <c r="AH415" i="15"/>
  <c r="AI415" i="15" s="1"/>
  <c r="AK415" i="15"/>
  <c r="AL415" i="15"/>
  <c r="BJ415" i="15" s="1"/>
  <c r="AH417" i="15"/>
  <c r="AI417" i="15" s="1"/>
  <c r="AK417" i="15"/>
  <c r="AL417" i="15"/>
  <c r="BJ417" i="15" s="1"/>
  <c r="AH419" i="15"/>
  <c r="BM419" i="15" s="1"/>
  <c r="BN419" i="15" s="1"/>
  <c r="AL419" i="15"/>
  <c r="BJ419" i="15" s="1"/>
  <c r="AK419" i="15"/>
  <c r="AK421" i="15"/>
  <c r="AL421" i="15"/>
  <c r="BJ421" i="15" s="1"/>
  <c r="AL426" i="15"/>
  <c r="BJ426" i="15" s="1"/>
  <c r="AK426" i="15"/>
  <c r="AL428" i="15"/>
  <c r="BJ428" i="15" s="1"/>
  <c r="AK428" i="15"/>
  <c r="AL430" i="15"/>
  <c r="BJ430" i="15" s="1"/>
  <c r="AK430" i="15"/>
  <c r="AL432" i="15"/>
  <c r="BJ432" i="15" s="1"/>
  <c r="AK432" i="15"/>
  <c r="AL434" i="15"/>
  <c r="BJ434" i="15" s="1"/>
  <c r="AK434" i="15"/>
  <c r="AL436" i="15"/>
  <c r="BJ436" i="15" s="1"/>
  <c r="AK436" i="15"/>
  <c r="AL438" i="15"/>
  <c r="BJ438" i="15" s="1"/>
  <c r="AK438" i="15"/>
  <c r="AL440" i="15"/>
  <c r="BJ440" i="15" s="1"/>
  <c r="AK440" i="15"/>
  <c r="AL442" i="15"/>
  <c r="BJ442" i="15" s="1"/>
  <c r="AK442" i="15"/>
  <c r="AL444" i="15"/>
  <c r="BJ444" i="15" s="1"/>
  <c r="AK444" i="15"/>
  <c r="AL446" i="15"/>
  <c r="BJ446" i="15" s="1"/>
  <c r="AK446" i="15"/>
  <c r="AH451" i="15"/>
  <c r="BM451" i="15" s="1"/>
  <c r="BN451" i="15" s="1"/>
  <c r="AL451" i="15"/>
  <c r="BJ451" i="15" s="1"/>
  <c r="AK451" i="15"/>
  <c r="AH453" i="15"/>
  <c r="AI453" i="15" s="1"/>
  <c r="AL453" i="15"/>
  <c r="BJ453" i="15" s="1"/>
  <c r="AK453" i="15"/>
  <c r="AK455" i="15"/>
  <c r="AL455" i="15"/>
  <c r="BJ455" i="15" s="1"/>
  <c r="AK457" i="15"/>
  <c r="AL457" i="15"/>
  <c r="BJ457" i="15" s="1"/>
  <c r="AL459" i="15"/>
  <c r="BJ459" i="15" s="1"/>
  <c r="AK459" i="15"/>
  <c r="AH461" i="15"/>
  <c r="BM461" i="15" s="1"/>
  <c r="BN461" i="15" s="1"/>
  <c r="AK461" i="15"/>
  <c r="AL461" i="15"/>
  <c r="BJ461" i="15" s="1"/>
  <c r="AL463" i="15"/>
  <c r="BJ463" i="15" s="1"/>
  <c r="AK463" i="15"/>
  <c r="AK465" i="15"/>
  <c r="AL465" i="15"/>
  <c r="BJ465" i="15" s="1"/>
  <c r="AH467" i="15"/>
  <c r="BM467" i="15" s="1"/>
  <c r="BN467" i="15" s="1"/>
  <c r="AL467" i="15"/>
  <c r="BJ467" i="15" s="1"/>
  <c r="AK467" i="15"/>
  <c r="AH469" i="15"/>
  <c r="BM469" i="15" s="1"/>
  <c r="BN469" i="15" s="1"/>
  <c r="AK469" i="15"/>
  <c r="AL469" i="15"/>
  <c r="BJ469" i="15" s="1"/>
  <c r="AH471" i="15"/>
  <c r="BM471" i="15" s="1"/>
  <c r="BN471" i="15" s="1"/>
  <c r="AL471" i="15"/>
  <c r="BJ471" i="15" s="1"/>
  <c r="AK471" i="15"/>
  <c r="AH476" i="15"/>
  <c r="AI476" i="15" s="1"/>
  <c r="AL476" i="15"/>
  <c r="BJ476" i="15" s="1"/>
  <c r="AK476" i="15"/>
  <c r="AH478" i="15"/>
  <c r="BM478" i="15" s="1"/>
  <c r="BN478" i="15" s="1"/>
  <c r="AL478" i="15"/>
  <c r="BJ478" i="15" s="1"/>
  <c r="AK478" i="15"/>
  <c r="AH480" i="15"/>
  <c r="AI480" i="15" s="1"/>
  <c r="AL480" i="15"/>
  <c r="BJ480" i="15" s="1"/>
  <c r="AK480" i="15"/>
  <c r="AH482" i="15"/>
  <c r="BM482" i="15" s="1"/>
  <c r="BN482" i="15" s="1"/>
  <c r="AL482" i="15"/>
  <c r="BJ482" i="15" s="1"/>
  <c r="AK482" i="15"/>
  <c r="AH484" i="15"/>
  <c r="AI484" i="15" s="1"/>
  <c r="AL484" i="15"/>
  <c r="BJ484" i="15" s="1"/>
  <c r="AK484" i="15"/>
  <c r="AH486" i="15"/>
  <c r="AL486" i="15"/>
  <c r="BJ486" i="15" s="1"/>
  <c r="AK486" i="15"/>
  <c r="AH488" i="15"/>
  <c r="BM488" i="15" s="1"/>
  <c r="BN488" i="15" s="1"/>
  <c r="AL488" i="15"/>
  <c r="BJ488" i="15" s="1"/>
  <c r="AK488" i="15"/>
  <c r="AH605" i="15"/>
  <c r="AI605" i="15" s="1"/>
  <c r="AL605" i="15"/>
  <c r="BJ605" i="15" s="1"/>
  <c r="AK605" i="15"/>
  <c r="AH607" i="15"/>
  <c r="BM607" i="15" s="1"/>
  <c r="BN607" i="15" s="1"/>
  <c r="AL607" i="15"/>
  <c r="BJ607" i="15" s="1"/>
  <c r="AK607" i="15"/>
  <c r="AH609" i="15"/>
  <c r="AL609" i="15"/>
  <c r="BJ609" i="15" s="1"/>
  <c r="AK609" i="15"/>
  <c r="AH611" i="15"/>
  <c r="BM611" i="15" s="1"/>
  <c r="BN611" i="15" s="1"/>
  <c r="AL611" i="15"/>
  <c r="BJ611" i="15" s="1"/>
  <c r="AK611" i="15"/>
  <c r="AH613" i="15"/>
  <c r="BM613" i="15" s="1"/>
  <c r="BN613" i="15" s="1"/>
  <c r="AL613" i="15"/>
  <c r="BJ613" i="15" s="1"/>
  <c r="AK613" i="15"/>
  <c r="AH615" i="15"/>
  <c r="BM615" i="15" s="1"/>
  <c r="BN615" i="15" s="1"/>
  <c r="AL615" i="15"/>
  <c r="BJ615" i="15" s="1"/>
  <c r="AK615" i="15"/>
  <c r="AH617" i="15"/>
  <c r="AL617" i="15"/>
  <c r="BJ617" i="15" s="1"/>
  <c r="AK617" i="15"/>
  <c r="AH619" i="15"/>
  <c r="BM619" i="15" s="1"/>
  <c r="BN619" i="15" s="1"/>
  <c r="AL619" i="15"/>
  <c r="BJ619" i="15" s="1"/>
  <c r="AK619" i="15"/>
  <c r="AH621" i="15"/>
  <c r="BM621" i="15" s="1"/>
  <c r="BN621" i="15" s="1"/>
  <c r="AL621" i="15"/>
  <c r="BJ621" i="15" s="1"/>
  <c r="AK621" i="15"/>
  <c r="AH623" i="15"/>
  <c r="BM623" i="15" s="1"/>
  <c r="BN623" i="15" s="1"/>
  <c r="AL623" i="15"/>
  <c r="BJ623" i="15" s="1"/>
  <c r="AK623" i="15"/>
  <c r="AH625" i="15"/>
  <c r="AI625" i="15" s="1"/>
  <c r="AL625" i="15"/>
  <c r="BJ625" i="15" s="1"/>
  <c r="AK625" i="15"/>
  <c r="AH627" i="15"/>
  <c r="BM627" i="15" s="1"/>
  <c r="BN627" i="15" s="1"/>
  <c r="AL627" i="15"/>
  <c r="BJ627" i="15" s="1"/>
  <c r="AK627" i="15"/>
  <c r="AH629" i="15"/>
  <c r="BM629" i="15" s="1"/>
  <c r="BN629" i="15" s="1"/>
  <c r="AL629" i="15"/>
  <c r="BJ629" i="15" s="1"/>
  <c r="AK629" i="15"/>
  <c r="AH631" i="15"/>
  <c r="BM631" i="15" s="1"/>
  <c r="BN631" i="15" s="1"/>
  <c r="AL631" i="15"/>
  <c r="BJ631" i="15" s="1"/>
  <c r="AK631" i="15"/>
  <c r="AH633" i="15"/>
  <c r="AI633" i="15" s="1"/>
  <c r="AL633" i="15"/>
  <c r="BJ633" i="15" s="1"/>
  <c r="AK633" i="15"/>
  <c r="AH635" i="15"/>
  <c r="BM635" i="15" s="1"/>
  <c r="BN635" i="15" s="1"/>
  <c r="AL635" i="15"/>
  <c r="BJ635" i="15" s="1"/>
  <c r="AK635" i="15"/>
  <c r="AH640" i="15"/>
  <c r="AI640" i="15" s="1"/>
  <c r="AK640" i="15"/>
  <c r="AL640" i="15"/>
  <c r="BJ640" i="15" s="1"/>
  <c r="AH642" i="15"/>
  <c r="BM642" i="15" s="1"/>
  <c r="BN642" i="15" s="1"/>
  <c r="AK642" i="15"/>
  <c r="AL642" i="15"/>
  <c r="BJ642" i="15" s="1"/>
  <c r="AH644" i="15"/>
  <c r="AI644" i="15" s="1"/>
  <c r="AK644" i="15"/>
  <c r="AL644" i="15"/>
  <c r="BJ644" i="15" s="1"/>
  <c r="AH646" i="15"/>
  <c r="AI646" i="15" s="1"/>
  <c r="AL646" i="15"/>
  <c r="BJ646" i="15" s="1"/>
  <c r="AK646" i="15"/>
  <c r="AH651" i="15"/>
  <c r="BM651" i="15" s="1"/>
  <c r="BN651" i="15" s="1"/>
  <c r="AL651" i="15"/>
  <c r="BJ651" i="15" s="1"/>
  <c r="AK651" i="15"/>
  <c r="AL653" i="15"/>
  <c r="BJ653" i="15" s="1"/>
  <c r="AK653" i="15"/>
  <c r="AH655" i="15"/>
  <c r="BM655" i="15" s="1"/>
  <c r="BN655" i="15" s="1"/>
  <c r="AL655" i="15"/>
  <c r="BJ655" i="15" s="1"/>
  <c r="AK655" i="15"/>
  <c r="AL658" i="15"/>
  <c r="BJ658" i="15" s="1"/>
  <c r="AK658" i="15"/>
  <c r="AH660" i="15"/>
  <c r="BM660" i="15" s="1"/>
  <c r="BN660" i="15" s="1"/>
  <c r="AK660" i="15"/>
  <c r="AL660" i="15"/>
  <c r="BJ660" i="15" s="1"/>
  <c r="AH662" i="15"/>
  <c r="BM662" i="15" s="1"/>
  <c r="BN662" i="15" s="1"/>
  <c r="AK662" i="15"/>
  <c r="AL662" i="15"/>
  <c r="BJ662" i="15" s="1"/>
  <c r="AH664" i="15"/>
  <c r="BM664" i="15" s="1"/>
  <c r="BN664" i="15" s="1"/>
  <c r="AK664" i="15"/>
  <c r="AL664" i="15"/>
  <c r="BJ664" i="15" s="1"/>
  <c r="AH666" i="15"/>
  <c r="BM666" i="15" s="1"/>
  <c r="BN666" i="15" s="1"/>
  <c r="AL666" i="15"/>
  <c r="BJ666" i="15" s="1"/>
  <c r="AK666" i="15"/>
  <c r="AH671" i="15"/>
  <c r="AI671" i="15" s="1"/>
  <c r="AL671" i="15"/>
  <c r="BJ671" i="15" s="1"/>
  <c r="AK671" i="15"/>
  <c r="AH673" i="15"/>
  <c r="BM673" i="15" s="1"/>
  <c r="BN673" i="15" s="1"/>
  <c r="AL673" i="15"/>
  <c r="BJ673" i="15" s="1"/>
  <c r="AK673" i="15"/>
  <c r="AH675" i="15"/>
  <c r="BM675" i="15" s="1"/>
  <c r="BN675" i="15" s="1"/>
  <c r="AL675" i="15"/>
  <c r="BJ675" i="15" s="1"/>
  <c r="AK675" i="15"/>
  <c r="AH677" i="15"/>
  <c r="AI677" i="15" s="1"/>
  <c r="AL677" i="15"/>
  <c r="BJ677" i="15" s="1"/>
  <c r="AK677" i="15"/>
  <c r="AH679" i="15"/>
  <c r="BM679" i="15" s="1"/>
  <c r="BN679" i="15" s="1"/>
  <c r="AL679" i="15"/>
  <c r="BJ679" i="15" s="1"/>
  <c r="AK679" i="15"/>
  <c r="AH681" i="15"/>
  <c r="BM681" i="15" s="1"/>
  <c r="BN681" i="15" s="1"/>
  <c r="AL681" i="15"/>
  <c r="BJ681" i="15" s="1"/>
  <c r="AK681" i="15"/>
  <c r="AH683" i="15"/>
  <c r="BM683" i="15" s="1"/>
  <c r="BN683" i="15" s="1"/>
  <c r="AL683" i="15"/>
  <c r="BJ683" i="15" s="1"/>
  <c r="AK683" i="15"/>
  <c r="AH685" i="15"/>
  <c r="BM685" i="15" s="1"/>
  <c r="BN685" i="15" s="1"/>
  <c r="AL685" i="15"/>
  <c r="BJ685" i="15" s="1"/>
  <c r="AK685" i="15"/>
  <c r="AH687" i="15"/>
  <c r="BM687" i="15" s="1"/>
  <c r="BN687" i="15" s="1"/>
  <c r="AL687" i="15"/>
  <c r="BJ687" i="15" s="1"/>
  <c r="AK687" i="15"/>
  <c r="AH689" i="15"/>
  <c r="BM689" i="15" s="1"/>
  <c r="BN689" i="15" s="1"/>
  <c r="AL689" i="15"/>
  <c r="BJ689" i="15" s="1"/>
  <c r="AK689" i="15"/>
  <c r="AH691" i="15"/>
  <c r="BM691" i="15" s="1"/>
  <c r="BN691" i="15" s="1"/>
  <c r="AL691" i="15"/>
  <c r="BJ691" i="15" s="1"/>
  <c r="AK691" i="15"/>
  <c r="AH693" i="15"/>
  <c r="AI693" i="15" s="1"/>
  <c r="AL693" i="15"/>
  <c r="BJ693" i="15" s="1"/>
  <c r="AK693" i="15"/>
  <c r="AH695" i="15"/>
  <c r="AI695" i="15" s="1"/>
  <c r="AL695" i="15"/>
  <c r="BJ695" i="15" s="1"/>
  <c r="AK695" i="15"/>
  <c r="AL700" i="15"/>
  <c r="BJ700" i="15" s="1"/>
  <c r="AK700" i="15"/>
  <c r="AK702" i="15"/>
  <c r="AL702" i="15"/>
  <c r="BJ702" i="15" s="1"/>
  <c r="AK704" i="15"/>
  <c r="AL704" i="15"/>
  <c r="BJ704" i="15" s="1"/>
  <c r="AL706" i="15"/>
  <c r="BJ706" i="15" s="1"/>
  <c r="AK706" i="15"/>
  <c r="AK708" i="15"/>
  <c r="AL708" i="15"/>
  <c r="BJ708" i="15" s="1"/>
  <c r="AL710" i="15"/>
  <c r="BJ710" i="15" s="1"/>
  <c r="AK710" i="15"/>
  <c r="AK712" i="15"/>
  <c r="AL712" i="15"/>
  <c r="BJ712" i="15" s="1"/>
  <c r="AH714" i="15"/>
  <c r="AI714" i="15" s="1"/>
  <c r="AL714" i="15"/>
  <c r="BJ714" i="15" s="1"/>
  <c r="AK714" i="15"/>
  <c r="AH716" i="15"/>
  <c r="BM716" i="15" s="1"/>
  <c r="BN716" i="15" s="1"/>
  <c r="AK716" i="15"/>
  <c r="AL716" i="15"/>
  <c r="BJ716" i="15" s="1"/>
  <c r="AL721" i="15"/>
  <c r="BJ721" i="15" s="1"/>
  <c r="AK721" i="15"/>
  <c r="AL723" i="15"/>
  <c r="BJ723" i="15" s="1"/>
  <c r="AK723" i="15"/>
  <c r="AH725" i="15"/>
  <c r="BM725" i="15" s="1"/>
  <c r="BN725" i="15" s="1"/>
  <c r="AL725" i="15"/>
  <c r="BJ725" i="15" s="1"/>
  <c r="AK725" i="15"/>
  <c r="AL727" i="15"/>
  <c r="BJ727" i="15" s="1"/>
  <c r="AK727" i="15"/>
  <c r="AL729" i="15"/>
  <c r="BJ729" i="15" s="1"/>
  <c r="AK729" i="15"/>
  <c r="AL731" i="15"/>
  <c r="BJ731" i="15" s="1"/>
  <c r="AK731" i="15"/>
  <c r="AH733" i="15"/>
  <c r="BM733" i="15" s="1"/>
  <c r="BN733" i="15" s="1"/>
  <c r="AL733" i="15"/>
  <c r="BJ733" i="15" s="1"/>
  <c r="AK733" i="15"/>
  <c r="AL735" i="15"/>
  <c r="BJ735" i="15" s="1"/>
  <c r="AK735" i="15"/>
  <c r="AL737" i="15"/>
  <c r="BJ737" i="15" s="1"/>
  <c r="AK737" i="15"/>
  <c r="AL739" i="15"/>
  <c r="BJ739" i="15" s="1"/>
  <c r="AK739" i="15"/>
  <c r="AH741" i="15"/>
  <c r="AI741" i="15" s="1"/>
  <c r="AL741" i="15"/>
  <c r="BJ741" i="15" s="1"/>
  <c r="AK741" i="15"/>
  <c r="BM898" i="15"/>
  <c r="BN898" i="15" s="1"/>
  <c r="AI898" i="15"/>
  <c r="BM163" i="15"/>
  <c r="BN163" i="15" s="1"/>
  <c r="AI163" i="15"/>
  <c r="BM171" i="15"/>
  <c r="BN171" i="15" s="1"/>
  <c r="AI171" i="15"/>
  <c r="BM180" i="15"/>
  <c r="BN180" i="15" s="1"/>
  <c r="AI180" i="15"/>
  <c r="BM186" i="15"/>
  <c r="BN186" i="15" s="1"/>
  <c r="BM192" i="15"/>
  <c r="BN192" i="15" s="1"/>
  <c r="AI192" i="15"/>
  <c r="BM203" i="15"/>
  <c r="BN203" i="15" s="1"/>
  <c r="AI203" i="15"/>
  <c r="BM209" i="15"/>
  <c r="BN209" i="15" s="1"/>
  <c r="AI209" i="15"/>
  <c r="BM225" i="15"/>
  <c r="BN225" i="15" s="1"/>
  <c r="AI225" i="15"/>
  <c r="BM236" i="15"/>
  <c r="BN236" i="15" s="1"/>
  <c r="AI236" i="15"/>
  <c r="BM253" i="15"/>
  <c r="BN253" i="15" s="1"/>
  <c r="AI253" i="15"/>
  <c r="BM500" i="15"/>
  <c r="BN500" i="15" s="1"/>
  <c r="AI500" i="15"/>
  <c r="BM590" i="15"/>
  <c r="BN590" i="15" s="1"/>
  <c r="AI590" i="15"/>
  <c r="BM600" i="15"/>
  <c r="BN600" i="15" s="1"/>
  <c r="BM845" i="15"/>
  <c r="BN845" i="15" s="1"/>
  <c r="BM861" i="15"/>
  <c r="BN861" i="15" s="1"/>
  <c r="AI861" i="15"/>
  <c r="BM109" i="15"/>
  <c r="BN109" i="15" s="1"/>
  <c r="AI109" i="15"/>
  <c r="AI121" i="15"/>
  <c r="BM125" i="15"/>
  <c r="BN125" i="15" s="1"/>
  <c r="AI125" i="15"/>
  <c r="BM129" i="15"/>
  <c r="BN129" i="15" s="1"/>
  <c r="AI129" i="15"/>
  <c r="AI136" i="15"/>
  <c r="BM144" i="15"/>
  <c r="BN144" i="15" s="1"/>
  <c r="AI144" i="15"/>
  <c r="BM275" i="15"/>
  <c r="BN275" i="15" s="1"/>
  <c r="AI275" i="15"/>
  <c r="BM279" i="15"/>
  <c r="BN279" i="15" s="1"/>
  <c r="AI279" i="15"/>
  <c r="AI281" i="15"/>
  <c r="BM296" i="15"/>
  <c r="BN296" i="15" s="1"/>
  <c r="AI296" i="15"/>
  <c r="BM298" i="15"/>
  <c r="BN298" i="15" s="1"/>
  <c r="AI298" i="15"/>
  <c r="BM310" i="15"/>
  <c r="BN310" i="15" s="1"/>
  <c r="AI310" i="15"/>
  <c r="BM312" i="15"/>
  <c r="BN312" i="15" s="1"/>
  <c r="AI312" i="15"/>
  <c r="BM317" i="15"/>
  <c r="BN317" i="15" s="1"/>
  <c r="AI317" i="15"/>
  <c r="BM319" i="15"/>
  <c r="BN319" i="15" s="1"/>
  <c r="BM329" i="15"/>
  <c r="BN329" i="15" s="1"/>
  <c r="AI329" i="15"/>
  <c r="BM400" i="15"/>
  <c r="BN400" i="15" s="1"/>
  <c r="BM404" i="15"/>
  <c r="BN404" i="15" s="1"/>
  <c r="AI404" i="15"/>
  <c r="BM412" i="15"/>
  <c r="BN412" i="15" s="1"/>
  <c r="BM414" i="15"/>
  <c r="BN414" i="15" s="1"/>
  <c r="BM429" i="15"/>
  <c r="BN429" i="15" s="1"/>
  <c r="AI429" i="15"/>
  <c r="BM435" i="15"/>
  <c r="BN435" i="15" s="1"/>
  <c r="AI435" i="15"/>
  <c r="AI439" i="15"/>
  <c r="BM445" i="15"/>
  <c r="BN445" i="15" s="1"/>
  <c r="AI445" i="15"/>
  <c r="BM454" i="15"/>
  <c r="BN454" i="15" s="1"/>
  <c r="AI454" i="15"/>
  <c r="BM456" i="15"/>
  <c r="BN456" i="15" s="1"/>
  <c r="AI456" i="15"/>
  <c r="BM462" i="15"/>
  <c r="BN462" i="15" s="1"/>
  <c r="AI462" i="15"/>
  <c r="BM468" i="15"/>
  <c r="BN468" i="15" s="1"/>
  <c r="AI468" i="15"/>
  <c r="BM485" i="15"/>
  <c r="BN485" i="15" s="1"/>
  <c r="AI485" i="15"/>
  <c r="BM616" i="15"/>
  <c r="BN616" i="15" s="1"/>
  <c r="AI616" i="15"/>
  <c r="BM667" i="15"/>
  <c r="BN667" i="15" s="1"/>
  <c r="AI667" i="15"/>
  <c r="BM674" i="15"/>
  <c r="BN674" i="15" s="1"/>
  <c r="BM678" i="15"/>
  <c r="BN678" i="15" s="1"/>
  <c r="BM694" i="15"/>
  <c r="BN694" i="15" s="1"/>
  <c r="BM724" i="15"/>
  <c r="BN724" i="15" s="1"/>
  <c r="AI724" i="15"/>
  <c r="BM726" i="15"/>
  <c r="BN726" i="15" s="1"/>
  <c r="AI726" i="15"/>
  <c r="BM732" i="15"/>
  <c r="BN732" i="15" s="1"/>
  <c r="AI732" i="15"/>
  <c r="BM740" i="15"/>
  <c r="BN740" i="15" s="1"/>
  <c r="AI740" i="15"/>
  <c r="BM742" i="15"/>
  <c r="BN742" i="15" s="1"/>
  <c r="AI742" i="15"/>
  <c r="BM157" i="15"/>
  <c r="BN157" i="15" s="1"/>
  <c r="AI157" i="15"/>
  <c r="BM182" i="15"/>
  <c r="BN182" i="15" s="1"/>
  <c r="AI182" i="15"/>
  <c r="BM213" i="15"/>
  <c r="BN213" i="15" s="1"/>
  <c r="AI213" i="15"/>
  <c r="BM219" i="15"/>
  <c r="BN219" i="15" s="1"/>
  <c r="AI219" i="15"/>
  <c r="BM251" i="15"/>
  <c r="BN251" i="15" s="1"/>
  <c r="AI251" i="15"/>
  <c r="BM504" i="15"/>
  <c r="BN504" i="15" s="1"/>
  <c r="AI504" i="15"/>
  <c r="BM580" i="15"/>
  <c r="BN580" i="15" s="1"/>
  <c r="BM761" i="15"/>
  <c r="BN761" i="15" s="1"/>
  <c r="AI761" i="15"/>
  <c r="BM818" i="15"/>
  <c r="BN818" i="15" s="1"/>
  <c r="AI818" i="15"/>
  <c r="AI859" i="15"/>
  <c r="BM874" i="15"/>
  <c r="BN874" i="15" s="1"/>
  <c r="BM15" i="15"/>
  <c r="BN15" i="15" s="1"/>
  <c r="AI15" i="15"/>
  <c r="BM31" i="15"/>
  <c r="BN31" i="15" s="1"/>
  <c r="AI31" i="15"/>
  <c r="BM156" i="15"/>
  <c r="BN156" i="15" s="1"/>
  <c r="AI156" i="15"/>
  <c r="BM168" i="15"/>
  <c r="BN168" i="15" s="1"/>
  <c r="AI168" i="15"/>
  <c r="BM172" i="15"/>
  <c r="BN172" i="15" s="1"/>
  <c r="AI172" i="15"/>
  <c r="BM181" i="15"/>
  <c r="BN181" i="15" s="1"/>
  <c r="AI181" i="15"/>
  <c r="BM189" i="15"/>
  <c r="BN189" i="15" s="1"/>
  <c r="AI189" i="15"/>
  <c r="BM197" i="15"/>
  <c r="BN197" i="15" s="1"/>
  <c r="AI197" i="15"/>
  <c r="BM208" i="15"/>
  <c r="BN208" i="15" s="1"/>
  <c r="AI208" i="15"/>
  <c r="BM216" i="15"/>
  <c r="BN216" i="15" s="1"/>
  <c r="AI216" i="15"/>
  <c r="BM224" i="15"/>
  <c r="BN224" i="15" s="1"/>
  <c r="AI224" i="15"/>
  <c r="BM233" i="15"/>
  <c r="BN233" i="15" s="1"/>
  <c r="AI233" i="15"/>
  <c r="BM248" i="15"/>
  <c r="BN248" i="15" s="1"/>
  <c r="AI248" i="15"/>
  <c r="BM256" i="15"/>
  <c r="BN256" i="15" s="1"/>
  <c r="AI256" i="15"/>
  <c r="BM543" i="15"/>
  <c r="BN543" i="15" s="1"/>
  <c r="AI543" i="15"/>
  <c r="BM556" i="15"/>
  <c r="BN556" i="15" s="1"/>
  <c r="AI556" i="15"/>
  <c r="AI562" i="15"/>
  <c r="BM564" i="15"/>
  <c r="BN564" i="15" s="1"/>
  <c r="AI564" i="15"/>
  <c r="BM566" i="15"/>
  <c r="BN566" i="15" s="1"/>
  <c r="BM575" i="15"/>
  <c r="BN575" i="15" s="1"/>
  <c r="AI575" i="15"/>
  <c r="AI581" i="15"/>
  <c r="BM583" i="15"/>
  <c r="BN583" i="15" s="1"/>
  <c r="AI583" i="15"/>
  <c r="AI585" i="15"/>
  <c r="BM591" i="15"/>
  <c r="BN591" i="15" s="1"/>
  <c r="AI591" i="15"/>
  <c r="AI597" i="15"/>
  <c r="BM750" i="15"/>
  <c r="BN750" i="15" s="1"/>
  <c r="BM752" i="15"/>
  <c r="BN752" i="15" s="1"/>
  <c r="AI752" i="15"/>
  <c r="BM762" i="15"/>
  <c r="BN762" i="15" s="1"/>
  <c r="AI762" i="15"/>
  <c r="BM771" i="15"/>
  <c r="BN771" i="15" s="1"/>
  <c r="AI771" i="15"/>
  <c r="BM777" i="15"/>
  <c r="BN777" i="15" s="1"/>
  <c r="AI777" i="15"/>
  <c r="BM783" i="15"/>
  <c r="BN783" i="15" s="1"/>
  <c r="AI783" i="15"/>
  <c r="AI792" i="15"/>
  <c r="BM794" i="15"/>
  <c r="BN794" i="15" s="1"/>
  <c r="AI794" i="15"/>
  <c r="BM802" i="15"/>
  <c r="BN802" i="15" s="1"/>
  <c r="AI802" i="15"/>
  <c r="AI808" i="15"/>
  <c r="BM813" i="15"/>
  <c r="BN813" i="15" s="1"/>
  <c r="AI813" i="15"/>
  <c r="AI817" i="15"/>
  <c r="BM819" i="15"/>
  <c r="BN819" i="15" s="1"/>
  <c r="AI819" i="15"/>
  <c r="BM827" i="15"/>
  <c r="BN827" i="15" s="1"/>
  <c r="AI827" i="15"/>
  <c r="AI836" i="15"/>
  <c r="BM838" i="15"/>
  <c r="BN838" i="15" s="1"/>
  <c r="AI838" i="15"/>
  <c r="AI842" i="15"/>
  <c r="BM844" i="15"/>
  <c r="BN844" i="15" s="1"/>
  <c r="AI844" i="15"/>
  <c r="BM852" i="15"/>
  <c r="BN852" i="15" s="1"/>
  <c r="AI852" i="15"/>
  <c r="BM858" i="15"/>
  <c r="BN858" i="15" s="1"/>
  <c r="AI858" i="15"/>
  <c r="BM867" i="15"/>
  <c r="BN867" i="15" s="1"/>
  <c r="AI867" i="15"/>
  <c r="AI873" i="15"/>
  <c r="BM875" i="15"/>
  <c r="BN875" i="15" s="1"/>
  <c r="AI875" i="15"/>
  <c r="BM877" i="15"/>
  <c r="BN877" i="15" s="1"/>
  <c r="BM883" i="15"/>
  <c r="BN883" i="15" s="1"/>
  <c r="AI883" i="15"/>
  <c r="AI889" i="15"/>
  <c r="BM891" i="15"/>
  <c r="BN891" i="15" s="1"/>
  <c r="AI891" i="15"/>
  <c r="BM205" i="15"/>
  <c r="BN205" i="15" s="1"/>
  <c r="BM496" i="15"/>
  <c r="BN496" i="15" s="1"/>
  <c r="AI496" i="15"/>
  <c r="BM515" i="15"/>
  <c r="BN515" i="15" s="1"/>
  <c r="AI515" i="15"/>
  <c r="BM521" i="15"/>
  <c r="BN521" i="15" s="1"/>
  <c r="AI521" i="15"/>
  <c r="BM557" i="15"/>
  <c r="BN557" i="15" s="1"/>
  <c r="AI557" i="15"/>
  <c r="BM561" i="15"/>
  <c r="BN561" i="15" s="1"/>
  <c r="AI561" i="15"/>
  <c r="BM567" i="15"/>
  <c r="BN567" i="15" s="1"/>
  <c r="AI567" i="15"/>
  <c r="BM576" i="15"/>
  <c r="BN576" i="15" s="1"/>
  <c r="AI576" i="15"/>
  <c r="BM582" i="15"/>
  <c r="BN582" i="15" s="1"/>
  <c r="AI582" i="15"/>
  <c r="BM598" i="15"/>
  <c r="BN598" i="15" s="1"/>
  <c r="AI598" i="15"/>
  <c r="BM772" i="15"/>
  <c r="BN772" i="15" s="1"/>
  <c r="AI772" i="15"/>
  <c r="BM816" i="15"/>
  <c r="BN816" i="15" s="1"/>
  <c r="AI816" i="15"/>
  <c r="BM826" i="15"/>
  <c r="BN826" i="15" s="1"/>
  <c r="AI826" i="15"/>
  <c r="BM835" i="15"/>
  <c r="BN835" i="15" s="1"/>
  <c r="AI835" i="15"/>
  <c r="BM841" i="15"/>
  <c r="BN841" i="15" s="1"/>
  <c r="AI841" i="15"/>
  <c r="BM847" i="15"/>
  <c r="BN847" i="15" s="1"/>
  <c r="AI847" i="15"/>
  <c r="AI39" i="15"/>
  <c r="BM147" i="15"/>
  <c r="BN147" i="15" s="1"/>
  <c r="AI147" i="15"/>
  <c r="BM268" i="15"/>
  <c r="BN268" i="15" s="1"/>
  <c r="AI268" i="15"/>
  <c r="BM276" i="15"/>
  <c r="BN276" i="15" s="1"/>
  <c r="AI276" i="15"/>
  <c r="BM409" i="15"/>
  <c r="BN409" i="15" s="1"/>
  <c r="AI409" i="15"/>
  <c r="BM415" i="15"/>
  <c r="BN415" i="15" s="1"/>
  <c r="BM453" i="15"/>
  <c r="BN453" i="15" s="1"/>
  <c r="AI467" i="15"/>
  <c r="BM486" i="15"/>
  <c r="BN486" i="15" s="1"/>
  <c r="AI486" i="15"/>
  <c r="BM609" i="15"/>
  <c r="BN609" i="15" s="1"/>
  <c r="AI609" i="15"/>
  <c r="BM617" i="15"/>
  <c r="BN617" i="15" s="1"/>
  <c r="AI617" i="15"/>
  <c r="BM625" i="15"/>
  <c r="BN625" i="15" s="1"/>
  <c r="BM633" i="15"/>
  <c r="BN633" i="15" s="1"/>
  <c r="AI660" i="15"/>
  <c r="AI687" i="15"/>
  <c r="AI716" i="15"/>
  <c r="AI733" i="15"/>
  <c r="BM265" i="15"/>
  <c r="BN265" i="15" s="1"/>
  <c r="BM450" i="15"/>
  <c r="BN450" i="15" s="1"/>
  <c r="BM639" i="15"/>
  <c r="BN639" i="15" s="1"/>
  <c r="BM650" i="15"/>
  <c r="BN650" i="15" s="1"/>
  <c r="BM671" i="15"/>
  <c r="BN671" i="15" s="1"/>
  <c r="BM245" i="15"/>
  <c r="BN245" i="15" s="1"/>
  <c r="BM812" i="15"/>
  <c r="BN812" i="15" s="1"/>
  <c r="AH49" i="15"/>
  <c r="AI49" i="15" s="1"/>
  <c r="AH51" i="15"/>
  <c r="AI51" i="15" s="1"/>
  <c r="AH53" i="15"/>
  <c r="AI53" i="15" s="1"/>
  <c r="AH55" i="15"/>
  <c r="AI55" i="15" s="1"/>
  <c r="AH57" i="15"/>
  <c r="AI57" i="15" s="1"/>
  <c r="AH59" i="15"/>
  <c r="AI59" i="15" s="1"/>
  <c r="AH61" i="15"/>
  <c r="AI61" i="15" s="1"/>
  <c r="AH63" i="15"/>
  <c r="AI63" i="15" s="1"/>
  <c r="AH65" i="15"/>
  <c r="AI65" i="15" s="1"/>
  <c r="AD73" i="15"/>
  <c r="BC73" i="15" s="1"/>
  <c r="BD73" i="15" s="1"/>
  <c r="AH73" i="15"/>
  <c r="AD75" i="15"/>
  <c r="BE75" i="15" s="1"/>
  <c r="BF75" i="15" s="1"/>
  <c r="AH75" i="15"/>
  <c r="AD77" i="15"/>
  <c r="BC77" i="15" s="1"/>
  <c r="BD77" i="15" s="1"/>
  <c r="AH77" i="15"/>
  <c r="AD79" i="15"/>
  <c r="BE79" i="15" s="1"/>
  <c r="BF79" i="15" s="1"/>
  <c r="AH79" i="15"/>
  <c r="AD81" i="15"/>
  <c r="BC81" i="15" s="1"/>
  <c r="BD81" i="15" s="1"/>
  <c r="AH81" i="15"/>
  <c r="AD83" i="15"/>
  <c r="BC83" i="15" s="1"/>
  <c r="BD83" i="15" s="1"/>
  <c r="AH83" i="15"/>
  <c r="AD85" i="15"/>
  <c r="BE85" i="15" s="1"/>
  <c r="BF85" i="15" s="1"/>
  <c r="AH85" i="15"/>
  <c r="AH90" i="15"/>
  <c r="AH92" i="15"/>
  <c r="AH94" i="15"/>
  <c r="AH96" i="15"/>
  <c r="AH98" i="15"/>
  <c r="AH100" i="15"/>
  <c r="AD342" i="15"/>
  <c r="AH342" i="15"/>
  <c r="AI342" i="15" s="1"/>
  <c r="AD344" i="15"/>
  <c r="BE344" i="15" s="1"/>
  <c r="BF344" i="15" s="1"/>
  <c r="AH344" i="15"/>
  <c r="AD346" i="15"/>
  <c r="BC346" i="15" s="1"/>
  <c r="BD346" i="15" s="1"/>
  <c r="AH346" i="15"/>
  <c r="AD348" i="15"/>
  <c r="BE348" i="15" s="1"/>
  <c r="BF348" i="15" s="1"/>
  <c r="AH348" i="15"/>
  <c r="AD352" i="15"/>
  <c r="BC352" i="15" s="1"/>
  <c r="BD352" i="15" s="1"/>
  <c r="AH352" i="15"/>
  <c r="AD354" i="15"/>
  <c r="BC354" i="15" s="1"/>
  <c r="BD354" i="15" s="1"/>
  <c r="AH354" i="15"/>
  <c r="AD356" i="15"/>
  <c r="BE356" i="15" s="1"/>
  <c r="BF356" i="15" s="1"/>
  <c r="AH356" i="15"/>
  <c r="AD358" i="15"/>
  <c r="BC358" i="15" s="1"/>
  <c r="BD358" i="15" s="1"/>
  <c r="AH358" i="15"/>
  <c r="AD360" i="15"/>
  <c r="BC360" i="15" s="1"/>
  <c r="BD360" i="15" s="1"/>
  <c r="AH360" i="15"/>
  <c r="AD362" i="15"/>
  <c r="BE362" i="15" s="1"/>
  <c r="BF362" i="15" s="1"/>
  <c r="AH362" i="15"/>
  <c r="AD364" i="15"/>
  <c r="BC364" i="15" s="1"/>
  <c r="BD364" i="15" s="1"/>
  <c r="AH364" i="15"/>
  <c r="AD368" i="15"/>
  <c r="BE368" i="15" s="1"/>
  <c r="BF368" i="15" s="1"/>
  <c r="AH368" i="15"/>
  <c r="AD370" i="15"/>
  <c r="BC370" i="15" s="1"/>
  <c r="BD370" i="15" s="1"/>
  <c r="AH370" i="15"/>
  <c r="AD372" i="15"/>
  <c r="BC372" i="15" s="1"/>
  <c r="BD372" i="15" s="1"/>
  <c r="AH372" i="15"/>
  <c r="AD374" i="15"/>
  <c r="AH374" i="15"/>
  <c r="AD376" i="15"/>
  <c r="BE376" i="15" s="1"/>
  <c r="BF376" i="15" s="1"/>
  <c r="AH376" i="15"/>
  <c r="AD378" i="15"/>
  <c r="AH378" i="15"/>
  <c r="AD380" i="15"/>
  <c r="BC380" i="15" s="1"/>
  <c r="BD380" i="15" s="1"/>
  <c r="AH380" i="15"/>
  <c r="AD384" i="15"/>
  <c r="AH384" i="15"/>
  <c r="AH389" i="15"/>
  <c r="AI389" i="15" s="1"/>
  <c r="AH391" i="15"/>
  <c r="AH393" i="15"/>
  <c r="AH408" i="15"/>
  <c r="AH410" i="15"/>
  <c r="AH416" i="15"/>
  <c r="AH418" i="15"/>
  <c r="AH420" i="15"/>
  <c r="AH422" i="15"/>
  <c r="AD452" i="15"/>
  <c r="BC452" i="15" s="1"/>
  <c r="BD452" i="15" s="1"/>
  <c r="AH452" i="15"/>
  <c r="AD460" i="15"/>
  <c r="AH460" i="15"/>
  <c r="AH479" i="15"/>
  <c r="AD481" i="15"/>
  <c r="AH481" i="15"/>
  <c r="AH483" i="15"/>
  <c r="AH487" i="15"/>
  <c r="AH489" i="15"/>
  <c r="AD606" i="15"/>
  <c r="AH606" i="15"/>
  <c r="AD608" i="15"/>
  <c r="BE608" i="15" s="1"/>
  <c r="BF608" i="15" s="1"/>
  <c r="AH608" i="15"/>
  <c r="AD610" i="15"/>
  <c r="AH610" i="15"/>
  <c r="AD612" i="15"/>
  <c r="BC612" i="15" s="1"/>
  <c r="BD612" i="15" s="1"/>
  <c r="AH612" i="15"/>
  <c r="AD614" i="15"/>
  <c r="AH614" i="15"/>
  <c r="AD618" i="15"/>
  <c r="BE618" i="15" s="1"/>
  <c r="BF618" i="15" s="1"/>
  <c r="AH618" i="15"/>
  <c r="AD620" i="15"/>
  <c r="AH620" i="15"/>
  <c r="AD622" i="15"/>
  <c r="BC622" i="15" s="1"/>
  <c r="BD622" i="15" s="1"/>
  <c r="AH622" i="15"/>
  <c r="AD624" i="15"/>
  <c r="AH624" i="15"/>
  <c r="AD626" i="15"/>
  <c r="BE626" i="15" s="1"/>
  <c r="BF626" i="15" s="1"/>
  <c r="AH626" i="15"/>
  <c r="AD628" i="15"/>
  <c r="AH628" i="15"/>
  <c r="AD630" i="15"/>
  <c r="BE630" i="15" s="1"/>
  <c r="BF630" i="15" s="1"/>
  <c r="AH630" i="15"/>
  <c r="AD632" i="15"/>
  <c r="AH632" i="15"/>
  <c r="AD634" i="15"/>
  <c r="BE634" i="15" s="1"/>
  <c r="BF634" i="15" s="1"/>
  <c r="AH634" i="15"/>
  <c r="AD661" i="15"/>
  <c r="AH661" i="15"/>
  <c r="AH672" i="15"/>
  <c r="AH680" i="15"/>
  <c r="AH684" i="15"/>
  <c r="AH688" i="15"/>
  <c r="AH699" i="15"/>
  <c r="AI699" i="15" s="1"/>
  <c r="AH701" i="15"/>
  <c r="AH703" i="15"/>
  <c r="AH705" i="15"/>
  <c r="AH707" i="15"/>
  <c r="AH709" i="15"/>
  <c r="AH711" i="15"/>
  <c r="AH713" i="15"/>
  <c r="AH231" i="15"/>
  <c r="AI231" i="15" s="1"/>
  <c r="AH235" i="15"/>
  <c r="AH239" i="15"/>
  <c r="AH495" i="15"/>
  <c r="AH497" i="15"/>
  <c r="AH499" i="15"/>
  <c r="AH501" i="15"/>
  <c r="AH503" i="15"/>
  <c r="AH505" i="15"/>
  <c r="AH507" i="15"/>
  <c r="AH509" i="15"/>
  <c r="AH514" i="15"/>
  <c r="AI514" i="15" s="1"/>
  <c r="AH516" i="15"/>
  <c r="AH518" i="15"/>
  <c r="AH522" i="15"/>
  <c r="AH524" i="15"/>
  <c r="AH530" i="15"/>
  <c r="AH532" i="15"/>
  <c r="AH534" i="15"/>
  <c r="AH545" i="15"/>
  <c r="AH547" i="15"/>
  <c r="AH549" i="15"/>
  <c r="AH599" i="15"/>
  <c r="AH756" i="15"/>
  <c r="AD758" i="15"/>
  <c r="BE758" i="15" s="1"/>
  <c r="BF758" i="15" s="1"/>
  <c r="AH758" i="15"/>
  <c r="AH760" i="15"/>
  <c r="AH767" i="15"/>
  <c r="AH773" i="15"/>
  <c r="AH781" i="15"/>
  <c r="AD815" i="15"/>
  <c r="AH815" i="15"/>
  <c r="AH840" i="15"/>
  <c r="AH854" i="15"/>
  <c r="AH862" i="15"/>
  <c r="AH154" i="15"/>
  <c r="AI154" i="15" s="1"/>
  <c r="AD42" i="15"/>
  <c r="BE42" i="15" s="1"/>
  <c r="BF42" i="15" s="1"/>
  <c r="AH42" i="15"/>
  <c r="AD106" i="15"/>
  <c r="AH106" i="15"/>
  <c r="AD108" i="15"/>
  <c r="BE108" i="15" s="1"/>
  <c r="BF108" i="15" s="1"/>
  <c r="AH108" i="15"/>
  <c r="AD110" i="15"/>
  <c r="AH110" i="15"/>
  <c r="AD112" i="15"/>
  <c r="BC112" i="15" s="1"/>
  <c r="BD112" i="15" s="1"/>
  <c r="AH112" i="15"/>
  <c r="AD114" i="15"/>
  <c r="AH114" i="15"/>
  <c r="AD116" i="15"/>
  <c r="BC116" i="15" s="1"/>
  <c r="BD116" i="15" s="1"/>
  <c r="AH116" i="15"/>
  <c r="AD118" i="15"/>
  <c r="AH118" i="15"/>
  <c r="AD120" i="15"/>
  <c r="BC120" i="15" s="1"/>
  <c r="BD120" i="15" s="1"/>
  <c r="AH120" i="15"/>
  <c r="AD122" i="15"/>
  <c r="AH122" i="15"/>
  <c r="AD124" i="15"/>
  <c r="BC124" i="15" s="1"/>
  <c r="BD124" i="15" s="1"/>
  <c r="AH124" i="15"/>
  <c r="AD126" i="15"/>
  <c r="AH126" i="15"/>
  <c r="AD128" i="15"/>
  <c r="BE128" i="15" s="1"/>
  <c r="BF128" i="15" s="1"/>
  <c r="AH128" i="15"/>
  <c r="AH135" i="15"/>
  <c r="AH137" i="15"/>
  <c r="AH139" i="15"/>
  <c r="AH141" i="15"/>
  <c r="AH143" i="15"/>
  <c r="AD287" i="15"/>
  <c r="AH287" i="15"/>
  <c r="AD289" i="15"/>
  <c r="BE289" i="15" s="1"/>
  <c r="BF289" i="15" s="1"/>
  <c r="AH289" i="15"/>
  <c r="AD291" i="15"/>
  <c r="AH291" i="15"/>
  <c r="AD293" i="15"/>
  <c r="AH293" i="15"/>
  <c r="AD295" i="15"/>
  <c r="BE295" i="15" s="1"/>
  <c r="BF295" i="15" s="1"/>
  <c r="AH295" i="15"/>
  <c r="AD297" i="15"/>
  <c r="BC297" i="15" s="1"/>
  <c r="BD297" i="15" s="1"/>
  <c r="AH297" i="15"/>
  <c r="AD299" i="15"/>
  <c r="AH299" i="15"/>
  <c r="AD303" i="15"/>
  <c r="BC303" i="15" s="1"/>
  <c r="BD303" i="15" s="1"/>
  <c r="AH303" i="15"/>
  <c r="AD305" i="15"/>
  <c r="AH305" i="15"/>
  <c r="AD307" i="15"/>
  <c r="AH307" i="15"/>
  <c r="AD309" i="15"/>
  <c r="AH309" i="15"/>
  <c r="AD311" i="15"/>
  <c r="AH311" i="15"/>
  <c r="AH316" i="15"/>
  <c r="AI316" i="15" s="1"/>
  <c r="AH318" i="15"/>
  <c r="AH320" i="15"/>
  <c r="AH322" i="15"/>
  <c r="AH324" i="15"/>
  <c r="AH326" i="15"/>
  <c r="AH328" i="15"/>
  <c r="AH330" i="15"/>
  <c r="AH332" i="15"/>
  <c r="AH334" i="15"/>
  <c r="AH336" i="15"/>
  <c r="AH338" i="15"/>
  <c r="AH396" i="15"/>
  <c r="AH399" i="15"/>
  <c r="AH401" i="15"/>
  <c r="AH403" i="15"/>
  <c r="AH405" i="15"/>
  <c r="AD413" i="15"/>
  <c r="BC413" i="15" s="1"/>
  <c r="BD413" i="15" s="1"/>
  <c r="AH413" i="15"/>
  <c r="AD421" i="15"/>
  <c r="AH421" i="15"/>
  <c r="AH426" i="15"/>
  <c r="AI426" i="15" s="1"/>
  <c r="AH428" i="15"/>
  <c r="AH430" i="15"/>
  <c r="AH432" i="15"/>
  <c r="AH434" i="15"/>
  <c r="AH436" i="15"/>
  <c r="AH438" i="15"/>
  <c r="AH440" i="15"/>
  <c r="AH442" i="15"/>
  <c r="AH444" i="15"/>
  <c r="AH446" i="15"/>
  <c r="AH455" i="15"/>
  <c r="AH457" i="15"/>
  <c r="AH459" i="15"/>
  <c r="AH463" i="15"/>
  <c r="AH465" i="15"/>
  <c r="AD653" i="15"/>
  <c r="BC653" i="15" s="1"/>
  <c r="BD653" i="15" s="1"/>
  <c r="AH653" i="15"/>
  <c r="AD658" i="15"/>
  <c r="AH658" i="15"/>
  <c r="AH700" i="15"/>
  <c r="AH702" i="15"/>
  <c r="AH704" i="15"/>
  <c r="AH706" i="15"/>
  <c r="AH708" i="15"/>
  <c r="AH710" i="15"/>
  <c r="AH712" i="15"/>
  <c r="AD721" i="15"/>
  <c r="AH721" i="15"/>
  <c r="AD723" i="15"/>
  <c r="BC723" i="15" s="1"/>
  <c r="BD723" i="15" s="1"/>
  <c r="AH723" i="15"/>
  <c r="AD727" i="15"/>
  <c r="AH727" i="15"/>
  <c r="AD729" i="15"/>
  <c r="AH729" i="15"/>
  <c r="AD731" i="15"/>
  <c r="AH731" i="15"/>
  <c r="AD735" i="15"/>
  <c r="BC735" i="15" s="1"/>
  <c r="BD735" i="15" s="1"/>
  <c r="AH735" i="15"/>
  <c r="AD737" i="15"/>
  <c r="AH737" i="15"/>
  <c r="AD739" i="15"/>
  <c r="AH739" i="15"/>
  <c r="AH158" i="15"/>
  <c r="AH162" i="15"/>
  <c r="AH166" i="15"/>
  <c r="AH170" i="15"/>
  <c r="AH174" i="15"/>
  <c r="AD40" i="15"/>
  <c r="BC40" i="15" s="1"/>
  <c r="BD40" i="15" s="1"/>
  <c r="AH40" i="15"/>
  <c r="AH12" i="15"/>
  <c r="AH14" i="15"/>
  <c r="AH16" i="15"/>
  <c r="AH18" i="15"/>
  <c r="AH20" i="15"/>
  <c r="AH22" i="15"/>
  <c r="AH24" i="15"/>
  <c r="AH26" i="15"/>
  <c r="AH28" i="15"/>
  <c r="AH30" i="15"/>
  <c r="AH32" i="15"/>
  <c r="AH234" i="15"/>
  <c r="AD519" i="15"/>
  <c r="AH519" i="15"/>
  <c r="AD527" i="15"/>
  <c r="BE527" i="15" s="1"/>
  <c r="BF527" i="15" s="1"/>
  <c r="AH527" i="15"/>
  <c r="AH538" i="15"/>
  <c r="AI538" i="15" s="1"/>
  <c r="AH540" i="15"/>
  <c r="AH542" i="15"/>
  <c r="AH544" i="15"/>
  <c r="AH546" i="15"/>
  <c r="AH548" i="15"/>
  <c r="AH550" i="15"/>
  <c r="AH751" i="15"/>
  <c r="AD766" i="15"/>
  <c r="AH766" i="15"/>
  <c r="AI766" i="15" s="1"/>
  <c r="AD774" i="15"/>
  <c r="BE774" i="15" s="1"/>
  <c r="BF774" i="15" s="1"/>
  <c r="AH774" i="15"/>
  <c r="AD776" i="15"/>
  <c r="AH776" i="15"/>
  <c r="AD782" i="15"/>
  <c r="BC782" i="15" s="1"/>
  <c r="BD782" i="15" s="1"/>
  <c r="AH782" i="15"/>
  <c r="AD784" i="15"/>
  <c r="BC784" i="15" s="1"/>
  <c r="BD784" i="15" s="1"/>
  <c r="AH784" i="15"/>
  <c r="AD789" i="15"/>
  <c r="BC789" i="15" s="1"/>
  <c r="BD789" i="15" s="1"/>
  <c r="AH789" i="15"/>
  <c r="AI789" i="15" s="1"/>
  <c r="AD791" i="15"/>
  <c r="AH791" i="15"/>
  <c r="AD793" i="15"/>
  <c r="BE793" i="15" s="1"/>
  <c r="BF793" i="15" s="1"/>
  <c r="AH793" i="15"/>
  <c r="AD797" i="15"/>
  <c r="AH797" i="15"/>
  <c r="AD799" i="15"/>
  <c r="BC799" i="15" s="1"/>
  <c r="BD799" i="15" s="1"/>
  <c r="AH799" i="15"/>
  <c r="AD801" i="15"/>
  <c r="AH801" i="15"/>
  <c r="AD805" i="15"/>
  <c r="BE805" i="15" s="1"/>
  <c r="BF805" i="15" s="1"/>
  <c r="AH805" i="15"/>
  <c r="AD807" i="15"/>
  <c r="BC807" i="15" s="1"/>
  <c r="BD807" i="15" s="1"/>
  <c r="AH807" i="15"/>
  <c r="AH814" i="15"/>
  <c r="AD868" i="15"/>
  <c r="AH868" i="15"/>
  <c r="AD870" i="15"/>
  <c r="AH870" i="15"/>
  <c r="AD872" i="15"/>
  <c r="BE872" i="15" s="1"/>
  <c r="BF872" i="15" s="1"/>
  <c r="AH872" i="15"/>
  <c r="AD876" i="15"/>
  <c r="AH876" i="15"/>
  <c r="AD878" i="15"/>
  <c r="AH878" i="15"/>
  <c r="AD880" i="15"/>
  <c r="AH880" i="15"/>
  <c r="AD884" i="15"/>
  <c r="BC884" i="15" s="1"/>
  <c r="BD884" i="15" s="1"/>
  <c r="AH884" i="15"/>
  <c r="AD888" i="15"/>
  <c r="AH888" i="15"/>
  <c r="AD892" i="15"/>
  <c r="AH892" i="15"/>
  <c r="AD894" i="15"/>
  <c r="AH894" i="15"/>
  <c r="AD896" i="15"/>
  <c r="BC896" i="15" s="1"/>
  <c r="BD896" i="15" s="1"/>
  <c r="AH896" i="15"/>
  <c r="X6" i="15"/>
  <c r="W8" i="15"/>
  <c r="N8" i="15"/>
  <c r="C151" i="15"/>
  <c r="F8" i="15"/>
  <c r="J8" i="15"/>
  <c r="R8" i="15"/>
  <c r="C8" i="15"/>
  <c r="G8" i="15"/>
  <c r="K8" i="15"/>
  <c r="O8" i="15"/>
  <c r="S8" i="15"/>
  <c r="C283" i="15"/>
  <c r="H8" i="15"/>
  <c r="T8" i="15"/>
  <c r="D8" i="15"/>
  <c r="L8" i="15"/>
  <c r="P8" i="15"/>
  <c r="E8" i="15"/>
  <c r="I8" i="15"/>
  <c r="M8" i="15"/>
  <c r="Q8" i="15"/>
  <c r="AB87" i="15"/>
  <c r="AB44" i="15"/>
  <c r="AD71" i="15"/>
  <c r="AB68" i="15"/>
  <c r="AB103" i="15"/>
  <c r="AB9" i="15"/>
  <c r="AB131" i="15"/>
  <c r="AD38" i="15"/>
  <c r="AB35" i="15"/>
  <c r="I540" i="16"/>
  <c r="AB387" i="15"/>
  <c r="AB474" i="15"/>
  <c r="S151" i="15"/>
  <c r="U448" i="15"/>
  <c r="AB448" i="15"/>
  <c r="AD547" i="15"/>
  <c r="C744" i="15"/>
  <c r="AB229" i="15"/>
  <c r="M491" i="15"/>
  <c r="Q491" i="15"/>
  <c r="AB787" i="15"/>
  <c r="R151" i="15"/>
  <c r="U314" i="15"/>
  <c r="G602" i="15"/>
  <c r="AB176" i="15"/>
  <c r="W283" i="15"/>
  <c r="AB340" i="15"/>
  <c r="AD479" i="15"/>
  <c r="AD489" i="15"/>
  <c r="P744" i="15"/>
  <c r="AD53" i="15"/>
  <c r="AD133" i="15"/>
  <c r="AJ133" i="15" s="1"/>
  <c r="E491" i="15"/>
  <c r="K744" i="15"/>
  <c r="AB864" i="15"/>
  <c r="AD678" i="15"/>
  <c r="AD844" i="15"/>
  <c r="N151" i="15"/>
  <c r="H744" i="15"/>
  <c r="F283" i="15"/>
  <c r="AD49" i="15"/>
  <c r="AD65" i="15"/>
  <c r="O151" i="15"/>
  <c r="AB263" i="15"/>
  <c r="AB424" i="15"/>
  <c r="I491" i="15"/>
  <c r="AB536" i="15"/>
  <c r="J491" i="15"/>
  <c r="R491" i="15"/>
  <c r="AB552" i="15"/>
  <c r="D602" i="15"/>
  <c r="H602" i="15"/>
  <c r="L602" i="15"/>
  <c r="P602" i="15"/>
  <c r="T602" i="15"/>
  <c r="W744" i="15"/>
  <c r="AD862" i="15"/>
  <c r="J283" i="15"/>
  <c r="U68" i="15"/>
  <c r="G151" i="15"/>
  <c r="AB199" i="15"/>
  <c r="AD487" i="15"/>
  <c r="AD57" i="15"/>
  <c r="AD141" i="15"/>
  <c r="D151" i="15"/>
  <c r="H151" i="15"/>
  <c r="P151" i="15"/>
  <c r="T151" i="15"/>
  <c r="AB314" i="15"/>
  <c r="AD518" i="15"/>
  <c r="AB603" i="15"/>
  <c r="AB669" i="15"/>
  <c r="E602" i="15"/>
  <c r="I602" i="15"/>
  <c r="M602" i="15"/>
  <c r="Q602" i="15"/>
  <c r="AB697" i="15"/>
  <c r="F744" i="15"/>
  <c r="J744" i="15"/>
  <c r="N744" i="15"/>
  <c r="R744" i="15"/>
  <c r="AD756" i="15"/>
  <c r="AB764" i="15"/>
  <c r="E151" i="15"/>
  <c r="I151" i="15"/>
  <c r="M151" i="15"/>
  <c r="Q151" i="15"/>
  <c r="AB243" i="15"/>
  <c r="G744" i="15"/>
  <c r="O744" i="15"/>
  <c r="S744" i="15"/>
  <c r="AD582" i="15"/>
  <c r="AD586" i="15"/>
  <c r="AD594" i="15"/>
  <c r="AD715" i="15"/>
  <c r="AD775" i="15"/>
  <c r="AD812" i="15"/>
  <c r="U44" i="15"/>
  <c r="AD61" i="15"/>
  <c r="AD137" i="15"/>
  <c r="AB284" i="15"/>
  <c r="AD546" i="15"/>
  <c r="AD550" i="15"/>
  <c r="AD577" i="15"/>
  <c r="AD581" i="15"/>
  <c r="AD585" i="15"/>
  <c r="AD589" i="15"/>
  <c r="AD593" i="15"/>
  <c r="AD597" i="15"/>
  <c r="AD803" i="15"/>
  <c r="AD886" i="15"/>
  <c r="AD366" i="15"/>
  <c r="AD412" i="15"/>
  <c r="AD451" i="15"/>
  <c r="AD485" i="15"/>
  <c r="AD526" i="15"/>
  <c r="AD574" i="15"/>
  <c r="AD578" i="15"/>
  <c r="AD590" i="15"/>
  <c r="AD645" i="15"/>
  <c r="K151" i="15"/>
  <c r="U199" i="15"/>
  <c r="AD382" i="15"/>
  <c r="AD477" i="15"/>
  <c r="AD545" i="15"/>
  <c r="AD549" i="15"/>
  <c r="AD576" i="15"/>
  <c r="AD580" i="15"/>
  <c r="AD584" i="15"/>
  <c r="AD588" i="15"/>
  <c r="AD592" i="15"/>
  <c r="AD596" i="15"/>
  <c r="AD616" i="15"/>
  <c r="AD639" i="15"/>
  <c r="AD749" i="15"/>
  <c r="AD762" i="15"/>
  <c r="U35" i="15"/>
  <c r="L151" i="15"/>
  <c r="AD301" i="15"/>
  <c r="AD350" i="15"/>
  <c r="AD420" i="15"/>
  <c r="N283" i="15"/>
  <c r="R283" i="15"/>
  <c r="AD459" i="15"/>
  <c r="AD534" i="15"/>
  <c r="AD544" i="15"/>
  <c r="AD548" i="15"/>
  <c r="AD575" i="15"/>
  <c r="AD579" i="15"/>
  <c r="AD583" i="15"/>
  <c r="AD587" i="15"/>
  <c r="AD591" i="15"/>
  <c r="AD595" i="15"/>
  <c r="AD686" i="15"/>
  <c r="AD725" i="15"/>
  <c r="AD783" i="15"/>
  <c r="AD821" i="15"/>
  <c r="AD858" i="15"/>
  <c r="U603" i="15"/>
  <c r="AB648" i="15"/>
  <c r="AD733" i="15"/>
  <c r="AD779" i="15"/>
  <c r="AD795" i="15"/>
  <c r="AD842" i="15"/>
  <c r="U229" i="15"/>
  <c r="W151" i="15"/>
  <c r="U243" i="15"/>
  <c r="U284" i="15"/>
  <c r="U424" i="15"/>
  <c r="AD483" i="15"/>
  <c r="U536" i="15"/>
  <c r="AB572" i="15"/>
  <c r="AD741" i="15"/>
  <c r="AD767" i="15"/>
  <c r="AD820" i="15"/>
  <c r="AD834" i="15"/>
  <c r="AD836" i="15"/>
  <c r="AB152" i="15"/>
  <c r="F151" i="15"/>
  <c r="J151" i="15"/>
  <c r="U340" i="15"/>
  <c r="E283" i="15"/>
  <c r="I283" i="15"/>
  <c r="M283" i="15"/>
  <c r="Q283" i="15"/>
  <c r="F491" i="15"/>
  <c r="N491" i="15"/>
  <c r="U512" i="15"/>
  <c r="AD665" i="15"/>
  <c r="AD754" i="15"/>
  <c r="AD771" i="15"/>
  <c r="AD814" i="15"/>
  <c r="AD819" i="15"/>
  <c r="AD850" i="15"/>
  <c r="AB718" i="15"/>
  <c r="U764" i="15"/>
  <c r="U810" i="15"/>
  <c r="K602" i="15"/>
  <c r="O602" i="15"/>
  <c r="S602" i="15"/>
  <c r="F602" i="15"/>
  <c r="J602" i="15"/>
  <c r="N602" i="15"/>
  <c r="R602" i="15"/>
  <c r="U697" i="15"/>
  <c r="U718" i="15"/>
  <c r="D744" i="15"/>
  <c r="L744" i="15"/>
  <c r="T744" i="15"/>
  <c r="AD760" i="15"/>
  <c r="E744" i="15"/>
  <c r="I744" i="15"/>
  <c r="M744" i="15"/>
  <c r="Q744" i="15"/>
  <c r="AD854" i="15"/>
  <c r="U864" i="15"/>
  <c r="AD78" i="15"/>
  <c r="AD80" i="15"/>
  <c r="AD107" i="15"/>
  <c r="AD123" i="15"/>
  <c r="AD74" i="15"/>
  <c r="AD119" i="15"/>
  <c r="AD39" i="15"/>
  <c r="AD82" i="15"/>
  <c r="AD84" i="15"/>
  <c r="AD111" i="15"/>
  <c r="AD127" i="15"/>
  <c r="AD76" i="15"/>
  <c r="AD72" i="15"/>
  <c r="AD115" i="15"/>
  <c r="AD13" i="15"/>
  <c r="AD17" i="15"/>
  <c r="AD21" i="15"/>
  <c r="AD41" i="15"/>
  <c r="AD89" i="15"/>
  <c r="AD93" i="15"/>
  <c r="AD97" i="15"/>
  <c r="AD101" i="15"/>
  <c r="AD147" i="15"/>
  <c r="AD167" i="15"/>
  <c r="AD180" i="15"/>
  <c r="AD183" i="15"/>
  <c r="AD196" i="15"/>
  <c r="AD211" i="15"/>
  <c r="AD216" i="15"/>
  <c r="AD225" i="15"/>
  <c r="AD236" i="15"/>
  <c r="AD247" i="15"/>
  <c r="AD253" i="15"/>
  <c r="AD266" i="15"/>
  <c r="AD20" i="15"/>
  <c r="AD28" i="15"/>
  <c r="AD32" i="15"/>
  <c r="AD136" i="15"/>
  <c r="AD140" i="15"/>
  <c r="AD149" i="15"/>
  <c r="AD155" i="15"/>
  <c r="AD171" i="15"/>
  <c r="AD182" i="15"/>
  <c r="AD185" i="15"/>
  <c r="AD206" i="15"/>
  <c r="AD215" i="15"/>
  <c r="AD220" i="15"/>
  <c r="AD222" i="15"/>
  <c r="AD286" i="15"/>
  <c r="AD288" i="15"/>
  <c r="AD302" i="15"/>
  <c r="AD304" i="15"/>
  <c r="AD355" i="15"/>
  <c r="AD357" i="15"/>
  <c r="AD371" i="15"/>
  <c r="AD373" i="15"/>
  <c r="AD385" i="15"/>
  <c r="AD23" i="15"/>
  <c r="AD27" i="15"/>
  <c r="AD47" i="15"/>
  <c r="AJ47" i="15" s="1"/>
  <c r="AD51" i="15"/>
  <c r="AD59" i="15"/>
  <c r="AD63" i="15"/>
  <c r="U131" i="15"/>
  <c r="AD135" i="15"/>
  <c r="AD139" i="15"/>
  <c r="AD143" i="15"/>
  <c r="AD146" i="15"/>
  <c r="AD159" i="15"/>
  <c r="AD161" i="15"/>
  <c r="AD168" i="15"/>
  <c r="AD179" i="15"/>
  <c r="AD184" i="15"/>
  <c r="AD187" i="15"/>
  <c r="AD192" i="15"/>
  <c r="AD195" i="15"/>
  <c r="AD201" i="15"/>
  <c r="AD203" i="15"/>
  <c r="AD208" i="15"/>
  <c r="AD210" i="15"/>
  <c r="AD217" i="15"/>
  <c r="AD219" i="15"/>
  <c r="AD224" i="15"/>
  <c r="AD226" i="15"/>
  <c r="AD233" i="15"/>
  <c r="AD237" i="15"/>
  <c r="AD241" i="15"/>
  <c r="AD246" i="15"/>
  <c r="AD248" i="15"/>
  <c r="AD250" i="15"/>
  <c r="AD252" i="15"/>
  <c r="AD254" i="15"/>
  <c r="AD256" i="15"/>
  <c r="AD258" i="15"/>
  <c r="AD260" i="15"/>
  <c r="AD265" i="15"/>
  <c r="AD267" i="15"/>
  <c r="AD269" i="15"/>
  <c r="AD271" i="15"/>
  <c r="AD273" i="15"/>
  <c r="AD275" i="15"/>
  <c r="AD277" i="15"/>
  <c r="AD279" i="15"/>
  <c r="AD281" i="15"/>
  <c r="AD290" i="15"/>
  <c r="AD292" i="15"/>
  <c r="AD306" i="15"/>
  <c r="AD308" i="15"/>
  <c r="AD343" i="15"/>
  <c r="AD345" i="15"/>
  <c r="AD359" i="15"/>
  <c r="AD361" i="15"/>
  <c r="AD375" i="15"/>
  <c r="AD377" i="15"/>
  <c r="AD25" i="15"/>
  <c r="AD29" i="15"/>
  <c r="AD33" i="15"/>
  <c r="AD105" i="15"/>
  <c r="AD109" i="15"/>
  <c r="AD113" i="15"/>
  <c r="AD117" i="15"/>
  <c r="AD121" i="15"/>
  <c r="AD125" i="15"/>
  <c r="AD129" i="15"/>
  <c r="AD160" i="15"/>
  <c r="AD169" i="15"/>
  <c r="AD188" i="15"/>
  <c r="AD191" i="15"/>
  <c r="AD202" i="15"/>
  <c r="AD209" i="15"/>
  <c r="AD218" i="15"/>
  <c r="AD227" i="15"/>
  <c r="AD232" i="15"/>
  <c r="AD240" i="15"/>
  <c r="AD245" i="15"/>
  <c r="AD249" i="15"/>
  <c r="AD251" i="15"/>
  <c r="AD255" i="15"/>
  <c r="AD257" i="15"/>
  <c r="AD259" i="15"/>
  <c r="AD261" i="15"/>
  <c r="AD268" i="15"/>
  <c r="AD270" i="15"/>
  <c r="AD272" i="15"/>
  <c r="AD274" i="15"/>
  <c r="AD276" i="15"/>
  <c r="AD278" i="15"/>
  <c r="AD280" i="15"/>
  <c r="AD298" i="15"/>
  <c r="AD300" i="15"/>
  <c r="AD351" i="15"/>
  <c r="AD353" i="15"/>
  <c r="AD367" i="15"/>
  <c r="AD369" i="15"/>
  <c r="AD383" i="15"/>
  <c r="AD12" i="15"/>
  <c r="BO12" i="15" s="1"/>
  <c r="AD16" i="15"/>
  <c r="AD24" i="15"/>
  <c r="AD48" i="15"/>
  <c r="AD52" i="15"/>
  <c r="AD56" i="15"/>
  <c r="AD60" i="15"/>
  <c r="AD64" i="15"/>
  <c r="U87" i="15"/>
  <c r="AD92" i="15"/>
  <c r="AD96" i="15"/>
  <c r="AD100" i="15"/>
  <c r="U103" i="15"/>
  <c r="AD144" i="15"/>
  <c r="AD157" i="15"/>
  <c r="AD164" i="15"/>
  <c r="AD173" i="15"/>
  <c r="AD190" i="15"/>
  <c r="AD193" i="15"/>
  <c r="AD204" i="15"/>
  <c r="AD213" i="15"/>
  <c r="AD11" i="15"/>
  <c r="BO11" i="15" s="1"/>
  <c r="AD15" i="15"/>
  <c r="AD19" i="15"/>
  <c r="AD31" i="15"/>
  <c r="AD55" i="15"/>
  <c r="AD91" i="15"/>
  <c r="AD95" i="15"/>
  <c r="AD99" i="15"/>
  <c r="U9" i="15"/>
  <c r="AD14" i="15"/>
  <c r="AD18" i="15"/>
  <c r="AD22" i="15"/>
  <c r="AD26" i="15"/>
  <c r="AD30" i="15"/>
  <c r="AD50" i="15"/>
  <c r="AD54" i="15"/>
  <c r="AD58" i="15"/>
  <c r="AD62" i="15"/>
  <c r="AD66" i="15"/>
  <c r="AD90" i="15"/>
  <c r="AD94" i="15"/>
  <c r="AD98" i="15"/>
  <c r="AD134" i="15"/>
  <c r="AD138" i="15"/>
  <c r="AD142" i="15"/>
  <c r="AD145" i="15"/>
  <c r="AD148" i="15"/>
  <c r="AD156" i="15"/>
  <c r="AD163" i="15"/>
  <c r="AD165" i="15"/>
  <c r="AD172" i="15"/>
  <c r="AD178" i="15"/>
  <c r="AD181" i="15"/>
  <c r="AD186" i="15"/>
  <c r="AD189" i="15"/>
  <c r="AD194" i="15"/>
  <c r="AD197" i="15"/>
  <c r="AD205" i="15"/>
  <c r="AD207" i="15"/>
  <c r="AD212" i="15"/>
  <c r="AD214" i="15"/>
  <c r="AD221" i="15"/>
  <c r="AD223" i="15"/>
  <c r="AD294" i="15"/>
  <c r="AD296" i="15"/>
  <c r="AD310" i="15"/>
  <c r="AD312" i="15"/>
  <c r="AD347" i="15"/>
  <c r="AD349" i="15"/>
  <c r="AD363" i="15"/>
  <c r="AD365" i="15"/>
  <c r="AD379" i="15"/>
  <c r="AD381" i="15"/>
  <c r="AD317" i="15"/>
  <c r="AD337" i="15"/>
  <c r="AD390" i="15"/>
  <c r="AD394" i="15"/>
  <c r="AD417" i="15"/>
  <c r="AD437" i="15"/>
  <c r="AD468" i="15"/>
  <c r="AD478" i="15"/>
  <c r="AD486" i="15"/>
  <c r="AD508" i="15"/>
  <c r="AD556" i="15"/>
  <c r="AD570" i="15"/>
  <c r="AD662" i="15"/>
  <c r="AD748" i="15"/>
  <c r="AD792" i="15"/>
  <c r="AD849" i="15"/>
  <c r="AD158" i="15"/>
  <c r="AD162" i="15"/>
  <c r="AD166" i="15"/>
  <c r="AD170" i="15"/>
  <c r="AD174" i="15"/>
  <c r="U176" i="15"/>
  <c r="AD231" i="15"/>
  <c r="AD234" i="15"/>
  <c r="AD235" i="15"/>
  <c r="AD238" i="15"/>
  <c r="AD239" i="15"/>
  <c r="AD316" i="15"/>
  <c r="AD320" i="15"/>
  <c r="AD324" i="15"/>
  <c r="AD328" i="15"/>
  <c r="AD332" i="15"/>
  <c r="AD336" i="15"/>
  <c r="AD389" i="15"/>
  <c r="AD393" i="15"/>
  <c r="AD396" i="15"/>
  <c r="AD401" i="15"/>
  <c r="AD405" i="15"/>
  <c r="AD409" i="15"/>
  <c r="AD422" i="15"/>
  <c r="AD431" i="15"/>
  <c r="AD439" i="15"/>
  <c r="AD454" i="15"/>
  <c r="AD458" i="15"/>
  <c r="AD461" i="15"/>
  <c r="U474" i="15"/>
  <c r="G283" i="15"/>
  <c r="K283" i="15"/>
  <c r="O283" i="15"/>
  <c r="S283" i="15"/>
  <c r="AD476" i="15"/>
  <c r="AD484" i="15"/>
  <c r="AB492" i="15"/>
  <c r="W491" i="15"/>
  <c r="AD494" i="15"/>
  <c r="AD502" i="15"/>
  <c r="AD510" i="15"/>
  <c r="AD521" i="15"/>
  <c r="AD525" i="15"/>
  <c r="AD528" i="15"/>
  <c r="AD543" i="15"/>
  <c r="AD558" i="15"/>
  <c r="AD560" i="15"/>
  <c r="AD565" i="15"/>
  <c r="AD567" i="15"/>
  <c r="AD652" i="15"/>
  <c r="AD659" i="15"/>
  <c r="AD692" i="15"/>
  <c r="AD720" i="15"/>
  <c r="AD728" i="15"/>
  <c r="AD736" i="15"/>
  <c r="U152" i="15"/>
  <c r="AD321" i="15"/>
  <c r="AD325" i="15"/>
  <c r="AD329" i="15"/>
  <c r="AD429" i="15"/>
  <c r="AD445" i="15"/>
  <c r="AD466" i="15"/>
  <c r="AD472" i="15"/>
  <c r="AD500" i="15"/>
  <c r="AD515" i="15"/>
  <c r="AD533" i="15"/>
  <c r="AD541" i="15"/>
  <c r="AD554" i="15"/>
  <c r="AD563" i="15"/>
  <c r="AD664" i="15"/>
  <c r="AD813" i="15"/>
  <c r="AD856" i="15"/>
  <c r="AD869" i="15"/>
  <c r="AD154" i="15"/>
  <c r="AD319" i="15"/>
  <c r="AD323" i="15"/>
  <c r="AD327" i="15"/>
  <c r="AD331" i="15"/>
  <c r="AD335" i="15"/>
  <c r="AD392" i="15"/>
  <c r="AD395" i="15"/>
  <c r="AD400" i="15"/>
  <c r="AD404" i="15"/>
  <c r="AD415" i="15"/>
  <c r="AD419" i="15"/>
  <c r="AD433" i="15"/>
  <c r="AD441" i="15"/>
  <c r="AD450" i="15"/>
  <c r="AD453" i="15"/>
  <c r="AD464" i="15"/>
  <c r="AD467" i="15"/>
  <c r="AD469" i="15"/>
  <c r="AD471" i="15"/>
  <c r="AD482" i="15"/>
  <c r="AD496" i="15"/>
  <c r="AD504" i="15"/>
  <c r="AD517" i="15"/>
  <c r="AD520" i="15"/>
  <c r="AD531" i="15"/>
  <c r="U552" i="15"/>
  <c r="C491" i="15"/>
  <c r="G491" i="15"/>
  <c r="K491" i="15"/>
  <c r="O491" i="15"/>
  <c r="S491" i="15"/>
  <c r="AD555" i="15"/>
  <c r="AD562" i="15"/>
  <c r="AD564" i="15"/>
  <c r="AD569" i="15"/>
  <c r="AD654" i="15"/>
  <c r="AD656" i="15"/>
  <c r="AD677" i="15"/>
  <c r="AD682" i="15"/>
  <c r="AD333" i="15"/>
  <c r="AD398" i="15"/>
  <c r="AD402" i="15"/>
  <c r="AD406" i="15"/>
  <c r="AD462" i="15"/>
  <c r="AD470" i="15"/>
  <c r="AD529" i="15"/>
  <c r="AD561" i="15"/>
  <c r="AD643" i="15"/>
  <c r="AD800" i="15"/>
  <c r="AD817" i="15"/>
  <c r="AD853" i="15"/>
  <c r="U263" i="15"/>
  <c r="AD318" i="15"/>
  <c r="AD322" i="15"/>
  <c r="AD326" i="15"/>
  <c r="AD330" i="15"/>
  <c r="AD334" i="15"/>
  <c r="AD338" i="15"/>
  <c r="D283" i="15"/>
  <c r="U387" i="15"/>
  <c r="H283" i="15"/>
  <c r="L283" i="15"/>
  <c r="P283" i="15"/>
  <c r="T283" i="15"/>
  <c r="AD391" i="15"/>
  <c r="AD399" i="15"/>
  <c r="AD403" i="15"/>
  <c r="AD407" i="15"/>
  <c r="AD411" i="15"/>
  <c r="AD414" i="15"/>
  <c r="AD427" i="15"/>
  <c r="AD435" i="15"/>
  <c r="AD443" i="15"/>
  <c r="AD456" i="15"/>
  <c r="AD480" i="15"/>
  <c r="AD488" i="15"/>
  <c r="AD498" i="15"/>
  <c r="AD506" i="15"/>
  <c r="AD523" i="15"/>
  <c r="AD539" i="15"/>
  <c r="AD557" i="15"/>
  <c r="AD559" i="15"/>
  <c r="AD566" i="15"/>
  <c r="AD568" i="15"/>
  <c r="AD644" i="15"/>
  <c r="U648" i="15"/>
  <c r="C602" i="15"/>
  <c r="AD651" i="15"/>
  <c r="AD660" i="15"/>
  <c r="AD667" i="15"/>
  <c r="AD676" i="15"/>
  <c r="D491" i="15"/>
  <c r="H491" i="15"/>
  <c r="L491" i="15"/>
  <c r="P491" i="15"/>
  <c r="T491" i="15"/>
  <c r="AD605" i="15"/>
  <c r="AD607" i="15"/>
  <c r="AD613" i="15"/>
  <c r="AD615" i="15"/>
  <c r="AD621" i="15"/>
  <c r="AD623" i="15"/>
  <c r="AD629" i="15"/>
  <c r="AD631" i="15"/>
  <c r="AD642" i="15"/>
  <c r="AD675" i="15"/>
  <c r="AD691" i="15"/>
  <c r="AD695" i="15"/>
  <c r="AD722" i="15"/>
  <c r="AD730" i="15"/>
  <c r="AD738" i="15"/>
  <c r="AD747" i="15"/>
  <c r="AD408" i="15"/>
  <c r="AD416" i="15"/>
  <c r="AD426" i="15"/>
  <c r="AD428" i="15"/>
  <c r="AD430" i="15"/>
  <c r="AD432" i="15"/>
  <c r="AD434" i="15"/>
  <c r="AD436" i="15"/>
  <c r="AD438" i="15"/>
  <c r="AD440" i="15"/>
  <c r="AD442" i="15"/>
  <c r="AD444" i="15"/>
  <c r="AD446" i="15"/>
  <c r="AD455" i="15"/>
  <c r="AD463" i="15"/>
  <c r="U492" i="15"/>
  <c r="AD495" i="15"/>
  <c r="AD497" i="15"/>
  <c r="AD499" i="15"/>
  <c r="AD501" i="15"/>
  <c r="AD503" i="15"/>
  <c r="AD505" i="15"/>
  <c r="AD507" i="15"/>
  <c r="AD509" i="15"/>
  <c r="AB512" i="15"/>
  <c r="AD514" i="15"/>
  <c r="AD522" i="15"/>
  <c r="AD530" i="15"/>
  <c r="AD538" i="15"/>
  <c r="AD540" i="15"/>
  <c r="AD542" i="15"/>
  <c r="W602" i="15"/>
  <c r="AD641" i="15"/>
  <c r="AD650" i="15"/>
  <c r="AD655" i="15"/>
  <c r="AD663" i="15"/>
  <c r="AD666" i="15"/>
  <c r="AD674" i="15"/>
  <c r="AD685" i="15"/>
  <c r="AD690" i="15"/>
  <c r="AD410" i="15"/>
  <c r="AD418" i="15"/>
  <c r="AD457" i="15"/>
  <c r="AD465" i="15"/>
  <c r="AD516" i="15"/>
  <c r="AD524" i="15"/>
  <c r="AD532" i="15"/>
  <c r="AD609" i="15"/>
  <c r="AD611" i="15"/>
  <c r="AD617" i="15"/>
  <c r="AD619" i="15"/>
  <c r="AD625" i="15"/>
  <c r="AD627" i="15"/>
  <c r="AD633" i="15"/>
  <c r="AD635" i="15"/>
  <c r="AD683" i="15"/>
  <c r="AD684" i="15"/>
  <c r="AD600" i="15"/>
  <c r="AD640" i="15"/>
  <c r="AD673" i="15"/>
  <c r="AD681" i="15"/>
  <c r="AD689" i="15"/>
  <c r="AD694" i="15"/>
  <c r="AD724" i="15"/>
  <c r="AD732" i="15"/>
  <c r="AD740" i="15"/>
  <c r="AD770" i="15"/>
  <c r="AD780" i="15"/>
  <c r="U572" i="15"/>
  <c r="AD598" i="15"/>
  <c r="AD599" i="15"/>
  <c r="U637" i="15"/>
  <c r="AD646" i="15"/>
  <c r="U669" i="15"/>
  <c r="AD671" i="15"/>
  <c r="AD672" i="15"/>
  <c r="AD679" i="15"/>
  <c r="AD680" i="15"/>
  <c r="AD687" i="15"/>
  <c r="AD688" i="15"/>
  <c r="AD693" i="15"/>
  <c r="AD726" i="15"/>
  <c r="AD734" i="15"/>
  <c r="AD742" i="15"/>
  <c r="AD753" i="15"/>
  <c r="AD761" i="15"/>
  <c r="AD768" i="15"/>
  <c r="AB637" i="15"/>
  <c r="AD716" i="15"/>
  <c r="U745" i="15"/>
  <c r="AD759" i="15"/>
  <c r="AD769" i="15"/>
  <c r="AD778" i="15"/>
  <c r="AD790" i="15"/>
  <c r="AD798" i="15"/>
  <c r="AD806" i="15"/>
  <c r="AD808" i="15"/>
  <c r="AD816" i="15"/>
  <c r="AD848" i="15"/>
  <c r="AD714" i="15"/>
  <c r="AD752" i="15"/>
  <c r="AD757" i="15"/>
  <c r="AD777" i="15"/>
  <c r="U787" i="15"/>
  <c r="AD796" i="15"/>
  <c r="AD804" i="15"/>
  <c r="AD699" i="15"/>
  <c r="AD700" i="15"/>
  <c r="AD701" i="15"/>
  <c r="AD702" i="15"/>
  <c r="AD703" i="15"/>
  <c r="AD704" i="15"/>
  <c r="AD705" i="15"/>
  <c r="AD706" i="15"/>
  <c r="AD707" i="15"/>
  <c r="AD708" i="15"/>
  <c r="AD709" i="15"/>
  <c r="AD710" i="15"/>
  <c r="AD711" i="15"/>
  <c r="AD712" i="15"/>
  <c r="AD713" i="15"/>
  <c r="AB745" i="15"/>
  <c r="AD750" i="15"/>
  <c r="AD751" i="15"/>
  <c r="AD755" i="15"/>
  <c r="AD772" i="15"/>
  <c r="AD785" i="15"/>
  <c r="AD794" i="15"/>
  <c r="AD802" i="15"/>
  <c r="AD818" i="15"/>
  <c r="AD885" i="15"/>
  <c r="AD823" i="15"/>
  <c r="AD825" i="15"/>
  <c r="AD827" i="15"/>
  <c r="AD829" i="15"/>
  <c r="AD841" i="15"/>
  <c r="AD847" i="15"/>
  <c r="AD852" i="15"/>
  <c r="AD866" i="15"/>
  <c r="AD879" i="15"/>
  <c r="AD882" i="15"/>
  <c r="AD895" i="15"/>
  <c r="AD898" i="15"/>
  <c r="U831" i="15"/>
  <c r="AD833" i="15"/>
  <c r="AD839" i="15"/>
  <c r="AD840" i="15"/>
  <c r="AD846" i="15"/>
  <c r="AD861" i="15"/>
  <c r="AD877" i="15"/>
  <c r="AD893" i="15"/>
  <c r="AD773" i="15"/>
  <c r="AD781" i="15"/>
  <c r="AB810" i="15"/>
  <c r="AD822" i="15"/>
  <c r="AD824" i="15"/>
  <c r="AD826" i="15"/>
  <c r="AD828" i="15"/>
  <c r="AD838" i="15"/>
  <c r="AD857" i="15"/>
  <c r="AD860" i="15"/>
  <c r="AD871" i="15"/>
  <c r="AD874" i="15"/>
  <c r="AD887" i="15"/>
  <c r="AD890" i="15"/>
  <c r="AB831" i="15"/>
  <c r="AD837" i="15"/>
  <c r="AD845" i="15"/>
  <c r="AD867" i="15"/>
  <c r="AD875" i="15"/>
  <c r="AD883" i="15"/>
  <c r="AD891" i="15"/>
  <c r="AD835" i="15"/>
  <c r="AD843" i="15"/>
  <c r="AD851" i="15"/>
  <c r="AD855" i="15"/>
  <c r="AD859" i="15"/>
  <c r="AD873" i="15"/>
  <c r="AD881" i="15"/>
  <c r="AD889" i="15"/>
  <c r="AD897" i="15"/>
  <c r="BM695" i="15" l="1"/>
  <c r="BN695" i="15" s="1"/>
  <c r="BM644" i="15"/>
  <c r="BN644" i="15" s="1"/>
  <c r="AI478" i="15"/>
  <c r="BM558" i="15"/>
  <c r="BN558" i="15" s="1"/>
  <c r="AI33" i="15"/>
  <c r="BM335" i="15"/>
  <c r="BN335" i="15" s="1"/>
  <c r="AI433" i="15"/>
  <c r="BM525" i="15"/>
  <c r="BN525" i="15" s="1"/>
  <c r="BM300" i="15"/>
  <c r="BN300" i="15" s="1"/>
  <c r="BM593" i="15"/>
  <c r="BN593" i="15" s="1"/>
  <c r="AI196" i="15"/>
  <c r="AI849" i="15"/>
  <c r="AI113" i="15"/>
  <c r="BM850" i="15"/>
  <c r="BN850" i="15" s="1"/>
  <c r="BM589" i="15"/>
  <c r="BN589" i="15" s="1"/>
  <c r="BM855" i="15"/>
  <c r="BN855" i="15" s="1"/>
  <c r="BM645" i="15"/>
  <c r="BN645" i="15" s="1"/>
  <c r="BM768" i="15"/>
  <c r="BN768" i="15" s="1"/>
  <c r="BM825" i="15"/>
  <c r="BN825" i="15" s="1"/>
  <c r="BM843" i="15"/>
  <c r="BN843" i="15" s="1"/>
  <c r="BM140" i="15"/>
  <c r="BN140" i="15" s="1"/>
  <c r="BM800" i="15"/>
  <c r="BN800" i="15" s="1"/>
  <c r="BM775" i="15"/>
  <c r="BN775" i="15" s="1"/>
  <c r="AI824" i="15"/>
  <c r="BM194" i="15"/>
  <c r="BN194" i="15" s="1"/>
  <c r="AI563" i="15"/>
  <c r="BM881" i="15"/>
  <c r="BN881" i="15" s="1"/>
  <c r="AI325" i="15"/>
  <c r="BM856" i="15"/>
  <c r="BN856" i="15" s="1"/>
  <c r="BM769" i="15"/>
  <c r="BN769" i="15" s="1"/>
  <c r="AI780" i="15"/>
  <c r="AI517" i="15"/>
  <c r="BM897" i="15"/>
  <c r="BN897" i="15" s="1"/>
  <c r="BM570" i="15"/>
  <c r="BN570" i="15" s="1"/>
  <c r="AI221" i="15"/>
  <c r="AI207" i="15"/>
  <c r="BM502" i="15"/>
  <c r="BN502" i="15" s="1"/>
  <c r="AI829" i="15"/>
  <c r="AI17" i="15"/>
  <c r="AI749" i="15"/>
  <c r="AI654" i="15"/>
  <c r="AI470" i="15"/>
  <c r="AI249" i="15"/>
  <c r="AI869" i="15"/>
  <c r="AI161" i="15"/>
  <c r="AI734" i="15"/>
  <c r="AI715" i="15"/>
  <c r="AI333" i="15"/>
  <c r="AI146" i="15"/>
  <c r="AI25" i="15"/>
  <c r="BM294" i="15"/>
  <c r="BN294" i="15" s="1"/>
  <c r="AI148" i="15"/>
  <c r="AI105" i="15"/>
  <c r="AI23" i="15"/>
  <c r="AI97" i="15"/>
  <c r="AI406" i="15"/>
  <c r="BM820" i="15"/>
  <c r="BN820" i="15" s="1"/>
  <c r="AI58" i="15"/>
  <c r="AI846" i="15"/>
  <c r="BM796" i="15"/>
  <c r="BN796" i="15" s="1"/>
  <c r="AI785" i="15"/>
  <c r="AI779" i="15"/>
  <c r="AI258" i="15"/>
  <c r="AI250" i="15"/>
  <c r="BM890" i="15"/>
  <c r="BN890" i="15" s="1"/>
  <c r="BM555" i="15"/>
  <c r="BN555" i="15" s="1"/>
  <c r="AI257" i="15"/>
  <c r="AI860" i="15"/>
  <c r="BM682" i="15"/>
  <c r="BN682" i="15" s="1"/>
  <c r="AI269" i="15"/>
  <c r="BM584" i="15"/>
  <c r="BN584" i="15" s="1"/>
  <c r="BM476" i="15"/>
  <c r="BN476" i="15" s="1"/>
  <c r="BM484" i="15"/>
  <c r="BN484" i="15" s="1"/>
  <c r="BM714" i="15"/>
  <c r="BN714" i="15" s="1"/>
  <c r="AI673" i="15"/>
  <c r="BM353" i="15"/>
  <c r="BN353" i="15" s="1"/>
  <c r="BM693" i="15"/>
  <c r="BN693" i="15" s="1"/>
  <c r="BM741" i="15"/>
  <c r="BN741" i="15" s="1"/>
  <c r="AI685" i="15"/>
  <c r="BM677" i="15"/>
  <c r="BN677" i="15" s="1"/>
  <c r="AJ89" i="15"/>
  <c r="BM866" i="15"/>
  <c r="BN866" i="15" s="1"/>
  <c r="BM385" i="15"/>
  <c r="BN385" i="15" s="1"/>
  <c r="AI345" i="15"/>
  <c r="AI149" i="15"/>
  <c r="BM89" i="15"/>
  <c r="BN89" i="15" s="1"/>
  <c r="BM50" i="15"/>
  <c r="BN50" i="15" s="1"/>
  <c r="AI223" i="15"/>
  <c r="AI893" i="15"/>
  <c r="AI821" i="15"/>
  <c r="AI804" i="15"/>
  <c r="AI754" i="15"/>
  <c r="AI577" i="15"/>
  <c r="AI520" i="15"/>
  <c r="AI226" i="15"/>
  <c r="AI218" i="15"/>
  <c r="AI210" i="15"/>
  <c r="AI202" i="15"/>
  <c r="AI191" i="15"/>
  <c r="AI183" i="15"/>
  <c r="AI755" i="15"/>
  <c r="AI592" i="15"/>
  <c r="AI828" i="15"/>
  <c r="BM286" i="15"/>
  <c r="BN286" i="15" s="1"/>
  <c r="AI681" i="15"/>
  <c r="AI655" i="15"/>
  <c r="BM411" i="15"/>
  <c r="BN411" i="15" s="1"/>
  <c r="AI377" i="15"/>
  <c r="BM301" i="15"/>
  <c r="BN301" i="15" s="1"/>
  <c r="AI270" i="15"/>
  <c r="AI78" i="15"/>
  <c r="AI167" i="15"/>
  <c r="AI885" i="15"/>
  <c r="AI238" i="15"/>
  <c r="AI443" i="15"/>
  <c r="AI302" i="15"/>
  <c r="AI119" i="15"/>
  <c r="BM574" i="15"/>
  <c r="BN574" i="15" s="1"/>
  <c r="AI689" i="15"/>
  <c r="BM646" i="15"/>
  <c r="BN646" i="15" s="1"/>
  <c r="BM480" i="15"/>
  <c r="BN480" i="15" s="1"/>
  <c r="BM417" i="15"/>
  <c r="BN417" i="15" s="1"/>
  <c r="BM369" i="15"/>
  <c r="BN369" i="15" s="1"/>
  <c r="AI278" i="15"/>
  <c r="BM66" i="15"/>
  <c r="BN66" i="15" s="1"/>
  <c r="AI138" i="15"/>
  <c r="AI361" i="15"/>
  <c r="AI427" i="15"/>
  <c r="BC630" i="15"/>
  <c r="BD630" i="15" s="1"/>
  <c r="AI629" i="15"/>
  <c r="AJ11" i="15"/>
  <c r="AY11" i="15" s="1"/>
  <c r="AZ11" i="15" s="1"/>
  <c r="BM833" i="15"/>
  <c r="BN833" i="15" s="1"/>
  <c r="AI419" i="15"/>
  <c r="AI725" i="15"/>
  <c r="AI662" i="15"/>
  <c r="AI635" i="15"/>
  <c r="AI627" i="15"/>
  <c r="AI619" i="15"/>
  <c r="AI611" i="15"/>
  <c r="AI488" i="15"/>
  <c r="AI469" i="15"/>
  <c r="AI643" i="15"/>
  <c r="AI350" i="15"/>
  <c r="AI323" i="15"/>
  <c r="AI679" i="15"/>
  <c r="AI394" i="15"/>
  <c r="AI383" i="15"/>
  <c r="AI375" i="15"/>
  <c r="AI367" i="15"/>
  <c r="AI359" i="15"/>
  <c r="AI351" i="15"/>
  <c r="AI343" i="15"/>
  <c r="AI133" i="15"/>
  <c r="AI95" i="15"/>
  <c r="AI84" i="15"/>
  <c r="AI76" i="15"/>
  <c r="AI64" i="15"/>
  <c r="AI56" i="15"/>
  <c r="AI48" i="15"/>
  <c r="AI402" i="15"/>
  <c r="AI115" i="15"/>
  <c r="BI16" i="15"/>
  <c r="BK16" i="15" s="1"/>
  <c r="BL16" i="15" s="1"/>
  <c r="AM16" i="15"/>
  <c r="AN16" i="15" s="1"/>
  <c r="BI733" i="15"/>
  <c r="BK733" i="15" s="1"/>
  <c r="BL733" i="15" s="1"/>
  <c r="AM733" i="15"/>
  <c r="AN733" i="15" s="1"/>
  <c r="BI723" i="15"/>
  <c r="BK723" i="15" s="1"/>
  <c r="BL723" i="15" s="1"/>
  <c r="AM723" i="15"/>
  <c r="AN723" i="15" s="1"/>
  <c r="BI710" i="15"/>
  <c r="BK710" i="15" s="1"/>
  <c r="BL710" i="15" s="1"/>
  <c r="AM710" i="15"/>
  <c r="AN710" i="15" s="1"/>
  <c r="BI706" i="15"/>
  <c r="BK706" i="15" s="1"/>
  <c r="BL706" i="15" s="1"/>
  <c r="AM706" i="15"/>
  <c r="AN706" i="15" s="1"/>
  <c r="BI695" i="15"/>
  <c r="BK695" i="15" s="1"/>
  <c r="BL695" i="15" s="1"/>
  <c r="AM695" i="15"/>
  <c r="AN695" i="15" s="1"/>
  <c r="BI687" i="15"/>
  <c r="BK687" i="15" s="1"/>
  <c r="BL687" i="15" s="1"/>
  <c r="AM687" i="15"/>
  <c r="AN687" i="15" s="1"/>
  <c r="BI671" i="15"/>
  <c r="BK671" i="15" s="1"/>
  <c r="BL671" i="15" s="1"/>
  <c r="AM671" i="15"/>
  <c r="AN671" i="15" s="1"/>
  <c r="BI653" i="15"/>
  <c r="BK653" i="15" s="1"/>
  <c r="BL653" i="15" s="1"/>
  <c r="AM653" i="15"/>
  <c r="AN653" i="15" s="1"/>
  <c r="BI642" i="15"/>
  <c r="BK642" i="15" s="1"/>
  <c r="BL642" i="15" s="1"/>
  <c r="AM642" i="15"/>
  <c r="AN642" i="15" s="1"/>
  <c r="BI633" i="15"/>
  <c r="BK633" i="15" s="1"/>
  <c r="BL633" i="15" s="1"/>
  <c r="AM633" i="15"/>
  <c r="AN633" i="15" s="1"/>
  <c r="BI625" i="15"/>
  <c r="BK625" i="15" s="1"/>
  <c r="BL625" i="15" s="1"/>
  <c r="AM625" i="15"/>
  <c r="AN625" i="15" s="1"/>
  <c r="BI617" i="15"/>
  <c r="BK617" i="15" s="1"/>
  <c r="BL617" i="15" s="1"/>
  <c r="AM617" i="15"/>
  <c r="AN617" i="15" s="1"/>
  <c r="BI486" i="15"/>
  <c r="BK486" i="15" s="1"/>
  <c r="BL486" i="15" s="1"/>
  <c r="AM486" i="15"/>
  <c r="AN486" i="15" s="1"/>
  <c r="BI478" i="15"/>
  <c r="BK478" i="15" s="1"/>
  <c r="BL478" i="15" s="1"/>
  <c r="AM478" i="15"/>
  <c r="AN478" i="15" s="1"/>
  <c r="BI465" i="15"/>
  <c r="BK465" i="15" s="1"/>
  <c r="BL465" i="15" s="1"/>
  <c r="AM465" i="15"/>
  <c r="AN465" i="15" s="1"/>
  <c r="BI453" i="15"/>
  <c r="BK453" i="15" s="1"/>
  <c r="BL453" i="15" s="1"/>
  <c r="AM453" i="15"/>
  <c r="AN453" i="15" s="1"/>
  <c r="BI444" i="15"/>
  <c r="BK444" i="15" s="1"/>
  <c r="BL444" i="15" s="1"/>
  <c r="AM444" i="15"/>
  <c r="AN444" i="15" s="1"/>
  <c r="BI436" i="15"/>
  <c r="BK436" i="15" s="1"/>
  <c r="BL436" i="15" s="1"/>
  <c r="AM436" i="15"/>
  <c r="AN436" i="15" s="1"/>
  <c r="BI428" i="15"/>
  <c r="BK428" i="15" s="1"/>
  <c r="BL428" i="15" s="1"/>
  <c r="AM428" i="15"/>
  <c r="AN428" i="15" s="1"/>
  <c r="BI413" i="15"/>
  <c r="BK413" i="15" s="1"/>
  <c r="BL413" i="15" s="1"/>
  <c r="AM413" i="15"/>
  <c r="AN413" i="15" s="1"/>
  <c r="BI407" i="15"/>
  <c r="BK407" i="15" s="1"/>
  <c r="BL407" i="15" s="1"/>
  <c r="AM407" i="15"/>
  <c r="AN407" i="15" s="1"/>
  <c r="BI403" i="15"/>
  <c r="BK403" i="15" s="1"/>
  <c r="BL403" i="15" s="1"/>
  <c r="AM403" i="15"/>
  <c r="AN403" i="15" s="1"/>
  <c r="BI394" i="15"/>
  <c r="BK394" i="15" s="1"/>
  <c r="BL394" i="15" s="1"/>
  <c r="AM394" i="15"/>
  <c r="AN394" i="15" s="1"/>
  <c r="BI375" i="15"/>
  <c r="BK375" i="15" s="1"/>
  <c r="BL375" i="15" s="1"/>
  <c r="AM375" i="15"/>
  <c r="AN375" i="15" s="1"/>
  <c r="BI373" i="15"/>
  <c r="BK373" i="15" s="1"/>
  <c r="BL373" i="15" s="1"/>
  <c r="AM373" i="15"/>
  <c r="AN373" i="15" s="1"/>
  <c r="BI343" i="15"/>
  <c r="BK343" i="15" s="1"/>
  <c r="BL343" i="15" s="1"/>
  <c r="AM343" i="15"/>
  <c r="AN343" i="15" s="1"/>
  <c r="BI307" i="15"/>
  <c r="BK307" i="15" s="1"/>
  <c r="BL307" i="15" s="1"/>
  <c r="AM307" i="15"/>
  <c r="AN307" i="15" s="1"/>
  <c r="BI299" i="15"/>
  <c r="BK299" i="15" s="1"/>
  <c r="BL299" i="15" s="1"/>
  <c r="AM299" i="15"/>
  <c r="AN299" i="15" s="1"/>
  <c r="BI295" i="15"/>
  <c r="BK295" i="15" s="1"/>
  <c r="BL295" i="15" s="1"/>
  <c r="AM295" i="15"/>
  <c r="AN295" i="15" s="1"/>
  <c r="BI276" i="15"/>
  <c r="BK276" i="15" s="1"/>
  <c r="BL276" i="15" s="1"/>
  <c r="AM276" i="15"/>
  <c r="AN276" i="15" s="1"/>
  <c r="BI268" i="15"/>
  <c r="BK268" i="15" s="1"/>
  <c r="BL268" i="15" s="1"/>
  <c r="AM268" i="15"/>
  <c r="AN268" i="15" s="1"/>
  <c r="BI145" i="15"/>
  <c r="BK145" i="15" s="1"/>
  <c r="BL145" i="15" s="1"/>
  <c r="AM145" i="15"/>
  <c r="AN145" i="15" s="1"/>
  <c r="BI124" i="15"/>
  <c r="BK124" i="15" s="1"/>
  <c r="BL124" i="15" s="1"/>
  <c r="AM124" i="15"/>
  <c r="AN124" i="15" s="1"/>
  <c r="BI116" i="15"/>
  <c r="BK116" i="15" s="1"/>
  <c r="BL116" i="15" s="1"/>
  <c r="AM116" i="15"/>
  <c r="AN116" i="15" s="1"/>
  <c r="BI108" i="15"/>
  <c r="BK108" i="15" s="1"/>
  <c r="BL108" i="15" s="1"/>
  <c r="AM108" i="15"/>
  <c r="AN108" i="15" s="1"/>
  <c r="BI74" i="15"/>
  <c r="BK74" i="15" s="1"/>
  <c r="BL74" i="15" s="1"/>
  <c r="AM74" i="15"/>
  <c r="AN74" i="15" s="1"/>
  <c r="BI62" i="15"/>
  <c r="BK62" i="15" s="1"/>
  <c r="BL62" i="15" s="1"/>
  <c r="AM62" i="15"/>
  <c r="AN62" i="15" s="1"/>
  <c r="BI42" i="15"/>
  <c r="BK42" i="15" s="1"/>
  <c r="BL42" i="15" s="1"/>
  <c r="AM42" i="15"/>
  <c r="AN42" i="15" s="1"/>
  <c r="BI420" i="15"/>
  <c r="BK420" i="15" s="1"/>
  <c r="BL420" i="15" s="1"/>
  <c r="AM420" i="15"/>
  <c r="AN420" i="15" s="1"/>
  <c r="BI344" i="15"/>
  <c r="BK344" i="15" s="1"/>
  <c r="BL344" i="15" s="1"/>
  <c r="AM344" i="15"/>
  <c r="AN344" i="15" s="1"/>
  <c r="BI148" i="15"/>
  <c r="BK148" i="15" s="1"/>
  <c r="BL148" i="15" s="1"/>
  <c r="AM148" i="15"/>
  <c r="AN148" i="15" s="1"/>
  <c r="BI127" i="15"/>
  <c r="BK127" i="15" s="1"/>
  <c r="BL127" i="15" s="1"/>
  <c r="AM127" i="15"/>
  <c r="AN127" i="15" s="1"/>
  <c r="BI111" i="15"/>
  <c r="BK111" i="15" s="1"/>
  <c r="BL111" i="15" s="1"/>
  <c r="AM111" i="15"/>
  <c r="AN111" i="15" s="1"/>
  <c r="BI94" i="15"/>
  <c r="BK94" i="15" s="1"/>
  <c r="BL94" i="15" s="1"/>
  <c r="AM94" i="15"/>
  <c r="AN94" i="15" s="1"/>
  <c r="BI85" i="15"/>
  <c r="BK85" i="15" s="1"/>
  <c r="BL85" i="15" s="1"/>
  <c r="AM85" i="15"/>
  <c r="AN85" i="15" s="1"/>
  <c r="BI77" i="15"/>
  <c r="BK77" i="15" s="1"/>
  <c r="BL77" i="15" s="1"/>
  <c r="AM77" i="15"/>
  <c r="AN77" i="15" s="1"/>
  <c r="BI63" i="15"/>
  <c r="BK63" i="15" s="1"/>
  <c r="BL63" i="15" s="1"/>
  <c r="AM63" i="15"/>
  <c r="AN63" i="15" s="1"/>
  <c r="BI55" i="15"/>
  <c r="BK55" i="15" s="1"/>
  <c r="BL55" i="15" s="1"/>
  <c r="AM55" i="15"/>
  <c r="AN55" i="15" s="1"/>
  <c r="BI47" i="15"/>
  <c r="BK47" i="15" s="1"/>
  <c r="BL47" i="15" s="1"/>
  <c r="AM47" i="15"/>
  <c r="AN47" i="15" s="1"/>
  <c r="BI888" i="15"/>
  <c r="BK888" i="15" s="1"/>
  <c r="BL888" i="15" s="1"/>
  <c r="AM888" i="15"/>
  <c r="AN888" i="15" s="1"/>
  <c r="BI882" i="15"/>
  <c r="BK882" i="15" s="1"/>
  <c r="BL882" i="15" s="1"/>
  <c r="AM882" i="15"/>
  <c r="AN882" i="15" s="1"/>
  <c r="BI872" i="15"/>
  <c r="BK872" i="15" s="1"/>
  <c r="BL872" i="15" s="1"/>
  <c r="AM872" i="15"/>
  <c r="AN872" i="15" s="1"/>
  <c r="BI859" i="15"/>
  <c r="BK859" i="15" s="1"/>
  <c r="BL859" i="15" s="1"/>
  <c r="AM859" i="15"/>
  <c r="AN859" i="15" s="1"/>
  <c r="BI841" i="15"/>
  <c r="BK841" i="15" s="1"/>
  <c r="BL841" i="15" s="1"/>
  <c r="AM841" i="15"/>
  <c r="AN841" i="15" s="1"/>
  <c r="BI799" i="15"/>
  <c r="BK799" i="15" s="1"/>
  <c r="BL799" i="15" s="1"/>
  <c r="AM799" i="15"/>
  <c r="AN799" i="15" s="1"/>
  <c r="BI772" i="15"/>
  <c r="BK772" i="15" s="1"/>
  <c r="BL772" i="15" s="1"/>
  <c r="AM772" i="15"/>
  <c r="AN772" i="15" s="1"/>
  <c r="BI751" i="15"/>
  <c r="BK751" i="15" s="1"/>
  <c r="BL751" i="15" s="1"/>
  <c r="AM751" i="15"/>
  <c r="AN751" i="15" s="1"/>
  <c r="BI590" i="15"/>
  <c r="BK590" i="15" s="1"/>
  <c r="BL590" i="15" s="1"/>
  <c r="AM590" i="15"/>
  <c r="AN590" i="15" s="1"/>
  <c r="BI567" i="15"/>
  <c r="BK567" i="15" s="1"/>
  <c r="BL567" i="15" s="1"/>
  <c r="AM567" i="15"/>
  <c r="AN567" i="15" s="1"/>
  <c r="BI548" i="15"/>
  <c r="BK548" i="15" s="1"/>
  <c r="BL548" i="15" s="1"/>
  <c r="AM548" i="15"/>
  <c r="AN548" i="15" s="1"/>
  <c r="BI540" i="15"/>
  <c r="BK540" i="15" s="1"/>
  <c r="BL540" i="15" s="1"/>
  <c r="AM540" i="15"/>
  <c r="AN540" i="15" s="1"/>
  <c r="BI515" i="15"/>
  <c r="BK515" i="15" s="1"/>
  <c r="BL515" i="15" s="1"/>
  <c r="AM515" i="15"/>
  <c r="AN515" i="15" s="1"/>
  <c r="BI510" i="15"/>
  <c r="BK510" i="15" s="1"/>
  <c r="BL510" i="15" s="1"/>
  <c r="AM510" i="15"/>
  <c r="AN510" i="15" s="1"/>
  <c r="BI500" i="15"/>
  <c r="BK500" i="15" s="1"/>
  <c r="BL500" i="15" s="1"/>
  <c r="AM500" i="15"/>
  <c r="AN500" i="15" s="1"/>
  <c r="BI236" i="15"/>
  <c r="BK236" i="15" s="1"/>
  <c r="BL236" i="15" s="1"/>
  <c r="AM236" i="15"/>
  <c r="AN236" i="15" s="1"/>
  <c r="BI215" i="15"/>
  <c r="BK215" i="15" s="1"/>
  <c r="BL215" i="15" s="1"/>
  <c r="AM215" i="15"/>
  <c r="AN215" i="15" s="1"/>
  <c r="BI203" i="15"/>
  <c r="BK203" i="15" s="1"/>
  <c r="BL203" i="15" s="1"/>
  <c r="AM203" i="15"/>
  <c r="AN203" i="15" s="1"/>
  <c r="BI194" i="15"/>
  <c r="BK194" i="15" s="1"/>
  <c r="BL194" i="15" s="1"/>
  <c r="AM194" i="15"/>
  <c r="AN194" i="15" s="1"/>
  <c r="BI178" i="15"/>
  <c r="BK178" i="15" s="1"/>
  <c r="BL178" i="15" s="1"/>
  <c r="AM178" i="15"/>
  <c r="AN178" i="15" s="1"/>
  <c r="BI163" i="15"/>
  <c r="BK163" i="15" s="1"/>
  <c r="BL163" i="15" s="1"/>
  <c r="AM163" i="15"/>
  <c r="AN163" i="15" s="1"/>
  <c r="BI159" i="15"/>
  <c r="BK159" i="15" s="1"/>
  <c r="BL159" i="15" s="1"/>
  <c r="AM159" i="15"/>
  <c r="AN159" i="15" s="1"/>
  <c r="BI26" i="15"/>
  <c r="BK26" i="15" s="1"/>
  <c r="BL26" i="15" s="1"/>
  <c r="AM26" i="15"/>
  <c r="AN26" i="15" s="1"/>
  <c r="BI18" i="15"/>
  <c r="BK18" i="15" s="1"/>
  <c r="BL18" i="15" s="1"/>
  <c r="AM18" i="15"/>
  <c r="AN18" i="15" s="1"/>
  <c r="BI891" i="15"/>
  <c r="BK891" i="15" s="1"/>
  <c r="BL891" i="15" s="1"/>
  <c r="AM891" i="15"/>
  <c r="AN891" i="15" s="1"/>
  <c r="BI883" i="15"/>
  <c r="BK883" i="15" s="1"/>
  <c r="BL883" i="15" s="1"/>
  <c r="AM883" i="15"/>
  <c r="AN883" i="15" s="1"/>
  <c r="BI875" i="15"/>
  <c r="BK875" i="15" s="1"/>
  <c r="BL875" i="15" s="1"/>
  <c r="AM875" i="15"/>
  <c r="AN875" i="15" s="1"/>
  <c r="BI867" i="15"/>
  <c r="BK867" i="15" s="1"/>
  <c r="BL867" i="15" s="1"/>
  <c r="AM867" i="15"/>
  <c r="AN867" i="15" s="1"/>
  <c r="BI862" i="15"/>
  <c r="BK862" i="15" s="1"/>
  <c r="BL862" i="15" s="1"/>
  <c r="AM862" i="15"/>
  <c r="AN862" i="15" s="1"/>
  <c r="BI842" i="15"/>
  <c r="BK842" i="15" s="1"/>
  <c r="BL842" i="15" s="1"/>
  <c r="AM842" i="15"/>
  <c r="AN842" i="15" s="1"/>
  <c r="BI827" i="15"/>
  <c r="BK827" i="15" s="1"/>
  <c r="BL827" i="15" s="1"/>
  <c r="AM827" i="15"/>
  <c r="AN827" i="15" s="1"/>
  <c r="BI819" i="15"/>
  <c r="BK819" i="15" s="1"/>
  <c r="BL819" i="15" s="1"/>
  <c r="AM819" i="15"/>
  <c r="AN819" i="15" s="1"/>
  <c r="BI813" i="15"/>
  <c r="BK813" i="15" s="1"/>
  <c r="BL813" i="15" s="1"/>
  <c r="AM813" i="15"/>
  <c r="AN813" i="15" s="1"/>
  <c r="BI808" i="15"/>
  <c r="BK808" i="15" s="1"/>
  <c r="BL808" i="15" s="1"/>
  <c r="AM808" i="15"/>
  <c r="AN808" i="15" s="1"/>
  <c r="BI800" i="15"/>
  <c r="BK800" i="15" s="1"/>
  <c r="BL800" i="15" s="1"/>
  <c r="AM800" i="15"/>
  <c r="AN800" i="15" s="1"/>
  <c r="BI792" i="15"/>
  <c r="BK792" i="15" s="1"/>
  <c r="BL792" i="15" s="1"/>
  <c r="AM792" i="15"/>
  <c r="AN792" i="15" s="1"/>
  <c r="BI783" i="15"/>
  <c r="BK783" i="15" s="1"/>
  <c r="BL783" i="15" s="1"/>
  <c r="AM783" i="15"/>
  <c r="AN783" i="15" s="1"/>
  <c r="BI777" i="15"/>
  <c r="BK777" i="15" s="1"/>
  <c r="BL777" i="15" s="1"/>
  <c r="AM777" i="15"/>
  <c r="AN777" i="15" s="1"/>
  <c r="BI771" i="15"/>
  <c r="BK771" i="15" s="1"/>
  <c r="BL771" i="15" s="1"/>
  <c r="AM771" i="15"/>
  <c r="AN771" i="15" s="1"/>
  <c r="BI756" i="15"/>
  <c r="BK756" i="15" s="1"/>
  <c r="BL756" i="15" s="1"/>
  <c r="AM756" i="15"/>
  <c r="AN756" i="15" s="1"/>
  <c r="BI752" i="15"/>
  <c r="BK752" i="15" s="1"/>
  <c r="BL752" i="15" s="1"/>
  <c r="AM752" i="15"/>
  <c r="AN752" i="15" s="1"/>
  <c r="BI750" i="15"/>
  <c r="BK750" i="15" s="1"/>
  <c r="BL750" i="15" s="1"/>
  <c r="AM750" i="15"/>
  <c r="AN750" i="15" s="1"/>
  <c r="BI591" i="15"/>
  <c r="BK591" i="15" s="1"/>
  <c r="BL591" i="15" s="1"/>
  <c r="AM591" i="15"/>
  <c r="AN591" i="15" s="1"/>
  <c r="BI583" i="15"/>
  <c r="BK583" i="15" s="1"/>
  <c r="BL583" i="15" s="1"/>
  <c r="AM583" i="15"/>
  <c r="AN583" i="15" s="1"/>
  <c r="BI575" i="15"/>
  <c r="BK575" i="15" s="1"/>
  <c r="BL575" i="15" s="1"/>
  <c r="AM575" i="15"/>
  <c r="AN575" i="15" s="1"/>
  <c r="BI570" i="15"/>
  <c r="BK570" i="15" s="1"/>
  <c r="BL570" i="15" s="1"/>
  <c r="AM570" i="15"/>
  <c r="AN570" i="15" s="1"/>
  <c r="BI564" i="15"/>
  <c r="BK564" i="15" s="1"/>
  <c r="BL564" i="15" s="1"/>
  <c r="AM564" i="15"/>
  <c r="AN564" i="15" s="1"/>
  <c r="BI562" i="15"/>
  <c r="BK562" i="15" s="1"/>
  <c r="BL562" i="15" s="1"/>
  <c r="AM562" i="15"/>
  <c r="AN562" i="15" s="1"/>
  <c r="BI547" i="15"/>
  <c r="BK547" i="15" s="1"/>
  <c r="BL547" i="15" s="1"/>
  <c r="AM547" i="15"/>
  <c r="AN547" i="15" s="1"/>
  <c r="BI543" i="15"/>
  <c r="BK543" i="15" s="1"/>
  <c r="BL543" i="15" s="1"/>
  <c r="AM543" i="15"/>
  <c r="AN543" i="15" s="1"/>
  <c r="BI532" i="15"/>
  <c r="BK532" i="15" s="1"/>
  <c r="BL532" i="15" s="1"/>
  <c r="AM532" i="15"/>
  <c r="AN532" i="15" s="1"/>
  <c r="BI522" i="15"/>
  <c r="BK522" i="15" s="1"/>
  <c r="BL522" i="15" s="1"/>
  <c r="AM522" i="15"/>
  <c r="AN522" i="15" s="1"/>
  <c r="BI507" i="15"/>
  <c r="BK507" i="15" s="1"/>
  <c r="BL507" i="15" s="1"/>
  <c r="AM507" i="15"/>
  <c r="AN507" i="15" s="1"/>
  <c r="BI503" i="15"/>
  <c r="BK503" i="15" s="1"/>
  <c r="BL503" i="15" s="1"/>
  <c r="AM503" i="15"/>
  <c r="AN503" i="15" s="1"/>
  <c r="BI256" i="15"/>
  <c r="BK256" i="15" s="1"/>
  <c r="BL256" i="15" s="1"/>
  <c r="AM256" i="15"/>
  <c r="AN256" i="15" s="1"/>
  <c r="BI248" i="15"/>
  <c r="BK248" i="15" s="1"/>
  <c r="BL248" i="15" s="1"/>
  <c r="AM248" i="15"/>
  <c r="AN248" i="15" s="1"/>
  <c r="BI231" i="15"/>
  <c r="BK231" i="15" s="1"/>
  <c r="BL231" i="15" s="1"/>
  <c r="AM231" i="15"/>
  <c r="AN231" i="15" s="1"/>
  <c r="BI208" i="15"/>
  <c r="BK208" i="15" s="1"/>
  <c r="BL208" i="15" s="1"/>
  <c r="AM208" i="15"/>
  <c r="AN208" i="15" s="1"/>
  <c r="BI170" i="15"/>
  <c r="BK170" i="15" s="1"/>
  <c r="BL170" i="15" s="1"/>
  <c r="AM170" i="15"/>
  <c r="AN170" i="15" s="1"/>
  <c r="BI160" i="15"/>
  <c r="BK160" i="15" s="1"/>
  <c r="BL160" i="15" s="1"/>
  <c r="AM160" i="15"/>
  <c r="AN160" i="15" s="1"/>
  <c r="BI154" i="15"/>
  <c r="BK154" i="15" s="1"/>
  <c r="BL154" i="15" s="1"/>
  <c r="AM154" i="15"/>
  <c r="AN154" i="15" s="1"/>
  <c r="BI713" i="15"/>
  <c r="BK713" i="15" s="1"/>
  <c r="BL713" i="15" s="1"/>
  <c r="AM713" i="15"/>
  <c r="AN713" i="15" s="1"/>
  <c r="BI667" i="15"/>
  <c r="BK667" i="15" s="1"/>
  <c r="BL667" i="15" s="1"/>
  <c r="AM667" i="15"/>
  <c r="AN667" i="15" s="1"/>
  <c r="BI650" i="15"/>
  <c r="BK650" i="15" s="1"/>
  <c r="BL650" i="15" s="1"/>
  <c r="AM650" i="15"/>
  <c r="AN650" i="15" s="1"/>
  <c r="BI614" i="15"/>
  <c r="BK614" i="15" s="1"/>
  <c r="BL614" i="15" s="1"/>
  <c r="AM614" i="15"/>
  <c r="AN614" i="15" s="1"/>
  <c r="BI481" i="15"/>
  <c r="BK481" i="15" s="1"/>
  <c r="BL481" i="15" s="1"/>
  <c r="AM481" i="15"/>
  <c r="AN481" i="15" s="1"/>
  <c r="BI477" i="15"/>
  <c r="BK477" i="15" s="1"/>
  <c r="BL477" i="15" s="1"/>
  <c r="AM477" i="15"/>
  <c r="AN477" i="15" s="1"/>
  <c r="BI468" i="15"/>
  <c r="BK468" i="15" s="1"/>
  <c r="BL468" i="15" s="1"/>
  <c r="AM468" i="15"/>
  <c r="AN468" i="15" s="1"/>
  <c r="BI441" i="15"/>
  <c r="BK441" i="15" s="1"/>
  <c r="BL441" i="15" s="1"/>
  <c r="AM441" i="15"/>
  <c r="AN441" i="15" s="1"/>
  <c r="BI429" i="15"/>
  <c r="BK429" i="15" s="1"/>
  <c r="BL429" i="15" s="1"/>
  <c r="AM429" i="15"/>
  <c r="AN429" i="15" s="1"/>
  <c r="BI362" i="15"/>
  <c r="BK362" i="15" s="1"/>
  <c r="BL362" i="15" s="1"/>
  <c r="AM362" i="15"/>
  <c r="AN362" i="15" s="1"/>
  <c r="BI358" i="15"/>
  <c r="BK358" i="15" s="1"/>
  <c r="BL358" i="15" s="1"/>
  <c r="AM358" i="15"/>
  <c r="AN358" i="15" s="1"/>
  <c r="BI312" i="15"/>
  <c r="BK312" i="15" s="1"/>
  <c r="BL312" i="15" s="1"/>
  <c r="AM312" i="15"/>
  <c r="AN312" i="15" s="1"/>
  <c r="BI121" i="15"/>
  <c r="BK121" i="15" s="1"/>
  <c r="BL121" i="15" s="1"/>
  <c r="AM121" i="15"/>
  <c r="AN121" i="15" s="1"/>
  <c r="BI53" i="15"/>
  <c r="BK53" i="15" s="1"/>
  <c r="BL53" i="15" s="1"/>
  <c r="AM53" i="15"/>
  <c r="AN53" i="15" s="1"/>
  <c r="BI861" i="15"/>
  <c r="BK861" i="15" s="1"/>
  <c r="BL861" i="15" s="1"/>
  <c r="AM861" i="15"/>
  <c r="AN861" i="15" s="1"/>
  <c r="BI847" i="15"/>
  <c r="BK847" i="15" s="1"/>
  <c r="BL847" i="15" s="1"/>
  <c r="AM847" i="15"/>
  <c r="AN847" i="15" s="1"/>
  <c r="BI761" i="15"/>
  <c r="BK761" i="15" s="1"/>
  <c r="BL761" i="15" s="1"/>
  <c r="AM761" i="15"/>
  <c r="AN761" i="15" s="1"/>
  <c r="BI557" i="15"/>
  <c r="BK557" i="15" s="1"/>
  <c r="BL557" i="15" s="1"/>
  <c r="AM557" i="15"/>
  <c r="AN557" i="15" s="1"/>
  <c r="BI225" i="15"/>
  <c r="BK225" i="15" s="1"/>
  <c r="BL225" i="15" s="1"/>
  <c r="AM225" i="15"/>
  <c r="AN225" i="15" s="1"/>
  <c r="BI221" i="15"/>
  <c r="BK221" i="15" s="1"/>
  <c r="BL221" i="15" s="1"/>
  <c r="AM221" i="15"/>
  <c r="AN221" i="15" s="1"/>
  <c r="BI209" i="15"/>
  <c r="BK209" i="15" s="1"/>
  <c r="BL209" i="15" s="1"/>
  <c r="AM209" i="15"/>
  <c r="AN209" i="15" s="1"/>
  <c r="BI157" i="15"/>
  <c r="BK157" i="15" s="1"/>
  <c r="BL157" i="15" s="1"/>
  <c r="AM157" i="15"/>
  <c r="AN157" i="15" s="1"/>
  <c r="BI24" i="15"/>
  <c r="BK24" i="15" s="1"/>
  <c r="BL24" i="15" s="1"/>
  <c r="AM24" i="15"/>
  <c r="AN24" i="15" s="1"/>
  <c r="AI11" i="15"/>
  <c r="AI227" i="15"/>
  <c r="BI729" i="15"/>
  <c r="BK729" i="15" s="1"/>
  <c r="BL729" i="15" s="1"/>
  <c r="AM729" i="15"/>
  <c r="AN729" i="15" s="1"/>
  <c r="BI725" i="15"/>
  <c r="BK725" i="15" s="1"/>
  <c r="BL725" i="15" s="1"/>
  <c r="AM725" i="15"/>
  <c r="AN725" i="15" s="1"/>
  <c r="BI716" i="15"/>
  <c r="BK716" i="15" s="1"/>
  <c r="BL716" i="15" s="1"/>
  <c r="AM716" i="15"/>
  <c r="AN716" i="15" s="1"/>
  <c r="BI702" i="15"/>
  <c r="BK702" i="15" s="1"/>
  <c r="BL702" i="15" s="1"/>
  <c r="AM702" i="15"/>
  <c r="AN702" i="15" s="1"/>
  <c r="BI689" i="15"/>
  <c r="BK689" i="15" s="1"/>
  <c r="BL689" i="15" s="1"/>
  <c r="AM689" i="15"/>
  <c r="AN689" i="15" s="1"/>
  <c r="BI681" i="15"/>
  <c r="BK681" i="15" s="1"/>
  <c r="BL681" i="15" s="1"/>
  <c r="AM681" i="15"/>
  <c r="AN681" i="15" s="1"/>
  <c r="BI673" i="15"/>
  <c r="BK673" i="15" s="1"/>
  <c r="BL673" i="15" s="1"/>
  <c r="AM673" i="15"/>
  <c r="AN673" i="15" s="1"/>
  <c r="BI660" i="15"/>
  <c r="BK660" i="15" s="1"/>
  <c r="BL660" i="15" s="1"/>
  <c r="AM660" i="15"/>
  <c r="AN660" i="15" s="1"/>
  <c r="BI655" i="15"/>
  <c r="BK655" i="15" s="1"/>
  <c r="BL655" i="15" s="1"/>
  <c r="AM655" i="15"/>
  <c r="AN655" i="15" s="1"/>
  <c r="BI646" i="15"/>
  <c r="BK646" i="15" s="1"/>
  <c r="BL646" i="15" s="1"/>
  <c r="AM646" i="15"/>
  <c r="AN646" i="15" s="1"/>
  <c r="BI644" i="15"/>
  <c r="BK644" i="15" s="1"/>
  <c r="BL644" i="15" s="1"/>
  <c r="AM644" i="15"/>
  <c r="AN644" i="15" s="1"/>
  <c r="BI635" i="15"/>
  <c r="BK635" i="15" s="1"/>
  <c r="BL635" i="15" s="1"/>
  <c r="AM635" i="15"/>
  <c r="AN635" i="15" s="1"/>
  <c r="BI627" i="15"/>
  <c r="BK627" i="15" s="1"/>
  <c r="BL627" i="15" s="1"/>
  <c r="AM627" i="15"/>
  <c r="AN627" i="15" s="1"/>
  <c r="BI619" i="15"/>
  <c r="BK619" i="15" s="1"/>
  <c r="BL619" i="15" s="1"/>
  <c r="AM619" i="15"/>
  <c r="AN619" i="15" s="1"/>
  <c r="BI611" i="15"/>
  <c r="BK611" i="15" s="1"/>
  <c r="BL611" i="15" s="1"/>
  <c r="AM611" i="15"/>
  <c r="AN611" i="15" s="1"/>
  <c r="BI488" i="15"/>
  <c r="BK488" i="15" s="1"/>
  <c r="BL488" i="15" s="1"/>
  <c r="AM488" i="15"/>
  <c r="AN488" i="15" s="1"/>
  <c r="BI480" i="15"/>
  <c r="BK480" i="15" s="1"/>
  <c r="BL480" i="15" s="1"/>
  <c r="AM480" i="15"/>
  <c r="AN480" i="15" s="1"/>
  <c r="BI463" i="15"/>
  <c r="BK463" i="15" s="1"/>
  <c r="BL463" i="15" s="1"/>
  <c r="AM463" i="15"/>
  <c r="AN463" i="15" s="1"/>
  <c r="BI457" i="15"/>
  <c r="BK457" i="15" s="1"/>
  <c r="BL457" i="15" s="1"/>
  <c r="AM457" i="15"/>
  <c r="AN457" i="15" s="1"/>
  <c r="BI421" i="15"/>
  <c r="BK421" i="15" s="1"/>
  <c r="BL421" i="15" s="1"/>
  <c r="AM421" i="15"/>
  <c r="AN421" i="15" s="1"/>
  <c r="BI415" i="15"/>
  <c r="AM415" i="15"/>
  <c r="AN415" i="15" s="1"/>
  <c r="BI411" i="15"/>
  <c r="BK411" i="15" s="1"/>
  <c r="BL411" i="15" s="1"/>
  <c r="AM411" i="15"/>
  <c r="AN411" i="15" s="1"/>
  <c r="BI409" i="15"/>
  <c r="BK409" i="15" s="1"/>
  <c r="BL409" i="15" s="1"/>
  <c r="AM409" i="15"/>
  <c r="AN409" i="15" s="1"/>
  <c r="BI399" i="15"/>
  <c r="BK399" i="15" s="1"/>
  <c r="BL399" i="15" s="1"/>
  <c r="AM399" i="15"/>
  <c r="AN399" i="15" s="1"/>
  <c r="BI369" i="15"/>
  <c r="BK369" i="15" s="1"/>
  <c r="BL369" i="15" s="1"/>
  <c r="AM369" i="15"/>
  <c r="AN369" i="15" s="1"/>
  <c r="BI361" i="15"/>
  <c r="BK361" i="15" s="1"/>
  <c r="BL361" i="15" s="1"/>
  <c r="AM361" i="15"/>
  <c r="AN361" i="15" s="1"/>
  <c r="BI336" i="15"/>
  <c r="BK336" i="15" s="1"/>
  <c r="BL336" i="15" s="1"/>
  <c r="AM336" i="15"/>
  <c r="AN336" i="15" s="1"/>
  <c r="BI332" i="15"/>
  <c r="BK332" i="15" s="1"/>
  <c r="BL332" i="15" s="1"/>
  <c r="AM332" i="15"/>
  <c r="AN332" i="15" s="1"/>
  <c r="BI328" i="15"/>
  <c r="BK328" i="15" s="1"/>
  <c r="BL328" i="15" s="1"/>
  <c r="AM328" i="15"/>
  <c r="AN328" i="15" s="1"/>
  <c r="BI324" i="15"/>
  <c r="BK324" i="15" s="1"/>
  <c r="BL324" i="15" s="1"/>
  <c r="AM324" i="15"/>
  <c r="AN324" i="15" s="1"/>
  <c r="BI320" i="15"/>
  <c r="BK320" i="15" s="1"/>
  <c r="BL320" i="15" s="1"/>
  <c r="AM320" i="15"/>
  <c r="AN320" i="15" s="1"/>
  <c r="BI316" i="15"/>
  <c r="BK316" i="15" s="1"/>
  <c r="BL316" i="15" s="1"/>
  <c r="AM316" i="15"/>
  <c r="AN316" i="15" s="1"/>
  <c r="BI291" i="15"/>
  <c r="BK291" i="15" s="1"/>
  <c r="BL291" i="15" s="1"/>
  <c r="AM291" i="15"/>
  <c r="AN291" i="15" s="1"/>
  <c r="BI278" i="15"/>
  <c r="BK278" i="15" s="1"/>
  <c r="BL278" i="15" s="1"/>
  <c r="AM278" i="15"/>
  <c r="AN278" i="15" s="1"/>
  <c r="BI270" i="15"/>
  <c r="BK270" i="15" s="1"/>
  <c r="BL270" i="15" s="1"/>
  <c r="AM270" i="15"/>
  <c r="AN270" i="15" s="1"/>
  <c r="BI147" i="15"/>
  <c r="BK147" i="15" s="1"/>
  <c r="BL147" i="15" s="1"/>
  <c r="AM147" i="15"/>
  <c r="AN147" i="15" s="1"/>
  <c r="BI141" i="15"/>
  <c r="BK141" i="15" s="1"/>
  <c r="BL141" i="15" s="1"/>
  <c r="AM141" i="15"/>
  <c r="AN141" i="15" s="1"/>
  <c r="BI137" i="15"/>
  <c r="BK137" i="15" s="1"/>
  <c r="BL137" i="15" s="1"/>
  <c r="AM137" i="15"/>
  <c r="AN137" i="15" s="1"/>
  <c r="BI133" i="15"/>
  <c r="BK133" i="15" s="1"/>
  <c r="BL133" i="15" s="1"/>
  <c r="AM133" i="15"/>
  <c r="AN133" i="15" s="1"/>
  <c r="BI95" i="15"/>
  <c r="BK95" i="15" s="1"/>
  <c r="BL95" i="15" s="1"/>
  <c r="AM95" i="15"/>
  <c r="AN95" i="15" s="1"/>
  <c r="BI84" i="15"/>
  <c r="BK84" i="15" s="1"/>
  <c r="BL84" i="15" s="1"/>
  <c r="AM84" i="15"/>
  <c r="AN84" i="15" s="1"/>
  <c r="BI76" i="15"/>
  <c r="BK76" i="15" s="1"/>
  <c r="BL76" i="15" s="1"/>
  <c r="AM76" i="15"/>
  <c r="AN76" i="15" s="1"/>
  <c r="BI64" i="15"/>
  <c r="BK64" i="15" s="1"/>
  <c r="BL64" i="15" s="1"/>
  <c r="AM64" i="15"/>
  <c r="AN64" i="15" s="1"/>
  <c r="BI56" i="15"/>
  <c r="BK56" i="15" s="1"/>
  <c r="BL56" i="15" s="1"/>
  <c r="AM56" i="15"/>
  <c r="AN56" i="15" s="1"/>
  <c r="BI48" i="15"/>
  <c r="BK48" i="15" s="1"/>
  <c r="BL48" i="15" s="1"/>
  <c r="AM48" i="15"/>
  <c r="AN48" i="15" s="1"/>
  <c r="BI694" i="15"/>
  <c r="BK694" i="15" s="1"/>
  <c r="BL694" i="15" s="1"/>
  <c r="AM694" i="15"/>
  <c r="AN694" i="15" s="1"/>
  <c r="BI682" i="15"/>
  <c r="BK682" i="15" s="1"/>
  <c r="BL682" i="15" s="1"/>
  <c r="AM682" i="15"/>
  <c r="AN682" i="15" s="1"/>
  <c r="BI678" i="15"/>
  <c r="BK678" i="15" s="1"/>
  <c r="BL678" i="15" s="1"/>
  <c r="AM678" i="15"/>
  <c r="AN678" i="15" s="1"/>
  <c r="BI661" i="15"/>
  <c r="BK661" i="15" s="1"/>
  <c r="BL661" i="15" s="1"/>
  <c r="AM661" i="15"/>
  <c r="AN661" i="15" s="1"/>
  <c r="BI643" i="15"/>
  <c r="BK643" i="15" s="1"/>
  <c r="BL643" i="15" s="1"/>
  <c r="AM643" i="15"/>
  <c r="AN643" i="15" s="1"/>
  <c r="BI487" i="15"/>
  <c r="BK487" i="15" s="1"/>
  <c r="BL487" i="15" s="1"/>
  <c r="AM487" i="15"/>
  <c r="AN487" i="15" s="1"/>
  <c r="BI443" i="15"/>
  <c r="BK443" i="15" s="1"/>
  <c r="BL443" i="15" s="1"/>
  <c r="AM443" i="15"/>
  <c r="AN443" i="15" s="1"/>
  <c r="BI439" i="15"/>
  <c r="BK439" i="15" s="1"/>
  <c r="BL439" i="15" s="1"/>
  <c r="AM439" i="15"/>
  <c r="AN439" i="15" s="1"/>
  <c r="BI427" i="15"/>
  <c r="BK427" i="15" s="1"/>
  <c r="BL427" i="15" s="1"/>
  <c r="AM427" i="15"/>
  <c r="AN427" i="15" s="1"/>
  <c r="BI406" i="15"/>
  <c r="BK406" i="15" s="1"/>
  <c r="BL406" i="15" s="1"/>
  <c r="AM406" i="15"/>
  <c r="AN406" i="15" s="1"/>
  <c r="BI389" i="15"/>
  <c r="BK389" i="15" s="1"/>
  <c r="BL389" i="15" s="1"/>
  <c r="AM389" i="15"/>
  <c r="AN389" i="15" s="1"/>
  <c r="BI354" i="15"/>
  <c r="BK354" i="15" s="1"/>
  <c r="BL354" i="15" s="1"/>
  <c r="AM354" i="15"/>
  <c r="AN354" i="15" s="1"/>
  <c r="BI350" i="15"/>
  <c r="BK350" i="15" s="1"/>
  <c r="BL350" i="15" s="1"/>
  <c r="AM350" i="15"/>
  <c r="AN350" i="15" s="1"/>
  <c r="BI302" i="15"/>
  <c r="BK302" i="15" s="1"/>
  <c r="BL302" i="15" s="1"/>
  <c r="AM302" i="15"/>
  <c r="AN302" i="15" s="1"/>
  <c r="BI286" i="15"/>
  <c r="BK286" i="15" s="1"/>
  <c r="BL286" i="15" s="1"/>
  <c r="AM286" i="15"/>
  <c r="AN286" i="15" s="1"/>
  <c r="BI281" i="15"/>
  <c r="BK281" i="15" s="1"/>
  <c r="BL281" i="15" s="1"/>
  <c r="AM281" i="15"/>
  <c r="AN281" i="15" s="1"/>
  <c r="BI269" i="15"/>
  <c r="BK269" i="15" s="1"/>
  <c r="BL269" i="15" s="1"/>
  <c r="AM269" i="15"/>
  <c r="AN269" i="15" s="1"/>
  <c r="BI265" i="15"/>
  <c r="AM265" i="15"/>
  <c r="AN265" i="15" s="1"/>
  <c r="BI136" i="15"/>
  <c r="BK136" i="15" s="1"/>
  <c r="BL136" i="15" s="1"/>
  <c r="AM136" i="15"/>
  <c r="AN136" i="15" s="1"/>
  <c r="BI115" i="15"/>
  <c r="BK115" i="15" s="1"/>
  <c r="BL115" i="15" s="1"/>
  <c r="AM115" i="15"/>
  <c r="AN115" i="15" s="1"/>
  <c r="BI884" i="15"/>
  <c r="BK884" i="15" s="1"/>
  <c r="BL884" i="15" s="1"/>
  <c r="AM884" i="15"/>
  <c r="AN884" i="15" s="1"/>
  <c r="BI878" i="15"/>
  <c r="BK878" i="15" s="1"/>
  <c r="BL878" i="15" s="1"/>
  <c r="AM878" i="15"/>
  <c r="AN878" i="15" s="1"/>
  <c r="BI874" i="15"/>
  <c r="BK874" i="15" s="1"/>
  <c r="BL874" i="15" s="1"/>
  <c r="AM874" i="15"/>
  <c r="AN874" i="15" s="1"/>
  <c r="BI870" i="15"/>
  <c r="BK870" i="15" s="1"/>
  <c r="BL870" i="15" s="1"/>
  <c r="AM870" i="15"/>
  <c r="AN870" i="15" s="1"/>
  <c r="BI845" i="15"/>
  <c r="BK845" i="15" s="1"/>
  <c r="BL845" i="15" s="1"/>
  <c r="AM845" i="15"/>
  <c r="AN845" i="15" s="1"/>
  <c r="BI826" i="15"/>
  <c r="BK826" i="15" s="1"/>
  <c r="BL826" i="15" s="1"/>
  <c r="AM826" i="15"/>
  <c r="AN826" i="15" s="1"/>
  <c r="BI820" i="15"/>
  <c r="BK820" i="15" s="1"/>
  <c r="BL820" i="15" s="1"/>
  <c r="AM820" i="15"/>
  <c r="AN820" i="15" s="1"/>
  <c r="BI818" i="15"/>
  <c r="BK818" i="15" s="1"/>
  <c r="BL818" i="15" s="1"/>
  <c r="AM818" i="15"/>
  <c r="AN818" i="15" s="1"/>
  <c r="BI812" i="15"/>
  <c r="BK812" i="15" s="1"/>
  <c r="BL812" i="15" s="1"/>
  <c r="AM812" i="15"/>
  <c r="AN812" i="15" s="1"/>
  <c r="BI805" i="15"/>
  <c r="BK805" i="15" s="1"/>
  <c r="BL805" i="15" s="1"/>
  <c r="AM805" i="15"/>
  <c r="AN805" i="15" s="1"/>
  <c r="BI793" i="15"/>
  <c r="BK793" i="15" s="1"/>
  <c r="BL793" i="15" s="1"/>
  <c r="AM793" i="15"/>
  <c r="AN793" i="15" s="1"/>
  <c r="BI755" i="15"/>
  <c r="BK755" i="15" s="1"/>
  <c r="BL755" i="15" s="1"/>
  <c r="AM755" i="15"/>
  <c r="AN755" i="15" s="1"/>
  <c r="BI600" i="15"/>
  <c r="BK600" i="15" s="1"/>
  <c r="BL600" i="15" s="1"/>
  <c r="AM600" i="15"/>
  <c r="AN600" i="15" s="1"/>
  <c r="BI598" i="15"/>
  <c r="BK598" i="15" s="1"/>
  <c r="BL598" i="15" s="1"/>
  <c r="AM598" i="15"/>
  <c r="AN598" i="15" s="1"/>
  <c r="BI582" i="15"/>
  <c r="BK582" i="15" s="1"/>
  <c r="BL582" i="15" s="1"/>
  <c r="AM582" i="15"/>
  <c r="AN582" i="15" s="1"/>
  <c r="BI555" i="15"/>
  <c r="BK555" i="15" s="1"/>
  <c r="BL555" i="15" s="1"/>
  <c r="AM555" i="15"/>
  <c r="AN555" i="15" s="1"/>
  <c r="BI527" i="15"/>
  <c r="BK527" i="15" s="1"/>
  <c r="BL527" i="15" s="1"/>
  <c r="AM527" i="15"/>
  <c r="AN527" i="15" s="1"/>
  <c r="BI257" i="15"/>
  <c r="BK257" i="15" s="1"/>
  <c r="BL257" i="15" s="1"/>
  <c r="AM257" i="15"/>
  <c r="AN257" i="15" s="1"/>
  <c r="BI253" i="15"/>
  <c r="BK253" i="15" s="1"/>
  <c r="BL253" i="15" s="1"/>
  <c r="AM253" i="15"/>
  <c r="AN253" i="15" s="1"/>
  <c r="BI238" i="15"/>
  <c r="BK238" i="15" s="1"/>
  <c r="BL238" i="15" s="1"/>
  <c r="AM238" i="15"/>
  <c r="AN238" i="15" s="1"/>
  <c r="BI219" i="15"/>
  <c r="BK219" i="15" s="1"/>
  <c r="BL219" i="15" s="1"/>
  <c r="AM219" i="15"/>
  <c r="AN219" i="15" s="1"/>
  <c r="BI182" i="15"/>
  <c r="BK182" i="15" s="1"/>
  <c r="BL182" i="15" s="1"/>
  <c r="AM182" i="15"/>
  <c r="AN182" i="15" s="1"/>
  <c r="BI893" i="15"/>
  <c r="BK893" i="15" s="1"/>
  <c r="BL893" i="15" s="1"/>
  <c r="AM893" i="15"/>
  <c r="AN893" i="15" s="1"/>
  <c r="BI885" i="15"/>
  <c r="BK885" i="15" s="1"/>
  <c r="BL885" i="15" s="1"/>
  <c r="AM885" i="15"/>
  <c r="AN885" i="15" s="1"/>
  <c r="BI877" i="15"/>
  <c r="BK877" i="15" s="1"/>
  <c r="BL877" i="15" s="1"/>
  <c r="AM877" i="15"/>
  <c r="AN877" i="15" s="1"/>
  <c r="BI869" i="15"/>
  <c r="BK869" i="15" s="1"/>
  <c r="BL869" i="15" s="1"/>
  <c r="AM869" i="15"/>
  <c r="AN869" i="15" s="1"/>
  <c r="BI860" i="15"/>
  <c r="BK860" i="15" s="1"/>
  <c r="BL860" i="15" s="1"/>
  <c r="AM860" i="15"/>
  <c r="AN860" i="15" s="1"/>
  <c r="BI858" i="15"/>
  <c r="BK858" i="15" s="1"/>
  <c r="BL858" i="15" s="1"/>
  <c r="AM858" i="15"/>
  <c r="AN858" i="15" s="1"/>
  <c r="BI852" i="15"/>
  <c r="BK852" i="15" s="1"/>
  <c r="BL852" i="15" s="1"/>
  <c r="AM852" i="15"/>
  <c r="AN852" i="15" s="1"/>
  <c r="BI844" i="15"/>
  <c r="BK844" i="15" s="1"/>
  <c r="BL844" i="15" s="1"/>
  <c r="AM844" i="15"/>
  <c r="AN844" i="15" s="1"/>
  <c r="BI838" i="15"/>
  <c r="BK838" i="15" s="1"/>
  <c r="BL838" i="15" s="1"/>
  <c r="AM838" i="15"/>
  <c r="AN838" i="15" s="1"/>
  <c r="BI829" i="15"/>
  <c r="BK829" i="15" s="1"/>
  <c r="BL829" i="15" s="1"/>
  <c r="AM829" i="15"/>
  <c r="AN829" i="15" s="1"/>
  <c r="BI821" i="15"/>
  <c r="BK821" i="15" s="1"/>
  <c r="BL821" i="15" s="1"/>
  <c r="AM821" i="15"/>
  <c r="AN821" i="15" s="1"/>
  <c r="BI804" i="15"/>
  <c r="BK804" i="15" s="1"/>
  <c r="BL804" i="15" s="1"/>
  <c r="AM804" i="15"/>
  <c r="AN804" i="15" s="1"/>
  <c r="BI802" i="15"/>
  <c r="BK802" i="15" s="1"/>
  <c r="BL802" i="15" s="1"/>
  <c r="AM802" i="15"/>
  <c r="AN802" i="15" s="1"/>
  <c r="BI796" i="15"/>
  <c r="BK796" i="15" s="1"/>
  <c r="BL796" i="15" s="1"/>
  <c r="AM796" i="15"/>
  <c r="AN796" i="15" s="1"/>
  <c r="BI794" i="15"/>
  <c r="BK794" i="15" s="1"/>
  <c r="BL794" i="15" s="1"/>
  <c r="AM794" i="15"/>
  <c r="AN794" i="15" s="1"/>
  <c r="BI785" i="15"/>
  <c r="BK785" i="15" s="1"/>
  <c r="BL785" i="15" s="1"/>
  <c r="AM785" i="15"/>
  <c r="AN785" i="15" s="1"/>
  <c r="BI779" i="15"/>
  <c r="BK779" i="15" s="1"/>
  <c r="BL779" i="15" s="1"/>
  <c r="AM779" i="15"/>
  <c r="AN779" i="15" s="1"/>
  <c r="BI762" i="15"/>
  <c r="BK762" i="15" s="1"/>
  <c r="BL762" i="15" s="1"/>
  <c r="AM762" i="15"/>
  <c r="AN762" i="15" s="1"/>
  <c r="BI599" i="15"/>
  <c r="BK599" i="15" s="1"/>
  <c r="BL599" i="15" s="1"/>
  <c r="AM599" i="15"/>
  <c r="AN599" i="15" s="1"/>
  <c r="BI593" i="15"/>
  <c r="BK593" i="15" s="1"/>
  <c r="BL593" i="15" s="1"/>
  <c r="AM593" i="15"/>
  <c r="AN593" i="15" s="1"/>
  <c r="BI585" i="15"/>
  <c r="BK585" i="15" s="1"/>
  <c r="BL585" i="15" s="1"/>
  <c r="AM585" i="15"/>
  <c r="AN585" i="15" s="1"/>
  <c r="BI577" i="15"/>
  <c r="BK577" i="15" s="1"/>
  <c r="BL577" i="15" s="1"/>
  <c r="AM577" i="15"/>
  <c r="AN577" i="15" s="1"/>
  <c r="BI556" i="15"/>
  <c r="BK556" i="15" s="1"/>
  <c r="BL556" i="15" s="1"/>
  <c r="AM556" i="15"/>
  <c r="AN556" i="15" s="1"/>
  <c r="BI530" i="15"/>
  <c r="BK530" i="15" s="1"/>
  <c r="BL530" i="15" s="1"/>
  <c r="AM530" i="15"/>
  <c r="AN530" i="15" s="1"/>
  <c r="BI520" i="15"/>
  <c r="BK520" i="15" s="1"/>
  <c r="BL520" i="15" s="1"/>
  <c r="AM520" i="15"/>
  <c r="AN520" i="15" s="1"/>
  <c r="BI518" i="15"/>
  <c r="BK518" i="15" s="1"/>
  <c r="BL518" i="15" s="1"/>
  <c r="AM518" i="15"/>
  <c r="AN518" i="15" s="1"/>
  <c r="BI514" i="15"/>
  <c r="BK514" i="15" s="1"/>
  <c r="BL514" i="15" s="1"/>
  <c r="AM514" i="15"/>
  <c r="AN514" i="15" s="1"/>
  <c r="BI499" i="15"/>
  <c r="BK499" i="15" s="1"/>
  <c r="BL499" i="15" s="1"/>
  <c r="AM499" i="15"/>
  <c r="AN499" i="15" s="1"/>
  <c r="BI495" i="15"/>
  <c r="BK495" i="15" s="1"/>
  <c r="BL495" i="15" s="1"/>
  <c r="AM495" i="15"/>
  <c r="AN495" i="15" s="1"/>
  <c r="BI258" i="15"/>
  <c r="BK258" i="15" s="1"/>
  <c r="BL258" i="15" s="1"/>
  <c r="AM258" i="15"/>
  <c r="AN258" i="15" s="1"/>
  <c r="BI250" i="15"/>
  <c r="BK250" i="15" s="1"/>
  <c r="BL250" i="15" s="1"/>
  <c r="AM250" i="15"/>
  <c r="AN250" i="15" s="1"/>
  <c r="BI239" i="15"/>
  <c r="BK239" i="15" s="1"/>
  <c r="BL239" i="15" s="1"/>
  <c r="AM239" i="15"/>
  <c r="AN239" i="15" s="1"/>
  <c r="BI233" i="15"/>
  <c r="BK233" i="15" s="1"/>
  <c r="BL233" i="15" s="1"/>
  <c r="AM233" i="15"/>
  <c r="AN233" i="15" s="1"/>
  <c r="BI226" i="15"/>
  <c r="BK226" i="15" s="1"/>
  <c r="BL226" i="15" s="1"/>
  <c r="AM226" i="15"/>
  <c r="AN226" i="15" s="1"/>
  <c r="BI218" i="15"/>
  <c r="BK218" i="15" s="1"/>
  <c r="BL218" i="15" s="1"/>
  <c r="AM218" i="15"/>
  <c r="AN218" i="15" s="1"/>
  <c r="BI210" i="15"/>
  <c r="BK210" i="15" s="1"/>
  <c r="BL210" i="15" s="1"/>
  <c r="AM210" i="15"/>
  <c r="AN210" i="15" s="1"/>
  <c r="BI197" i="15"/>
  <c r="BK197" i="15" s="1"/>
  <c r="BL197" i="15" s="1"/>
  <c r="AM197" i="15"/>
  <c r="AN197" i="15" s="1"/>
  <c r="BI191" i="15"/>
  <c r="BK191" i="15" s="1"/>
  <c r="BL191" i="15" s="1"/>
  <c r="AM191" i="15"/>
  <c r="AN191" i="15" s="1"/>
  <c r="BI189" i="15"/>
  <c r="BK189" i="15" s="1"/>
  <c r="BL189" i="15" s="1"/>
  <c r="AM189" i="15"/>
  <c r="AN189" i="15" s="1"/>
  <c r="BI183" i="15"/>
  <c r="BK183" i="15" s="1"/>
  <c r="BL183" i="15" s="1"/>
  <c r="AM183" i="15"/>
  <c r="AN183" i="15" s="1"/>
  <c r="BI181" i="15"/>
  <c r="BK181" i="15" s="1"/>
  <c r="BL181" i="15" s="1"/>
  <c r="AM181" i="15"/>
  <c r="AN181" i="15" s="1"/>
  <c r="BI172" i="15"/>
  <c r="BK172" i="15" s="1"/>
  <c r="BL172" i="15" s="1"/>
  <c r="AM172" i="15"/>
  <c r="AN172" i="15" s="1"/>
  <c r="BI166" i="15"/>
  <c r="BK166" i="15" s="1"/>
  <c r="BL166" i="15" s="1"/>
  <c r="AM166" i="15"/>
  <c r="AN166" i="15" s="1"/>
  <c r="BI156" i="15"/>
  <c r="BK156" i="15" s="1"/>
  <c r="BL156" i="15" s="1"/>
  <c r="AM156" i="15"/>
  <c r="AN156" i="15" s="1"/>
  <c r="BI31" i="15"/>
  <c r="BK31" i="15" s="1"/>
  <c r="BL31" i="15" s="1"/>
  <c r="AM31" i="15"/>
  <c r="AN31" i="15" s="1"/>
  <c r="BI23" i="15"/>
  <c r="BK23" i="15" s="1"/>
  <c r="BL23" i="15" s="1"/>
  <c r="AM23" i="15"/>
  <c r="AN23" i="15" s="1"/>
  <c r="BI742" i="15"/>
  <c r="BK742" i="15" s="1"/>
  <c r="BL742" i="15" s="1"/>
  <c r="AM742" i="15"/>
  <c r="AN742" i="15" s="1"/>
  <c r="BI740" i="15"/>
  <c r="BK740" i="15" s="1"/>
  <c r="BL740" i="15" s="1"/>
  <c r="AM740" i="15"/>
  <c r="AN740" i="15" s="1"/>
  <c r="BI734" i="15"/>
  <c r="BK734" i="15" s="1"/>
  <c r="BL734" i="15" s="1"/>
  <c r="AM734" i="15"/>
  <c r="AN734" i="15" s="1"/>
  <c r="BI732" i="15"/>
  <c r="BK732" i="15" s="1"/>
  <c r="BL732" i="15" s="1"/>
  <c r="AM732" i="15"/>
  <c r="AN732" i="15" s="1"/>
  <c r="BI726" i="15"/>
  <c r="BK726" i="15" s="1"/>
  <c r="BL726" i="15" s="1"/>
  <c r="AM726" i="15"/>
  <c r="AN726" i="15" s="1"/>
  <c r="BI724" i="15"/>
  <c r="BK724" i="15" s="1"/>
  <c r="BL724" i="15" s="1"/>
  <c r="AM724" i="15"/>
  <c r="AN724" i="15" s="1"/>
  <c r="BI715" i="15"/>
  <c r="BK715" i="15" s="1"/>
  <c r="BL715" i="15" s="1"/>
  <c r="AM715" i="15"/>
  <c r="AN715" i="15" s="1"/>
  <c r="BI616" i="15"/>
  <c r="BK616" i="15" s="1"/>
  <c r="BL616" i="15" s="1"/>
  <c r="AM616" i="15"/>
  <c r="AN616" i="15" s="1"/>
  <c r="BI610" i="15"/>
  <c r="BK610" i="15" s="1"/>
  <c r="BL610" i="15" s="1"/>
  <c r="AM610" i="15"/>
  <c r="AN610" i="15" s="1"/>
  <c r="BI485" i="15"/>
  <c r="AM485" i="15"/>
  <c r="AN485" i="15" s="1"/>
  <c r="BI470" i="15"/>
  <c r="BK470" i="15" s="1"/>
  <c r="BL470" i="15" s="1"/>
  <c r="AM470" i="15"/>
  <c r="AN470" i="15" s="1"/>
  <c r="BI462" i="15"/>
  <c r="BK462" i="15" s="1"/>
  <c r="BL462" i="15" s="1"/>
  <c r="AM462" i="15"/>
  <c r="AN462" i="15" s="1"/>
  <c r="BI456" i="15"/>
  <c r="BK456" i="15" s="1"/>
  <c r="BL456" i="15" s="1"/>
  <c r="AM456" i="15"/>
  <c r="AN456" i="15" s="1"/>
  <c r="BI450" i="15"/>
  <c r="BK450" i="15" s="1"/>
  <c r="BL450" i="15" s="1"/>
  <c r="AM450" i="15"/>
  <c r="AN450" i="15" s="1"/>
  <c r="BI445" i="15"/>
  <c r="BK445" i="15" s="1"/>
  <c r="BL445" i="15" s="1"/>
  <c r="AM445" i="15"/>
  <c r="AN445" i="15" s="1"/>
  <c r="BI416" i="15"/>
  <c r="BK416" i="15" s="1"/>
  <c r="BL416" i="15" s="1"/>
  <c r="AM416" i="15"/>
  <c r="AN416" i="15" s="1"/>
  <c r="BI391" i="15"/>
  <c r="BK391" i="15" s="1"/>
  <c r="BL391" i="15" s="1"/>
  <c r="AM391" i="15"/>
  <c r="AN391" i="15" s="1"/>
  <c r="BI380" i="15"/>
  <c r="BK380" i="15" s="1"/>
  <c r="BL380" i="15" s="1"/>
  <c r="AM380" i="15"/>
  <c r="AN380" i="15" s="1"/>
  <c r="BI376" i="15"/>
  <c r="BK376" i="15" s="1"/>
  <c r="BL376" i="15" s="1"/>
  <c r="AM376" i="15"/>
  <c r="AN376" i="15" s="1"/>
  <c r="BI372" i="15"/>
  <c r="BK372" i="15" s="1"/>
  <c r="BL372" i="15" s="1"/>
  <c r="AM372" i="15"/>
  <c r="AN372" i="15" s="1"/>
  <c r="BI368" i="15"/>
  <c r="BK368" i="15" s="1"/>
  <c r="BL368" i="15" s="1"/>
  <c r="AM368" i="15"/>
  <c r="AN368" i="15" s="1"/>
  <c r="BI329" i="15"/>
  <c r="BK329" i="15" s="1"/>
  <c r="BL329" i="15" s="1"/>
  <c r="AM329" i="15"/>
  <c r="AN329" i="15" s="1"/>
  <c r="BI300" i="15"/>
  <c r="BK300" i="15" s="1"/>
  <c r="BL300" i="15" s="1"/>
  <c r="AM300" i="15"/>
  <c r="AN300" i="15" s="1"/>
  <c r="BI279" i="15"/>
  <c r="BK279" i="15" s="1"/>
  <c r="BL279" i="15" s="1"/>
  <c r="AM279" i="15"/>
  <c r="AN279" i="15" s="1"/>
  <c r="BI275" i="15"/>
  <c r="BK275" i="15" s="1"/>
  <c r="BL275" i="15" s="1"/>
  <c r="AM275" i="15"/>
  <c r="AN275" i="15" s="1"/>
  <c r="BI144" i="15"/>
  <c r="BK144" i="15" s="1"/>
  <c r="BL144" i="15" s="1"/>
  <c r="AM144" i="15"/>
  <c r="AN144" i="15" s="1"/>
  <c r="BI125" i="15"/>
  <c r="BK125" i="15" s="1"/>
  <c r="BL125" i="15" s="1"/>
  <c r="AM125" i="15"/>
  <c r="AN125" i="15" s="1"/>
  <c r="BI109" i="15"/>
  <c r="BK109" i="15" s="1"/>
  <c r="BL109" i="15" s="1"/>
  <c r="AM109" i="15"/>
  <c r="AN109" i="15" s="1"/>
  <c r="BI96" i="15"/>
  <c r="BK96" i="15" s="1"/>
  <c r="BL96" i="15" s="1"/>
  <c r="AM96" i="15"/>
  <c r="AN96" i="15" s="1"/>
  <c r="BI83" i="15"/>
  <c r="BK83" i="15" s="1"/>
  <c r="BL83" i="15" s="1"/>
  <c r="AM83" i="15"/>
  <c r="AN83" i="15" s="1"/>
  <c r="BI75" i="15"/>
  <c r="BK75" i="15" s="1"/>
  <c r="BL75" i="15" s="1"/>
  <c r="AM75" i="15"/>
  <c r="AN75" i="15" s="1"/>
  <c r="BI849" i="15"/>
  <c r="BK849" i="15" s="1"/>
  <c r="BL849" i="15" s="1"/>
  <c r="AM849" i="15"/>
  <c r="AN849" i="15" s="1"/>
  <c r="BI835" i="15"/>
  <c r="BK835" i="15" s="1"/>
  <c r="BL835" i="15" s="1"/>
  <c r="AM835" i="15"/>
  <c r="AN835" i="15" s="1"/>
  <c r="BI774" i="15"/>
  <c r="BK774" i="15" s="1"/>
  <c r="BL774" i="15" s="1"/>
  <c r="AM774" i="15"/>
  <c r="AN774" i="15" s="1"/>
  <c r="BI749" i="15"/>
  <c r="BK749" i="15" s="1"/>
  <c r="BL749" i="15" s="1"/>
  <c r="AM749" i="15"/>
  <c r="AN749" i="15" s="1"/>
  <c r="BI561" i="15"/>
  <c r="BK561" i="15" s="1"/>
  <c r="BL561" i="15" s="1"/>
  <c r="AM561" i="15"/>
  <c r="AN561" i="15" s="1"/>
  <c r="BI525" i="15"/>
  <c r="BK525" i="15" s="1"/>
  <c r="BL525" i="15" s="1"/>
  <c r="AM525" i="15"/>
  <c r="AN525" i="15" s="1"/>
  <c r="BI249" i="15"/>
  <c r="BK249" i="15" s="1"/>
  <c r="BL249" i="15" s="1"/>
  <c r="AM249" i="15"/>
  <c r="AN249" i="15" s="1"/>
  <c r="BI245" i="15"/>
  <c r="BK245" i="15" s="1"/>
  <c r="BL245" i="15" s="1"/>
  <c r="AM245" i="15"/>
  <c r="AN245" i="15" s="1"/>
  <c r="BI192" i="15"/>
  <c r="BK192" i="15" s="1"/>
  <c r="BL192" i="15" s="1"/>
  <c r="AM192" i="15"/>
  <c r="AN192" i="15" s="1"/>
  <c r="BI171" i="15"/>
  <c r="BK171" i="15" s="1"/>
  <c r="BL171" i="15" s="1"/>
  <c r="AM171" i="15"/>
  <c r="AN171" i="15" s="1"/>
  <c r="BI161" i="15"/>
  <c r="BK161" i="15" s="1"/>
  <c r="BL161" i="15" s="1"/>
  <c r="AM161" i="15"/>
  <c r="AN161" i="15" s="1"/>
  <c r="BI12" i="15"/>
  <c r="BK12" i="15" s="1"/>
  <c r="BL12" i="15" s="1"/>
  <c r="AM12" i="15"/>
  <c r="AN12" i="15" s="1"/>
  <c r="BI737" i="15"/>
  <c r="BK737" i="15" s="1"/>
  <c r="BL737" i="15" s="1"/>
  <c r="AM737" i="15"/>
  <c r="AN737" i="15" s="1"/>
  <c r="BI679" i="15"/>
  <c r="BK679" i="15" s="1"/>
  <c r="BL679" i="15" s="1"/>
  <c r="AM679" i="15"/>
  <c r="AN679" i="15" s="1"/>
  <c r="BI609" i="15"/>
  <c r="BK609" i="15" s="1"/>
  <c r="BL609" i="15" s="1"/>
  <c r="AM609" i="15"/>
  <c r="AN609" i="15" s="1"/>
  <c r="BI467" i="15"/>
  <c r="BK467" i="15" s="1"/>
  <c r="BL467" i="15" s="1"/>
  <c r="AM467" i="15"/>
  <c r="AN467" i="15" s="1"/>
  <c r="BI461" i="15"/>
  <c r="BK461" i="15" s="1"/>
  <c r="BL461" i="15" s="1"/>
  <c r="AM461" i="15"/>
  <c r="AN461" i="15" s="1"/>
  <c r="BI440" i="15"/>
  <c r="BK440" i="15" s="1"/>
  <c r="BL440" i="15" s="1"/>
  <c r="AM440" i="15"/>
  <c r="AN440" i="15" s="1"/>
  <c r="BI432" i="15"/>
  <c r="BK432" i="15" s="1"/>
  <c r="BL432" i="15" s="1"/>
  <c r="AM432" i="15"/>
  <c r="AN432" i="15" s="1"/>
  <c r="BI383" i="15"/>
  <c r="BK383" i="15" s="1"/>
  <c r="BL383" i="15" s="1"/>
  <c r="AM383" i="15"/>
  <c r="AN383" i="15" s="1"/>
  <c r="BI381" i="15"/>
  <c r="BK381" i="15" s="1"/>
  <c r="BL381" i="15" s="1"/>
  <c r="AM381" i="15"/>
  <c r="AN381" i="15" s="1"/>
  <c r="BI367" i="15"/>
  <c r="BK367" i="15" s="1"/>
  <c r="BL367" i="15" s="1"/>
  <c r="AM367" i="15"/>
  <c r="AN367" i="15" s="1"/>
  <c r="BI365" i="15"/>
  <c r="BK365" i="15" s="1"/>
  <c r="BL365" i="15" s="1"/>
  <c r="AM365" i="15"/>
  <c r="AN365" i="15" s="1"/>
  <c r="BI359" i="15"/>
  <c r="BK359" i="15" s="1"/>
  <c r="BL359" i="15" s="1"/>
  <c r="AM359" i="15"/>
  <c r="AN359" i="15" s="1"/>
  <c r="BI357" i="15"/>
  <c r="BK357" i="15" s="1"/>
  <c r="BL357" i="15" s="1"/>
  <c r="AM357" i="15"/>
  <c r="AN357" i="15" s="1"/>
  <c r="BI351" i="15"/>
  <c r="BK351" i="15" s="1"/>
  <c r="BL351" i="15" s="1"/>
  <c r="AM351" i="15"/>
  <c r="AN351" i="15" s="1"/>
  <c r="BI349" i="15"/>
  <c r="BK349" i="15" s="1"/>
  <c r="BL349" i="15" s="1"/>
  <c r="AM349" i="15"/>
  <c r="AN349" i="15" s="1"/>
  <c r="BI287" i="15"/>
  <c r="BK287" i="15" s="1"/>
  <c r="BL287" i="15" s="1"/>
  <c r="AM287" i="15"/>
  <c r="AN287" i="15" s="1"/>
  <c r="BI128" i="15"/>
  <c r="BK128" i="15" s="1"/>
  <c r="BL128" i="15" s="1"/>
  <c r="AM128" i="15"/>
  <c r="AN128" i="15" s="1"/>
  <c r="BI120" i="15"/>
  <c r="BK120" i="15" s="1"/>
  <c r="BL120" i="15" s="1"/>
  <c r="AM120" i="15"/>
  <c r="AN120" i="15" s="1"/>
  <c r="BI112" i="15"/>
  <c r="BK112" i="15" s="1"/>
  <c r="BL112" i="15" s="1"/>
  <c r="AM112" i="15"/>
  <c r="AN112" i="15" s="1"/>
  <c r="BI101" i="15"/>
  <c r="BK101" i="15" s="1"/>
  <c r="BL101" i="15" s="1"/>
  <c r="AM101" i="15"/>
  <c r="AN101" i="15" s="1"/>
  <c r="BI93" i="15"/>
  <c r="BK93" i="15" s="1"/>
  <c r="BL93" i="15" s="1"/>
  <c r="AM93" i="15"/>
  <c r="AN93" i="15" s="1"/>
  <c r="BI82" i="15"/>
  <c r="BK82" i="15" s="1"/>
  <c r="BL82" i="15" s="1"/>
  <c r="AM82" i="15"/>
  <c r="AN82" i="15" s="1"/>
  <c r="BI54" i="15"/>
  <c r="BK54" i="15" s="1"/>
  <c r="BL54" i="15" s="1"/>
  <c r="AM54" i="15"/>
  <c r="AN54" i="15" s="1"/>
  <c r="BI38" i="15"/>
  <c r="BK38" i="15" s="1"/>
  <c r="BL38" i="15" s="1"/>
  <c r="AM38" i="15"/>
  <c r="AN38" i="15" s="1"/>
  <c r="BI656" i="15"/>
  <c r="BK656" i="15" s="1"/>
  <c r="BL656" i="15" s="1"/>
  <c r="AM656" i="15"/>
  <c r="AN656" i="15" s="1"/>
  <c r="BI639" i="15"/>
  <c r="BK639" i="15" s="1"/>
  <c r="BL639" i="15" s="1"/>
  <c r="AM639" i="15"/>
  <c r="AN639" i="15" s="1"/>
  <c r="BI414" i="15"/>
  <c r="BK414" i="15" s="1"/>
  <c r="BL414" i="15" s="1"/>
  <c r="AM414" i="15"/>
  <c r="AN414" i="15" s="1"/>
  <c r="BI402" i="15"/>
  <c r="BK402" i="15" s="1"/>
  <c r="BL402" i="15" s="1"/>
  <c r="AM402" i="15"/>
  <c r="AN402" i="15" s="1"/>
  <c r="BI348" i="15"/>
  <c r="BK348" i="15" s="1"/>
  <c r="BL348" i="15" s="1"/>
  <c r="AM348" i="15"/>
  <c r="AN348" i="15" s="1"/>
  <c r="BI335" i="15"/>
  <c r="BK335" i="15" s="1"/>
  <c r="BL335" i="15" s="1"/>
  <c r="AM335" i="15"/>
  <c r="AN335" i="15" s="1"/>
  <c r="BI319" i="15"/>
  <c r="BK319" i="15" s="1"/>
  <c r="BL319" i="15" s="1"/>
  <c r="AM319" i="15"/>
  <c r="AN319" i="15" s="1"/>
  <c r="BI298" i="15"/>
  <c r="BK298" i="15" s="1"/>
  <c r="BL298" i="15" s="1"/>
  <c r="AM298" i="15"/>
  <c r="AN298" i="15" s="1"/>
  <c r="BI224" i="15"/>
  <c r="BK224" i="15" s="1"/>
  <c r="BL224" i="15" s="1"/>
  <c r="AM224" i="15"/>
  <c r="AN224" i="15" s="1"/>
  <c r="BI216" i="15"/>
  <c r="BK216" i="15" s="1"/>
  <c r="BL216" i="15" s="1"/>
  <c r="AM216" i="15"/>
  <c r="AN216" i="15" s="1"/>
  <c r="BI206" i="15"/>
  <c r="BK206" i="15" s="1"/>
  <c r="BL206" i="15" s="1"/>
  <c r="AM206" i="15"/>
  <c r="AN206" i="15" s="1"/>
  <c r="BI195" i="15"/>
  <c r="BK195" i="15" s="1"/>
  <c r="BL195" i="15" s="1"/>
  <c r="AM195" i="15"/>
  <c r="AN195" i="15" s="1"/>
  <c r="BI187" i="15"/>
  <c r="BK187" i="15" s="1"/>
  <c r="BL187" i="15" s="1"/>
  <c r="AM187" i="15"/>
  <c r="AN187" i="15" s="1"/>
  <c r="BI29" i="15"/>
  <c r="BK29" i="15" s="1"/>
  <c r="BL29" i="15" s="1"/>
  <c r="AM29" i="15"/>
  <c r="AN29" i="15" s="1"/>
  <c r="BI21" i="15"/>
  <c r="BK21" i="15" s="1"/>
  <c r="BL21" i="15" s="1"/>
  <c r="AM21" i="15"/>
  <c r="AN21" i="15" s="1"/>
  <c r="BI15" i="15"/>
  <c r="BK15" i="15" s="1"/>
  <c r="BL15" i="15" s="1"/>
  <c r="AM15" i="15"/>
  <c r="AN15" i="15" s="1"/>
  <c r="BI738" i="15"/>
  <c r="BK738" i="15" s="1"/>
  <c r="BL738" i="15" s="1"/>
  <c r="AM738" i="15"/>
  <c r="AN738" i="15" s="1"/>
  <c r="BI730" i="15"/>
  <c r="BK730" i="15" s="1"/>
  <c r="BL730" i="15" s="1"/>
  <c r="AM730" i="15"/>
  <c r="AN730" i="15" s="1"/>
  <c r="BI707" i="15"/>
  <c r="BK707" i="15" s="1"/>
  <c r="BL707" i="15" s="1"/>
  <c r="AM707" i="15"/>
  <c r="AN707" i="15" s="1"/>
  <c r="BI703" i="15"/>
  <c r="BK703" i="15" s="1"/>
  <c r="BL703" i="15" s="1"/>
  <c r="AM703" i="15"/>
  <c r="AN703" i="15" s="1"/>
  <c r="BI699" i="15"/>
  <c r="BK699" i="15" s="1"/>
  <c r="BL699" i="15" s="1"/>
  <c r="AM699" i="15"/>
  <c r="AN699" i="15" s="1"/>
  <c r="BI626" i="15"/>
  <c r="BK626" i="15" s="1"/>
  <c r="BL626" i="15" s="1"/>
  <c r="AM626" i="15"/>
  <c r="AN626" i="15" s="1"/>
  <c r="BI618" i="15"/>
  <c r="BK618" i="15" s="1"/>
  <c r="BL618" i="15" s="1"/>
  <c r="AM618" i="15"/>
  <c r="AN618" i="15" s="1"/>
  <c r="BI606" i="15"/>
  <c r="BK606" i="15" s="1"/>
  <c r="BL606" i="15" s="1"/>
  <c r="AM606" i="15"/>
  <c r="AN606" i="15" s="1"/>
  <c r="BI460" i="15"/>
  <c r="BK460" i="15" s="1"/>
  <c r="BL460" i="15" s="1"/>
  <c r="AM460" i="15"/>
  <c r="AN460" i="15" s="1"/>
  <c r="BI454" i="15"/>
  <c r="BK454" i="15" s="1"/>
  <c r="BL454" i="15" s="1"/>
  <c r="AM454" i="15"/>
  <c r="AN454" i="15" s="1"/>
  <c r="BI404" i="15"/>
  <c r="BK404" i="15" s="1"/>
  <c r="BL404" i="15" s="1"/>
  <c r="AM404" i="15"/>
  <c r="AN404" i="15" s="1"/>
  <c r="BI325" i="15"/>
  <c r="BK325" i="15" s="1"/>
  <c r="BL325" i="15" s="1"/>
  <c r="AM325" i="15"/>
  <c r="AN325" i="15" s="1"/>
  <c r="BI296" i="15"/>
  <c r="BK296" i="15" s="1"/>
  <c r="BL296" i="15" s="1"/>
  <c r="AM296" i="15"/>
  <c r="AN296" i="15" s="1"/>
  <c r="BI271" i="15"/>
  <c r="BK271" i="15" s="1"/>
  <c r="BL271" i="15" s="1"/>
  <c r="AM271" i="15"/>
  <c r="AN271" i="15" s="1"/>
  <c r="BI140" i="15"/>
  <c r="BK140" i="15" s="1"/>
  <c r="BL140" i="15" s="1"/>
  <c r="AM140" i="15"/>
  <c r="AN140" i="15" s="1"/>
  <c r="BI105" i="15"/>
  <c r="BK105" i="15" s="1"/>
  <c r="BL105" i="15" s="1"/>
  <c r="AM105" i="15"/>
  <c r="AN105" i="15" s="1"/>
  <c r="BI61" i="15"/>
  <c r="BK61" i="15" s="1"/>
  <c r="BL61" i="15" s="1"/>
  <c r="AM61" i="15"/>
  <c r="AN61" i="15" s="1"/>
  <c r="BI39" i="15"/>
  <c r="BK39" i="15" s="1"/>
  <c r="BL39" i="15" s="1"/>
  <c r="AM39" i="15"/>
  <c r="AN39" i="15" s="1"/>
  <c r="BI797" i="15"/>
  <c r="BK797" i="15" s="1"/>
  <c r="BL797" i="15" s="1"/>
  <c r="AM797" i="15"/>
  <c r="AN797" i="15" s="1"/>
  <c r="BI782" i="15"/>
  <c r="BK782" i="15" s="1"/>
  <c r="BL782" i="15" s="1"/>
  <c r="AM782" i="15"/>
  <c r="AN782" i="15" s="1"/>
  <c r="BI770" i="15"/>
  <c r="BK770" i="15" s="1"/>
  <c r="BL770" i="15" s="1"/>
  <c r="AM770" i="15"/>
  <c r="AN770" i="15" s="1"/>
  <c r="BI576" i="15"/>
  <c r="BK576" i="15" s="1"/>
  <c r="BL576" i="15" s="1"/>
  <c r="AM576" i="15"/>
  <c r="AN576" i="15" s="1"/>
  <c r="BI521" i="15"/>
  <c r="BK521" i="15" s="1"/>
  <c r="BL521" i="15" s="1"/>
  <c r="AM521" i="15"/>
  <c r="AN521" i="15" s="1"/>
  <c r="BI496" i="15"/>
  <c r="BK496" i="15" s="1"/>
  <c r="BL496" i="15" s="1"/>
  <c r="AM496" i="15"/>
  <c r="AN496" i="15" s="1"/>
  <c r="BI259" i="15"/>
  <c r="BK259" i="15" s="1"/>
  <c r="BL259" i="15" s="1"/>
  <c r="AM259" i="15"/>
  <c r="AN259" i="15" s="1"/>
  <c r="BI205" i="15"/>
  <c r="BK205" i="15" s="1"/>
  <c r="BL205" i="15" s="1"/>
  <c r="AM205" i="15"/>
  <c r="AN205" i="15" s="1"/>
  <c r="BI188" i="15"/>
  <c r="BK188" i="15" s="1"/>
  <c r="BL188" i="15" s="1"/>
  <c r="AM188" i="15"/>
  <c r="AN188" i="15" s="1"/>
  <c r="BI32" i="15"/>
  <c r="BK32" i="15" s="1"/>
  <c r="BL32" i="15" s="1"/>
  <c r="AM32" i="15"/>
  <c r="AN32" i="15" s="1"/>
  <c r="BI739" i="15"/>
  <c r="BK739" i="15" s="1"/>
  <c r="BL739" i="15" s="1"/>
  <c r="AM739" i="15"/>
  <c r="AN739" i="15" s="1"/>
  <c r="BI735" i="15"/>
  <c r="BK735" i="15" s="1"/>
  <c r="BL735" i="15" s="1"/>
  <c r="AM735" i="15"/>
  <c r="AN735" i="15" s="1"/>
  <c r="BI721" i="15"/>
  <c r="BK721" i="15" s="1"/>
  <c r="BL721" i="15" s="1"/>
  <c r="AM721" i="15"/>
  <c r="AN721" i="15" s="1"/>
  <c r="BI700" i="15"/>
  <c r="BK700" i="15" s="1"/>
  <c r="BL700" i="15" s="1"/>
  <c r="AM700" i="15"/>
  <c r="AN700" i="15" s="1"/>
  <c r="BI691" i="15"/>
  <c r="BK691" i="15" s="1"/>
  <c r="BL691" i="15" s="1"/>
  <c r="AM691" i="15"/>
  <c r="AN691" i="15" s="1"/>
  <c r="BI683" i="15"/>
  <c r="BK683" i="15" s="1"/>
  <c r="BL683" i="15" s="1"/>
  <c r="AM683" i="15"/>
  <c r="AN683" i="15" s="1"/>
  <c r="BI675" i="15"/>
  <c r="BK675" i="15" s="1"/>
  <c r="BL675" i="15" s="1"/>
  <c r="AM675" i="15"/>
  <c r="AN675" i="15" s="1"/>
  <c r="BI662" i="15"/>
  <c r="BK662" i="15" s="1"/>
  <c r="BL662" i="15" s="1"/>
  <c r="AM662" i="15"/>
  <c r="AN662" i="15" s="1"/>
  <c r="BI651" i="15"/>
  <c r="BK651" i="15" s="1"/>
  <c r="BL651" i="15" s="1"/>
  <c r="AM651" i="15"/>
  <c r="AN651" i="15" s="1"/>
  <c r="BI629" i="15"/>
  <c r="BK629" i="15" s="1"/>
  <c r="BL629" i="15" s="1"/>
  <c r="AM629" i="15"/>
  <c r="AN629" i="15" s="1"/>
  <c r="BI621" i="15"/>
  <c r="BK621" i="15" s="1"/>
  <c r="BL621" i="15" s="1"/>
  <c r="AM621" i="15"/>
  <c r="AN621" i="15" s="1"/>
  <c r="BI613" i="15"/>
  <c r="BK613" i="15" s="1"/>
  <c r="BL613" i="15" s="1"/>
  <c r="AM613" i="15"/>
  <c r="AN613" i="15" s="1"/>
  <c r="BI605" i="15"/>
  <c r="BK605" i="15" s="1"/>
  <c r="BL605" i="15" s="1"/>
  <c r="AM605" i="15"/>
  <c r="AN605" i="15" s="1"/>
  <c r="BI482" i="15"/>
  <c r="BK482" i="15" s="1"/>
  <c r="BL482" i="15" s="1"/>
  <c r="AM482" i="15"/>
  <c r="AN482" i="15" s="1"/>
  <c r="BI471" i="15"/>
  <c r="BK471" i="15" s="1"/>
  <c r="BL471" i="15" s="1"/>
  <c r="AM471" i="15"/>
  <c r="AN471" i="15" s="1"/>
  <c r="BI469" i="15"/>
  <c r="BK469" i="15" s="1"/>
  <c r="BL469" i="15" s="1"/>
  <c r="AM469" i="15"/>
  <c r="AN469" i="15" s="1"/>
  <c r="BI459" i="15"/>
  <c r="BK459" i="15" s="1"/>
  <c r="BL459" i="15" s="1"/>
  <c r="AM459" i="15"/>
  <c r="AN459" i="15" s="1"/>
  <c r="BI446" i="15"/>
  <c r="BK446" i="15" s="1"/>
  <c r="BL446" i="15" s="1"/>
  <c r="AM446" i="15"/>
  <c r="AN446" i="15" s="1"/>
  <c r="BI442" i="15"/>
  <c r="BK442" i="15" s="1"/>
  <c r="BL442" i="15" s="1"/>
  <c r="AM442" i="15"/>
  <c r="AN442" i="15" s="1"/>
  <c r="BI438" i="15"/>
  <c r="BK438" i="15" s="1"/>
  <c r="BL438" i="15" s="1"/>
  <c r="AM438" i="15"/>
  <c r="AN438" i="15" s="1"/>
  <c r="BI434" i="15"/>
  <c r="BK434" i="15" s="1"/>
  <c r="BL434" i="15" s="1"/>
  <c r="AM434" i="15"/>
  <c r="AN434" i="15" s="1"/>
  <c r="BI430" i="15"/>
  <c r="BK430" i="15" s="1"/>
  <c r="BL430" i="15" s="1"/>
  <c r="AM430" i="15"/>
  <c r="AN430" i="15" s="1"/>
  <c r="BI426" i="15"/>
  <c r="BK426" i="15" s="1"/>
  <c r="BL426" i="15" s="1"/>
  <c r="AM426" i="15"/>
  <c r="AN426" i="15" s="1"/>
  <c r="BI419" i="15"/>
  <c r="BK419" i="15" s="1"/>
  <c r="BL419" i="15" s="1"/>
  <c r="AM419" i="15"/>
  <c r="AN419" i="15" s="1"/>
  <c r="BI417" i="15"/>
  <c r="BK417" i="15" s="1"/>
  <c r="BL417" i="15" s="1"/>
  <c r="AM417" i="15"/>
  <c r="AN417" i="15" s="1"/>
  <c r="BI405" i="15"/>
  <c r="BK405" i="15" s="1"/>
  <c r="BL405" i="15" s="1"/>
  <c r="AM405" i="15"/>
  <c r="AN405" i="15" s="1"/>
  <c r="BI396" i="15"/>
  <c r="BK396" i="15" s="1"/>
  <c r="BL396" i="15" s="1"/>
  <c r="AM396" i="15"/>
  <c r="AN396" i="15" s="1"/>
  <c r="BI390" i="15"/>
  <c r="BK390" i="15" s="1"/>
  <c r="BL390" i="15" s="1"/>
  <c r="AM390" i="15"/>
  <c r="AN390" i="15" s="1"/>
  <c r="BI385" i="15"/>
  <c r="BK385" i="15" s="1"/>
  <c r="BL385" i="15" s="1"/>
  <c r="AM385" i="15"/>
  <c r="AN385" i="15" s="1"/>
  <c r="BI377" i="15"/>
  <c r="BK377" i="15" s="1"/>
  <c r="BL377" i="15" s="1"/>
  <c r="AM377" i="15"/>
  <c r="AN377" i="15" s="1"/>
  <c r="BI355" i="15"/>
  <c r="BK355" i="15" s="1"/>
  <c r="BL355" i="15" s="1"/>
  <c r="AM355" i="15"/>
  <c r="AN355" i="15" s="1"/>
  <c r="BI353" i="15"/>
  <c r="BK353" i="15" s="1"/>
  <c r="BL353" i="15" s="1"/>
  <c r="AM353" i="15"/>
  <c r="AN353" i="15" s="1"/>
  <c r="BI347" i="15"/>
  <c r="BK347" i="15" s="1"/>
  <c r="BL347" i="15" s="1"/>
  <c r="AM347" i="15"/>
  <c r="AN347" i="15" s="1"/>
  <c r="BI345" i="15"/>
  <c r="BK345" i="15" s="1"/>
  <c r="BL345" i="15" s="1"/>
  <c r="AM345" i="15"/>
  <c r="AN345" i="15" s="1"/>
  <c r="BI309" i="15"/>
  <c r="BK309" i="15" s="1"/>
  <c r="BL309" i="15" s="1"/>
  <c r="AM309" i="15"/>
  <c r="AN309" i="15" s="1"/>
  <c r="BI305" i="15"/>
  <c r="BK305" i="15" s="1"/>
  <c r="BL305" i="15" s="1"/>
  <c r="AM305" i="15"/>
  <c r="AN305" i="15" s="1"/>
  <c r="BI301" i="15"/>
  <c r="BK301" i="15" s="1"/>
  <c r="BL301" i="15" s="1"/>
  <c r="AM301" i="15"/>
  <c r="AN301" i="15" s="1"/>
  <c r="BI280" i="15"/>
  <c r="BK280" i="15" s="1"/>
  <c r="BL280" i="15" s="1"/>
  <c r="AM280" i="15"/>
  <c r="AN280" i="15" s="1"/>
  <c r="BI272" i="15"/>
  <c r="BK272" i="15" s="1"/>
  <c r="BL272" i="15" s="1"/>
  <c r="AM272" i="15"/>
  <c r="AN272" i="15" s="1"/>
  <c r="BI149" i="15"/>
  <c r="BK149" i="15" s="1"/>
  <c r="BL149" i="15" s="1"/>
  <c r="AM149" i="15"/>
  <c r="AN149" i="15" s="1"/>
  <c r="BI126" i="15"/>
  <c r="BK126" i="15" s="1"/>
  <c r="BL126" i="15" s="1"/>
  <c r="AM126" i="15"/>
  <c r="AN126" i="15" s="1"/>
  <c r="BI122" i="15"/>
  <c r="BK122" i="15" s="1"/>
  <c r="BL122" i="15" s="1"/>
  <c r="AM122" i="15"/>
  <c r="AN122" i="15" s="1"/>
  <c r="BI118" i="15"/>
  <c r="BK118" i="15" s="1"/>
  <c r="BL118" i="15" s="1"/>
  <c r="AM118" i="15"/>
  <c r="AN118" i="15" s="1"/>
  <c r="BI114" i="15"/>
  <c r="BK114" i="15" s="1"/>
  <c r="BL114" i="15" s="1"/>
  <c r="AM114" i="15"/>
  <c r="AN114" i="15" s="1"/>
  <c r="BI110" i="15"/>
  <c r="BK110" i="15" s="1"/>
  <c r="BL110" i="15" s="1"/>
  <c r="AM110" i="15"/>
  <c r="AN110" i="15" s="1"/>
  <c r="BI106" i="15"/>
  <c r="BK106" i="15" s="1"/>
  <c r="BL106" i="15" s="1"/>
  <c r="AM106" i="15"/>
  <c r="AN106" i="15" s="1"/>
  <c r="BI97" i="15"/>
  <c r="BK97" i="15" s="1"/>
  <c r="BL97" i="15" s="1"/>
  <c r="AM97" i="15"/>
  <c r="AN97" i="15" s="1"/>
  <c r="BI89" i="15"/>
  <c r="BK89" i="15" s="1"/>
  <c r="BL89" i="15" s="1"/>
  <c r="AM89" i="15"/>
  <c r="AN89" i="15" s="1"/>
  <c r="BI78" i="15"/>
  <c r="BK78" i="15" s="1"/>
  <c r="BL78" i="15" s="1"/>
  <c r="AM78" i="15"/>
  <c r="AN78" i="15" s="1"/>
  <c r="BI66" i="15"/>
  <c r="BK66" i="15" s="1"/>
  <c r="BL66" i="15" s="1"/>
  <c r="AM66" i="15"/>
  <c r="AN66" i="15" s="1"/>
  <c r="BI58" i="15"/>
  <c r="BK58" i="15" s="1"/>
  <c r="BL58" i="15" s="1"/>
  <c r="AM58" i="15"/>
  <c r="AN58" i="15" s="1"/>
  <c r="BI50" i="15"/>
  <c r="BK50" i="15" s="1"/>
  <c r="BL50" i="15" s="1"/>
  <c r="AM50" i="15"/>
  <c r="AN50" i="15" s="1"/>
  <c r="BI40" i="15"/>
  <c r="BK40" i="15" s="1"/>
  <c r="BL40" i="15" s="1"/>
  <c r="AM40" i="15"/>
  <c r="AN40" i="15" s="1"/>
  <c r="BI709" i="15"/>
  <c r="BK709" i="15" s="1"/>
  <c r="BL709" i="15" s="1"/>
  <c r="AM709" i="15"/>
  <c r="AN709" i="15" s="1"/>
  <c r="BI665" i="15"/>
  <c r="BK665" i="15" s="1"/>
  <c r="BL665" i="15" s="1"/>
  <c r="AM665" i="15"/>
  <c r="AN665" i="15" s="1"/>
  <c r="BI652" i="15"/>
  <c r="BK652" i="15" s="1"/>
  <c r="BL652" i="15" s="1"/>
  <c r="AM652" i="15"/>
  <c r="AN652" i="15" s="1"/>
  <c r="BI418" i="15"/>
  <c r="BK418" i="15" s="1"/>
  <c r="BL418" i="15" s="1"/>
  <c r="AM418" i="15"/>
  <c r="AN418" i="15" s="1"/>
  <c r="BI382" i="15"/>
  <c r="BK382" i="15" s="1"/>
  <c r="BL382" i="15" s="1"/>
  <c r="AM382" i="15"/>
  <c r="AN382" i="15" s="1"/>
  <c r="BI346" i="15"/>
  <c r="BK346" i="15" s="1"/>
  <c r="BL346" i="15" s="1"/>
  <c r="AM346" i="15"/>
  <c r="AN346" i="15" s="1"/>
  <c r="BI342" i="15"/>
  <c r="BK342" i="15" s="1"/>
  <c r="BL342" i="15" s="1"/>
  <c r="AM342" i="15"/>
  <c r="AN342" i="15" s="1"/>
  <c r="BI327" i="15"/>
  <c r="BK327" i="15" s="1"/>
  <c r="BL327" i="15" s="1"/>
  <c r="AM327" i="15"/>
  <c r="AN327" i="15" s="1"/>
  <c r="BI323" i="15"/>
  <c r="BK323" i="15" s="1"/>
  <c r="BL323" i="15" s="1"/>
  <c r="AM323" i="15"/>
  <c r="AN323" i="15" s="1"/>
  <c r="BI306" i="15"/>
  <c r="BK306" i="15" s="1"/>
  <c r="BL306" i="15" s="1"/>
  <c r="AM306" i="15"/>
  <c r="AN306" i="15" s="1"/>
  <c r="BI290" i="15"/>
  <c r="BK290" i="15" s="1"/>
  <c r="BL290" i="15" s="1"/>
  <c r="AM290" i="15"/>
  <c r="AN290" i="15" s="1"/>
  <c r="BI273" i="15"/>
  <c r="BK273" i="15" s="1"/>
  <c r="BL273" i="15" s="1"/>
  <c r="AM273" i="15"/>
  <c r="AN273" i="15" s="1"/>
  <c r="BI138" i="15"/>
  <c r="BK138" i="15" s="1"/>
  <c r="BL138" i="15" s="1"/>
  <c r="AM138" i="15"/>
  <c r="AN138" i="15" s="1"/>
  <c r="BI119" i="15"/>
  <c r="BK119" i="15" s="1"/>
  <c r="BL119" i="15" s="1"/>
  <c r="AM119" i="15"/>
  <c r="AN119" i="15" s="1"/>
  <c r="BI98" i="15"/>
  <c r="BK98" i="15" s="1"/>
  <c r="BL98" i="15" s="1"/>
  <c r="AM98" i="15"/>
  <c r="AN98" i="15" s="1"/>
  <c r="BI90" i="15"/>
  <c r="BK90" i="15" s="1"/>
  <c r="BL90" i="15" s="1"/>
  <c r="AM90" i="15"/>
  <c r="AN90" i="15" s="1"/>
  <c r="BI81" i="15"/>
  <c r="BK81" i="15" s="1"/>
  <c r="BL81" i="15" s="1"/>
  <c r="AM81" i="15"/>
  <c r="AN81" i="15" s="1"/>
  <c r="BI73" i="15"/>
  <c r="BK73" i="15" s="1"/>
  <c r="BL73" i="15" s="1"/>
  <c r="AM73" i="15"/>
  <c r="AN73" i="15" s="1"/>
  <c r="BI59" i="15"/>
  <c r="BK59" i="15" s="1"/>
  <c r="BL59" i="15" s="1"/>
  <c r="AM59" i="15"/>
  <c r="AN59" i="15" s="1"/>
  <c r="BI51" i="15"/>
  <c r="BK51" i="15" s="1"/>
  <c r="BL51" i="15" s="1"/>
  <c r="AM51" i="15"/>
  <c r="AN51" i="15" s="1"/>
  <c r="BI896" i="15"/>
  <c r="BK896" i="15" s="1"/>
  <c r="BL896" i="15" s="1"/>
  <c r="AM896" i="15"/>
  <c r="AN896" i="15" s="1"/>
  <c r="BI890" i="15"/>
  <c r="BK890" i="15" s="1"/>
  <c r="BL890" i="15" s="1"/>
  <c r="AM890" i="15"/>
  <c r="AN890" i="15" s="1"/>
  <c r="BI876" i="15"/>
  <c r="BK876" i="15" s="1"/>
  <c r="BL876" i="15" s="1"/>
  <c r="AM876" i="15"/>
  <c r="AN876" i="15" s="1"/>
  <c r="BI866" i="15"/>
  <c r="BK866" i="15" s="1"/>
  <c r="BL866" i="15" s="1"/>
  <c r="AM866" i="15"/>
  <c r="AN866" i="15" s="1"/>
  <c r="BI851" i="15"/>
  <c r="BK851" i="15" s="1"/>
  <c r="BL851" i="15" s="1"/>
  <c r="AM851" i="15"/>
  <c r="AN851" i="15" s="1"/>
  <c r="BI833" i="15"/>
  <c r="BK833" i="15" s="1"/>
  <c r="BL833" i="15" s="1"/>
  <c r="AM833" i="15"/>
  <c r="AN833" i="15" s="1"/>
  <c r="BI828" i="15"/>
  <c r="BK828" i="15" s="1"/>
  <c r="BL828" i="15" s="1"/>
  <c r="AM828" i="15"/>
  <c r="AN828" i="15" s="1"/>
  <c r="BI801" i="15"/>
  <c r="BK801" i="15" s="1"/>
  <c r="BL801" i="15" s="1"/>
  <c r="AM801" i="15"/>
  <c r="AN801" i="15" s="1"/>
  <c r="BI795" i="15"/>
  <c r="BK795" i="15" s="1"/>
  <c r="BL795" i="15" s="1"/>
  <c r="AM795" i="15"/>
  <c r="AN795" i="15" s="1"/>
  <c r="BI784" i="15"/>
  <c r="BK784" i="15" s="1"/>
  <c r="BL784" i="15" s="1"/>
  <c r="AM784" i="15"/>
  <c r="AN784" i="15" s="1"/>
  <c r="BI759" i="15"/>
  <c r="BK759" i="15" s="1"/>
  <c r="BL759" i="15" s="1"/>
  <c r="AM759" i="15"/>
  <c r="AN759" i="15" s="1"/>
  <c r="BI747" i="15"/>
  <c r="BK747" i="15" s="1"/>
  <c r="BL747" i="15" s="1"/>
  <c r="AM747" i="15"/>
  <c r="AN747" i="15" s="1"/>
  <c r="BI592" i="15"/>
  <c r="BK592" i="15" s="1"/>
  <c r="BL592" i="15" s="1"/>
  <c r="AM592" i="15"/>
  <c r="AN592" i="15" s="1"/>
  <c r="BI584" i="15"/>
  <c r="BK584" i="15" s="1"/>
  <c r="BL584" i="15" s="1"/>
  <c r="AM584" i="15"/>
  <c r="AN584" i="15" s="1"/>
  <c r="BI574" i="15"/>
  <c r="BK574" i="15" s="1"/>
  <c r="BL574" i="15" s="1"/>
  <c r="AM574" i="15"/>
  <c r="AN574" i="15" s="1"/>
  <c r="BI559" i="15"/>
  <c r="BK559" i="15" s="1"/>
  <c r="BL559" i="15" s="1"/>
  <c r="AM559" i="15"/>
  <c r="AN559" i="15" s="1"/>
  <c r="BI531" i="15"/>
  <c r="BK531" i="15" s="1"/>
  <c r="BL531" i="15" s="1"/>
  <c r="AM531" i="15"/>
  <c r="AN531" i="15" s="1"/>
  <c r="BI519" i="15"/>
  <c r="BK519" i="15" s="1"/>
  <c r="BL519" i="15" s="1"/>
  <c r="AM519" i="15"/>
  <c r="AN519" i="15" s="1"/>
  <c r="BI502" i="15"/>
  <c r="BK502" i="15" s="1"/>
  <c r="BL502" i="15" s="1"/>
  <c r="AM502" i="15"/>
  <c r="AN502" i="15" s="1"/>
  <c r="BI494" i="15"/>
  <c r="BK494" i="15" s="1"/>
  <c r="BL494" i="15" s="1"/>
  <c r="AM494" i="15"/>
  <c r="AN494" i="15" s="1"/>
  <c r="BI223" i="15"/>
  <c r="BK223" i="15" s="1"/>
  <c r="BL223" i="15" s="1"/>
  <c r="AM223" i="15"/>
  <c r="AN223" i="15" s="1"/>
  <c r="BI207" i="15"/>
  <c r="BK207" i="15" s="1"/>
  <c r="BL207" i="15" s="1"/>
  <c r="AM207" i="15"/>
  <c r="AN207" i="15" s="1"/>
  <c r="BI186" i="15"/>
  <c r="BK186" i="15" s="1"/>
  <c r="BL186" i="15" s="1"/>
  <c r="AM186" i="15"/>
  <c r="AN186" i="15" s="1"/>
  <c r="BI167" i="15"/>
  <c r="BK167" i="15" s="1"/>
  <c r="BL167" i="15" s="1"/>
  <c r="AM167" i="15"/>
  <c r="AN167" i="15" s="1"/>
  <c r="BI30" i="15"/>
  <c r="BK30" i="15" s="1"/>
  <c r="BL30" i="15" s="1"/>
  <c r="AM30" i="15"/>
  <c r="AN30" i="15" s="1"/>
  <c r="BI22" i="15"/>
  <c r="BK22" i="15" s="1"/>
  <c r="BL22" i="15" s="1"/>
  <c r="AM22" i="15"/>
  <c r="AN22" i="15" s="1"/>
  <c r="BI14" i="15"/>
  <c r="BK14" i="15" s="1"/>
  <c r="BL14" i="15" s="1"/>
  <c r="AM14" i="15"/>
  <c r="AN14" i="15" s="1"/>
  <c r="BI895" i="15"/>
  <c r="BK895" i="15" s="1"/>
  <c r="BL895" i="15" s="1"/>
  <c r="AM895" i="15"/>
  <c r="AN895" i="15" s="1"/>
  <c r="BI887" i="15"/>
  <c r="BK887" i="15" s="1"/>
  <c r="BL887" i="15" s="1"/>
  <c r="AM887" i="15"/>
  <c r="AN887" i="15" s="1"/>
  <c r="BI879" i="15"/>
  <c r="BK879" i="15" s="1"/>
  <c r="BL879" i="15" s="1"/>
  <c r="AM879" i="15"/>
  <c r="AN879" i="15" s="1"/>
  <c r="BI871" i="15"/>
  <c r="BK871" i="15" s="1"/>
  <c r="BL871" i="15" s="1"/>
  <c r="AM871" i="15"/>
  <c r="AN871" i="15" s="1"/>
  <c r="BI848" i="15"/>
  <c r="BK848" i="15" s="1"/>
  <c r="BL848" i="15" s="1"/>
  <c r="AM848" i="15"/>
  <c r="AN848" i="15" s="1"/>
  <c r="BI846" i="15"/>
  <c r="BK846" i="15" s="1"/>
  <c r="BL846" i="15" s="1"/>
  <c r="AM846" i="15"/>
  <c r="AN846" i="15" s="1"/>
  <c r="BI840" i="15"/>
  <c r="BK840" i="15" s="1"/>
  <c r="BL840" i="15" s="1"/>
  <c r="AM840" i="15"/>
  <c r="AN840" i="15" s="1"/>
  <c r="BI823" i="15"/>
  <c r="BK823" i="15" s="1"/>
  <c r="BL823" i="15" s="1"/>
  <c r="AM823" i="15"/>
  <c r="AN823" i="15" s="1"/>
  <c r="BI815" i="15"/>
  <c r="BK815" i="15" s="1"/>
  <c r="BL815" i="15" s="1"/>
  <c r="AM815" i="15"/>
  <c r="AN815" i="15" s="1"/>
  <c r="BI798" i="15"/>
  <c r="BK798" i="15" s="1"/>
  <c r="BL798" i="15" s="1"/>
  <c r="AM798" i="15"/>
  <c r="AN798" i="15" s="1"/>
  <c r="BI773" i="15"/>
  <c r="BK773" i="15" s="1"/>
  <c r="BL773" i="15" s="1"/>
  <c r="AM773" i="15"/>
  <c r="AN773" i="15" s="1"/>
  <c r="BI767" i="15"/>
  <c r="BK767" i="15" s="1"/>
  <c r="BL767" i="15" s="1"/>
  <c r="AM767" i="15"/>
  <c r="AN767" i="15" s="1"/>
  <c r="BI758" i="15"/>
  <c r="BK758" i="15" s="1"/>
  <c r="BL758" i="15" s="1"/>
  <c r="AM758" i="15"/>
  <c r="AN758" i="15" s="1"/>
  <c r="BI754" i="15"/>
  <c r="BK754" i="15" s="1"/>
  <c r="BL754" i="15" s="1"/>
  <c r="AM754" i="15"/>
  <c r="AN754" i="15" s="1"/>
  <c r="BI595" i="15"/>
  <c r="BK595" i="15" s="1"/>
  <c r="BL595" i="15" s="1"/>
  <c r="AM595" i="15"/>
  <c r="AN595" i="15" s="1"/>
  <c r="BI587" i="15"/>
  <c r="BK587" i="15" s="1"/>
  <c r="BL587" i="15" s="1"/>
  <c r="AM587" i="15"/>
  <c r="AN587" i="15" s="1"/>
  <c r="BI579" i="15"/>
  <c r="BK579" i="15" s="1"/>
  <c r="BL579" i="15" s="1"/>
  <c r="AM579" i="15"/>
  <c r="AN579" i="15" s="1"/>
  <c r="BI568" i="15"/>
  <c r="BK568" i="15" s="1"/>
  <c r="BL568" i="15" s="1"/>
  <c r="AM568" i="15"/>
  <c r="AN568" i="15" s="1"/>
  <c r="BI566" i="15"/>
  <c r="BK566" i="15" s="1"/>
  <c r="BL566" i="15" s="1"/>
  <c r="AM566" i="15"/>
  <c r="AN566" i="15" s="1"/>
  <c r="BI560" i="15"/>
  <c r="BK560" i="15" s="1"/>
  <c r="BL560" i="15" s="1"/>
  <c r="AM560" i="15"/>
  <c r="AN560" i="15" s="1"/>
  <c r="BI558" i="15"/>
  <c r="BK558" i="15" s="1"/>
  <c r="BL558" i="15" s="1"/>
  <c r="AM558" i="15"/>
  <c r="AN558" i="15" s="1"/>
  <c r="BI549" i="15"/>
  <c r="BK549" i="15" s="1"/>
  <c r="BL549" i="15" s="1"/>
  <c r="AM549" i="15"/>
  <c r="AN549" i="15" s="1"/>
  <c r="BI545" i="15"/>
  <c r="BK545" i="15" s="1"/>
  <c r="BL545" i="15" s="1"/>
  <c r="AM545" i="15"/>
  <c r="AN545" i="15" s="1"/>
  <c r="BI539" i="15"/>
  <c r="BK539" i="15" s="1"/>
  <c r="BL539" i="15" s="1"/>
  <c r="AM539" i="15"/>
  <c r="AN539" i="15" s="1"/>
  <c r="BI534" i="15"/>
  <c r="BK534" i="15" s="1"/>
  <c r="BL534" i="15" s="1"/>
  <c r="AM534" i="15"/>
  <c r="AN534" i="15" s="1"/>
  <c r="BI524" i="15"/>
  <c r="BK524" i="15" s="1"/>
  <c r="BL524" i="15" s="1"/>
  <c r="AM524" i="15"/>
  <c r="AN524" i="15" s="1"/>
  <c r="BI516" i="15"/>
  <c r="BK516" i="15" s="1"/>
  <c r="BL516" i="15" s="1"/>
  <c r="AM516" i="15"/>
  <c r="AN516" i="15" s="1"/>
  <c r="BI509" i="15"/>
  <c r="BK509" i="15" s="1"/>
  <c r="BL509" i="15" s="1"/>
  <c r="AM509" i="15"/>
  <c r="AN509" i="15" s="1"/>
  <c r="BI505" i="15"/>
  <c r="BK505" i="15" s="1"/>
  <c r="BL505" i="15" s="1"/>
  <c r="AM505" i="15"/>
  <c r="AN505" i="15" s="1"/>
  <c r="BI501" i="15"/>
  <c r="BK501" i="15" s="1"/>
  <c r="BL501" i="15" s="1"/>
  <c r="AM501" i="15"/>
  <c r="AN501" i="15" s="1"/>
  <c r="BI260" i="15"/>
  <c r="BK260" i="15" s="1"/>
  <c r="BL260" i="15" s="1"/>
  <c r="AM260" i="15"/>
  <c r="AN260" i="15" s="1"/>
  <c r="BI252" i="15"/>
  <c r="BK252" i="15" s="1"/>
  <c r="BL252" i="15" s="1"/>
  <c r="AM252" i="15"/>
  <c r="AN252" i="15" s="1"/>
  <c r="BI220" i="15"/>
  <c r="BK220" i="15" s="1"/>
  <c r="BL220" i="15" s="1"/>
  <c r="AM220" i="15"/>
  <c r="AN220" i="15" s="1"/>
  <c r="BI212" i="15"/>
  <c r="BK212" i="15" s="1"/>
  <c r="BL212" i="15" s="1"/>
  <c r="AM212" i="15"/>
  <c r="AN212" i="15" s="1"/>
  <c r="BI202" i="15"/>
  <c r="BK202" i="15" s="1"/>
  <c r="BL202" i="15" s="1"/>
  <c r="AM202" i="15"/>
  <c r="AN202" i="15" s="1"/>
  <c r="BI193" i="15"/>
  <c r="BK193" i="15" s="1"/>
  <c r="BL193" i="15" s="1"/>
  <c r="AM193" i="15"/>
  <c r="AN193" i="15" s="1"/>
  <c r="BI168" i="15"/>
  <c r="BK168" i="15" s="1"/>
  <c r="BL168" i="15" s="1"/>
  <c r="AM168" i="15"/>
  <c r="AN168" i="15" s="1"/>
  <c r="BI162" i="15"/>
  <c r="BK162" i="15" s="1"/>
  <c r="BL162" i="15" s="1"/>
  <c r="AM162" i="15"/>
  <c r="AN162" i="15" s="1"/>
  <c r="BI33" i="15"/>
  <c r="BK33" i="15" s="1"/>
  <c r="BL33" i="15" s="1"/>
  <c r="AM33" i="15"/>
  <c r="AN33" i="15" s="1"/>
  <c r="BI25" i="15"/>
  <c r="BK25" i="15" s="1"/>
  <c r="BL25" i="15" s="1"/>
  <c r="AM25" i="15"/>
  <c r="AN25" i="15" s="1"/>
  <c r="BI17" i="15"/>
  <c r="BK17" i="15" s="1"/>
  <c r="BL17" i="15" s="1"/>
  <c r="AM17" i="15"/>
  <c r="AN17" i="15" s="1"/>
  <c r="BI11" i="15"/>
  <c r="BK11" i="15" s="1"/>
  <c r="BL11" i="15" s="1"/>
  <c r="AM11" i="15"/>
  <c r="AN11" i="15" s="1"/>
  <c r="BI736" i="15"/>
  <c r="BK736" i="15" s="1"/>
  <c r="BL736" i="15" s="1"/>
  <c r="AM736" i="15"/>
  <c r="AN736" i="15" s="1"/>
  <c r="BI728" i="15"/>
  <c r="BK728" i="15" s="1"/>
  <c r="BL728" i="15" s="1"/>
  <c r="AM728" i="15"/>
  <c r="AN728" i="15" s="1"/>
  <c r="BI711" i="15"/>
  <c r="BK711" i="15" s="1"/>
  <c r="BL711" i="15" s="1"/>
  <c r="AM711" i="15"/>
  <c r="AN711" i="15" s="1"/>
  <c r="BI705" i="15"/>
  <c r="BK705" i="15" s="1"/>
  <c r="BL705" i="15" s="1"/>
  <c r="AM705" i="15"/>
  <c r="AN705" i="15" s="1"/>
  <c r="BI701" i="15"/>
  <c r="BK701" i="15" s="1"/>
  <c r="BL701" i="15" s="1"/>
  <c r="AM701" i="15"/>
  <c r="AN701" i="15" s="1"/>
  <c r="BI688" i="15"/>
  <c r="BK688" i="15" s="1"/>
  <c r="BL688" i="15" s="1"/>
  <c r="AM688" i="15"/>
  <c r="AN688" i="15" s="1"/>
  <c r="BI680" i="15"/>
  <c r="BK680" i="15" s="1"/>
  <c r="BL680" i="15" s="1"/>
  <c r="AM680" i="15"/>
  <c r="AN680" i="15" s="1"/>
  <c r="BI659" i="15"/>
  <c r="BK659" i="15" s="1"/>
  <c r="BL659" i="15" s="1"/>
  <c r="AM659" i="15"/>
  <c r="AN659" i="15" s="1"/>
  <c r="BI654" i="15"/>
  <c r="BK654" i="15" s="1"/>
  <c r="BL654" i="15" s="1"/>
  <c r="AM654" i="15"/>
  <c r="AN654" i="15" s="1"/>
  <c r="BI641" i="15"/>
  <c r="BK641" i="15" s="1"/>
  <c r="BL641" i="15" s="1"/>
  <c r="AM641" i="15"/>
  <c r="AN641" i="15" s="1"/>
  <c r="BI632" i="15"/>
  <c r="BK632" i="15" s="1"/>
  <c r="BL632" i="15" s="1"/>
  <c r="AM632" i="15"/>
  <c r="AN632" i="15" s="1"/>
  <c r="BI628" i="15"/>
  <c r="BK628" i="15" s="1"/>
  <c r="BL628" i="15" s="1"/>
  <c r="AM628" i="15"/>
  <c r="AN628" i="15" s="1"/>
  <c r="BI624" i="15"/>
  <c r="BK624" i="15" s="1"/>
  <c r="BL624" i="15" s="1"/>
  <c r="AM624" i="15"/>
  <c r="AN624" i="15" s="1"/>
  <c r="BI620" i="15"/>
  <c r="BK620" i="15" s="1"/>
  <c r="BL620" i="15" s="1"/>
  <c r="AM620" i="15"/>
  <c r="AN620" i="15" s="1"/>
  <c r="BI479" i="15"/>
  <c r="BK479" i="15" s="1"/>
  <c r="BL479" i="15" s="1"/>
  <c r="AM479" i="15"/>
  <c r="AN479" i="15" s="1"/>
  <c r="BI472" i="15"/>
  <c r="BK472" i="15" s="1"/>
  <c r="BL472" i="15" s="1"/>
  <c r="AM472" i="15"/>
  <c r="AN472" i="15" s="1"/>
  <c r="BI464" i="15"/>
  <c r="BK464" i="15" s="1"/>
  <c r="BL464" i="15" s="1"/>
  <c r="AM464" i="15"/>
  <c r="AN464" i="15" s="1"/>
  <c r="BI458" i="15"/>
  <c r="BK458" i="15" s="1"/>
  <c r="BL458" i="15" s="1"/>
  <c r="AM458" i="15"/>
  <c r="AN458" i="15" s="1"/>
  <c r="BI433" i="15"/>
  <c r="BK433" i="15" s="1"/>
  <c r="BL433" i="15" s="1"/>
  <c r="AM433" i="15"/>
  <c r="AN433" i="15" s="1"/>
  <c r="BI408" i="15"/>
  <c r="BK408" i="15" s="1"/>
  <c r="BL408" i="15" s="1"/>
  <c r="AM408" i="15"/>
  <c r="AN408" i="15" s="1"/>
  <c r="BI395" i="15"/>
  <c r="BK395" i="15" s="1"/>
  <c r="BL395" i="15" s="1"/>
  <c r="AM395" i="15"/>
  <c r="AN395" i="15" s="1"/>
  <c r="BI364" i="15"/>
  <c r="BK364" i="15" s="1"/>
  <c r="BL364" i="15" s="1"/>
  <c r="AM364" i="15"/>
  <c r="AN364" i="15" s="1"/>
  <c r="BI360" i="15"/>
  <c r="BK360" i="15" s="1"/>
  <c r="BL360" i="15" s="1"/>
  <c r="AM360" i="15"/>
  <c r="AN360" i="15" s="1"/>
  <c r="BI333" i="15"/>
  <c r="BK333" i="15" s="1"/>
  <c r="BL333" i="15" s="1"/>
  <c r="AM333" i="15"/>
  <c r="AN333" i="15" s="1"/>
  <c r="BI317" i="15"/>
  <c r="BK317" i="15" s="1"/>
  <c r="BL317" i="15" s="1"/>
  <c r="AM317" i="15"/>
  <c r="AN317" i="15" s="1"/>
  <c r="BI304" i="15"/>
  <c r="BK304" i="15" s="1"/>
  <c r="BL304" i="15" s="1"/>
  <c r="AM304" i="15"/>
  <c r="AN304" i="15" s="1"/>
  <c r="BI288" i="15"/>
  <c r="BK288" i="15" s="1"/>
  <c r="BL288" i="15" s="1"/>
  <c r="AM288" i="15"/>
  <c r="AN288" i="15" s="1"/>
  <c r="BI146" i="15"/>
  <c r="BK146" i="15" s="1"/>
  <c r="BL146" i="15" s="1"/>
  <c r="AM146" i="15"/>
  <c r="AN146" i="15" s="1"/>
  <c r="BI129" i="15"/>
  <c r="BK129" i="15" s="1"/>
  <c r="BL129" i="15" s="1"/>
  <c r="AM129" i="15"/>
  <c r="AN129" i="15" s="1"/>
  <c r="BI113" i="15"/>
  <c r="BK113" i="15" s="1"/>
  <c r="BL113" i="15" s="1"/>
  <c r="AM113" i="15"/>
  <c r="AN113" i="15" s="1"/>
  <c r="BI65" i="15"/>
  <c r="BK65" i="15" s="1"/>
  <c r="BL65" i="15" s="1"/>
  <c r="AM65" i="15"/>
  <c r="AN65" i="15" s="1"/>
  <c r="BI57" i="15"/>
  <c r="BK57" i="15" s="1"/>
  <c r="BL57" i="15" s="1"/>
  <c r="AM57" i="15"/>
  <c r="AN57" i="15" s="1"/>
  <c r="BI49" i="15"/>
  <c r="BK49" i="15" s="1"/>
  <c r="BL49" i="15" s="1"/>
  <c r="AM49" i="15"/>
  <c r="AN49" i="15" s="1"/>
  <c r="BI853" i="15"/>
  <c r="BK853" i="15" s="1"/>
  <c r="BL853" i="15" s="1"/>
  <c r="AM853" i="15"/>
  <c r="AN853" i="15" s="1"/>
  <c r="BI839" i="15"/>
  <c r="BK839" i="15" s="1"/>
  <c r="BL839" i="15" s="1"/>
  <c r="AM839" i="15"/>
  <c r="AN839" i="15" s="1"/>
  <c r="BI791" i="15"/>
  <c r="BK791" i="15" s="1"/>
  <c r="BL791" i="15" s="1"/>
  <c r="AM791" i="15"/>
  <c r="AN791" i="15" s="1"/>
  <c r="BI753" i="15"/>
  <c r="BK753" i="15" s="1"/>
  <c r="BL753" i="15" s="1"/>
  <c r="AM753" i="15"/>
  <c r="AN753" i="15" s="1"/>
  <c r="BI565" i="15"/>
  <c r="BK565" i="15" s="1"/>
  <c r="BL565" i="15" s="1"/>
  <c r="AM565" i="15"/>
  <c r="AN565" i="15" s="1"/>
  <c r="BI546" i="15"/>
  <c r="BK546" i="15" s="1"/>
  <c r="BL546" i="15" s="1"/>
  <c r="AM546" i="15"/>
  <c r="AN546" i="15" s="1"/>
  <c r="BI538" i="15"/>
  <c r="BK538" i="15" s="1"/>
  <c r="BL538" i="15" s="1"/>
  <c r="AM538" i="15"/>
  <c r="AN538" i="15" s="1"/>
  <c r="BI529" i="15"/>
  <c r="BK529" i="15" s="1"/>
  <c r="BL529" i="15" s="1"/>
  <c r="AM529" i="15"/>
  <c r="AN529" i="15" s="1"/>
  <c r="BI508" i="15"/>
  <c r="BK508" i="15" s="1"/>
  <c r="BL508" i="15" s="1"/>
  <c r="AM508" i="15"/>
  <c r="AN508" i="15" s="1"/>
  <c r="BI504" i="15"/>
  <c r="BK504" i="15" s="1"/>
  <c r="BL504" i="15" s="1"/>
  <c r="AM504" i="15"/>
  <c r="AN504" i="15" s="1"/>
  <c r="BI234" i="15"/>
  <c r="BK234" i="15" s="1"/>
  <c r="BL234" i="15" s="1"/>
  <c r="AM234" i="15"/>
  <c r="AN234" i="15" s="1"/>
  <c r="BI217" i="15"/>
  <c r="BK217" i="15" s="1"/>
  <c r="BL217" i="15" s="1"/>
  <c r="AM217" i="15"/>
  <c r="AN217" i="15" s="1"/>
  <c r="BI213" i="15"/>
  <c r="BK213" i="15" s="1"/>
  <c r="BL213" i="15" s="1"/>
  <c r="AM213" i="15"/>
  <c r="AN213" i="15" s="1"/>
  <c r="BI196" i="15"/>
  <c r="BK196" i="15" s="1"/>
  <c r="BL196" i="15" s="1"/>
  <c r="AM196" i="15"/>
  <c r="AN196" i="15" s="1"/>
  <c r="BI180" i="15"/>
  <c r="BK180" i="15" s="1"/>
  <c r="BL180" i="15" s="1"/>
  <c r="AM180" i="15"/>
  <c r="AN180" i="15" s="1"/>
  <c r="BI165" i="15"/>
  <c r="BK165" i="15" s="1"/>
  <c r="BL165" i="15" s="1"/>
  <c r="AM165" i="15"/>
  <c r="AN165" i="15" s="1"/>
  <c r="BI28" i="15"/>
  <c r="BK28" i="15" s="1"/>
  <c r="BL28" i="15" s="1"/>
  <c r="AM28" i="15"/>
  <c r="AN28" i="15" s="1"/>
  <c r="BI20" i="15"/>
  <c r="BK20" i="15" s="1"/>
  <c r="BL20" i="15" s="1"/>
  <c r="AM20" i="15"/>
  <c r="AN20" i="15" s="1"/>
  <c r="BI898" i="15"/>
  <c r="BK898" i="15" s="1"/>
  <c r="BL898" i="15" s="1"/>
  <c r="AM898" i="15"/>
  <c r="AN898" i="15" s="1"/>
  <c r="AI347" i="15"/>
  <c r="BI741" i="15"/>
  <c r="BK741" i="15" s="1"/>
  <c r="BL741" i="15" s="1"/>
  <c r="AM741" i="15"/>
  <c r="AN741" i="15" s="1"/>
  <c r="BI731" i="15"/>
  <c r="BK731" i="15" s="1"/>
  <c r="BL731" i="15" s="1"/>
  <c r="AM731" i="15"/>
  <c r="AN731" i="15" s="1"/>
  <c r="BI727" i="15"/>
  <c r="BK727" i="15" s="1"/>
  <c r="BL727" i="15" s="1"/>
  <c r="AM727" i="15"/>
  <c r="AN727" i="15" s="1"/>
  <c r="BI714" i="15"/>
  <c r="BK714" i="15" s="1"/>
  <c r="BL714" i="15" s="1"/>
  <c r="AM714" i="15"/>
  <c r="AN714" i="15" s="1"/>
  <c r="BI712" i="15"/>
  <c r="BK712" i="15" s="1"/>
  <c r="BL712" i="15" s="1"/>
  <c r="AM712" i="15"/>
  <c r="AN712" i="15" s="1"/>
  <c r="BI708" i="15"/>
  <c r="BK708" i="15" s="1"/>
  <c r="BL708" i="15" s="1"/>
  <c r="AM708" i="15"/>
  <c r="AN708" i="15" s="1"/>
  <c r="BI704" i="15"/>
  <c r="BK704" i="15" s="1"/>
  <c r="BL704" i="15" s="1"/>
  <c r="AM704" i="15"/>
  <c r="AN704" i="15" s="1"/>
  <c r="BI693" i="15"/>
  <c r="BK693" i="15" s="1"/>
  <c r="BL693" i="15" s="1"/>
  <c r="AM693" i="15"/>
  <c r="AN693" i="15" s="1"/>
  <c r="BI685" i="15"/>
  <c r="BK685" i="15" s="1"/>
  <c r="BL685" i="15" s="1"/>
  <c r="AM685" i="15"/>
  <c r="AN685" i="15" s="1"/>
  <c r="BI677" i="15"/>
  <c r="BK677" i="15" s="1"/>
  <c r="BL677" i="15" s="1"/>
  <c r="AM677" i="15"/>
  <c r="AN677" i="15" s="1"/>
  <c r="BI666" i="15"/>
  <c r="BK666" i="15" s="1"/>
  <c r="BL666" i="15" s="1"/>
  <c r="AM666" i="15"/>
  <c r="AN666" i="15" s="1"/>
  <c r="BI664" i="15"/>
  <c r="BK664" i="15" s="1"/>
  <c r="BL664" i="15" s="1"/>
  <c r="AM664" i="15"/>
  <c r="AN664" i="15" s="1"/>
  <c r="BI658" i="15"/>
  <c r="BK658" i="15" s="1"/>
  <c r="BL658" i="15" s="1"/>
  <c r="AM658" i="15"/>
  <c r="AN658" i="15" s="1"/>
  <c r="BI640" i="15"/>
  <c r="BK640" i="15" s="1"/>
  <c r="BL640" i="15" s="1"/>
  <c r="AM640" i="15"/>
  <c r="AN640" i="15" s="1"/>
  <c r="BI631" i="15"/>
  <c r="BK631" i="15" s="1"/>
  <c r="BL631" i="15" s="1"/>
  <c r="AM631" i="15"/>
  <c r="AN631" i="15" s="1"/>
  <c r="BI623" i="15"/>
  <c r="BK623" i="15" s="1"/>
  <c r="BL623" i="15" s="1"/>
  <c r="AM623" i="15"/>
  <c r="AN623" i="15" s="1"/>
  <c r="BI615" i="15"/>
  <c r="BK615" i="15" s="1"/>
  <c r="BL615" i="15" s="1"/>
  <c r="AM615" i="15"/>
  <c r="AN615" i="15" s="1"/>
  <c r="BI607" i="15"/>
  <c r="BK607" i="15" s="1"/>
  <c r="BL607" i="15" s="1"/>
  <c r="AM607" i="15"/>
  <c r="AN607" i="15" s="1"/>
  <c r="BI484" i="15"/>
  <c r="BK484" i="15" s="1"/>
  <c r="BL484" i="15" s="1"/>
  <c r="AM484" i="15"/>
  <c r="AN484" i="15" s="1"/>
  <c r="BI476" i="15"/>
  <c r="BK476" i="15" s="1"/>
  <c r="BL476" i="15" s="1"/>
  <c r="AM476" i="15"/>
  <c r="AN476" i="15" s="1"/>
  <c r="BI455" i="15"/>
  <c r="BK455" i="15" s="1"/>
  <c r="BL455" i="15" s="1"/>
  <c r="AM455" i="15"/>
  <c r="AN455" i="15" s="1"/>
  <c r="BI451" i="15"/>
  <c r="BK451" i="15" s="1"/>
  <c r="BL451" i="15" s="1"/>
  <c r="AM451" i="15"/>
  <c r="AN451" i="15" s="1"/>
  <c r="BI401" i="15"/>
  <c r="BK401" i="15" s="1"/>
  <c r="BL401" i="15" s="1"/>
  <c r="AM401" i="15"/>
  <c r="AN401" i="15" s="1"/>
  <c r="BI392" i="15"/>
  <c r="BK392" i="15" s="1"/>
  <c r="BL392" i="15" s="1"/>
  <c r="AM392" i="15"/>
  <c r="AN392" i="15" s="1"/>
  <c r="BI379" i="15"/>
  <c r="BK379" i="15" s="1"/>
  <c r="BL379" i="15" s="1"/>
  <c r="AM379" i="15"/>
  <c r="AN379" i="15" s="1"/>
  <c r="BI371" i="15"/>
  <c r="BK371" i="15" s="1"/>
  <c r="BL371" i="15" s="1"/>
  <c r="AM371" i="15"/>
  <c r="AN371" i="15" s="1"/>
  <c r="BI363" i="15"/>
  <c r="BK363" i="15" s="1"/>
  <c r="BL363" i="15" s="1"/>
  <c r="AM363" i="15"/>
  <c r="AN363" i="15" s="1"/>
  <c r="BI338" i="15"/>
  <c r="BK338" i="15" s="1"/>
  <c r="BL338" i="15" s="1"/>
  <c r="AM338" i="15"/>
  <c r="AN338" i="15" s="1"/>
  <c r="BI334" i="15"/>
  <c r="BK334" i="15" s="1"/>
  <c r="BL334" i="15" s="1"/>
  <c r="AM334" i="15"/>
  <c r="AN334" i="15" s="1"/>
  <c r="BI330" i="15"/>
  <c r="BK330" i="15" s="1"/>
  <c r="BL330" i="15" s="1"/>
  <c r="AM330" i="15"/>
  <c r="AN330" i="15" s="1"/>
  <c r="BI326" i="15"/>
  <c r="BK326" i="15" s="1"/>
  <c r="BL326" i="15" s="1"/>
  <c r="AM326" i="15"/>
  <c r="AN326" i="15" s="1"/>
  <c r="BI322" i="15"/>
  <c r="BK322" i="15" s="1"/>
  <c r="BL322" i="15" s="1"/>
  <c r="AM322" i="15"/>
  <c r="AN322" i="15" s="1"/>
  <c r="BI318" i="15"/>
  <c r="BK318" i="15" s="1"/>
  <c r="BL318" i="15" s="1"/>
  <c r="AM318" i="15"/>
  <c r="AN318" i="15" s="1"/>
  <c r="BI311" i="15"/>
  <c r="BK311" i="15" s="1"/>
  <c r="BL311" i="15" s="1"/>
  <c r="AM311" i="15"/>
  <c r="AN311" i="15" s="1"/>
  <c r="BI303" i="15"/>
  <c r="BK303" i="15" s="1"/>
  <c r="BL303" i="15" s="1"/>
  <c r="AM303" i="15"/>
  <c r="AN303" i="15" s="1"/>
  <c r="BI297" i="15"/>
  <c r="BK297" i="15" s="1"/>
  <c r="BL297" i="15" s="1"/>
  <c r="AM297" i="15"/>
  <c r="AN297" i="15" s="1"/>
  <c r="BI293" i="15"/>
  <c r="BK293" i="15" s="1"/>
  <c r="BL293" i="15" s="1"/>
  <c r="AM293" i="15"/>
  <c r="AN293" i="15" s="1"/>
  <c r="BI289" i="15"/>
  <c r="BK289" i="15" s="1"/>
  <c r="BL289" i="15" s="1"/>
  <c r="AM289" i="15"/>
  <c r="AN289" i="15" s="1"/>
  <c r="BI274" i="15"/>
  <c r="BK274" i="15" s="1"/>
  <c r="BL274" i="15" s="1"/>
  <c r="AM274" i="15"/>
  <c r="AN274" i="15" s="1"/>
  <c r="BI266" i="15"/>
  <c r="BK266" i="15" s="1"/>
  <c r="BL266" i="15" s="1"/>
  <c r="AM266" i="15"/>
  <c r="AN266" i="15" s="1"/>
  <c r="BI261" i="15"/>
  <c r="BK261" i="15" s="1"/>
  <c r="BL261" i="15" s="1"/>
  <c r="AM261" i="15"/>
  <c r="AN261" i="15" s="1"/>
  <c r="BI143" i="15"/>
  <c r="BK143" i="15" s="1"/>
  <c r="BL143" i="15" s="1"/>
  <c r="AM143" i="15"/>
  <c r="AN143" i="15" s="1"/>
  <c r="BI139" i="15"/>
  <c r="BK139" i="15" s="1"/>
  <c r="BL139" i="15" s="1"/>
  <c r="AM139" i="15"/>
  <c r="AN139" i="15" s="1"/>
  <c r="BI135" i="15"/>
  <c r="BK135" i="15" s="1"/>
  <c r="BL135" i="15" s="1"/>
  <c r="AM135" i="15"/>
  <c r="AN135" i="15" s="1"/>
  <c r="BI99" i="15"/>
  <c r="BK99" i="15" s="1"/>
  <c r="BL99" i="15" s="1"/>
  <c r="AM99" i="15"/>
  <c r="AN99" i="15" s="1"/>
  <c r="BI91" i="15"/>
  <c r="BK91" i="15" s="1"/>
  <c r="BL91" i="15" s="1"/>
  <c r="AM91" i="15"/>
  <c r="AN91" i="15" s="1"/>
  <c r="BI80" i="15"/>
  <c r="BK80" i="15" s="1"/>
  <c r="BL80" i="15" s="1"/>
  <c r="AM80" i="15"/>
  <c r="AN80" i="15" s="1"/>
  <c r="BI72" i="15"/>
  <c r="BK72" i="15" s="1"/>
  <c r="BL72" i="15" s="1"/>
  <c r="AM72" i="15"/>
  <c r="AN72" i="15" s="1"/>
  <c r="BI60" i="15"/>
  <c r="BK60" i="15" s="1"/>
  <c r="BL60" i="15" s="1"/>
  <c r="AM60" i="15"/>
  <c r="AN60" i="15" s="1"/>
  <c r="BI52" i="15"/>
  <c r="BK52" i="15" s="1"/>
  <c r="BL52" i="15" s="1"/>
  <c r="AM52" i="15"/>
  <c r="AN52" i="15" s="1"/>
  <c r="BI690" i="15"/>
  <c r="BK690" i="15" s="1"/>
  <c r="BL690" i="15" s="1"/>
  <c r="AM690" i="15"/>
  <c r="AN690" i="15" s="1"/>
  <c r="BI686" i="15"/>
  <c r="BK686" i="15" s="1"/>
  <c r="BL686" i="15" s="1"/>
  <c r="AM686" i="15"/>
  <c r="AN686" i="15" s="1"/>
  <c r="BI674" i="15"/>
  <c r="BK674" i="15" s="1"/>
  <c r="BL674" i="15" s="1"/>
  <c r="AM674" i="15"/>
  <c r="AN674" i="15" s="1"/>
  <c r="BI634" i="15"/>
  <c r="BK634" i="15" s="1"/>
  <c r="BL634" i="15" s="1"/>
  <c r="AM634" i="15"/>
  <c r="AN634" i="15" s="1"/>
  <c r="BI483" i="15"/>
  <c r="BK483" i="15" s="1"/>
  <c r="BL483" i="15" s="1"/>
  <c r="AM483" i="15"/>
  <c r="AN483" i="15" s="1"/>
  <c r="BI435" i="15"/>
  <c r="BK435" i="15" s="1"/>
  <c r="BL435" i="15" s="1"/>
  <c r="AM435" i="15"/>
  <c r="AN435" i="15" s="1"/>
  <c r="BI431" i="15"/>
  <c r="BK431" i="15" s="1"/>
  <c r="BL431" i="15" s="1"/>
  <c r="AM431" i="15"/>
  <c r="AN431" i="15" s="1"/>
  <c r="BI410" i="15"/>
  <c r="BK410" i="15" s="1"/>
  <c r="BL410" i="15" s="1"/>
  <c r="AM410" i="15"/>
  <c r="AN410" i="15" s="1"/>
  <c r="BI398" i="15"/>
  <c r="BK398" i="15" s="1"/>
  <c r="BL398" i="15" s="1"/>
  <c r="AM398" i="15"/>
  <c r="AN398" i="15" s="1"/>
  <c r="BI393" i="15"/>
  <c r="BK393" i="15" s="1"/>
  <c r="BL393" i="15" s="1"/>
  <c r="AM393" i="15"/>
  <c r="AN393" i="15" s="1"/>
  <c r="BI352" i="15"/>
  <c r="BK352" i="15" s="1"/>
  <c r="BL352" i="15" s="1"/>
  <c r="AM352" i="15"/>
  <c r="AN352" i="15" s="1"/>
  <c r="BI331" i="15"/>
  <c r="BK331" i="15" s="1"/>
  <c r="BL331" i="15" s="1"/>
  <c r="AM331" i="15"/>
  <c r="AN331" i="15" s="1"/>
  <c r="BI310" i="15"/>
  <c r="BK310" i="15" s="1"/>
  <c r="BL310" i="15" s="1"/>
  <c r="AM310" i="15"/>
  <c r="AN310" i="15" s="1"/>
  <c r="BI294" i="15"/>
  <c r="BK294" i="15" s="1"/>
  <c r="BL294" i="15" s="1"/>
  <c r="AM294" i="15"/>
  <c r="AN294" i="15" s="1"/>
  <c r="BI277" i="15"/>
  <c r="BK277" i="15" s="1"/>
  <c r="BL277" i="15" s="1"/>
  <c r="AM277" i="15"/>
  <c r="AN277" i="15" s="1"/>
  <c r="BI142" i="15"/>
  <c r="BK142" i="15" s="1"/>
  <c r="BL142" i="15" s="1"/>
  <c r="AM142" i="15"/>
  <c r="AN142" i="15" s="1"/>
  <c r="BI123" i="15"/>
  <c r="BK123" i="15" s="1"/>
  <c r="BL123" i="15" s="1"/>
  <c r="AM123" i="15"/>
  <c r="AN123" i="15" s="1"/>
  <c r="BI107" i="15"/>
  <c r="BK107" i="15" s="1"/>
  <c r="BL107" i="15" s="1"/>
  <c r="AM107" i="15"/>
  <c r="AN107" i="15" s="1"/>
  <c r="BI41" i="15"/>
  <c r="BK41" i="15" s="1"/>
  <c r="BL41" i="15" s="1"/>
  <c r="AM41" i="15"/>
  <c r="AN41" i="15" s="1"/>
  <c r="BI892" i="15"/>
  <c r="BK892" i="15" s="1"/>
  <c r="BL892" i="15" s="1"/>
  <c r="AM892" i="15"/>
  <c r="AN892" i="15" s="1"/>
  <c r="BI886" i="15"/>
  <c r="BK886" i="15" s="1"/>
  <c r="BL886" i="15" s="1"/>
  <c r="AM886" i="15"/>
  <c r="AN886" i="15" s="1"/>
  <c r="BI880" i="15"/>
  <c r="BK880" i="15" s="1"/>
  <c r="BL880" i="15" s="1"/>
  <c r="AM880" i="15"/>
  <c r="AN880" i="15" s="1"/>
  <c r="BI868" i="15"/>
  <c r="BK868" i="15" s="1"/>
  <c r="BL868" i="15" s="1"/>
  <c r="AM868" i="15"/>
  <c r="AN868" i="15" s="1"/>
  <c r="BI855" i="15"/>
  <c r="BK855" i="15" s="1"/>
  <c r="BL855" i="15" s="1"/>
  <c r="AM855" i="15"/>
  <c r="AN855" i="15" s="1"/>
  <c r="BI837" i="15"/>
  <c r="BK837" i="15" s="1"/>
  <c r="BL837" i="15" s="1"/>
  <c r="AM837" i="15"/>
  <c r="AN837" i="15" s="1"/>
  <c r="BI824" i="15"/>
  <c r="BK824" i="15" s="1"/>
  <c r="BL824" i="15" s="1"/>
  <c r="AM824" i="15"/>
  <c r="AN824" i="15" s="1"/>
  <c r="BI822" i="15"/>
  <c r="BK822" i="15" s="1"/>
  <c r="BL822" i="15" s="1"/>
  <c r="AM822" i="15"/>
  <c r="AN822" i="15" s="1"/>
  <c r="BI816" i="15"/>
  <c r="BK816" i="15" s="1"/>
  <c r="BL816" i="15" s="1"/>
  <c r="AM816" i="15"/>
  <c r="AN816" i="15" s="1"/>
  <c r="BI814" i="15"/>
  <c r="AM814" i="15"/>
  <c r="AN814" i="15" s="1"/>
  <c r="BI807" i="15"/>
  <c r="BK807" i="15" s="1"/>
  <c r="BL807" i="15" s="1"/>
  <c r="AM807" i="15"/>
  <c r="AN807" i="15" s="1"/>
  <c r="BI803" i="15"/>
  <c r="BK803" i="15" s="1"/>
  <c r="BL803" i="15" s="1"/>
  <c r="AM803" i="15"/>
  <c r="AN803" i="15" s="1"/>
  <c r="BI789" i="15"/>
  <c r="BK789" i="15" s="1"/>
  <c r="BL789" i="15" s="1"/>
  <c r="AM789" i="15"/>
  <c r="AN789" i="15" s="1"/>
  <c r="BI780" i="15"/>
  <c r="BK780" i="15" s="1"/>
  <c r="BL780" i="15" s="1"/>
  <c r="AM780" i="15"/>
  <c r="AN780" i="15" s="1"/>
  <c r="BI776" i="15"/>
  <c r="BK776" i="15" s="1"/>
  <c r="BL776" i="15" s="1"/>
  <c r="AM776" i="15"/>
  <c r="AN776" i="15" s="1"/>
  <c r="BI768" i="15"/>
  <c r="BK768" i="15" s="1"/>
  <c r="BL768" i="15" s="1"/>
  <c r="AM768" i="15"/>
  <c r="AN768" i="15" s="1"/>
  <c r="BI596" i="15"/>
  <c r="BK596" i="15" s="1"/>
  <c r="BL596" i="15" s="1"/>
  <c r="AM596" i="15"/>
  <c r="AN596" i="15" s="1"/>
  <c r="BI594" i="15"/>
  <c r="BK594" i="15" s="1"/>
  <c r="BL594" i="15" s="1"/>
  <c r="AM594" i="15"/>
  <c r="AN594" i="15" s="1"/>
  <c r="BI588" i="15"/>
  <c r="BK588" i="15" s="1"/>
  <c r="BL588" i="15" s="1"/>
  <c r="AM588" i="15"/>
  <c r="AN588" i="15" s="1"/>
  <c r="BI586" i="15"/>
  <c r="BK586" i="15" s="1"/>
  <c r="BL586" i="15" s="1"/>
  <c r="AM586" i="15"/>
  <c r="AN586" i="15" s="1"/>
  <c r="BI580" i="15"/>
  <c r="BK580" i="15" s="1"/>
  <c r="BL580" i="15" s="1"/>
  <c r="AM580" i="15"/>
  <c r="AN580" i="15" s="1"/>
  <c r="BI578" i="15"/>
  <c r="AM578" i="15"/>
  <c r="AN578" i="15" s="1"/>
  <c r="BI563" i="15"/>
  <c r="BK563" i="15" s="1"/>
  <c r="BL563" i="15" s="1"/>
  <c r="AM563" i="15"/>
  <c r="AN563" i="15" s="1"/>
  <c r="BI544" i="15"/>
  <c r="BK544" i="15" s="1"/>
  <c r="BL544" i="15" s="1"/>
  <c r="AM544" i="15"/>
  <c r="AN544" i="15" s="1"/>
  <c r="BI523" i="15"/>
  <c r="BK523" i="15" s="1"/>
  <c r="BL523" i="15" s="1"/>
  <c r="AM523" i="15"/>
  <c r="AN523" i="15" s="1"/>
  <c r="BI506" i="15"/>
  <c r="BK506" i="15" s="1"/>
  <c r="BL506" i="15" s="1"/>
  <c r="AM506" i="15"/>
  <c r="AN506" i="15" s="1"/>
  <c r="BI498" i="15"/>
  <c r="BK498" i="15" s="1"/>
  <c r="BL498" i="15" s="1"/>
  <c r="AM498" i="15"/>
  <c r="AN498" i="15" s="1"/>
  <c r="BI251" i="15"/>
  <c r="BK251" i="15" s="1"/>
  <c r="BL251" i="15" s="1"/>
  <c r="AM251" i="15"/>
  <c r="AN251" i="15" s="1"/>
  <c r="BI247" i="15"/>
  <c r="BK247" i="15" s="1"/>
  <c r="BL247" i="15" s="1"/>
  <c r="AM247" i="15"/>
  <c r="AN247" i="15" s="1"/>
  <c r="BI232" i="15"/>
  <c r="BK232" i="15" s="1"/>
  <c r="BL232" i="15" s="1"/>
  <c r="AM232" i="15"/>
  <c r="AN232" i="15" s="1"/>
  <c r="BI227" i="15"/>
  <c r="BK227" i="15" s="1"/>
  <c r="BL227" i="15" s="1"/>
  <c r="AM227" i="15"/>
  <c r="AN227" i="15" s="1"/>
  <c r="BI211" i="15"/>
  <c r="BK211" i="15" s="1"/>
  <c r="BL211" i="15" s="1"/>
  <c r="AM211" i="15"/>
  <c r="AN211" i="15" s="1"/>
  <c r="BI190" i="15"/>
  <c r="BK190" i="15" s="1"/>
  <c r="BL190" i="15" s="1"/>
  <c r="AM190" i="15"/>
  <c r="AN190" i="15" s="1"/>
  <c r="BI173" i="15"/>
  <c r="BK173" i="15" s="1"/>
  <c r="BL173" i="15" s="1"/>
  <c r="AM173" i="15"/>
  <c r="AN173" i="15" s="1"/>
  <c r="BI155" i="15"/>
  <c r="BK155" i="15" s="1"/>
  <c r="BL155" i="15" s="1"/>
  <c r="AM155" i="15"/>
  <c r="AN155" i="15" s="1"/>
  <c r="BI897" i="15"/>
  <c r="BK897" i="15" s="1"/>
  <c r="BL897" i="15" s="1"/>
  <c r="AM897" i="15"/>
  <c r="AN897" i="15" s="1"/>
  <c r="BI889" i="15"/>
  <c r="BK889" i="15" s="1"/>
  <c r="BL889" i="15" s="1"/>
  <c r="AM889" i="15"/>
  <c r="AN889" i="15" s="1"/>
  <c r="BI881" i="15"/>
  <c r="BK881" i="15" s="1"/>
  <c r="BL881" i="15" s="1"/>
  <c r="AM881" i="15"/>
  <c r="AN881" i="15" s="1"/>
  <c r="BI873" i="15"/>
  <c r="BK873" i="15" s="1"/>
  <c r="BL873" i="15" s="1"/>
  <c r="AM873" i="15"/>
  <c r="AN873" i="15" s="1"/>
  <c r="BI856" i="15"/>
  <c r="BK856" i="15" s="1"/>
  <c r="BL856" i="15" s="1"/>
  <c r="AM856" i="15"/>
  <c r="AN856" i="15" s="1"/>
  <c r="BI854" i="15"/>
  <c r="BK854" i="15" s="1"/>
  <c r="BL854" i="15" s="1"/>
  <c r="AM854" i="15"/>
  <c r="AN854" i="15" s="1"/>
  <c r="BI850" i="15"/>
  <c r="BK850" i="15" s="1"/>
  <c r="BL850" i="15" s="1"/>
  <c r="AM850" i="15"/>
  <c r="AN850" i="15" s="1"/>
  <c r="BI836" i="15"/>
  <c r="BK836" i="15" s="1"/>
  <c r="BL836" i="15" s="1"/>
  <c r="AM836" i="15"/>
  <c r="AN836" i="15" s="1"/>
  <c r="BI834" i="15"/>
  <c r="BK834" i="15" s="1"/>
  <c r="BL834" i="15" s="1"/>
  <c r="AM834" i="15"/>
  <c r="AN834" i="15" s="1"/>
  <c r="BI825" i="15"/>
  <c r="BK825" i="15" s="1"/>
  <c r="BL825" i="15" s="1"/>
  <c r="AM825" i="15"/>
  <c r="AN825" i="15" s="1"/>
  <c r="BI817" i="15"/>
  <c r="BK817" i="15" s="1"/>
  <c r="BL817" i="15" s="1"/>
  <c r="AM817" i="15"/>
  <c r="AN817" i="15" s="1"/>
  <c r="BI806" i="15"/>
  <c r="BK806" i="15" s="1"/>
  <c r="BL806" i="15" s="1"/>
  <c r="AM806" i="15"/>
  <c r="AN806" i="15" s="1"/>
  <c r="BI790" i="15"/>
  <c r="BK790" i="15" s="1"/>
  <c r="BL790" i="15" s="1"/>
  <c r="AM790" i="15"/>
  <c r="AN790" i="15" s="1"/>
  <c r="BI781" i="15"/>
  <c r="BK781" i="15" s="1"/>
  <c r="BL781" i="15" s="1"/>
  <c r="AM781" i="15"/>
  <c r="AN781" i="15" s="1"/>
  <c r="BI775" i="15"/>
  <c r="BK775" i="15" s="1"/>
  <c r="BL775" i="15" s="1"/>
  <c r="AM775" i="15"/>
  <c r="AN775" i="15" s="1"/>
  <c r="BI769" i="15"/>
  <c r="BK769" i="15" s="1"/>
  <c r="BL769" i="15" s="1"/>
  <c r="AM769" i="15"/>
  <c r="AN769" i="15" s="1"/>
  <c r="BI760" i="15"/>
  <c r="BK760" i="15" s="1"/>
  <c r="BL760" i="15" s="1"/>
  <c r="AM760" i="15"/>
  <c r="AN760" i="15" s="1"/>
  <c r="BI748" i="15"/>
  <c r="BK748" i="15" s="1"/>
  <c r="BL748" i="15" s="1"/>
  <c r="AM748" i="15"/>
  <c r="AN748" i="15" s="1"/>
  <c r="BI597" i="15"/>
  <c r="BK597" i="15" s="1"/>
  <c r="BL597" i="15" s="1"/>
  <c r="AM597" i="15"/>
  <c r="AN597" i="15" s="1"/>
  <c r="BI589" i="15"/>
  <c r="BK589" i="15" s="1"/>
  <c r="BL589" i="15" s="1"/>
  <c r="AM589" i="15"/>
  <c r="AN589" i="15" s="1"/>
  <c r="BI581" i="15"/>
  <c r="BK581" i="15" s="1"/>
  <c r="BL581" i="15" s="1"/>
  <c r="AM581" i="15"/>
  <c r="AN581" i="15" s="1"/>
  <c r="BI554" i="15"/>
  <c r="BK554" i="15" s="1"/>
  <c r="BL554" i="15" s="1"/>
  <c r="AM554" i="15"/>
  <c r="AN554" i="15" s="1"/>
  <c r="BI541" i="15"/>
  <c r="BK541" i="15" s="1"/>
  <c r="BL541" i="15" s="1"/>
  <c r="AM541" i="15"/>
  <c r="AN541" i="15" s="1"/>
  <c r="BI528" i="15"/>
  <c r="BK528" i="15" s="1"/>
  <c r="BL528" i="15" s="1"/>
  <c r="AM528" i="15"/>
  <c r="AN528" i="15" s="1"/>
  <c r="BI526" i="15"/>
  <c r="BK526" i="15" s="1"/>
  <c r="BL526" i="15" s="1"/>
  <c r="AM526" i="15"/>
  <c r="AN526" i="15" s="1"/>
  <c r="BI497" i="15"/>
  <c r="BK497" i="15" s="1"/>
  <c r="BL497" i="15" s="1"/>
  <c r="AM497" i="15"/>
  <c r="AN497" i="15" s="1"/>
  <c r="BI254" i="15"/>
  <c r="BK254" i="15" s="1"/>
  <c r="BL254" i="15" s="1"/>
  <c r="AM254" i="15"/>
  <c r="AN254" i="15" s="1"/>
  <c r="BI246" i="15"/>
  <c r="BK246" i="15" s="1"/>
  <c r="BL246" i="15" s="1"/>
  <c r="AM246" i="15"/>
  <c r="AN246" i="15" s="1"/>
  <c r="BI241" i="15"/>
  <c r="BK241" i="15" s="1"/>
  <c r="BL241" i="15" s="1"/>
  <c r="AM241" i="15"/>
  <c r="AN241" i="15" s="1"/>
  <c r="BI237" i="15"/>
  <c r="BK237" i="15" s="1"/>
  <c r="BL237" i="15" s="1"/>
  <c r="AM237" i="15"/>
  <c r="AN237" i="15" s="1"/>
  <c r="BI235" i="15"/>
  <c r="BK235" i="15" s="1"/>
  <c r="BL235" i="15" s="1"/>
  <c r="AM235" i="15"/>
  <c r="AN235" i="15" s="1"/>
  <c r="BI222" i="15"/>
  <c r="BK222" i="15" s="1"/>
  <c r="BL222" i="15" s="1"/>
  <c r="AM222" i="15"/>
  <c r="AN222" i="15" s="1"/>
  <c r="BI214" i="15"/>
  <c r="BK214" i="15" s="1"/>
  <c r="BL214" i="15" s="1"/>
  <c r="AM214" i="15"/>
  <c r="AN214" i="15" s="1"/>
  <c r="BI204" i="15"/>
  <c r="BK204" i="15" s="1"/>
  <c r="BL204" i="15" s="1"/>
  <c r="AM204" i="15"/>
  <c r="AN204" i="15" s="1"/>
  <c r="BI185" i="15"/>
  <c r="BK185" i="15" s="1"/>
  <c r="BL185" i="15" s="1"/>
  <c r="AM185" i="15"/>
  <c r="AN185" i="15" s="1"/>
  <c r="BI179" i="15"/>
  <c r="BK179" i="15" s="1"/>
  <c r="BL179" i="15" s="1"/>
  <c r="AM179" i="15"/>
  <c r="AN179" i="15" s="1"/>
  <c r="BI174" i="15"/>
  <c r="BK174" i="15" s="1"/>
  <c r="BL174" i="15" s="1"/>
  <c r="AM174" i="15"/>
  <c r="AN174" i="15" s="1"/>
  <c r="BI164" i="15"/>
  <c r="BK164" i="15" s="1"/>
  <c r="BL164" i="15" s="1"/>
  <c r="AM164" i="15"/>
  <c r="AN164" i="15" s="1"/>
  <c r="BI158" i="15"/>
  <c r="BK158" i="15" s="1"/>
  <c r="BL158" i="15" s="1"/>
  <c r="AM158" i="15"/>
  <c r="AN158" i="15" s="1"/>
  <c r="BI27" i="15"/>
  <c r="BK27" i="15" s="1"/>
  <c r="BL27" i="15" s="1"/>
  <c r="AM27" i="15"/>
  <c r="AN27" i="15" s="1"/>
  <c r="BI19" i="15"/>
  <c r="BK19" i="15" s="1"/>
  <c r="BL19" i="15" s="1"/>
  <c r="AM19" i="15"/>
  <c r="AN19" i="15" s="1"/>
  <c r="BI13" i="15"/>
  <c r="BK13" i="15" s="1"/>
  <c r="BL13" i="15" s="1"/>
  <c r="AM13" i="15"/>
  <c r="AN13" i="15" s="1"/>
  <c r="BI722" i="15"/>
  <c r="BK722" i="15" s="1"/>
  <c r="BL722" i="15" s="1"/>
  <c r="AM722" i="15"/>
  <c r="AN722" i="15" s="1"/>
  <c r="BI720" i="15"/>
  <c r="BK720" i="15" s="1"/>
  <c r="BL720" i="15" s="1"/>
  <c r="AM720" i="15"/>
  <c r="AN720" i="15" s="1"/>
  <c r="BI692" i="15"/>
  <c r="BK692" i="15" s="1"/>
  <c r="BL692" i="15" s="1"/>
  <c r="AM692" i="15"/>
  <c r="AN692" i="15" s="1"/>
  <c r="BI684" i="15"/>
  <c r="BK684" i="15" s="1"/>
  <c r="BL684" i="15" s="1"/>
  <c r="AM684" i="15"/>
  <c r="AN684" i="15" s="1"/>
  <c r="BI676" i="15"/>
  <c r="BK676" i="15" s="1"/>
  <c r="BL676" i="15" s="1"/>
  <c r="AM676" i="15"/>
  <c r="AN676" i="15" s="1"/>
  <c r="BI672" i="15"/>
  <c r="BK672" i="15" s="1"/>
  <c r="BL672" i="15" s="1"/>
  <c r="AM672" i="15"/>
  <c r="AN672" i="15" s="1"/>
  <c r="BI663" i="15"/>
  <c r="BK663" i="15" s="1"/>
  <c r="BL663" i="15" s="1"/>
  <c r="AM663" i="15"/>
  <c r="AN663" i="15" s="1"/>
  <c r="BI645" i="15"/>
  <c r="BK645" i="15" s="1"/>
  <c r="BL645" i="15" s="1"/>
  <c r="AM645" i="15"/>
  <c r="AN645" i="15" s="1"/>
  <c r="BI630" i="15"/>
  <c r="BK630" i="15" s="1"/>
  <c r="BL630" i="15" s="1"/>
  <c r="AM630" i="15"/>
  <c r="AN630" i="15" s="1"/>
  <c r="BI622" i="15"/>
  <c r="BK622" i="15" s="1"/>
  <c r="BL622" i="15" s="1"/>
  <c r="AM622" i="15"/>
  <c r="AN622" i="15" s="1"/>
  <c r="BI612" i="15"/>
  <c r="BK612" i="15" s="1"/>
  <c r="BL612" i="15" s="1"/>
  <c r="AM612" i="15"/>
  <c r="AN612" i="15" s="1"/>
  <c r="BI608" i="15"/>
  <c r="BK608" i="15" s="1"/>
  <c r="BL608" i="15" s="1"/>
  <c r="AM608" i="15"/>
  <c r="AN608" i="15" s="1"/>
  <c r="BI489" i="15"/>
  <c r="BK489" i="15" s="1"/>
  <c r="BL489" i="15" s="1"/>
  <c r="AM489" i="15"/>
  <c r="AN489" i="15" s="1"/>
  <c r="BI466" i="15"/>
  <c r="BK466" i="15" s="1"/>
  <c r="BL466" i="15" s="1"/>
  <c r="AM466" i="15"/>
  <c r="AN466" i="15" s="1"/>
  <c r="BI452" i="15"/>
  <c r="BK452" i="15" s="1"/>
  <c r="BL452" i="15" s="1"/>
  <c r="AM452" i="15"/>
  <c r="AN452" i="15" s="1"/>
  <c r="BI437" i="15"/>
  <c r="BK437" i="15" s="1"/>
  <c r="BL437" i="15" s="1"/>
  <c r="AM437" i="15"/>
  <c r="AN437" i="15" s="1"/>
  <c r="BI422" i="15"/>
  <c r="BK422" i="15" s="1"/>
  <c r="BL422" i="15" s="1"/>
  <c r="AM422" i="15"/>
  <c r="AN422" i="15" s="1"/>
  <c r="BI412" i="15"/>
  <c r="BK412" i="15" s="1"/>
  <c r="BL412" i="15" s="1"/>
  <c r="AM412" i="15"/>
  <c r="AN412" i="15" s="1"/>
  <c r="BI400" i="15"/>
  <c r="BK400" i="15" s="1"/>
  <c r="BL400" i="15" s="1"/>
  <c r="AM400" i="15"/>
  <c r="AN400" i="15" s="1"/>
  <c r="BI384" i="15"/>
  <c r="BK384" i="15" s="1"/>
  <c r="BL384" i="15" s="1"/>
  <c r="AM384" i="15"/>
  <c r="AN384" i="15" s="1"/>
  <c r="BI378" i="15"/>
  <c r="BK378" i="15" s="1"/>
  <c r="BL378" i="15" s="1"/>
  <c r="AM378" i="15"/>
  <c r="AN378" i="15" s="1"/>
  <c r="BI374" i="15"/>
  <c r="BK374" i="15" s="1"/>
  <c r="BL374" i="15" s="1"/>
  <c r="AM374" i="15"/>
  <c r="AN374" i="15" s="1"/>
  <c r="BI370" i="15"/>
  <c r="BK370" i="15" s="1"/>
  <c r="BL370" i="15" s="1"/>
  <c r="AM370" i="15"/>
  <c r="AN370" i="15" s="1"/>
  <c r="BI366" i="15"/>
  <c r="BK366" i="15" s="1"/>
  <c r="BL366" i="15" s="1"/>
  <c r="AM366" i="15"/>
  <c r="AN366" i="15" s="1"/>
  <c r="BI337" i="15"/>
  <c r="BK337" i="15" s="1"/>
  <c r="BL337" i="15" s="1"/>
  <c r="AM337" i="15"/>
  <c r="AN337" i="15" s="1"/>
  <c r="BI321" i="15"/>
  <c r="BK321" i="15" s="1"/>
  <c r="BL321" i="15" s="1"/>
  <c r="AM321" i="15"/>
  <c r="AN321" i="15" s="1"/>
  <c r="BI308" i="15"/>
  <c r="BK308" i="15" s="1"/>
  <c r="BL308" i="15" s="1"/>
  <c r="AM308" i="15"/>
  <c r="AN308" i="15" s="1"/>
  <c r="BI292" i="15"/>
  <c r="BK292" i="15" s="1"/>
  <c r="BL292" i="15" s="1"/>
  <c r="AM292" i="15"/>
  <c r="AN292" i="15" s="1"/>
  <c r="BI267" i="15"/>
  <c r="BK267" i="15" s="1"/>
  <c r="BL267" i="15" s="1"/>
  <c r="AM267" i="15"/>
  <c r="AN267" i="15" s="1"/>
  <c r="BI134" i="15"/>
  <c r="BK134" i="15" s="1"/>
  <c r="BL134" i="15" s="1"/>
  <c r="AM134" i="15"/>
  <c r="AN134" i="15" s="1"/>
  <c r="BI117" i="15"/>
  <c r="BK117" i="15" s="1"/>
  <c r="BL117" i="15" s="1"/>
  <c r="AM117" i="15"/>
  <c r="AN117" i="15" s="1"/>
  <c r="BI100" i="15"/>
  <c r="BK100" i="15" s="1"/>
  <c r="BL100" i="15" s="1"/>
  <c r="AM100" i="15"/>
  <c r="AN100" i="15" s="1"/>
  <c r="BI92" i="15"/>
  <c r="BK92" i="15" s="1"/>
  <c r="BL92" i="15" s="1"/>
  <c r="AM92" i="15"/>
  <c r="AN92" i="15" s="1"/>
  <c r="BI79" i="15"/>
  <c r="BK79" i="15" s="1"/>
  <c r="BL79" i="15" s="1"/>
  <c r="AM79" i="15"/>
  <c r="AN79" i="15" s="1"/>
  <c r="BI71" i="15"/>
  <c r="BK71" i="15" s="1"/>
  <c r="BL71" i="15" s="1"/>
  <c r="AM71" i="15"/>
  <c r="AN71" i="15" s="1"/>
  <c r="BI894" i="15"/>
  <c r="BK894" i="15" s="1"/>
  <c r="BL894" i="15" s="1"/>
  <c r="AM894" i="15"/>
  <c r="AN894" i="15" s="1"/>
  <c r="BI857" i="15"/>
  <c r="BK857" i="15" s="1"/>
  <c r="BL857" i="15" s="1"/>
  <c r="AM857" i="15"/>
  <c r="AN857" i="15" s="1"/>
  <c r="BI843" i="15"/>
  <c r="BK843" i="15" s="1"/>
  <c r="BL843" i="15" s="1"/>
  <c r="AM843" i="15"/>
  <c r="AN843" i="15" s="1"/>
  <c r="BI778" i="15"/>
  <c r="BK778" i="15" s="1"/>
  <c r="BL778" i="15" s="1"/>
  <c r="AM778" i="15"/>
  <c r="AN778" i="15" s="1"/>
  <c r="BI766" i="15"/>
  <c r="BK766" i="15" s="1"/>
  <c r="BL766" i="15" s="1"/>
  <c r="AM766" i="15"/>
  <c r="AN766" i="15" s="1"/>
  <c r="BI757" i="15"/>
  <c r="BK757" i="15" s="1"/>
  <c r="BL757" i="15" s="1"/>
  <c r="AM757" i="15"/>
  <c r="AN757" i="15" s="1"/>
  <c r="BI569" i="15"/>
  <c r="BK569" i="15" s="1"/>
  <c r="BL569" i="15" s="1"/>
  <c r="AM569" i="15"/>
  <c r="AN569" i="15" s="1"/>
  <c r="BI550" i="15"/>
  <c r="BK550" i="15" s="1"/>
  <c r="BL550" i="15" s="1"/>
  <c r="AM550" i="15"/>
  <c r="AN550" i="15" s="1"/>
  <c r="BI542" i="15"/>
  <c r="BK542" i="15" s="1"/>
  <c r="BL542" i="15" s="1"/>
  <c r="AM542" i="15"/>
  <c r="AN542" i="15" s="1"/>
  <c r="BI533" i="15"/>
  <c r="BK533" i="15" s="1"/>
  <c r="BL533" i="15" s="1"/>
  <c r="AM533" i="15"/>
  <c r="AN533" i="15" s="1"/>
  <c r="BI517" i="15"/>
  <c r="BK517" i="15" s="1"/>
  <c r="BL517" i="15" s="1"/>
  <c r="AM517" i="15"/>
  <c r="AN517" i="15" s="1"/>
  <c r="BI255" i="15"/>
  <c r="BK255" i="15" s="1"/>
  <c r="BL255" i="15" s="1"/>
  <c r="AM255" i="15"/>
  <c r="AN255" i="15" s="1"/>
  <c r="BI240" i="15"/>
  <c r="BK240" i="15" s="1"/>
  <c r="BL240" i="15" s="1"/>
  <c r="AM240" i="15"/>
  <c r="AN240" i="15" s="1"/>
  <c r="BI201" i="15"/>
  <c r="BK201" i="15" s="1"/>
  <c r="BL201" i="15" s="1"/>
  <c r="AM201" i="15"/>
  <c r="AN201" i="15" s="1"/>
  <c r="BI184" i="15"/>
  <c r="BK184" i="15" s="1"/>
  <c r="BL184" i="15" s="1"/>
  <c r="AM184" i="15"/>
  <c r="AN184" i="15" s="1"/>
  <c r="BI169" i="15"/>
  <c r="BK169" i="15" s="1"/>
  <c r="BL169" i="15" s="1"/>
  <c r="AM169" i="15"/>
  <c r="AN169" i="15" s="1"/>
  <c r="BI356" i="15"/>
  <c r="BK356" i="15" s="1"/>
  <c r="BL356" i="15" s="1"/>
  <c r="AM356" i="15"/>
  <c r="AN356" i="15" s="1"/>
  <c r="AI173" i="15"/>
  <c r="AI204" i="15"/>
  <c r="AI91" i="15"/>
  <c r="AI736" i="15"/>
  <c r="AI641" i="15"/>
  <c r="AI379" i="15"/>
  <c r="AI272" i="15"/>
  <c r="AI52" i="15"/>
  <c r="AI594" i="15"/>
  <c r="AI665" i="15"/>
  <c r="AI431" i="15"/>
  <c r="AI529" i="15"/>
  <c r="BM201" i="15"/>
  <c r="BN201" i="15" s="1"/>
  <c r="AI471" i="15"/>
  <c r="AI260" i="15"/>
  <c r="AI193" i="15"/>
  <c r="AI565" i="15"/>
  <c r="AI659" i="15"/>
  <c r="AI472" i="15"/>
  <c r="AI458" i="15"/>
  <c r="AI651" i="15"/>
  <c r="AI613" i="15"/>
  <c r="AI363" i="15"/>
  <c r="AI72" i="15"/>
  <c r="AI795" i="15"/>
  <c r="AI232" i="15"/>
  <c r="AI217" i="15"/>
  <c r="AI526" i="15"/>
  <c r="AI252" i="15"/>
  <c r="AI220" i="15"/>
  <c r="AI185" i="15"/>
  <c r="AI27" i="15"/>
  <c r="AI533" i="15"/>
  <c r="AI510" i="15"/>
  <c r="AI498" i="15"/>
  <c r="AI692" i="15"/>
  <c r="AI464" i="15"/>
  <c r="AI366" i="15"/>
  <c r="AI337" i="15"/>
  <c r="AI306" i="15"/>
  <c r="AI277" i="15"/>
  <c r="AI273" i="15"/>
  <c r="AI47" i="15"/>
  <c r="BM720" i="15"/>
  <c r="BN720" i="15" s="1"/>
  <c r="AI621" i="15"/>
  <c r="AI371" i="15"/>
  <c r="AI80" i="15"/>
  <c r="AI753" i="15"/>
  <c r="AI539" i="15"/>
  <c r="AI728" i="15"/>
  <c r="AI395" i="15"/>
  <c r="AI321" i="15"/>
  <c r="AI290" i="15"/>
  <c r="AI117" i="15"/>
  <c r="AI155" i="15"/>
  <c r="BK415" i="15"/>
  <c r="BL415" i="15" s="1"/>
  <c r="BK265" i="15"/>
  <c r="BL265" i="15" s="1"/>
  <c r="BK485" i="15"/>
  <c r="BL485" i="15" s="1"/>
  <c r="BM494" i="15"/>
  <c r="BN494" i="15" s="1"/>
  <c r="BM605" i="15"/>
  <c r="BN605" i="15" s="1"/>
  <c r="AI664" i="15"/>
  <c r="AI390" i="15"/>
  <c r="AI355" i="15"/>
  <c r="AI280" i="15"/>
  <c r="AI99" i="15"/>
  <c r="AI60" i="15"/>
  <c r="AI851" i="15"/>
  <c r="AI506" i="15"/>
  <c r="AI190" i="15"/>
  <c r="AI241" i="15"/>
  <c r="AI212" i="15"/>
  <c r="AI164" i="15"/>
  <c r="AI19" i="15"/>
  <c r="AI165" i="15"/>
  <c r="AI686" i="15"/>
  <c r="BK814" i="15"/>
  <c r="BL814" i="15" s="1"/>
  <c r="BK578" i="15"/>
  <c r="BL578" i="15" s="1"/>
  <c r="AH637" i="15"/>
  <c r="AI637" i="15" s="1"/>
  <c r="AK512" i="15"/>
  <c r="AL512" i="15"/>
  <c r="BJ512" i="15" s="1"/>
  <c r="AK572" i="15"/>
  <c r="AL572" i="15"/>
  <c r="BJ572" i="15" s="1"/>
  <c r="AL648" i="15"/>
  <c r="BJ648" i="15" s="1"/>
  <c r="AK648" i="15"/>
  <c r="AK243" i="15"/>
  <c r="AL243" i="15"/>
  <c r="BJ243" i="15" s="1"/>
  <c r="AL669" i="15"/>
  <c r="BJ669" i="15" s="1"/>
  <c r="AK669" i="15"/>
  <c r="AD263" i="15"/>
  <c r="AE263" i="15" s="1"/>
  <c r="AG263" i="15" s="1"/>
  <c r="AK263" i="15"/>
  <c r="AL263" i="15"/>
  <c r="BJ263" i="15" s="1"/>
  <c r="AL474" i="15"/>
  <c r="BJ474" i="15" s="1"/>
  <c r="AK474" i="15"/>
  <c r="AK35" i="15"/>
  <c r="AL35" i="15"/>
  <c r="BJ35" i="15" s="1"/>
  <c r="AK87" i="15"/>
  <c r="AL87" i="15"/>
  <c r="BJ87" i="15" s="1"/>
  <c r="AH176" i="15"/>
  <c r="AI176" i="15" s="1"/>
  <c r="AL831" i="15"/>
  <c r="BJ831" i="15" s="1"/>
  <c r="AK831" i="15"/>
  <c r="AL745" i="15"/>
  <c r="BJ745" i="15" s="1"/>
  <c r="AK745" i="15"/>
  <c r="AL314" i="15"/>
  <c r="BJ314" i="15" s="1"/>
  <c r="AK314" i="15"/>
  <c r="AD199" i="15"/>
  <c r="AE199" i="15" s="1"/>
  <c r="AG199" i="15" s="1"/>
  <c r="AK199" i="15"/>
  <c r="AL199" i="15"/>
  <c r="BJ199" i="15" s="1"/>
  <c r="AL424" i="15"/>
  <c r="BJ424" i="15" s="1"/>
  <c r="AK424" i="15"/>
  <c r="AL9" i="15"/>
  <c r="BJ9" i="15" s="1"/>
  <c r="AK9" i="15"/>
  <c r="AK103" i="15"/>
  <c r="AL103" i="15"/>
  <c r="BJ103" i="15" s="1"/>
  <c r="BM640" i="15"/>
  <c r="BN640" i="15" s="1"/>
  <c r="BM261" i="15"/>
  <c r="BN261" i="15" s="1"/>
  <c r="AL637" i="15"/>
  <c r="BJ637" i="15" s="1"/>
  <c r="AK637" i="15"/>
  <c r="AK718" i="15"/>
  <c r="AL718" i="15"/>
  <c r="BJ718" i="15" s="1"/>
  <c r="AK764" i="15"/>
  <c r="AL764" i="15"/>
  <c r="BJ764" i="15" s="1"/>
  <c r="AD603" i="15"/>
  <c r="AE603" i="15" s="1"/>
  <c r="AG603" i="15" s="1"/>
  <c r="AL603" i="15"/>
  <c r="BJ603" i="15" s="1"/>
  <c r="AK603" i="15"/>
  <c r="AD536" i="15"/>
  <c r="AE536" i="15" s="1"/>
  <c r="AG536" i="15" s="1"/>
  <c r="AK536" i="15"/>
  <c r="AL536" i="15"/>
  <c r="BJ536" i="15" s="1"/>
  <c r="AK864" i="15"/>
  <c r="AL864" i="15"/>
  <c r="BJ864" i="15" s="1"/>
  <c r="AL340" i="15"/>
  <c r="BJ340" i="15" s="1"/>
  <c r="AK340" i="15"/>
  <c r="AL448" i="15"/>
  <c r="BJ448" i="15" s="1"/>
  <c r="AK448" i="15"/>
  <c r="AD387" i="15"/>
  <c r="AE387" i="15" s="1"/>
  <c r="AG387" i="15" s="1"/>
  <c r="AK387" i="15"/>
  <c r="AL387" i="15"/>
  <c r="BJ387" i="15" s="1"/>
  <c r="AK68" i="15"/>
  <c r="AL68" i="15"/>
  <c r="BJ68" i="15" s="1"/>
  <c r="BM747" i="15"/>
  <c r="BN747" i="15" s="1"/>
  <c r="AH243" i="15"/>
  <c r="AI243" i="15" s="1"/>
  <c r="BM178" i="15"/>
  <c r="BN178" i="15" s="1"/>
  <c r="AH552" i="15"/>
  <c r="AI552" i="15" s="1"/>
  <c r="AI691" i="15"/>
  <c r="AI683" i="15"/>
  <c r="AI675" i="15"/>
  <c r="AI666" i="15"/>
  <c r="AI642" i="15"/>
  <c r="AI631" i="15"/>
  <c r="AI623" i="15"/>
  <c r="AI615" i="15"/>
  <c r="AI607" i="15"/>
  <c r="AI482" i="15"/>
  <c r="AI461" i="15"/>
  <c r="AI451" i="15"/>
  <c r="AI407" i="15"/>
  <c r="AI392" i="15"/>
  <c r="AI381" i="15"/>
  <c r="AI373" i="15"/>
  <c r="AI365" i="15"/>
  <c r="AI357" i="15"/>
  <c r="AI349" i="15"/>
  <c r="AI274" i="15"/>
  <c r="AI266" i="15"/>
  <c r="AI145" i="15"/>
  <c r="AI101" i="15"/>
  <c r="AI93" i="15"/>
  <c r="AI82" i="15"/>
  <c r="AI74" i="15"/>
  <c r="AI62" i="15"/>
  <c r="AI54" i="15"/>
  <c r="AI38" i="15"/>
  <c r="AI857" i="15"/>
  <c r="AI822" i="15"/>
  <c r="AI803" i="15"/>
  <c r="AI778" i="15"/>
  <c r="AI759" i="15"/>
  <c r="AI588" i="15"/>
  <c r="AI531" i="15"/>
  <c r="AI259" i="15"/>
  <c r="AI240" i="15"/>
  <c r="AI211" i="15"/>
  <c r="AI184" i="15"/>
  <c r="AI895" i="15"/>
  <c r="AI887" i="15"/>
  <c r="AI879" i="15"/>
  <c r="AI871" i="15"/>
  <c r="AI848" i="15"/>
  <c r="AI834" i="15"/>
  <c r="AI823" i="15"/>
  <c r="AI806" i="15"/>
  <c r="AI798" i="15"/>
  <c r="AI790" i="15"/>
  <c r="AI748" i="15"/>
  <c r="AI595" i="15"/>
  <c r="AI587" i="15"/>
  <c r="AI579" i="15"/>
  <c r="AI568" i="15"/>
  <c r="AI560" i="15"/>
  <c r="AI541" i="15"/>
  <c r="AI528" i="15"/>
  <c r="AI254" i="15"/>
  <c r="AI246" i="15"/>
  <c r="AI237" i="15"/>
  <c r="AI222" i="15"/>
  <c r="AI214" i="15"/>
  <c r="AI206" i="15"/>
  <c r="AI195" i="15"/>
  <c r="AI187" i="15"/>
  <c r="AI179" i="15"/>
  <c r="AI160" i="15"/>
  <c r="AI29" i="15"/>
  <c r="AI21" i="15"/>
  <c r="AI13" i="15"/>
  <c r="AI41" i="15"/>
  <c r="AI882" i="15"/>
  <c r="AI837" i="15"/>
  <c r="AI770" i="15"/>
  <c r="AI596" i="15"/>
  <c r="AI586" i="15"/>
  <c r="AI578" i="15"/>
  <c r="AI559" i="15"/>
  <c r="AI255" i="15"/>
  <c r="AI188" i="15"/>
  <c r="AI169" i="15"/>
  <c r="AI738" i="15"/>
  <c r="AI730" i="15"/>
  <c r="AI722" i="15"/>
  <c r="AI690" i="15"/>
  <c r="AI676" i="15"/>
  <c r="AI663" i="15"/>
  <c r="AI656" i="15"/>
  <c r="AI652" i="15"/>
  <c r="AI477" i="15"/>
  <c r="AI466" i="15"/>
  <c r="AI441" i="15"/>
  <c r="AI437" i="15"/>
  <c r="AI398" i="15"/>
  <c r="AI382" i="15"/>
  <c r="AI331" i="15"/>
  <c r="AI327" i="15"/>
  <c r="AI308" i="15"/>
  <c r="AI304" i="15"/>
  <c r="AI292" i="15"/>
  <c r="AI288" i="15"/>
  <c r="AI271" i="15"/>
  <c r="AI267" i="15"/>
  <c r="AI142" i="15"/>
  <c r="AI134" i="15"/>
  <c r="AI127" i="15"/>
  <c r="AI123" i="15"/>
  <c r="AI111" i="15"/>
  <c r="AI107" i="15"/>
  <c r="AI71" i="15"/>
  <c r="AI886" i="15"/>
  <c r="AI853" i="15"/>
  <c r="AI839" i="15"/>
  <c r="AI757" i="15"/>
  <c r="AI569" i="15"/>
  <c r="AI523" i="15"/>
  <c r="AI508" i="15"/>
  <c r="AI247" i="15"/>
  <c r="AI215" i="15"/>
  <c r="AI159" i="15"/>
  <c r="AL810" i="15"/>
  <c r="BJ810" i="15" s="1"/>
  <c r="AK810" i="15"/>
  <c r="AL284" i="15"/>
  <c r="BJ284" i="15" s="1"/>
  <c r="AK284" i="15"/>
  <c r="AD697" i="15"/>
  <c r="AE697" i="15" s="1"/>
  <c r="AG697" i="15" s="1"/>
  <c r="AL697" i="15"/>
  <c r="BJ697" i="15" s="1"/>
  <c r="AK697" i="15"/>
  <c r="AK176" i="15"/>
  <c r="AL176" i="15"/>
  <c r="BJ176" i="15" s="1"/>
  <c r="AD787" i="15"/>
  <c r="AE787" i="15" s="1"/>
  <c r="AG787" i="15" s="1"/>
  <c r="AL787" i="15"/>
  <c r="BJ787" i="15" s="1"/>
  <c r="AK787" i="15"/>
  <c r="AK44" i="15"/>
  <c r="AL44" i="15"/>
  <c r="BJ44" i="15" s="1"/>
  <c r="AL492" i="15"/>
  <c r="BJ492" i="15" s="1"/>
  <c r="AK492" i="15"/>
  <c r="AJ105" i="15"/>
  <c r="AY105" i="15" s="1"/>
  <c r="AZ105" i="15" s="1"/>
  <c r="AD152" i="15"/>
  <c r="AE152" i="15" s="1"/>
  <c r="AG152" i="15" s="1"/>
  <c r="AK152" i="15"/>
  <c r="AL152" i="15"/>
  <c r="BJ152" i="15" s="1"/>
  <c r="AL552" i="15"/>
  <c r="BJ552" i="15" s="1"/>
  <c r="AK552" i="15"/>
  <c r="AK229" i="15"/>
  <c r="AL229" i="15"/>
  <c r="BJ229" i="15" s="1"/>
  <c r="AK131" i="15"/>
  <c r="AL131" i="15"/>
  <c r="BJ131" i="15" s="1"/>
  <c r="AH199" i="15"/>
  <c r="AI199" i="15" s="1"/>
  <c r="BM554" i="15"/>
  <c r="BN554" i="15" s="1"/>
  <c r="AH263" i="15"/>
  <c r="AI263" i="15" s="1"/>
  <c r="BE782" i="15"/>
  <c r="BF782" i="15" s="1"/>
  <c r="BE612" i="15"/>
  <c r="BF612" i="15" s="1"/>
  <c r="BE81" i="15"/>
  <c r="BF81" i="15" s="1"/>
  <c r="BE116" i="15"/>
  <c r="BF116" i="15" s="1"/>
  <c r="BE799" i="15"/>
  <c r="BF799" i="15" s="1"/>
  <c r="BE653" i="15"/>
  <c r="BF653" i="15" s="1"/>
  <c r="BC128" i="15"/>
  <c r="BD128" i="15" s="1"/>
  <c r="BE622" i="15"/>
  <c r="BF622" i="15" s="1"/>
  <c r="BE452" i="15"/>
  <c r="BF452" i="15" s="1"/>
  <c r="BC108" i="15"/>
  <c r="BD108" i="15" s="1"/>
  <c r="BE789" i="15"/>
  <c r="BF789" i="15" s="1"/>
  <c r="BC634" i="15"/>
  <c r="BD634" i="15" s="1"/>
  <c r="BC618" i="15"/>
  <c r="BD618" i="15" s="1"/>
  <c r="BE124" i="15"/>
  <c r="BF124" i="15" s="1"/>
  <c r="BC758" i="15"/>
  <c r="BD758" i="15" s="1"/>
  <c r="BC626" i="15"/>
  <c r="BD626" i="15" s="1"/>
  <c r="BC608" i="15"/>
  <c r="BD608" i="15" s="1"/>
  <c r="BE112" i="15"/>
  <c r="BF112" i="15" s="1"/>
  <c r="BC805" i="15"/>
  <c r="BD805" i="15" s="1"/>
  <c r="BC774" i="15"/>
  <c r="BD774" i="15" s="1"/>
  <c r="BE380" i="15"/>
  <c r="BF380" i="15" s="1"/>
  <c r="BC79" i="15"/>
  <c r="BD79" i="15" s="1"/>
  <c r="BE120" i="15"/>
  <c r="BF120" i="15" s="1"/>
  <c r="BC42" i="15"/>
  <c r="BD42" i="15" s="1"/>
  <c r="BC368" i="15"/>
  <c r="BD368" i="15" s="1"/>
  <c r="BC75" i="15"/>
  <c r="BD75" i="15" s="1"/>
  <c r="BE358" i="15"/>
  <c r="BF358" i="15" s="1"/>
  <c r="BC344" i="15"/>
  <c r="BD344" i="15" s="1"/>
  <c r="BE354" i="15"/>
  <c r="BF354" i="15" s="1"/>
  <c r="BE73" i="15"/>
  <c r="BF73" i="15" s="1"/>
  <c r="BC793" i="15"/>
  <c r="BD793" i="15" s="1"/>
  <c r="BC527" i="15"/>
  <c r="BD527" i="15" s="1"/>
  <c r="BC376" i="15"/>
  <c r="BD376" i="15" s="1"/>
  <c r="BE372" i="15"/>
  <c r="BF372" i="15" s="1"/>
  <c r="BC362" i="15"/>
  <c r="BD362" i="15" s="1"/>
  <c r="BC348" i="15"/>
  <c r="BD348" i="15" s="1"/>
  <c r="BE83" i="15"/>
  <c r="BF83" i="15" s="1"/>
  <c r="BC85" i="15"/>
  <c r="BD85" i="15" s="1"/>
  <c r="BE77" i="15"/>
  <c r="BF77" i="15" s="1"/>
  <c r="BE413" i="15"/>
  <c r="BF413" i="15" s="1"/>
  <c r="AE873" i="15"/>
  <c r="AJ873" i="15"/>
  <c r="AY873" i="15" s="1"/>
  <c r="AZ873" i="15" s="1"/>
  <c r="BA873" i="15" s="1"/>
  <c r="AE843" i="15"/>
  <c r="AG843" i="15" s="1"/>
  <c r="AJ843" i="15"/>
  <c r="AY843" i="15" s="1"/>
  <c r="AZ843" i="15" s="1"/>
  <c r="BA843" i="15" s="1"/>
  <c r="AE875" i="15"/>
  <c r="AJ875" i="15"/>
  <c r="AY875" i="15" s="1"/>
  <c r="AZ875" i="15" s="1"/>
  <c r="BA875" i="15" s="1"/>
  <c r="AE871" i="15"/>
  <c r="AJ871" i="15"/>
  <c r="AY871" i="15" s="1"/>
  <c r="AZ871" i="15" s="1"/>
  <c r="BA871" i="15" s="1"/>
  <c r="AE828" i="15"/>
  <c r="AG828" i="15" s="1"/>
  <c r="AJ828" i="15"/>
  <c r="AY828" i="15" s="1"/>
  <c r="AZ828" i="15" s="1"/>
  <c r="BA828" i="15" s="1"/>
  <c r="AE877" i="15"/>
  <c r="AJ877" i="15"/>
  <c r="AY877" i="15" s="1"/>
  <c r="AZ877" i="15" s="1"/>
  <c r="BA877" i="15" s="1"/>
  <c r="AE839" i="15"/>
  <c r="AG839" i="15" s="1"/>
  <c r="AJ839" i="15"/>
  <c r="AY839" i="15" s="1"/>
  <c r="AZ839" i="15" s="1"/>
  <c r="BA839" i="15" s="1"/>
  <c r="AE895" i="15"/>
  <c r="AJ895" i="15"/>
  <c r="AY895" i="15" s="1"/>
  <c r="AZ895" i="15" s="1"/>
  <c r="BA895" i="15" s="1"/>
  <c r="AE852" i="15"/>
  <c r="AG852" i="15" s="1"/>
  <c r="AJ852" i="15"/>
  <c r="AY852" i="15" s="1"/>
  <c r="AZ852" i="15" s="1"/>
  <c r="BA852" i="15" s="1"/>
  <c r="AE827" i="15"/>
  <c r="AG827" i="15" s="1"/>
  <c r="AJ827" i="15"/>
  <c r="AY827" i="15" s="1"/>
  <c r="AZ827" i="15" s="1"/>
  <c r="BA827" i="15" s="1"/>
  <c r="AE818" i="15"/>
  <c r="AG818" i="15" s="1"/>
  <c r="AJ818" i="15"/>
  <c r="AY818" i="15" s="1"/>
  <c r="AZ818" i="15" s="1"/>
  <c r="BA818" i="15" s="1"/>
  <c r="AE772" i="15"/>
  <c r="AG772" i="15" s="1"/>
  <c r="AJ772" i="15"/>
  <c r="AY772" i="15" s="1"/>
  <c r="AZ772" i="15" s="1"/>
  <c r="BA772" i="15" s="1"/>
  <c r="AE710" i="15"/>
  <c r="AG710" i="15" s="1"/>
  <c r="AJ710" i="15"/>
  <c r="AY710" i="15" s="1"/>
  <c r="AZ710" i="15" s="1"/>
  <c r="BA710" i="15" s="1"/>
  <c r="AE706" i="15"/>
  <c r="AG706" i="15" s="1"/>
  <c r="AJ706" i="15"/>
  <c r="AY706" i="15" s="1"/>
  <c r="AZ706" i="15" s="1"/>
  <c r="BA706" i="15" s="1"/>
  <c r="AE702" i="15"/>
  <c r="AG702" i="15" s="1"/>
  <c r="AJ702" i="15"/>
  <c r="AY702" i="15" s="1"/>
  <c r="AZ702" i="15" s="1"/>
  <c r="BA702" i="15" s="1"/>
  <c r="AE804" i="15"/>
  <c r="AG804" i="15" s="1"/>
  <c r="AJ804" i="15"/>
  <c r="AY804" i="15" s="1"/>
  <c r="AZ804" i="15" s="1"/>
  <c r="BA804" i="15" s="1"/>
  <c r="AE757" i="15"/>
  <c r="AG757" i="15" s="1"/>
  <c r="AJ757" i="15"/>
  <c r="AY757" i="15" s="1"/>
  <c r="AZ757" i="15" s="1"/>
  <c r="BA757" i="15" s="1"/>
  <c r="AE816" i="15"/>
  <c r="AG816" i="15" s="1"/>
  <c r="AJ816" i="15"/>
  <c r="AY816" i="15" s="1"/>
  <c r="AZ816" i="15" s="1"/>
  <c r="BA816" i="15" s="1"/>
  <c r="AE790" i="15"/>
  <c r="AG790" i="15" s="1"/>
  <c r="AJ790" i="15"/>
  <c r="AY790" i="15" s="1"/>
  <c r="AZ790" i="15" s="1"/>
  <c r="BA790" i="15" s="1"/>
  <c r="AE761" i="15"/>
  <c r="AG761" i="15" s="1"/>
  <c r="AJ761" i="15"/>
  <c r="AY761" i="15" s="1"/>
  <c r="AZ761" i="15" s="1"/>
  <c r="BA761" i="15" s="1"/>
  <c r="AE726" i="15"/>
  <c r="AG726" i="15" s="1"/>
  <c r="AJ726" i="15"/>
  <c r="AY726" i="15" s="1"/>
  <c r="AZ726" i="15" s="1"/>
  <c r="BA726" i="15" s="1"/>
  <c r="AE680" i="15"/>
  <c r="AG680" i="15" s="1"/>
  <c r="AJ680" i="15"/>
  <c r="AY680" i="15" s="1"/>
  <c r="AZ680" i="15" s="1"/>
  <c r="BA680" i="15" s="1"/>
  <c r="AE598" i="15"/>
  <c r="AG598" i="15" s="1"/>
  <c r="AJ598" i="15"/>
  <c r="AY598" i="15" s="1"/>
  <c r="AZ598" i="15" s="1"/>
  <c r="BA598" i="15" s="1"/>
  <c r="AE740" i="15"/>
  <c r="AG740" i="15" s="1"/>
  <c r="AJ740" i="15"/>
  <c r="AY740" i="15" s="1"/>
  <c r="AZ740" i="15" s="1"/>
  <c r="BA740" i="15" s="1"/>
  <c r="AE689" i="15"/>
  <c r="AG689" i="15" s="1"/>
  <c r="AJ689" i="15"/>
  <c r="AY689" i="15" s="1"/>
  <c r="AZ689" i="15" s="1"/>
  <c r="BA689" i="15" s="1"/>
  <c r="AE600" i="15"/>
  <c r="AG600" i="15" s="1"/>
  <c r="AJ600" i="15"/>
  <c r="AY600" i="15" s="1"/>
  <c r="AZ600" i="15" s="1"/>
  <c r="BA600" i="15" s="1"/>
  <c r="AE633" i="15"/>
  <c r="AG633" i="15" s="1"/>
  <c r="AJ633" i="15"/>
  <c r="AY633" i="15" s="1"/>
  <c r="AZ633" i="15" s="1"/>
  <c r="BA633" i="15" s="1"/>
  <c r="AE617" i="15"/>
  <c r="AG617" i="15" s="1"/>
  <c r="AJ617" i="15"/>
  <c r="AY617" i="15" s="1"/>
  <c r="AZ617" i="15" s="1"/>
  <c r="BA617" i="15" s="1"/>
  <c r="AE524" i="15"/>
  <c r="AG524" i="15" s="1"/>
  <c r="AJ524" i="15"/>
  <c r="AY524" i="15" s="1"/>
  <c r="AZ524" i="15" s="1"/>
  <c r="BA524" i="15" s="1"/>
  <c r="AE418" i="15"/>
  <c r="AG418" i="15" s="1"/>
  <c r="AJ418" i="15"/>
  <c r="AY418" i="15" s="1"/>
  <c r="AZ418" i="15" s="1"/>
  <c r="BA418" i="15" s="1"/>
  <c r="AE674" i="15"/>
  <c r="AG674" i="15" s="1"/>
  <c r="AJ674" i="15"/>
  <c r="AY674" i="15" s="1"/>
  <c r="AZ674" i="15" s="1"/>
  <c r="BA674" i="15" s="1"/>
  <c r="AE650" i="15"/>
  <c r="AG650" i="15" s="1"/>
  <c r="AJ650" i="15"/>
  <c r="AE540" i="15"/>
  <c r="AG540" i="15" s="1"/>
  <c r="AJ540" i="15"/>
  <c r="AY540" i="15" s="1"/>
  <c r="AZ540" i="15" s="1"/>
  <c r="BA540" i="15" s="1"/>
  <c r="AE514" i="15"/>
  <c r="AG514" i="15" s="1"/>
  <c r="AJ514" i="15"/>
  <c r="AE505" i="15"/>
  <c r="AG505" i="15" s="1"/>
  <c r="AJ505" i="15"/>
  <c r="AY505" i="15" s="1"/>
  <c r="AZ505" i="15" s="1"/>
  <c r="BA505" i="15" s="1"/>
  <c r="AE497" i="15"/>
  <c r="AG497" i="15" s="1"/>
  <c r="AJ497" i="15"/>
  <c r="AY497" i="15" s="1"/>
  <c r="AZ497" i="15" s="1"/>
  <c r="BA497" i="15" s="1"/>
  <c r="AE455" i="15"/>
  <c r="AG455" i="15" s="1"/>
  <c r="AJ455" i="15"/>
  <c r="AY455" i="15" s="1"/>
  <c r="AZ455" i="15" s="1"/>
  <c r="BA455" i="15" s="1"/>
  <c r="AE440" i="15"/>
  <c r="AG440" i="15" s="1"/>
  <c r="AJ440" i="15"/>
  <c r="AY440" i="15" s="1"/>
  <c r="AZ440" i="15" s="1"/>
  <c r="BA440" i="15" s="1"/>
  <c r="AE432" i="15"/>
  <c r="AG432" i="15" s="1"/>
  <c r="AJ432" i="15"/>
  <c r="AY432" i="15" s="1"/>
  <c r="AZ432" i="15" s="1"/>
  <c r="BA432" i="15" s="1"/>
  <c r="AE416" i="15"/>
  <c r="AG416" i="15" s="1"/>
  <c r="AJ416" i="15"/>
  <c r="AY416" i="15" s="1"/>
  <c r="AZ416" i="15" s="1"/>
  <c r="BA416" i="15" s="1"/>
  <c r="AE730" i="15"/>
  <c r="AG730" i="15" s="1"/>
  <c r="AJ730" i="15"/>
  <c r="AY730" i="15" s="1"/>
  <c r="AZ730" i="15" s="1"/>
  <c r="BA730" i="15" s="1"/>
  <c r="AE675" i="15"/>
  <c r="AG675" i="15" s="1"/>
  <c r="AJ675" i="15"/>
  <c r="AY675" i="15" s="1"/>
  <c r="AZ675" i="15" s="1"/>
  <c r="BA675" i="15" s="1"/>
  <c r="AE623" i="15"/>
  <c r="AG623" i="15" s="1"/>
  <c r="AJ623" i="15"/>
  <c r="AY623" i="15" s="1"/>
  <c r="AZ623" i="15" s="1"/>
  <c r="BA623" i="15" s="1"/>
  <c r="AE607" i="15"/>
  <c r="AG607" i="15" s="1"/>
  <c r="AJ607" i="15"/>
  <c r="AY607" i="15" s="1"/>
  <c r="AZ607" i="15" s="1"/>
  <c r="BA607" i="15" s="1"/>
  <c r="AE667" i="15"/>
  <c r="AG667" i="15" s="1"/>
  <c r="AJ667" i="15"/>
  <c r="AY667" i="15" s="1"/>
  <c r="AZ667" i="15" s="1"/>
  <c r="BA667" i="15" s="1"/>
  <c r="AE559" i="15"/>
  <c r="AG559" i="15" s="1"/>
  <c r="AJ559" i="15"/>
  <c r="AY559" i="15" s="1"/>
  <c r="AZ559" i="15" s="1"/>
  <c r="BA559" i="15" s="1"/>
  <c r="AE506" i="15"/>
  <c r="AG506" i="15" s="1"/>
  <c r="AJ506" i="15"/>
  <c r="AY506" i="15" s="1"/>
  <c r="AZ506" i="15" s="1"/>
  <c r="BA506" i="15" s="1"/>
  <c r="AE456" i="15"/>
  <c r="AG456" i="15" s="1"/>
  <c r="AJ456" i="15"/>
  <c r="AY456" i="15" s="1"/>
  <c r="AZ456" i="15" s="1"/>
  <c r="BA456" i="15" s="1"/>
  <c r="AE414" i="15"/>
  <c r="AG414" i="15" s="1"/>
  <c r="AJ414" i="15"/>
  <c r="AY414" i="15" s="1"/>
  <c r="AZ414" i="15" s="1"/>
  <c r="BA414" i="15" s="1"/>
  <c r="AE399" i="15"/>
  <c r="AG399" i="15" s="1"/>
  <c r="AJ399" i="15"/>
  <c r="AY399" i="15" s="1"/>
  <c r="AZ399" i="15" s="1"/>
  <c r="BA399" i="15" s="1"/>
  <c r="AE338" i="15"/>
  <c r="AG338" i="15" s="1"/>
  <c r="AJ338" i="15"/>
  <c r="AY338" i="15" s="1"/>
  <c r="AZ338" i="15" s="1"/>
  <c r="BA338" i="15" s="1"/>
  <c r="AE322" i="15"/>
  <c r="AG322" i="15" s="1"/>
  <c r="AJ322" i="15"/>
  <c r="AY322" i="15" s="1"/>
  <c r="AZ322" i="15" s="1"/>
  <c r="BA322" i="15" s="1"/>
  <c r="AE817" i="15"/>
  <c r="AG817" i="15" s="1"/>
  <c r="AJ817" i="15"/>
  <c r="AY817" i="15" s="1"/>
  <c r="AZ817" i="15" s="1"/>
  <c r="BA817" i="15" s="1"/>
  <c r="AE529" i="15"/>
  <c r="AG529" i="15" s="1"/>
  <c r="AJ529" i="15"/>
  <c r="AY529" i="15" s="1"/>
  <c r="AZ529" i="15" s="1"/>
  <c r="BA529" i="15" s="1"/>
  <c r="AE402" i="15"/>
  <c r="AG402" i="15" s="1"/>
  <c r="AJ402" i="15"/>
  <c r="AY402" i="15" s="1"/>
  <c r="AZ402" i="15" s="1"/>
  <c r="BA402" i="15" s="1"/>
  <c r="AE677" i="15"/>
  <c r="AG677" i="15" s="1"/>
  <c r="AJ677" i="15"/>
  <c r="AY677" i="15" s="1"/>
  <c r="AZ677" i="15" s="1"/>
  <c r="BA677" i="15" s="1"/>
  <c r="AE564" i="15"/>
  <c r="AG564" i="15" s="1"/>
  <c r="AJ564" i="15"/>
  <c r="AY564" i="15" s="1"/>
  <c r="AZ564" i="15" s="1"/>
  <c r="BA564" i="15" s="1"/>
  <c r="AE504" i="15"/>
  <c r="AG504" i="15" s="1"/>
  <c r="AJ504" i="15"/>
  <c r="AY504" i="15" s="1"/>
  <c r="AZ504" i="15" s="1"/>
  <c r="BA504" i="15" s="1"/>
  <c r="AE469" i="15"/>
  <c r="AG469" i="15" s="1"/>
  <c r="AJ469" i="15"/>
  <c r="AY469" i="15" s="1"/>
  <c r="AZ469" i="15" s="1"/>
  <c r="BA469" i="15" s="1"/>
  <c r="AE450" i="15"/>
  <c r="AG450" i="15" s="1"/>
  <c r="AJ450" i="15"/>
  <c r="AE415" i="15"/>
  <c r="AG415" i="15" s="1"/>
  <c r="AJ415" i="15"/>
  <c r="AY415" i="15" s="1"/>
  <c r="AZ415" i="15" s="1"/>
  <c r="BA415" i="15" s="1"/>
  <c r="AE392" i="15"/>
  <c r="AG392" i="15" s="1"/>
  <c r="AJ392" i="15"/>
  <c r="AY392" i="15" s="1"/>
  <c r="AZ392" i="15" s="1"/>
  <c r="BA392" i="15" s="1"/>
  <c r="AE323" i="15"/>
  <c r="AG323" i="15" s="1"/>
  <c r="AJ323" i="15"/>
  <c r="AY323" i="15" s="1"/>
  <c r="AZ323" i="15" s="1"/>
  <c r="BA323" i="15" s="1"/>
  <c r="AE856" i="15"/>
  <c r="AG856" i="15" s="1"/>
  <c r="AJ856" i="15"/>
  <c r="AY856" i="15" s="1"/>
  <c r="AZ856" i="15" s="1"/>
  <c r="BA856" i="15" s="1"/>
  <c r="AE554" i="15"/>
  <c r="AG554" i="15" s="1"/>
  <c r="AJ554" i="15"/>
  <c r="AE500" i="15"/>
  <c r="AG500" i="15" s="1"/>
  <c r="AJ500" i="15"/>
  <c r="AY500" i="15" s="1"/>
  <c r="AZ500" i="15" s="1"/>
  <c r="BA500" i="15" s="1"/>
  <c r="AE429" i="15"/>
  <c r="AG429" i="15" s="1"/>
  <c r="AJ429" i="15"/>
  <c r="AY429" i="15" s="1"/>
  <c r="AZ429" i="15" s="1"/>
  <c r="BA429" i="15" s="1"/>
  <c r="AE692" i="15"/>
  <c r="AG692" i="15" s="1"/>
  <c r="AJ692" i="15"/>
  <c r="AY692" i="15" s="1"/>
  <c r="AZ692" i="15" s="1"/>
  <c r="BA692" i="15" s="1"/>
  <c r="AE565" i="15"/>
  <c r="AG565" i="15" s="1"/>
  <c r="AJ565" i="15"/>
  <c r="AY565" i="15" s="1"/>
  <c r="AZ565" i="15" s="1"/>
  <c r="BA565" i="15" s="1"/>
  <c r="AE528" i="15"/>
  <c r="AG528" i="15" s="1"/>
  <c r="AJ528" i="15"/>
  <c r="AY528" i="15" s="1"/>
  <c r="AZ528" i="15" s="1"/>
  <c r="BA528" i="15" s="1"/>
  <c r="AE502" i="15"/>
  <c r="AG502" i="15" s="1"/>
  <c r="AJ502" i="15"/>
  <c r="AY502" i="15" s="1"/>
  <c r="AZ502" i="15" s="1"/>
  <c r="BA502" i="15" s="1"/>
  <c r="AE484" i="15"/>
  <c r="AG484" i="15" s="1"/>
  <c r="AJ484" i="15"/>
  <c r="AY484" i="15" s="1"/>
  <c r="AZ484" i="15" s="1"/>
  <c r="BA484" i="15" s="1"/>
  <c r="AE458" i="15"/>
  <c r="AG458" i="15" s="1"/>
  <c r="AJ458" i="15"/>
  <c r="AY458" i="15" s="1"/>
  <c r="AZ458" i="15" s="1"/>
  <c r="BA458" i="15" s="1"/>
  <c r="AE422" i="15"/>
  <c r="AG422" i="15" s="1"/>
  <c r="AJ422" i="15"/>
  <c r="AY422" i="15" s="1"/>
  <c r="AZ422" i="15" s="1"/>
  <c r="BA422" i="15" s="1"/>
  <c r="AE396" i="15"/>
  <c r="AG396" i="15" s="1"/>
  <c r="AJ396" i="15"/>
  <c r="AY396" i="15" s="1"/>
  <c r="AZ396" i="15" s="1"/>
  <c r="BA396" i="15" s="1"/>
  <c r="AE332" i="15"/>
  <c r="AG332" i="15" s="1"/>
  <c r="AJ332" i="15"/>
  <c r="AY332" i="15" s="1"/>
  <c r="AZ332" i="15" s="1"/>
  <c r="BA332" i="15" s="1"/>
  <c r="AE316" i="15"/>
  <c r="AG316" i="15" s="1"/>
  <c r="AJ316" i="15"/>
  <c r="AE234" i="15"/>
  <c r="AG234" i="15" s="1"/>
  <c r="AJ234" i="15"/>
  <c r="AY234" i="15" s="1"/>
  <c r="AZ234" i="15" s="1"/>
  <c r="BA234" i="15" s="1"/>
  <c r="AE170" i="15"/>
  <c r="AG170" i="15" s="1"/>
  <c r="AJ170" i="15"/>
  <c r="AY170" i="15" s="1"/>
  <c r="AZ170" i="15" s="1"/>
  <c r="BA170" i="15" s="1"/>
  <c r="AE849" i="15"/>
  <c r="AG849" i="15" s="1"/>
  <c r="AJ849" i="15"/>
  <c r="AY849" i="15" s="1"/>
  <c r="AZ849" i="15" s="1"/>
  <c r="BA849" i="15" s="1"/>
  <c r="AE570" i="15"/>
  <c r="AG570" i="15" s="1"/>
  <c r="AJ570" i="15"/>
  <c r="AY570" i="15" s="1"/>
  <c r="AZ570" i="15" s="1"/>
  <c r="BA570" i="15" s="1"/>
  <c r="AE478" i="15"/>
  <c r="AG478" i="15" s="1"/>
  <c r="AJ478" i="15"/>
  <c r="AY478" i="15" s="1"/>
  <c r="AZ478" i="15" s="1"/>
  <c r="BA478" i="15" s="1"/>
  <c r="AE394" i="15"/>
  <c r="AG394" i="15" s="1"/>
  <c r="AJ394" i="15"/>
  <c r="AY394" i="15" s="1"/>
  <c r="AZ394" i="15" s="1"/>
  <c r="BA394" i="15" s="1"/>
  <c r="AE381" i="15"/>
  <c r="AG381" i="15" s="1"/>
  <c r="AJ381" i="15"/>
  <c r="AY381" i="15" s="1"/>
  <c r="AZ381" i="15" s="1"/>
  <c r="BA381" i="15" s="1"/>
  <c r="AE349" i="15"/>
  <c r="AG349" i="15" s="1"/>
  <c r="AJ349" i="15"/>
  <c r="AY349" i="15" s="1"/>
  <c r="AZ349" i="15" s="1"/>
  <c r="BA349" i="15" s="1"/>
  <c r="AE296" i="15"/>
  <c r="AG296" i="15" s="1"/>
  <c r="AJ296" i="15"/>
  <c r="AY296" i="15" s="1"/>
  <c r="AZ296" i="15" s="1"/>
  <c r="BA296" i="15" s="1"/>
  <c r="AE214" i="15"/>
  <c r="AG214" i="15" s="1"/>
  <c r="AJ214" i="15"/>
  <c r="AY214" i="15" s="1"/>
  <c r="AZ214" i="15" s="1"/>
  <c r="BA214" i="15" s="1"/>
  <c r="AE197" i="15"/>
  <c r="AG197" i="15" s="1"/>
  <c r="AJ197" i="15"/>
  <c r="AY197" i="15" s="1"/>
  <c r="AZ197" i="15" s="1"/>
  <c r="BA197" i="15" s="1"/>
  <c r="AE181" i="15"/>
  <c r="AG181" i="15" s="1"/>
  <c r="AJ181" i="15"/>
  <c r="AY181" i="15" s="1"/>
  <c r="AZ181" i="15" s="1"/>
  <c r="BA181" i="15" s="1"/>
  <c r="AE163" i="15"/>
  <c r="AG163" i="15" s="1"/>
  <c r="AJ163" i="15"/>
  <c r="AY163" i="15" s="1"/>
  <c r="AZ163" i="15" s="1"/>
  <c r="BA163" i="15" s="1"/>
  <c r="AE142" i="15"/>
  <c r="AG142" i="15" s="1"/>
  <c r="AJ142" i="15"/>
  <c r="AY142" i="15" s="1"/>
  <c r="AZ142" i="15" s="1"/>
  <c r="BA142" i="15" s="1"/>
  <c r="AE94" i="15"/>
  <c r="AG94" i="15" s="1"/>
  <c r="AJ94" i="15"/>
  <c r="AY94" i="15" s="1"/>
  <c r="AZ94" i="15" s="1"/>
  <c r="BA94" i="15" s="1"/>
  <c r="AE58" i="15"/>
  <c r="AG58" i="15" s="1"/>
  <c r="AJ58" i="15"/>
  <c r="AY58" i="15" s="1"/>
  <c r="AZ58" i="15" s="1"/>
  <c r="BA58" i="15" s="1"/>
  <c r="AE26" i="15"/>
  <c r="AG26" i="15" s="1"/>
  <c r="AJ26" i="15"/>
  <c r="AY26" i="15" s="1"/>
  <c r="AZ26" i="15" s="1"/>
  <c r="BA26" i="15" s="1"/>
  <c r="AE55" i="15"/>
  <c r="AG55" i="15" s="1"/>
  <c r="AJ55" i="15"/>
  <c r="AY55" i="15" s="1"/>
  <c r="AZ55" i="15" s="1"/>
  <c r="BA55" i="15" s="1"/>
  <c r="AE190" i="15"/>
  <c r="AG190" i="15" s="1"/>
  <c r="AJ190" i="15"/>
  <c r="AY190" i="15" s="1"/>
  <c r="AZ190" i="15" s="1"/>
  <c r="BA190" i="15" s="1"/>
  <c r="AE144" i="15"/>
  <c r="AG144" i="15" s="1"/>
  <c r="AJ144" i="15"/>
  <c r="AY144" i="15" s="1"/>
  <c r="AZ144" i="15" s="1"/>
  <c r="BA144" i="15" s="1"/>
  <c r="AE92" i="15"/>
  <c r="AG92" i="15" s="1"/>
  <c r="AJ92" i="15"/>
  <c r="AY92" i="15" s="1"/>
  <c r="AZ92" i="15" s="1"/>
  <c r="BA92" i="15" s="1"/>
  <c r="AE56" i="15"/>
  <c r="AG56" i="15" s="1"/>
  <c r="AJ56" i="15"/>
  <c r="AY56" i="15" s="1"/>
  <c r="AZ56" i="15" s="1"/>
  <c r="BA56" i="15" s="1"/>
  <c r="AE16" i="15"/>
  <c r="AG16" i="15" s="1"/>
  <c r="AJ16" i="15"/>
  <c r="AY16" i="15" s="1"/>
  <c r="AZ16" i="15" s="1"/>
  <c r="BA16" i="15" s="1"/>
  <c r="AE367" i="15"/>
  <c r="AG367" i="15" s="1"/>
  <c r="AJ367" i="15"/>
  <c r="AY367" i="15" s="1"/>
  <c r="AZ367" i="15" s="1"/>
  <c r="BA367" i="15" s="1"/>
  <c r="AE298" i="15"/>
  <c r="AG298" i="15" s="1"/>
  <c r="AJ298" i="15"/>
  <c r="AY298" i="15" s="1"/>
  <c r="AZ298" i="15" s="1"/>
  <c r="BA298" i="15" s="1"/>
  <c r="AE274" i="15"/>
  <c r="AG274" i="15" s="1"/>
  <c r="AJ274" i="15"/>
  <c r="AY274" i="15" s="1"/>
  <c r="AZ274" i="15" s="1"/>
  <c r="BA274" i="15" s="1"/>
  <c r="AE261" i="15"/>
  <c r="AG261" i="15" s="1"/>
  <c r="AJ261" i="15"/>
  <c r="AY261" i="15" s="1"/>
  <c r="AZ261" i="15" s="1"/>
  <c r="BA261" i="15" s="1"/>
  <c r="AE251" i="15"/>
  <c r="AG251" i="15" s="1"/>
  <c r="AJ251" i="15"/>
  <c r="AY251" i="15" s="1"/>
  <c r="AZ251" i="15" s="1"/>
  <c r="BA251" i="15" s="1"/>
  <c r="AE232" i="15"/>
  <c r="AG232" i="15" s="1"/>
  <c r="AJ232" i="15"/>
  <c r="AY232" i="15" s="1"/>
  <c r="AZ232" i="15" s="1"/>
  <c r="BA232" i="15" s="1"/>
  <c r="AE202" i="15"/>
  <c r="AG202" i="15" s="1"/>
  <c r="AJ202" i="15"/>
  <c r="AY202" i="15" s="1"/>
  <c r="AZ202" i="15" s="1"/>
  <c r="BA202" i="15" s="1"/>
  <c r="AE160" i="15"/>
  <c r="AG160" i="15" s="1"/>
  <c r="AJ160" i="15"/>
  <c r="AY160" i="15" s="1"/>
  <c r="AZ160" i="15" s="1"/>
  <c r="BA160" i="15" s="1"/>
  <c r="AE117" i="15"/>
  <c r="AG117" i="15" s="1"/>
  <c r="AJ117" i="15"/>
  <c r="AY117" i="15" s="1"/>
  <c r="AZ117" i="15" s="1"/>
  <c r="BA117" i="15" s="1"/>
  <c r="AE33" i="15"/>
  <c r="AG33" i="15" s="1"/>
  <c r="AJ33" i="15"/>
  <c r="AY33" i="15" s="1"/>
  <c r="AZ33" i="15" s="1"/>
  <c r="BA33" i="15" s="1"/>
  <c r="AE375" i="15"/>
  <c r="AG375" i="15" s="1"/>
  <c r="AJ375" i="15"/>
  <c r="AY375" i="15" s="1"/>
  <c r="AZ375" i="15" s="1"/>
  <c r="BA375" i="15" s="1"/>
  <c r="AE343" i="15"/>
  <c r="AG343" i="15" s="1"/>
  <c r="AJ343" i="15"/>
  <c r="AY343" i="15" s="1"/>
  <c r="AZ343" i="15" s="1"/>
  <c r="BA343" i="15" s="1"/>
  <c r="AE290" i="15"/>
  <c r="AG290" i="15" s="1"/>
  <c r="AJ290" i="15"/>
  <c r="AY290" i="15" s="1"/>
  <c r="AZ290" i="15" s="1"/>
  <c r="BA290" i="15" s="1"/>
  <c r="AE275" i="15"/>
  <c r="AG275" i="15" s="1"/>
  <c r="AJ275" i="15"/>
  <c r="AY275" i="15" s="1"/>
  <c r="AZ275" i="15" s="1"/>
  <c r="BA275" i="15" s="1"/>
  <c r="AE267" i="15"/>
  <c r="AG267" i="15" s="1"/>
  <c r="AJ267" i="15"/>
  <c r="AY267" i="15" s="1"/>
  <c r="AZ267" i="15" s="1"/>
  <c r="BA267" i="15" s="1"/>
  <c r="AE256" i="15"/>
  <c r="AG256" i="15" s="1"/>
  <c r="AJ256" i="15"/>
  <c r="AY256" i="15" s="1"/>
  <c r="AZ256" i="15" s="1"/>
  <c r="BA256" i="15" s="1"/>
  <c r="AE248" i="15"/>
  <c r="AG248" i="15" s="1"/>
  <c r="AJ248" i="15"/>
  <c r="AY248" i="15" s="1"/>
  <c r="AZ248" i="15" s="1"/>
  <c r="BA248" i="15" s="1"/>
  <c r="AE233" i="15"/>
  <c r="AG233" i="15" s="1"/>
  <c r="AJ233" i="15"/>
  <c r="AY233" i="15" s="1"/>
  <c r="AZ233" i="15" s="1"/>
  <c r="BA233" i="15" s="1"/>
  <c r="AE217" i="15"/>
  <c r="AG217" i="15" s="1"/>
  <c r="AJ217" i="15"/>
  <c r="AY217" i="15" s="1"/>
  <c r="AZ217" i="15" s="1"/>
  <c r="BA217" i="15" s="1"/>
  <c r="AE201" i="15"/>
  <c r="AG201" i="15" s="1"/>
  <c r="AJ201" i="15"/>
  <c r="AE184" i="15"/>
  <c r="AG184" i="15" s="1"/>
  <c r="AJ184" i="15"/>
  <c r="AY184" i="15" s="1"/>
  <c r="AZ184" i="15" s="1"/>
  <c r="BA184" i="15" s="1"/>
  <c r="AE159" i="15"/>
  <c r="AG159" i="15" s="1"/>
  <c r="AJ159" i="15"/>
  <c r="AY159" i="15" s="1"/>
  <c r="AZ159" i="15" s="1"/>
  <c r="BA159" i="15" s="1"/>
  <c r="AE135" i="15"/>
  <c r="AG135" i="15" s="1"/>
  <c r="AJ135" i="15"/>
  <c r="AY135" i="15" s="1"/>
  <c r="AZ135" i="15" s="1"/>
  <c r="BA135" i="15" s="1"/>
  <c r="AE51" i="15"/>
  <c r="AG51" i="15" s="1"/>
  <c r="AJ51" i="15"/>
  <c r="AY51" i="15" s="1"/>
  <c r="AZ51" i="15" s="1"/>
  <c r="BA51" i="15" s="1"/>
  <c r="AE385" i="15"/>
  <c r="AG385" i="15" s="1"/>
  <c r="AJ385" i="15"/>
  <c r="AY385" i="15" s="1"/>
  <c r="AZ385" i="15" s="1"/>
  <c r="BA385" i="15" s="1"/>
  <c r="AE355" i="15"/>
  <c r="AG355" i="15" s="1"/>
  <c r="AJ355" i="15"/>
  <c r="AY355" i="15" s="1"/>
  <c r="AZ355" i="15" s="1"/>
  <c r="BA355" i="15" s="1"/>
  <c r="AE286" i="15"/>
  <c r="AG286" i="15" s="1"/>
  <c r="AJ286" i="15"/>
  <c r="AE206" i="15"/>
  <c r="AG206" i="15" s="1"/>
  <c r="AJ206" i="15"/>
  <c r="AY206" i="15" s="1"/>
  <c r="AZ206" i="15" s="1"/>
  <c r="BA206" i="15" s="1"/>
  <c r="AE155" i="15"/>
  <c r="AG155" i="15" s="1"/>
  <c r="AJ155" i="15"/>
  <c r="AY155" i="15" s="1"/>
  <c r="AZ155" i="15" s="1"/>
  <c r="BA155" i="15" s="1"/>
  <c r="AE32" i="15"/>
  <c r="AG32" i="15" s="1"/>
  <c r="AJ32" i="15"/>
  <c r="AY32" i="15" s="1"/>
  <c r="AZ32" i="15" s="1"/>
  <c r="BA32" i="15" s="1"/>
  <c r="AE253" i="15"/>
  <c r="AG253" i="15" s="1"/>
  <c r="AJ253" i="15"/>
  <c r="AY253" i="15" s="1"/>
  <c r="AZ253" i="15" s="1"/>
  <c r="BA253" i="15" s="1"/>
  <c r="AE216" i="15"/>
  <c r="AG216" i="15" s="1"/>
  <c r="AJ216" i="15"/>
  <c r="AY216" i="15" s="1"/>
  <c r="AZ216" i="15" s="1"/>
  <c r="BA216" i="15" s="1"/>
  <c r="AE180" i="15"/>
  <c r="AG180" i="15" s="1"/>
  <c r="AJ180" i="15"/>
  <c r="AY180" i="15" s="1"/>
  <c r="AZ180" i="15" s="1"/>
  <c r="BA180" i="15" s="1"/>
  <c r="AE97" i="15"/>
  <c r="AG97" i="15" s="1"/>
  <c r="AJ97" i="15"/>
  <c r="AY97" i="15" s="1"/>
  <c r="AZ97" i="15" s="1"/>
  <c r="BA97" i="15" s="1"/>
  <c r="AE21" i="15"/>
  <c r="AG21" i="15" s="1"/>
  <c r="AJ21" i="15"/>
  <c r="AY21" i="15" s="1"/>
  <c r="AZ21" i="15" s="1"/>
  <c r="BA21" i="15" s="1"/>
  <c r="AE72" i="15"/>
  <c r="AG72" i="15" s="1"/>
  <c r="AJ72" i="15"/>
  <c r="AY72" i="15" s="1"/>
  <c r="AZ72" i="15" s="1"/>
  <c r="BA72" i="15" s="1"/>
  <c r="AE84" i="15"/>
  <c r="AG84" i="15" s="1"/>
  <c r="AJ84" i="15"/>
  <c r="AY84" i="15" s="1"/>
  <c r="AZ84" i="15" s="1"/>
  <c r="BA84" i="15" s="1"/>
  <c r="AE74" i="15"/>
  <c r="AG74" i="15" s="1"/>
  <c r="AJ74" i="15"/>
  <c r="AY74" i="15" s="1"/>
  <c r="AZ74" i="15" s="1"/>
  <c r="BA74" i="15" s="1"/>
  <c r="AE78" i="15"/>
  <c r="AG78" i="15" s="1"/>
  <c r="AJ78" i="15"/>
  <c r="AY78" i="15" s="1"/>
  <c r="AZ78" i="15" s="1"/>
  <c r="BA78" i="15" s="1"/>
  <c r="AE819" i="15"/>
  <c r="AG819" i="15" s="1"/>
  <c r="AJ819" i="15"/>
  <c r="AY819" i="15" s="1"/>
  <c r="AZ819" i="15" s="1"/>
  <c r="BA819" i="15" s="1"/>
  <c r="AE665" i="15"/>
  <c r="AG665" i="15" s="1"/>
  <c r="AJ665" i="15"/>
  <c r="AY665" i="15" s="1"/>
  <c r="AZ665" i="15" s="1"/>
  <c r="BA665" i="15" s="1"/>
  <c r="AE836" i="15"/>
  <c r="AG836" i="15" s="1"/>
  <c r="AJ836" i="15"/>
  <c r="AY836" i="15" s="1"/>
  <c r="AZ836" i="15" s="1"/>
  <c r="BA836" i="15" s="1"/>
  <c r="AE741" i="15"/>
  <c r="AG741" i="15" s="1"/>
  <c r="AJ741" i="15"/>
  <c r="AY741" i="15" s="1"/>
  <c r="AZ741" i="15" s="1"/>
  <c r="BA741" i="15" s="1"/>
  <c r="AE733" i="15"/>
  <c r="AG733" i="15" s="1"/>
  <c r="AJ733" i="15"/>
  <c r="AY733" i="15" s="1"/>
  <c r="AZ733" i="15" s="1"/>
  <c r="BA733" i="15" s="1"/>
  <c r="AE821" i="15"/>
  <c r="AG821" i="15" s="1"/>
  <c r="AJ821" i="15"/>
  <c r="AY821" i="15" s="1"/>
  <c r="AZ821" i="15" s="1"/>
  <c r="BA821" i="15" s="1"/>
  <c r="AE595" i="15"/>
  <c r="AG595" i="15" s="1"/>
  <c r="AJ595" i="15"/>
  <c r="AY595" i="15" s="1"/>
  <c r="AZ595" i="15" s="1"/>
  <c r="BA595" i="15" s="1"/>
  <c r="AE579" i="15"/>
  <c r="AG579" i="15" s="1"/>
  <c r="AJ579" i="15"/>
  <c r="AY579" i="15" s="1"/>
  <c r="AZ579" i="15" s="1"/>
  <c r="BA579" i="15" s="1"/>
  <c r="AE534" i="15"/>
  <c r="AG534" i="15" s="1"/>
  <c r="AJ534" i="15"/>
  <c r="AY534" i="15" s="1"/>
  <c r="AZ534" i="15" s="1"/>
  <c r="BA534" i="15" s="1"/>
  <c r="AE420" i="15"/>
  <c r="AG420" i="15" s="1"/>
  <c r="AJ420" i="15"/>
  <c r="AY420" i="15" s="1"/>
  <c r="AZ420" i="15" s="1"/>
  <c r="BA420" i="15" s="1"/>
  <c r="AE616" i="15"/>
  <c r="AG616" i="15" s="1"/>
  <c r="AJ616" i="15"/>
  <c r="AY616" i="15" s="1"/>
  <c r="AZ616" i="15" s="1"/>
  <c r="BA616" i="15" s="1"/>
  <c r="AE584" i="15"/>
  <c r="AG584" i="15" s="1"/>
  <c r="AJ584" i="15"/>
  <c r="AY584" i="15" s="1"/>
  <c r="AZ584" i="15" s="1"/>
  <c r="BA584" i="15" s="1"/>
  <c r="AE545" i="15"/>
  <c r="AG545" i="15" s="1"/>
  <c r="AJ545" i="15"/>
  <c r="AY545" i="15" s="1"/>
  <c r="AZ545" i="15" s="1"/>
  <c r="BA545" i="15" s="1"/>
  <c r="AE574" i="15"/>
  <c r="AG574" i="15" s="1"/>
  <c r="AJ574" i="15"/>
  <c r="AE412" i="15"/>
  <c r="AG412" i="15" s="1"/>
  <c r="AJ412" i="15"/>
  <c r="AY412" i="15" s="1"/>
  <c r="AZ412" i="15" s="1"/>
  <c r="BA412" i="15" s="1"/>
  <c r="AE597" i="15"/>
  <c r="AG597" i="15" s="1"/>
  <c r="AJ597" i="15"/>
  <c r="AY597" i="15" s="1"/>
  <c r="AZ597" i="15" s="1"/>
  <c r="BA597" i="15" s="1"/>
  <c r="AE581" i="15"/>
  <c r="AG581" i="15" s="1"/>
  <c r="AJ581" i="15"/>
  <c r="AY581" i="15" s="1"/>
  <c r="AZ581" i="15" s="1"/>
  <c r="BA581" i="15" s="1"/>
  <c r="AE812" i="15"/>
  <c r="AG812" i="15" s="1"/>
  <c r="AJ812" i="15"/>
  <c r="AE586" i="15"/>
  <c r="AG586" i="15" s="1"/>
  <c r="AJ586" i="15"/>
  <c r="AY586" i="15" s="1"/>
  <c r="AZ586" i="15" s="1"/>
  <c r="BA586" i="15" s="1"/>
  <c r="AE862" i="15"/>
  <c r="AG862" i="15" s="1"/>
  <c r="AJ862" i="15"/>
  <c r="AY862" i="15" s="1"/>
  <c r="AZ862" i="15" s="1"/>
  <c r="BA862" i="15" s="1"/>
  <c r="AE49" i="15"/>
  <c r="AG49" i="15" s="1"/>
  <c r="AJ49" i="15"/>
  <c r="AY49" i="15" s="1"/>
  <c r="AZ49" i="15" s="1"/>
  <c r="BA49" i="15" s="1"/>
  <c r="AE844" i="15"/>
  <c r="AG844" i="15" s="1"/>
  <c r="AJ844" i="15"/>
  <c r="AY844" i="15" s="1"/>
  <c r="AZ844" i="15" s="1"/>
  <c r="BA844" i="15" s="1"/>
  <c r="AE489" i="15"/>
  <c r="AG489" i="15" s="1"/>
  <c r="AJ489" i="15"/>
  <c r="AY489" i="15" s="1"/>
  <c r="AZ489" i="15" s="1"/>
  <c r="BA489" i="15" s="1"/>
  <c r="AE896" i="15"/>
  <c r="AJ896" i="15"/>
  <c r="AY896" i="15" s="1"/>
  <c r="AZ896" i="15" s="1"/>
  <c r="BA896" i="15" s="1"/>
  <c r="AE892" i="15"/>
  <c r="AJ892" i="15"/>
  <c r="AY892" i="15" s="1"/>
  <c r="AZ892" i="15" s="1"/>
  <c r="BA892" i="15" s="1"/>
  <c r="AE884" i="15"/>
  <c r="AJ884" i="15"/>
  <c r="AY884" i="15" s="1"/>
  <c r="AZ884" i="15" s="1"/>
  <c r="BA884" i="15" s="1"/>
  <c r="AE878" i="15"/>
  <c r="AJ878" i="15"/>
  <c r="AY878" i="15" s="1"/>
  <c r="AZ878" i="15" s="1"/>
  <c r="BA878" i="15" s="1"/>
  <c r="AE872" i="15"/>
  <c r="AJ872" i="15"/>
  <c r="AY872" i="15" s="1"/>
  <c r="AZ872" i="15" s="1"/>
  <c r="BA872" i="15" s="1"/>
  <c r="AE868" i="15"/>
  <c r="AJ868" i="15"/>
  <c r="AY868" i="15" s="1"/>
  <c r="AZ868" i="15" s="1"/>
  <c r="BA868" i="15" s="1"/>
  <c r="BM805" i="15"/>
  <c r="BN805" i="15" s="1"/>
  <c r="AI805" i="15"/>
  <c r="BM799" i="15"/>
  <c r="BN799" i="15" s="1"/>
  <c r="AI799" i="15"/>
  <c r="BM793" i="15"/>
  <c r="BN793" i="15" s="1"/>
  <c r="AI793" i="15"/>
  <c r="BM782" i="15"/>
  <c r="BN782" i="15" s="1"/>
  <c r="AI782" i="15"/>
  <c r="BM774" i="15"/>
  <c r="BN774" i="15" s="1"/>
  <c r="AI774" i="15"/>
  <c r="BM751" i="15"/>
  <c r="BN751" i="15" s="1"/>
  <c r="AI751" i="15"/>
  <c r="BM544" i="15"/>
  <c r="BN544" i="15" s="1"/>
  <c r="AI544" i="15"/>
  <c r="BM527" i="15"/>
  <c r="BN527" i="15" s="1"/>
  <c r="AI527" i="15"/>
  <c r="BM234" i="15"/>
  <c r="BN234" i="15" s="1"/>
  <c r="AI234" i="15"/>
  <c r="BM26" i="15"/>
  <c r="BN26" i="15" s="1"/>
  <c r="AI26" i="15"/>
  <c r="BM18" i="15"/>
  <c r="BN18" i="15" s="1"/>
  <c r="AI18" i="15"/>
  <c r="BM40" i="15"/>
  <c r="BN40" i="15" s="1"/>
  <c r="AI40" i="15"/>
  <c r="BM166" i="15"/>
  <c r="BN166" i="15" s="1"/>
  <c r="AI166" i="15"/>
  <c r="AE739" i="15"/>
  <c r="AG739" i="15" s="1"/>
  <c r="AJ739" i="15"/>
  <c r="AY739" i="15" s="1"/>
  <c r="AZ739" i="15" s="1"/>
  <c r="BA739" i="15" s="1"/>
  <c r="AE735" i="15"/>
  <c r="AG735" i="15" s="1"/>
  <c r="AJ735" i="15"/>
  <c r="AY735" i="15" s="1"/>
  <c r="AZ735" i="15" s="1"/>
  <c r="BA735" i="15" s="1"/>
  <c r="AE729" i="15"/>
  <c r="AG729" i="15" s="1"/>
  <c r="AJ729" i="15"/>
  <c r="AY729" i="15" s="1"/>
  <c r="AZ729" i="15" s="1"/>
  <c r="BA729" i="15" s="1"/>
  <c r="AE723" i="15"/>
  <c r="AG723" i="15" s="1"/>
  <c r="AJ723" i="15"/>
  <c r="AY723" i="15" s="1"/>
  <c r="AZ723" i="15" s="1"/>
  <c r="BA723" i="15" s="1"/>
  <c r="BM710" i="15"/>
  <c r="BN710" i="15" s="1"/>
  <c r="AI710" i="15"/>
  <c r="BM702" i="15"/>
  <c r="BN702" i="15" s="1"/>
  <c r="AI702" i="15"/>
  <c r="BM653" i="15"/>
  <c r="BN653" i="15" s="1"/>
  <c r="AI653" i="15"/>
  <c r="BM459" i="15"/>
  <c r="BN459" i="15" s="1"/>
  <c r="AI459" i="15"/>
  <c r="BM444" i="15"/>
  <c r="BN444" i="15" s="1"/>
  <c r="AI444" i="15"/>
  <c r="BM436" i="15"/>
  <c r="BN436" i="15" s="1"/>
  <c r="AI436" i="15"/>
  <c r="BM428" i="15"/>
  <c r="BN428" i="15" s="1"/>
  <c r="AI428" i="15"/>
  <c r="BM413" i="15"/>
  <c r="BN413" i="15" s="1"/>
  <c r="AI413" i="15"/>
  <c r="BM401" i="15"/>
  <c r="BN401" i="15" s="1"/>
  <c r="AI401" i="15"/>
  <c r="BM336" i="15"/>
  <c r="BN336" i="15" s="1"/>
  <c r="AI336" i="15"/>
  <c r="BM328" i="15"/>
  <c r="BN328" i="15" s="1"/>
  <c r="AI328" i="15"/>
  <c r="BM320" i="15"/>
  <c r="BN320" i="15" s="1"/>
  <c r="AI320" i="15"/>
  <c r="AE311" i="15"/>
  <c r="AG311" i="15" s="1"/>
  <c r="AJ311" i="15"/>
  <c r="AY311" i="15" s="1"/>
  <c r="AZ311" i="15" s="1"/>
  <c r="BA311" i="15" s="1"/>
  <c r="AE307" i="15"/>
  <c r="AG307" i="15" s="1"/>
  <c r="AJ307" i="15"/>
  <c r="AY307" i="15" s="1"/>
  <c r="AZ307" i="15" s="1"/>
  <c r="BA307" i="15" s="1"/>
  <c r="AE303" i="15"/>
  <c r="AG303" i="15" s="1"/>
  <c r="AJ303" i="15"/>
  <c r="AY303" i="15" s="1"/>
  <c r="AZ303" i="15" s="1"/>
  <c r="BA303" i="15" s="1"/>
  <c r="AE297" i="15"/>
  <c r="AG297" i="15" s="1"/>
  <c r="AJ297" i="15"/>
  <c r="AY297" i="15" s="1"/>
  <c r="AZ297" i="15" s="1"/>
  <c r="BA297" i="15" s="1"/>
  <c r="AE293" i="15"/>
  <c r="AG293" i="15" s="1"/>
  <c r="AJ293" i="15"/>
  <c r="AY293" i="15" s="1"/>
  <c r="AZ293" i="15" s="1"/>
  <c r="BA293" i="15" s="1"/>
  <c r="AE289" i="15"/>
  <c r="AG289" i="15" s="1"/>
  <c r="AJ289" i="15"/>
  <c r="AY289" i="15" s="1"/>
  <c r="AZ289" i="15" s="1"/>
  <c r="BA289" i="15" s="1"/>
  <c r="BM141" i="15"/>
  <c r="BN141" i="15" s="1"/>
  <c r="AI141" i="15"/>
  <c r="BM128" i="15"/>
  <c r="BN128" i="15" s="1"/>
  <c r="AI128" i="15"/>
  <c r="BM124" i="15"/>
  <c r="BN124" i="15" s="1"/>
  <c r="AI124" i="15"/>
  <c r="BM120" i="15"/>
  <c r="BN120" i="15" s="1"/>
  <c r="AI120" i="15"/>
  <c r="BM116" i="15"/>
  <c r="BN116" i="15" s="1"/>
  <c r="AI116" i="15"/>
  <c r="BM112" i="15"/>
  <c r="BN112" i="15" s="1"/>
  <c r="AI112" i="15"/>
  <c r="BM108" i="15"/>
  <c r="BN108" i="15" s="1"/>
  <c r="AI108" i="15"/>
  <c r="BM42" i="15"/>
  <c r="BN42" i="15" s="1"/>
  <c r="AI42" i="15"/>
  <c r="BM854" i="15"/>
  <c r="BN854" i="15" s="1"/>
  <c r="AI854" i="15"/>
  <c r="BM781" i="15"/>
  <c r="BN781" i="15" s="1"/>
  <c r="AI781" i="15"/>
  <c r="BM758" i="15"/>
  <c r="BN758" i="15" s="1"/>
  <c r="AI758" i="15"/>
  <c r="BM549" i="15"/>
  <c r="BN549" i="15" s="1"/>
  <c r="AI549" i="15"/>
  <c r="BM532" i="15"/>
  <c r="BN532" i="15" s="1"/>
  <c r="AI532" i="15"/>
  <c r="BM518" i="15"/>
  <c r="BN518" i="15" s="1"/>
  <c r="AI518" i="15"/>
  <c r="BM507" i="15"/>
  <c r="BN507" i="15" s="1"/>
  <c r="AI507" i="15"/>
  <c r="BM499" i="15"/>
  <c r="BN499" i="15" s="1"/>
  <c r="AI499" i="15"/>
  <c r="BM235" i="15"/>
  <c r="BN235" i="15" s="1"/>
  <c r="AI235" i="15"/>
  <c r="BM709" i="15"/>
  <c r="BN709" i="15" s="1"/>
  <c r="AI709" i="15"/>
  <c r="BM701" i="15"/>
  <c r="BN701" i="15" s="1"/>
  <c r="AI701" i="15"/>
  <c r="BM680" i="15"/>
  <c r="BN680" i="15" s="1"/>
  <c r="AI680" i="15"/>
  <c r="BM634" i="15"/>
  <c r="BN634" i="15" s="1"/>
  <c r="AI634" i="15"/>
  <c r="BM630" i="15"/>
  <c r="BN630" i="15" s="1"/>
  <c r="AI630" i="15"/>
  <c r="BM626" i="15"/>
  <c r="BN626" i="15" s="1"/>
  <c r="AI626" i="15"/>
  <c r="BM622" i="15"/>
  <c r="BN622" i="15" s="1"/>
  <c r="AI622" i="15"/>
  <c r="BM618" i="15"/>
  <c r="BN618" i="15" s="1"/>
  <c r="AI618" i="15"/>
  <c r="BM612" i="15"/>
  <c r="BN612" i="15" s="1"/>
  <c r="AI612" i="15"/>
  <c r="BM608" i="15"/>
  <c r="BN608" i="15" s="1"/>
  <c r="AI608" i="15"/>
  <c r="BM489" i="15"/>
  <c r="BN489" i="15" s="1"/>
  <c r="AI489" i="15"/>
  <c r="AE481" i="15"/>
  <c r="AG481" i="15" s="1"/>
  <c r="AJ481" i="15"/>
  <c r="AY481" i="15" s="1"/>
  <c r="AZ481" i="15" s="1"/>
  <c r="BA481" i="15" s="1"/>
  <c r="BM452" i="15"/>
  <c r="BN452" i="15" s="1"/>
  <c r="AI452" i="15"/>
  <c r="BM418" i="15"/>
  <c r="BN418" i="15" s="1"/>
  <c r="AI418" i="15"/>
  <c r="BM393" i="15"/>
  <c r="BN393" i="15" s="1"/>
  <c r="AI393" i="15"/>
  <c r="AE384" i="15"/>
  <c r="AG384" i="15" s="1"/>
  <c r="AJ384" i="15"/>
  <c r="AY384" i="15" s="1"/>
  <c r="AZ384" i="15" s="1"/>
  <c r="BA384" i="15" s="1"/>
  <c r="AE378" i="15"/>
  <c r="AG378" i="15" s="1"/>
  <c r="AJ378" i="15"/>
  <c r="AY378" i="15" s="1"/>
  <c r="AZ378" i="15" s="1"/>
  <c r="BA378" i="15" s="1"/>
  <c r="AE374" i="15"/>
  <c r="AG374" i="15" s="1"/>
  <c r="AJ374" i="15"/>
  <c r="AY374" i="15" s="1"/>
  <c r="AZ374" i="15" s="1"/>
  <c r="BA374" i="15" s="1"/>
  <c r="AE370" i="15"/>
  <c r="AG370" i="15" s="1"/>
  <c r="AJ370" i="15"/>
  <c r="AY370" i="15" s="1"/>
  <c r="AZ370" i="15" s="1"/>
  <c r="BA370" i="15" s="1"/>
  <c r="AE364" i="15"/>
  <c r="AG364" i="15" s="1"/>
  <c r="AJ364" i="15"/>
  <c r="AY364" i="15" s="1"/>
  <c r="AZ364" i="15" s="1"/>
  <c r="BA364" i="15" s="1"/>
  <c r="AE360" i="15"/>
  <c r="AG360" i="15" s="1"/>
  <c r="AJ360" i="15"/>
  <c r="AY360" i="15" s="1"/>
  <c r="AZ360" i="15" s="1"/>
  <c r="BA360" i="15" s="1"/>
  <c r="AE356" i="15"/>
  <c r="AG356" i="15" s="1"/>
  <c r="AJ356" i="15"/>
  <c r="AY356" i="15" s="1"/>
  <c r="AZ356" i="15" s="1"/>
  <c r="BA356" i="15" s="1"/>
  <c r="AE352" i="15"/>
  <c r="AG352" i="15" s="1"/>
  <c r="AJ352" i="15"/>
  <c r="AY352" i="15" s="1"/>
  <c r="AZ352" i="15" s="1"/>
  <c r="BA352" i="15" s="1"/>
  <c r="AE346" i="15"/>
  <c r="AG346" i="15" s="1"/>
  <c r="AJ346" i="15"/>
  <c r="AY346" i="15" s="1"/>
  <c r="AZ346" i="15" s="1"/>
  <c r="BA346" i="15" s="1"/>
  <c r="AE342" i="15"/>
  <c r="AG342" i="15" s="1"/>
  <c r="AJ342" i="15"/>
  <c r="BM94" i="15"/>
  <c r="BN94" i="15" s="1"/>
  <c r="AI94" i="15"/>
  <c r="AE85" i="15"/>
  <c r="AG85" i="15" s="1"/>
  <c r="AJ85" i="15"/>
  <c r="AY85" i="15" s="1"/>
  <c r="AZ85" i="15" s="1"/>
  <c r="BA85" i="15" s="1"/>
  <c r="AE81" i="15"/>
  <c r="AG81" i="15" s="1"/>
  <c r="AJ81" i="15"/>
  <c r="AY81" i="15" s="1"/>
  <c r="AZ81" i="15" s="1"/>
  <c r="BA81" i="15" s="1"/>
  <c r="AE77" i="15"/>
  <c r="AG77" i="15" s="1"/>
  <c r="AJ77" i="15"/>
  <c r="AY77" i="15" s="1"/>
  <c r="AZ77" i="15" s="1"/>
  <c r="BA77" i="15" s="1"/>
  <c r="AE73" i="15"/>
  <c r="AG73" i="15" s="1"/>
  <c r="AJ73" i="15"/>
  <c r="AY73" i="15" s="1"/>
  <c r="AZ73" i="15" s="1"/>
  <c r="BA73" i="15" s="1"/>
  <c r="AE881" i="15"/>
  <c r="AJ881" i="15"/>
  <c r="AY881" i="15" s="1"/>
  <c r="AZ881" i="15" s="1"/>
  <c r="BA881" i="15" s="1"/>
  <c r="AE883" i="15"/>
  <c r="AJ883" i="15"/>
  <c r="AY883" i="15" s="1"/>
  <c r="AZ883" i="15" s="1"/>
  <c r="BA883" i="15" s="1"/>
  <c r="AE874" i="15"/>
  <c r="AJ874" i="15"/>
  <c r="AY874" i="15" s="1"/>
  <c r="AZ874" i="15" s="1"/>
  <c r="BA874" i="15" s="1"/>
  <c r="AE822" i="15"/>
  <c r="AG822" i="15" s="1"/>
  <c r="AJ822" i="15"/>
  <c r="AY822" i="15" s="1"/>
  <c r="AZ822" i="15" s="1"/>
  <c r="BA822" i="15" s="1"/>
  <c r="AE840" i="15"/>
  <c r="AG840" i="15" s="1"/>
  <c r="AJ840" i="15"/>
  <c r="AY840" i="15" s="1"/>
  <c r="AZ840" i="15" s="1"/>
  <c r="BA840" i="15" s="1"/>
  <c r="AE866" i="15"/>
  <c r="AJ866" i="15"/>
  <c r="AE885" i="15"/>
  <c r="AJ885" i="15"/>
  <c r="AY885" i="15" s="1"/>
  <c r="AZ885" i="15" s="1"/>
  <c r="BA885" i="15" s="1"/>
  <c r="AE750" i="15"/>
  <c r="AG750" i="15" s="1"/>
  <c r="AJ750" i="15"/>
  <c r="AY750" i="15" s="1"/>
  <c r="AZ750" i="15" s="1"/>
  <c r="BA750" i="15" s="1"/>
  <c r="AE707" i="15"/>
  <c r="AG707" i="15" s="1"/>
  <c r="AJ707" i="15"/>
  <c r="AY707" i="15" s="1"/>
  <c r="AZ707" i="15" s="1"/>
  <c r="BA707" i="15" s="1"/>
  <c r="AE703" i="15"/>
  <c r="AG703" i="15" s="1"/>
  <c r="AJ703" i="15"/>
  <c r="AY703" i="15" s="1"/>
  <c r="AZ703" i="15" s="1"/>
  <c r="BA703" i="15" s="1"/>
  <c r="AE777" i="15"/>
  <c r="AG777" i="15" s="1"/>
  <c r="AJ777" i="15"/>
  <c r="AY777" i="15" s="1"/>
  <c r="AZ777" i="15" s="1"/>
  <c r="BA777" i="15" s="1"/>
  <c r="AE798" i="15"/>
  <c r="AG798" i="15" s="1"/>
  <c r="AJ798" i="15"/>
  <c r="AY798" i="15" s="1"/>
  <c r="AZ798" i="15" s="1"/>
  <c r="BA798" i="15" s="1"/>
  <c r="AE768" i="15"/>
  <c r="AG768" i="15" s="1"/>
  <c r="AJ768" i="15"/>
  <c r="AY768" i="15" s="1"/>
  <c r="AZ768" i="15" s="1"/>
  <c r="BA768" i="15" s="1"/>
  <c r="AE687" i="15"/>
  <c r="AG687" i="15" s="1"/>
  <c r="AJ687" i="15"/>
  <c r="AY687" i="15" s="1"/>
  <c r="AZ687" i="15" s="1"/>
  <c r="BA687" i="15" s="1"/>
  <c r="AE599" i="15"/>
  <c r="AG599" i="15" s="1"/>
  <c r="AJ599" i="15"/>
  <c r="AY599" i="15" s="1"/>
  <c r="AZ599" i="15" s="1"/>
  <c r="BA599" i="15" s="1"/>
  <c r="AE694" i="15"/>
  <c r="AG694" i="15" s="1"/>
  <c r="AJ694" i="15"/>
  <c r="AY694" i="15" s="1"/>
  <c r="AZ694" i="15" s="1"/>
  <c r="BA694" i="15" s="1"/>
  <c r="AE635" i="15"/>
  <c r="AG635" i="15" s="1"/>
  <c r="AJ635" i="15"/>
  <c r="AY635" i="15" s="1"/>
  <c r="AZ635" i="15" s="1"/>
  <c r="BA635" i="15" s="1"/>
  <c r="AE532" i="15"/>
  <c r="AG532" i="15" s="1"/>
  <c r="AJ532" i="15"/>
  <c r="AY532" i="15" s="1"/>
  <c r="AZ532" i="15" s="1"/>
  <c r="BA532" i="15" s="1"/>
  <c r="AE685" i="15"/>
  <c r="AG685" i="15" s="1"/>
  <c r="AJ685" i="15"/>
  <c r="AY685" i="15" s="1"/>
  <c r="AZ685" i="15" s="1"/>
  <c r="BA685" i="15" s="1"/>
  <c r="AE542" i="15"/>
  <c r="AG542" i="15" s="1"/>
  <c r="AJ542" i="15"/>
  <c r="AY542" i="15" s="1"/>
  <c r="AZ542" i="15" s="1"/>
  <c r="BA542" i="15" s="1"/>
  <c r="AE507" i="15"/>
  <c r="AG507" i="15" s="1"/>
  <c r="AJ507" i="15"/>
  <c r="AY507" i="15" s="1"/>
  <c r="AZ507" i="15" s="1"/>
  <c r="BA507" i="15" s="1"/>
  <c r="AE442" i="15"/>
  <c r="AG442" i="15" s="1"/>
  <c r="AJ442" i="15"/>
  <c r="AY442" i="15" s="1"/>
  <c r="AZ442" i="15" s="1"/>
  <c r="BA442" i="15" s="1"/>
  <c r="AE426" i="15"/>
  <c r="AG426" i="15" s="1"/>
  <c r="AJ426" i="15"/>
  <c r="AE691" i="15"/>
  <c r="AG691" i="15" s="1"/>
  <c r="AJ691" i="15"/>
  <c r="AY691" i="15" s="1"/>
  <c r="AZ691" i="15" s="1"/>
  <c r="BA691" i="15" s="1"/>
  <c r="AE613" i="15"/>
  <c r="AG613" i="15" s="1"/>
  <c r="AJ613" i="15"/>
  <c r="AY613" i="15" s="1"/>
  <c r="AZ613" i="15" s="1"/>
  <c r="BA613" i="15" s="1"/>
  <c r="AE523" i="15"/>
  <c r="AG523" i="15" s="1"/>
  <c r="AJ523" i="15"/>
  <c r="AY523" i="15" s="1"/>
  <c r="AZ523" i="15" s="1"/>
  <c r="BA523" i="15" s="1"/>
  <c r="AE427" i="15"/>
  <c r="AG427" i="15" s="1"/>
  <c r="AJ427" i="15"/>
  <c r="AY427" i="15" s="1"/>
  <c r="AZ427" i="15" s="1"/>
  <c r="BA427" i="15" s="1"/>
  <c r="AE326" i="15"/>
  <c r="AG326" i="15" s="1"/>
  <c r="AJ326" i="15"/>
  <c r="AY326" i="15" s="1"/>
  <c r="AZ326" i="15" s="1"/>
  <c r="BA326" i="15" s="1"/>
  <c r="AE561" i="15"/>
  <c r="AG561" i="15" s="1"/>
  <c r="AJ561" i="15"/>
  <c r="AY561" i="15" s="1"/>
  <c r="AZ561" i="15" s="1"/>
  <c r="BA561" i="15" s="1"/>
  <c r="AE682" i="15"/>
  <c r="AG682" i="15" s="1"/>
  <c r="AJ682" i="15"/>
  <c r="AY682" i="15" s="1"/>
  <c r="AZ682" i="15" s="1"/>
  <c r="BA682" i="15" s="1"/>
  <c r="AE517" i="15"/>
  <c r="AG517" i="15" s="1"/>
  <c r="AJ517" i="15"/>
  <c r="AY517" i="15" s="1"/>
  <c r="AZ517" i="15" s="1"/>
  <c r="BA517" i="15" s="1"/>
  <c r="AE453" i="15"/>
  <c r="AG453" i="15" s="1"/>
  <c r="AJ453" i="15"/>
  <c r="AY453" i="15" s="1"/>
  <c r="AZ453" i="15" s="1"/>
  <c r="BA453" i="15" s="1"/>
  <c r="AE395" i="15"/>
  <c r="AG395" i="15" s="1"/>
  <c r="AJ395" i="15"/>
  <c r="AY395" i="15" s="1"/>
  <c r="AZ395" i="15" s="1"/>
  <c r="BA395" i="15" s="1"/>
  <c r="AE869" i="15"/>
  <c r="AJ869" i="15"/>
  <c r="AY869" i="15" s="1"/>
  <c r="AZ869" i="15" s="1"/>
  <c r="BA869" i="15" s="1"/>
  <c r="AE515" i="15"/>
  <c r="AG515" i="15" s="1"/>
  <c r="AJ515" i="15"/>
  <c r="AY515" i="15" s="1"/>
  <c r="AZ515" i="15" s="1"/>
  <c r="BA515" i="15" s="1"/>
  <c r="AE321" i="15"/>
  <c r="AG321" i="15" s="1"/>
  <c r="AJ321" i="15"/>
  <c r="AY321" i="15" s="1"/>
  <c r="AZ321" i="15" s="1"/>
  <c r="BA321" i="15" s="1"/>
  <c r="AE567" i="15"/>
  <c r="AG567" i="15" s="1"/>
  <c r="AJ567" i="15"/>
  <c r="AY567" i="15" s="1"/>
  <c r="AZ567" i="15" s="1"/>
  <c r="BA567" i="15" s="1"/>
  <c r="AE510" i="15"/>
  <c r="AG510" i="15" s="1"/>
  <c r="AJ510" i="15"/>
  <c r="AY510" i="15" s="1"/>
  <c r="AZ510" i="15" s="1"/>
  <c r="BA510" i="15" s="1"/>
  <c r="AE461" i="15"/>
  <c r="AG461" i="15" s="1"/>
  <c r="AJ461" i="15"/>
  <c r="AY461" i="15" s="1"/>
  <c r="AZ461" i="15" s="1"/>
  <c r="BA461" i="15" s="1"/>
  <c r="AE401" i="15"/>
  <c r="AG401" i="15" s="1"/>
  <c r="AJ401" i="15"/>
  <c r="AY401" i="15" s="1"/>
  <c r="AZ401" i="15" s="1"/>
  <c r="BA401" i="15" s="1"/>
  <c r="AE320" i="15"/>
  <c r="AG320" i="15" s="1"/>
  <c r="AJ320" i="15"/>
  <c r="AY320" i="15" s="1"/>
  <c r="AZ320" i="15" s="1"/>
  <c r="BA320" i="15" s="1"/>
  <c r="AE174" i="15"/>
  <c r="AG174" i="15" s="1"/>
  <c r="AJ174" i="15"/>
  <c r="AY174" i="15" s="1"/>
  <c r="AZ174" i="15" s="1"/>
  <c r="BA174" i="15" s="1"/>
  <c r="AE662" i="15"/>
  <c r="AG662" i="15" s="1"/>
  <c r="AJ662" i="15"/>
  <c r="AY662" i="15" s="1"/>
  <c r="AZ662" i="15" s="1"/>
  <c r="BA662" i="15" s="1"/>
  <c r="AE417" i="15"/>
  <c r="AG417" i="15" s="1"/>
  <c r="AJ417" i="15"/>
  <c r="AY417" i="15" s="1"/>
  <c r="AZ417" i="15" s="1"/>
  <c r="BA417" i="15" s="1"/>
  <c r="AE363" i="15"/>
  <c r="AG363" i="15" s="1"/>
  <c r="AJ363" i="15"/>
  <c r="AY363" i="15" s="1"/>
  <c r="AZ363" i="15" s="1"/>
  <c r="BA363" i="15" s="1"/>
  <c r="AE221" i="15"/>
  <c r="AG221" i="15" s="1"/>
  <c r="AJ221" i="15"/>
  <c r="AY221" i="15" s="1"/>
  <c r="AZ221" i="15" s="1"/>
  <c r="BA221" i="15" s="1"/>
  <c r="AE186" i="15"/>
  <c r="AG186" i="15" s="1"/>
  <c r="AJ186" i="15"/>
  <c r="AY186" i="15" s="1"/>
  <c r="AZ186" i="15" s="1"/>
  <c r="BA186" i="15" s="1"/>
  <c r="AE145" i="15"/>
  <c r="AG145" i="15" s="1"/>
  <c r="AJ145" i="15"/>
  <c r="AY145" i="15" s="1"/>
  <c r="AZ145" i="15" s="1"/>
  <c r="BA145" i="15" s="1"/>
  <c r="AE62" i="15"/>
  <c r="AG62" i="15" s="1"/>
  <c r="AJ62" i="15"/>
  <c r="AY62" i="15" s="1"/>
  <c r="AZ62" i="15" s="1"/>
  <c r="BA62" i="15" s="1"/>
  <c r="AE14" i="15"/>
  <c r="AG14" i="15" s="1"/>
  <c r="AJ14" i="15"/>
  <c r="AY14" i="15" s="1"/>
  <c r="AZ14" i="15" s="1"/>
  <c r="BA14" i="15" s="1"/>
  <c r="AE15" i="15"/>
  <c r="AG15" i="15" s="1"/>
  <c r="AJ15" i="15"/>
  <c r="AY15" i="15" s="1"/>
  <c r="AZ15" i="15" s="1"/>
  <c r="BA15" i="15" s="1"/>
  <c r="AE157" i="15"/>
  <c r="AG157" i="15" s="1"/>
  <c r="AJ157" i="15"/>
  <c r="AY157" i="15" s="1"/>
  <c r="AZ157" i="15" s="1"/>
  <c r="BA157" i="15" s="1"/>
  <c r="AE60" i="15"/>
  <c r="AG60" i="15" s="1"/>
  <c r="AJ60" i="15"/>
  <c r="AY60" i="15" s="1"/>
  <c r="AZ60" i="15" s="1"/>
  <c r="BA60" i="15" s="1"/>
  <c r="AE369" i="15"/>
  <c r="AG369" i="15" s="1"/>
  <c r="AJ369" i="15"/>
  <c r="AY369" i="15" s="1"/>
  <c r="AZ369" i="15" s="1"/>
  <c r="BA369" i="15" s="1"/>
  <c r="AE276" i="15"/>
  <c r="AG276" i="15" s="1"/>
  <c r="AJ276" i="15"/>
  <c r="AY276" i="15" s="1"/>
  <c r="AZ276" i="15" s="1"/>
  <c r="BA276" i="15" s="1"/>
  <c r="AE255" i="15"/>
  <c r="AG255" i="15" s="1"/>
  <c r="AJ255" i="15"/>
  <c r="AY255" i="15" s="1"/>
  <c r="AZ255" i="15" s="1"/>
  <c r="BA255" i="15" s="1"/>
  <c r="AE209" i="15"/>
  <c r="AG209" i="15" s="1"/>
  <c r="AJ209" i="15"/>
  <c r="AY209" i="15" s="1"/>
  <c r="AZ209" i="15" s="1"/>
  <c r="BA209" i="15" s="1"/>
  <c r="AE345" i="15"/>
  <c r="AG345" i="15" s="1"/>
  <c r="AJ345" i="15"/>
  <c r="AY345" i="15" s="1"/>
  <c r="AZ345" i="15" s="1"/>
  <c r="BA345" i="15" s="1"/>
  <c r="AE277" i="15"/>
  <c r="AG277" i="15" s="1"/>
  <c r="AJ277" i="15"/>
  <c r="AY277" i="15" s="1"/>
  <c r="AZ277" i="15" s="1"/>
  <c r="BA277" i="15" s="1"/>
  <c r="AE258" i="15"/>
  <c r="AG258" i="15" s="1"/>
  <c r="AJ258" i="15"/>
  <c r="AY258" i="15" s="1"/>
  <c r="AZ258" i="15" s="1"/>
  <c r="BA258" i="15" s="1"/>
  <c r="AE237" i="15"/>
  <c r="AG237" i="15" s="1"/>
  <c r="AJ237" i="15"/>
  <c r="AY237" i="15" s="1"/>
  <c r="AZ237" i="15" s="1"/>
  <c r="BA237" i="15" s="1"/>
  <c r="AE203" i="15"/>
  <c r="AG203" i="15" s="1"/>
  <c r="AJ203" i="15"/>
  <c r="AY203" i="15" s="1"/>
  <c r="AZ203" i="15" s="1"/>
  <c r="BA203" i="15" s="1"/>
  <c r="AE161" i="15"/>
  <c r="AG161" i="15" s="1"/>
  <c r="AJ161" i="15"/>
  <c r="AY161" i="15" s="1"/>
  <c r="AZ161" i="15" s="1"/>
  <c r="BA161" i="15" s="1"/>
  <c r="AE59" i="15"/>
  <c r="AG59" i="15" s="1"/>
  <c r="AJ59" i="15"/>
  <c r="AY59" i="15" s="1"/>
  <c r="AZ59" i="15" s="1"/>
  <c r="BA59" i="15" s="1"/>
  <c r="AE357" i="15"/>
  <c r="AG357" i="15" s="1"/>
  <c r="AJ357" i="15"/>
  <c r="AY357" i="15" s="1"/>
  <c r="AZ357" i="15" s="1"/>
  <c r="BA357" i="15" s="1"/>
  <c r="AE215" i="15"/>
  <c r="AG215" i="15" s="1"/>
  <c r="AJ215" i="15"/>
  <c r="AY215" i="15" s="1"/>
  <c r="AZ215" i="15" s="1"/>
  <c r="BA215" i="15" s="1"/>
  <c r="AE136" i="15"/>
  <c r="AG136" i="15" s="1"/>
  <c r="AJ136" i="15"/>
  <c r="AY136" i="15" s="1"/>
  <c r="AZ136" i="15" s="1"/>
  <c r="BA136" i="15" s="1"/>
  <c r="AE225" i="15"/>
  <c r="AG225" i="15" s="1"/>
  <c r="AJ225" i="15"/>
  <c r="AY225" i="15" s="1"/>
  <c r="AZ225" i="15" s="1"/>
  <c r="BA225" i="15" s="1"/>
  <c r="AE101" i="15"/>
  <c r="AG101" i="15" s="1"/>
  <c r="AJ101" i="15"/>
  <c r="AY101" i="15" s="1"/>
  <c r="AZ101" i="15" s="1"/>
  <c r="BA101" i="15" s="1"/>
  <c r="AE115" i="15"/>
  <c r="AG115" i="15" s="1"/>
  <c r="AJ115" i="15"/>
  <c r="AY115" i="15" s="1"/>
  <c r="AZ115" i="15" s="1"/>
  <c r="BA115" i="15" s="1"/>
  <c r="AE119" i="15"/>
  <c r="AG119" i="15" s="1"/>
  <c r="AJ119" i="15"/>
  <c r="AY119" i="15" s="1"/>
  <c r="AZ119" i="15" s="1"/>
  <c r="BA119" i="15" s="1"/>
  <c r="AE760" i="15"/>
  <c r="AG760" i="15" s="1"/>
  <c r="AJ760" i="15"/>
  <c r="AY760" i="15" s="1"/>
  <c r="AZ760" i="15" s="1"/>
  <c r="BA760" i="15" s="1"/>
  <c r="AE850" i="15"/>
  <c r="AG850" i="15" s="1"/>
  <c r="AJ850" i="15"/>
  <c r="AY850" i="15" s="1"/>
  <c r="AZ850" i="15" s="1"/>
  <c r="BA850" i="15" s="1"/>
  <c r="AE754" i="15"/>
  <c r="AG754" i="15" s="1"/>
  <c r="AJ754" i="15"/>
  <c r="AY754" i="15" s="1"/>
  <c r="AZ754" i="15" s="1"/>
  <c r="BA754" i="15" s="1"/>
  <c r="AE858" i="15"/>
  <c r="AG858" i="15" s="1"/>
  <c r="AJ858" i="15"/>
  <c r="AY858" i="15" s="1"/>
  <c r="AZ858" i="15" s="1"/>
  <c r="BA858" i="15" s="1"/>
  <c r="AE583" i="15"/>
  <c r="AG583" i="15" s="1"/>
  <c r="AJ583" i="15"/>
  <c r="AY583" i="15" s="1"/>
  <c r="AZ583" i="15" s="1"/>
  <c r="BA583" i="15" s="1"/>
  <c r="AE544" i="15"/>
  <c r="AG544" i="15" s="1"/>
  <c r="AJ544" i="15"/>
  <c r="AY544" i="15" s="1"/>
  <c r="AZ544" i="15" s="1"/>
  <c r="BA544" i="15" s="1"/>
  <c r="AE588" i="15"/>
  <c r="AG588" i="15" s="1"/>
  <c r="AJ588" i="15"/>
  <c r="AY588" i="15" s="1"/>
  <c r="AZ588" i="15" s="1"/>
  <c r="BA588" i="15" s="1"/>
  <c r="AE549" i="15"/>
  <c r="AG549" i="15" s="1"/>
  <c r="AJ549" i="15"/>
  <c r="AY549" i="15" s="1"/>
  <c r="AZ549" i="15" s="1"/>
  <c r="BA549" i="15" s="1"/>
  <c r="AE578" i="15"/>
  <c r="AG578" i="15" s="1"/>
  <c r="AJ578" i="15"/>
  <c r="AY578" i="15" s="1"/>
  <c r="AZ578" i="15" s="1"/>
  <c r="BA578" i="15" s="1"/>
  <c r="AE803" i="15"/>
  <c r="AG803" i="15" s="1"/>
  <c r="AJ803" i="15"/>
  <c r="AY803" i="15" s="1"/>
  <c r="AZ803" i="15" s="1"/>
  <c r="BA803" i="15" s="1"/>
  <c r="AE756" i="15"/>
  <c r="AG756" i="15" s="1"/>
  <c r="AJ756" i="15"/>
  <c r="AY756" i="15" s="1"/>
  <c r="AZ756" i="15" s="1"/>
  <c r="BA756" i="15" s="1"/>
  <c r="BM892" i="15"/>
  <c r="BN892" i="15" s="1"/>
  <c r="AI892" i="15"/>
  <c r="BM878" i="15"/>
  <c r="BN878" i="15" s="1"/>
  <c r="AI878" i="15"/>
  <c r="BM868" i="15"/>
  <c r="BN868" i="15" s="1"/>
  <c r="AI868" i="15"/>
  <c r="AE807" i="15"/>
  <c r="AG807" i="15" s="1"/>
  <c r="AJ807" i="15"/>
  <c r="AY807" i="15" s="1"/>
  <c r="AZ807" i="15" s="1"/>
  <c r="BA807" i="15" s="1"/>
  <c r="AE797" i="15"/>
  <c r="AG797" i="15" s="1"/>
  <c r="AJ797" i="15"/>
  <c r="AY797" i="15" s="1"/>
  <c r="AZ797" i="15" s="1"/>
  <c r="BA797" i="15" s="1"/>
  <c r="AE784" i="15"/>
  <c r="AG784" i="15" s="1"/>
  <c r="AJ784" i="15"/>
  <c r="AY784" i="15" s="1"/>
  <c r="AZ784" i="15" s="1"/>
  <c r="BA784" i="15" s="1"/>
  <c r="AE766" i="15"/>
  <c r="AG766" i="15" s="1"/>
  <c r="AJ766" i="15"/>
  <c r="BM28" i="15"/>
  <c r="BN28" i="15" s="1"/>
  <c r="AI28" i="15"/>
  <c r="BM12" i="15"/>
  <c r="BN12" i="15" s="1"/>
  <c r="AI12" i="15"/>
  <c r="BM739" i="15"/>
  <c r="BN739" i="15" s="1"/>
  <c r="AI739" i="15"/>
  <c r="BM729" i="15"/>
  <c r="BN729" i="15" s="1"/>
  <c r="AI729" i="15"/>
  <c r="BM712" i="15"/>
  <c r="BN712" i="15" s="1"/>
  <c r="AI712" i="15"/>
  <c r="BM704" i="15"/>
  <c r="BN704" i="15" s="1"/>
  <c r="AI704" i="15"/>
  <c r="BM463" i="15"/>
  <c r="BN463" i="15" s="1"/>
  <c r="AI463" i="15"/>
  <c r="BM438" i="15"/>
  <c r="BN438" i="15" s="1"/>
  <c r="AI438" i="15"/>
  <c r="AE421" i="15"/>
  <c r="AG421" i="15" s="1"/>
  <c r="AJ421" i="15"/>
  <c r="AY421" i="15" s="1"/>
  <c r="AZ421" i="15" s="1"/>
  <c r="BA421" i="15" s="1"/>
  <c r="BM338" i="15"/>
  <c r="BN338" i="15" s="1"/>
  <c r="AI338" i="15"/>
  <c r="BM322" i="15"/>
  <c r="BN322" i="15" s="1"/>
  <c r="AI322" i="15"/>
  <c r="BM307" i="15"/>
  <c r="BN307" i="15" s="1"/>
  <c r="AI307" i="15"/>
  <c r="BM297" i="15"/>
  <c r="BN297" i="15" s="1"/>
  <c r="AI297" i="15"/>
  <c r="BM289" i="15"/>
  <c r="BN289" i="15" s="1"/>
  <c r="AI289" i="15"/>
  <c r="BM143" i="15"/>
  <c r="BN143" i="15" s="1"/>
  <c r="AI143" i="15"/>
  <c r="AE126" i="15"/>
  <c r="AG126" i="15" s="1"/>
  <c r="AJ126" i="15"/>
  <c r="AY126" i="15" s="1"/>
  <c r="AZ126" i="15" s="1"/>
  <c r="BA126" i="15" s="1"/>
  <c r="AE118" i="15"/>
  <c r="AG118" i="15" s="1"/>
  <c r="AJ118" i="15"/>
  <c r="AY118" i="15" s="1"/>
  <c r="AZ118" i="15" s="1"/>
  <c r="BA118" i="15" s="1"/>
  <c r="AE106" i="15"/>
  <c r="AG106" i="15" s="1"/>
  <c r="AJ106" i="15"/>
  <c r="AY106" i="15" s="1"/>
  <c r="AZ106" i="15" s="1"/>
  <c r="BA106" i="15" s="1"/>
  <c r="BM862" i="15"/>
  <c r="BN862" i="15" s="1"/>
  <c r="AI862" i="15"/>
  <c r="BM760" i="15"/>
  <c r="BN760" i="15" s="1"/>
  <c r="AI760" i="15"/>
  <c r="BM534" i="15"/>
  <c r="BN534" i="15" s="1"/>
  <c r="AI534" i="15"/>
  <c r="BM509" i="15"/>
  <c r="BN509" i="15" s="1"/>
  <c r="AI509" i="15"/>
  <c r="BM239" i="15"/>
  <c r="BN239" i="15" s="1"/>
  <c r="AI239" i="15"/>
  <c r="BM703" i="15"/>
  <c r="BN703" i="15" s="1"/>
  <c r="AI703" i="15"/>
  <c r="AE661" i="15"/>
  <c r="AG661" i="15" s="1"/>
  <c r="AJ661" i="15"/>
  <c r="AY661" i="15" s="1"/>
  <c r="AZ661" i="15" s="1"/>
  <c r="BA661" i="15" s="1"/>
  <c r="AE628" i="15"/>
  <c r="AG628" i="15" s="1"/>
  <c r="AJ628" i="15"/>
  <c r="AY628" i="15" s="1"/>
  <c r="AZ628" i="15" s="1"/>
  <c r="BA628" i="15" s="1"/>
  <c r="AE620" i="15"/>
  <c r="AG620" i="15" s="1"/>
  <c r="AJ620" i="15"/>
  <c r="AY620" i="15" s="1"/>
  <c r="AZ620" i="15" s="1"/>
  <c r="BA620" i="15" s="1"/>
  <c r="AE610" i="15"/>
  <c r="AG610" i="15" s="1"/>
  <c r="AJ610" i="15"/>
  <c r="AY610" i="15" s="1"/>
  <c r="AZ610" i="15" s="1"/>
  <c r="BA610" i="15" s="1"/>
  <c r="AE460" i="15"/>
  <c r="AG460" i="15" s="1"/>
  <c r="AJ460" i="15"/>
  <c r="AY460" i="15" s="1"/>
  <c r="AZ460" i="15" s="1"/>
  <c r="BA460" i="15" s="1"/>
  <c r="BM408" i="15"/>
  <c r="BN408" i="15" s="1"/>
  <c r="AI408" i="15"/>
  <c r="BM378" i="15"/>
  <c r="BN378" i="15" s="1"/>
  <c r="AI378" i="15"/>
  <c r="BM370" i="15"/>
  <c r="BN370" i="15" s="1"/>
  <c r="AI370" i="15"/>
  <c r="BM356" i="15"/>
  <c r="BN356" i="15" s="1"/>
  <c r="AI356" i="15"/>
  <c r="BM346" i="15"/>
  <c r="BN346" i="15" s="1"/>
  <c r="AI346" i="15"/>
  <c r="BM96" i="15"/>
  <c r="BN96" i="15" s="1"/>
  <c r="AI96" i="15"/>
  <c r="BM81" i="15"/>
  <c r="BN81" i="15" s="1"/>
  <c r="AI81" i="15"/>
  <c r="BM73" i="15"/>
  <c r="BN73" i="15" s="1"/>
  <c r="AI73" i="15"/>
  <c r="AE867" i="15"/>
  <c r="AJ867" i="15"/>
  <c r="AY867" i="15" s="1"/>
  <c r="AZ867" i="15" s="1"/>
  <c r="BA867" i="15" s="1"/>
  <c r="AE781" i="15"/>
  <c r="AG781" i="15" s="1"/>
  <c r="AJ781" i="15"/>
  <c r="AY781" i="15" s="1"/>
  <c r="AZ781" i="15" s="1"/>
  <c r="BA781" i="15" s="1"/>
  <c r="AE882" i="15"/>
  <c r="AJ882" i="15"/>
  <c r="AY882" i="15" s="1"/>
  <c r="AZ882" i="15" s="1"/>
  <c r="BA882" i="15" s="1"/>
  <c r="AE802" i="15"/>
  <c r="AG802" i="15" s="1"/>
  <c r="AJ802" i="15"/>
  <c r="AY802" i="15" s="1"/>
  <c r="AZ802" i="15" s="1"/>
  <c r="BA802" i="15" s="1"/>
  <c r="AE705" i="15"/>
  <c r="AG705" i="15" s="1"/>
  <c r="AJ705" i="15"/>
  <c r="AY705" i="15" s="1"/>
  <c r="AZ705" i="15" s="1"/>
  <c r="BA705" i="15" s="1"/>
  <c r="AE752" i="15"/>
  <c r="AG752" i="15" s="1"/>
  <c r="AJ752" i="15"/>
  <c r="AY752" i="15" s="1"/>
  <c r="AZ752" i="15" s="1"/>
  <c r="BA752" i="15" s="1"/>
  <c r="AE716" i="15"/>
  <c r="AG716" i="15" s="1"/>
  <c r="AJ716" i="15"/>
  <c r="AY716" i="15" s="1"/>
  <c r="AZ716" i="15" s="1"/>
  <c r="BA716" i="15" s="1"/>
  <c r="AE679" i="15"/>
  <c r="AG679" i="15" s="1"/>
  <c r="AJ679" i="15"/>
  <c r="AY679" i="15" s="1"/>
  <c r="AZ679" i="15" s="1"/>
  <c r="BA679" i="15" s="1"/>
  <c r="AE732" i="15"/>
  <c r="AG732" i="15" s="1"/>
  <c r="AJ732" i="15"/>
  <c r="AY732" i="15" s="1"/>
  <c r="AZ732" i="15" s="1"/>
  <c r="BA732" i="15" s="1"/>
  <c r="AE627" i="15"/>
  <c r="AG627" i="15" s="1"/>
  <c r="AJ627" i="15"/>
  <c r="AY627" i="15" s="1"/>
  <c r="AZ627" i="15" s="1"/>
  <c r="BA627" i="15" s="1"/>
  <c r="AE410" i="15"/>
  <c r="AG410" i="15" s="1"/>
  <c r="AJ410" i="15"/>
  <c r="AY410" i="15" s="1"/>
  <c r="AZ410" i="15" s="1"/>
  <c r="BA410" i="15" s="1"/>
  <c r="AE538" i="15"/>
  <c r="AG538" i="15" s="1"/>
  <c r="AJ538" i="15"/>
  <c r="AE503" i="15"/>
  <c r="AG503" i="15" s="1"/>
  <c r="AJ503" i="15"/>
  <c r="AY503" i="15" s="1"/>
  <c r="AZ503" i="15" s="1"/>
  <c r="BA503" i="15" s="1"/>
  <c r="AE438" i="15"/>
  <c r="AG438" i="15" s="1"/>
  <c r="AJ438" i="15"/>
  <c r="AY438" i="15" s="1"/>
  <c r="AZ438" i="15" s="1"/>
  <c r="BA438" i="15" s="1"/>
  <c r="AE408" i="15"/>
  <c r="AG408" i="15" s="1"/>
  <c r="AJ408" i="15"/>
  <c r="AY408" i="15" s="1"/>
  <c r="AZ408" i="15" s="1"/>
  <c r="BA408" i="15" s="1"/>
  <c r="AE722" i="15"/>
  <c r="AG722" i="15" s="1"/>
  <c r="AJ722" i="15"/>
  <c r="AY722" i="15" s="1"/>
  <c r="AZ722" i="15" s="1"/>
  <c r="BA722" i="15" s="1"/>
  <c r="AE621" i="15"/>
  <c r="AG621" i="15" s="1"/>
  <c r="AJ621" i="15"/>
  <c r="AY621" i="15" s="1"/>
  <c r="AZ621" i="15" s="1"/>
  <c r="BA621" i="15" s="1"/>
  <c r="AE605" i="15"/>
  <c r="AG605" i="15" s="1"/>
  <c r="AJ605" i="15"/>
  <c r="AE660" i="15"/>
  <c r="AG660" i="15" s="1"/>
  <c r="AJ660" i="15"/>
  <c r="AY660" i="15" s="1"/>
  <c r="AZ660" i="15" s="1"/>
  <c r="BA660" i="15" s="1"/>
  <c r="AE644" i="15"/>
  <c r="AG644" i="15" s="1"/>
  <c r="AJ644" i="15"/>
  <c r="AY644" i="15" s="1"/>
  <c r="AZ644" i="15" s="1"/>
  <c r="BA644" i="15" s="1"/>
  <c r="AE557" i="15"/>
  <c r="AG557" i="15" s="1"/>
  <c r="AJ557" i="15"/>
  <c r="AY557" i="15" s="1"/>
  <c r="AZ557" i="15" s="1"/>
  <c r="BA557" i="15" s="1"/>
  <c r="AE498" i="15"/>
  <c r="AG498" i="15" s="1"/>
  <c r="AJ498" i="15"/>
  <c r="AY498" i="15" s="1"/>
  <c r="AZ498" i="15" s="1"/>
  <c r="BA498" i="15" s="1"/>
  <c r="AE443" i="15"/>
  <c r="AG443" i="15" s="1"/>
  <c r="AJ443" i="15"/>
  <c r="AY443" i="15" s="1"/>
  <c r="AZ443" i="15" s="1"/>
  <c r="BA443" i="15" s="1"/>
  <c r="AE411" i="15"/>
  <c r="AG411" i="15" s="1"/>
  <c r="AJ411" i="15"/>
  <c r="AY411" i="15" s="1"/>
  <c r="AZ411" i="15" s="1"/>
  <c r="BA411" i="15" s="1"/>
  <c r="AE391" i="15"/>
  <c r="AG391" i="15" s="1"/>
  <c r="AJ391" i="15"/>
  <c r="AY391" i="15" s="1"/>
  <c r="AZ391" i="15" s="1"/>
  <c r="BA391" i="15" s="1"/>
  <c r="AE334" i="15"/>
  <c r="AG334" i="15" s="1"/>
  <c r="AJ334" i="15"/>
  <c r="AY334" i="15" s="1"/>
  <c r="AZ334" i="15" s="1"/>
  <c r="BA334" i="15" s="1"/>
  <c r="AE318" i="15"/>
  <c r="AG318" i="15" s="1"/>
  <c r="AJ318" i="15"/>
  <c r="AY318" i="15" s="1"/>
  <c r="AZ318" i="15" s="1"/>
  <c r="BA318" i="15" s="1"/>
  <c r="AE800" i="15"/>
  <c r="AG800" i="15" s="1"/>
  <c r="AJ800" i="15"/>
  <c r="AY800" i="15" s="1"/>
  <c r="AZ800" i="15" s="1"/>
  <c r="BA800" i="15" s="1"/>
  <c r="AE470" i="15"/>
  <c r="AG470" i="15" s="1"/>
  <c r="AJ470" i="15"/>
  <c r="AY470" i="15" s="1"/>
  <c r="AZ470" i="15" s="1"/>
  <c r="BA470" i="15" s="1"/>
  <c r="AE398" i="15"/>
  <c r="AG398" i="15" s="1"/>
  <c r="AJ398" i="15"/>
  <c r="AY398" i="15" s="1"/>
  <c r="AZ398" i="15" s="1"/>
  <c r="BA398" i="15" s="1"/>
  <c r="AE656" i="15"/>
  <c r="AG656" i="15" s="1"/>
  <c r="AJ656" i="15"/>
  <c r="AY656" i="15" s="1"/>
  <c r="AZ656" i="15" s="1"/>
  <c r="BA656" i="15" s="1"/>
  <c r="AE562" i="15"/>
  <c r="AG562" i="15" s="1"/>
  <c r="AJ562" i="15"/>
  <c r="AY562" i="15" s="1"/>
  <c r="AZ562" i="15" s="1"/>
  <c r="BA562" i="15" s="1"/>
  <c r="AE531" i="15"/>
  <c r="AG531" i="15" s="1"/>
  <c r="AJ531" i="15"/>
  <c r="AY531" i="15" s="1"/>
  <c r="AZ531" i="15" s="1"/>
  <c r="BA531" i="15" s="1"/>
  <c r="AE496" i="15"/>
  <c r="AG496" i="15" s="1"/>
  <c r="AJ496" i="15"/>
  <c r="AY496" i="15" s="1"/>
  <c r="AZ496" i="15" s="1"/>
  <c r="BA496" i="15" s="1"/>
  <c r="AE467" i="15"/>
  <c r="AG467" i="15" s="1"/>
  <c r="AJ467" i="15"/>
  <c r="AY467" i="15" s="1"/>
  <c r="AZ467" i="15" s="1"/>
  <c r="BA467" i="15" s="1"/>
  <c r="AE441" i="15"/>
  <c r="AG441" i="15" s="1"/>
  <c r="AJ441" i="15"/>
  <c r="AY441" i="15" s="1"/>
  <c r="AZ441" i="15" s="1"/>
  <c r="BA441" i="15" s="1"/>
  <c r="AE404" i="15"/>
  <c r="AG404" i="15" s="1"/>
  <c r="AJ404" i="15"/>
  <c r="AY404" i="15" s="1"/>
  <c r="AZ404" i="15" s="1"/>
  <c r="BA404" i="15" s="1"/>
  <c r="AE335" i="15"/>
  <c r="AG335" i="15" s="1"/>
  <c r="AJ335" i="15"/>
  <c r="AY335" i="15" s="1"/>
  <c r="AZ335" i="15" s="1"/>
  <c r="BA335" i="15" s="1"/>
  <c r="AE319" i="15"/>
  <c r="AG319" i="15" s="1"/>
  <c r="AJ319" i="15"/>
  <c r="AY319" i="15" s="1"/>
  <c r="AZ319" i="15" s="1"/>
  <c r="BA319" i="15" s="1"/>
  <c r="AE813" i="15"/>
  <c r="AG813" i="15" s="1"/>
  <c r="AJ813" i="15"/>
  <c r="AY813" i="15" s="1"/>
  <c r="AZ813" i="15" s="1"/>
  <c r="BA813" i="15" s="1"/>
  <c r="AE541" i="15"/>
  <c r="AG541" i="15" s="1"/>
  <c r="AJ541" i="15"/>
  <c r="AY541" i="15" s="1"/>
  <c r="AZ541" i="15" s="1"/>
  <c r="BA541" i="15" s="1"/>
  <c r="AE472" i="15"/>
  <c r="AG472" i="15" s="1"/>
  <c r="AJ472" i="15"/>
  <c r="AY472" i="15" s="1"/>
  <c r="AZ472" i="15" s="1"/>
  <c r="BA472" i="15" s="1"/>
  <c r="AE329" i="15"/>
  <c r="AG329" i="15" s="1"/>
  <c r="AJ329" i="15"/>
  <c r="AY329" i="15" s="1"/>
  <c r="AZ329" i="15" s="1"/>
  <c r="BA329" i="15" s="1"/>
  <c r="AE736" i="15"/>
  <c r="AG736" i="15" s="1"/>
  <c r="AJ736" i="15"/>
  <c r="AY736" i="15" s="1"/>
  <c r="AZ736" i="15" s="1"/>
  <c r="BA736" i="15" s="1"/>
  <c r="AE659" i="15"/>
  <c r="AG659" i="15" s="1"/>
  <c r="AJ659" i="15"/>
  <c r="AY659" i="15" s="1"/>
  <c r="AZ659" i="15" s="1"/>
  <c r="BA659" i="15" s="1"/>
  <c r="AE560" i="15"/>
  <c r="AG560" i="15" s="1"/>
  <c r="AJ560" i="15"/>
  <c r="AY560" i="15" s="1"/>
  <c r="AZ560" i="15" s="1"/>
  <c r="BA560" i="15" s="1"/>
  <c r="AE525" i="15"/>
  <c r="AG525" i="15" s="1"/>
  <c r="AJ525" i="15"/>
  <c r="AY525" i="15" s="1"/>
  <c r="AZ525" i="15" s="1"/>
  <c r="BA525" i="15" s="1"/>
  <c r="AE494" i="15"/>
  <c r="AG494" i="15" s="1"/>
  <c r="AJ494" i="15"/>
  <c r="AE476" i="15"/>
  <c r="AG476" i="15" s="1"/>
  <c r="AJ476" i="15"/>
  <c r="AE454" i="15"/>
  <c r="AG454" i="15" s="1"/>
  <c r="AJ454" i="15"/>
  <c r="AY454" i="15" s="1"/>
  <c r="AZ454" i="15" s="1"/>
  <c r="BA454" i="15" s="1"/>
  <c r="AE409" i="15"/>
  <c r="AG409" i="15" s="1"/>
  <c r="AJ409" i="15"/>
  <c r="AY409" i="15" s="1"/>
  <c r="AZ409" i="15" s="1"/>
  <c r="BA409" i="15" s="1"/>
  <c r="AE393" i="15"/>
  <c r="AG393" i="15" s="1"/>
  <c r="AJ393" i="15"/>
  <c r="AY393" i="15" s="1"/>
  <c r="AZ393" i="15" s="1"/>
  <c r="BA393" i="15" s="1"/>
  <c r="AE328" i="15"/>
  <c r="AG328" i="15" s="1"/>
  <c r="AJ328" i="15"/>
  <c r="AY328" i="15" s="1"/>
  <c r="AZ328" i="15" s="1"/>
  <c r="BA328" i="15" s="1"/>
  <c r="AE239" i="15"/>
  <c r="AG239" i="15" s="1"/>
  <c r="AJ239" i="15"/>
  <c r="AY239" i="15" s="1"/>
  <c r="AZ239" i="15" s="1"/>
  <c r="BA239" i="15" s="1"/>
  <c r="AE231" i="15"/>
  <c r="AG231" i="15" s="1"/>
  <c r="AJ231" i="15"/>
  <c r="AE166" i="15"/>
  <c r="AG166" i="15" s="1"/>
  <c r="AJ166" i="15"/>
  <c r="AY166" i="15" s="1"/>
  <c r="AZ166" i="15" s="1"/>
  <c r="BA166" i="15" s="1"/>
  <c r="AE792" i="15"/>
  <c r="AG792" i="15" s="1"/>
  <c r="AJ792" i="15"/>
  <c r="AY792" i="15" s="1"/>
  <c r="AZ792" i="15" s="1"/>
  <c r="BA792" i="15" s="1"/>
  <c r="AE556" i="15"/>
  <c r="AG556" i="15" s="1"/>
  <c r="AJ556" i="15"/>
  <c r="AY556" i="15" s="1"/>
  <c r="AZ556" i="15" s="1"/>
  <c r="BA556" i="15" s="1"/>
  <c r="AE468" i="15"/>
  <c r="AG468" i="15" s="1"/>
  <c r="AJ468" i="15"/>
  <c r="AY468" i="15" s="1"/>
  <c r="AZ468" i="15" s="1"/>
  <c r="BA468" i="15" s="1"/>
  <c r="AE390" i="15"/>
  <c r="AG390" i="15" s="1"/>
  <c r="AJ390" i="15"/>
  <c r="AY390" i="15" s="1"/>
  <c r="AZ390" i="15" s="1"/>
  <c r="BA390" i="15" s="1"/>
  <c r="AE379" i="15"/>
  <c r="AG379" i="15" s="1"/>
  <c r="AJ379" i="15"/>
  <c r="AY379" i="15" s="1"/>
  <c r="AZ379" i="15" s="1"/>
  <c r="BA379" i="15" s="1"/>
  <c r="AE347" i="15"/>
  <c r="AG347" i="15" s="1"/>
  <c r="AJ347" i="15"/>
  <c r="AY347" i="15" s="1"/>
  <c r="AZ347" i="15" s="1"/>
  <c r="BA347" i="15" s="1"/>
  <c r="AE294" i="15"/>
  <c r="AG294" i="15" s="1"/>
  <c r="AJ294" i="15"/>
  <c r="AY294" i="15" s="1"/>
  <c r="AZ294" i="15" s="1"/>
  <c r="BA294" i="15" s="1"/>
  <c r="AE212" i="15"/>
  <c r="AG212" i="15" s="1"/>
  <c r="AJ212" i="15"/>
  <c r="AY212" i="15" s="1"/>
  <c r="AZ212" i="15" s="1"/>
  <c r="BA212" i="15" s="1"/>
  <c r="AE194" i="15"/>
  <c r="AG194" i="15" s="1"/>
  <c r="AJ194" i="15"/>
  <c r="AY194" i="15" s="1"/>
  <c r="AZ194" i="15" s="1"/>
  <c r="BA194" i="15" s="1"/>
  <c r="AE178" i="15"/>
  <c r="AG178" i="15" s="1"/>
  <c r="AJ178" i="15"/>
  <c r="AE156" i="15"/>
  <c r="AG156" i="15" s="1"/>
  <c r="AJ156" i="15"/>
  <c r="AY156" i="15" s="1"/>
  <c r="AZ156" i="15" s="1"/>
  <c r="BA156" i="15" s="1"/>
  <c r="AE138" i="15"/>
  <c r="AG138" i="15" s="1"/>
  <c r="AJ138" i="15"/>
  <c r="AY138" i="15" s="1"/>
  <c r="AZ138" i="15" s="1"/>
  <c r="BA138" i="15" s="1"/>
  <c r="AE90" i="15"/>
  <c r="AG90" i="15" s="1"/>
  <c r="AJ90" i="15"/>
  <c r="AY90" i="15" s="1"/>
  <c r="AZ90" i="15" s="1"/>
  <c r="BA90" i="15" s="1"/>
  <c r="AE54" i="15"/>
  <c r="AG54" i="15" s="1"/>
  <c r="AJ54" i="15"/>
  <c r="AY54" i="15" s="1"/>
  <c r="AZ54" i="15" s="1"/>
  <c r="BA54" i="15" s="1"/>
  <c r="AE22" i="15"/>
  <c r="AG22" i="15" s="1"/>
  <c r="AJ22" i="15"/>
  <c r="AY22" i="15" s="1"/>
  <c r="AZ22" i="15" s="1"/>
  <c r="BA22" i="15" s="1"/>
  <c r="AE99" i="15"/>
  <c r="AG99" i="15" s="1"/>
  <c r="AJ99" i="15"/>
  <c r="AY99" i="15" s="1"/>
  <c r="AZ99" i="15" s="1"/>
  <c r="BA99" i="15" s="1"/>
  <c r="AE31" i="15"/>
  <c r="AG31" i="15" s="1"/>
  <c r="AJ31" i="15"/>
  <c r="AY31" i="15" s="1"/>
  <c r="AZ31" i="15" s="1"/>
  <c r="BA31" i="15" s="1"/>
  <c r="AE213" i="15"/>
  <c r="AG213" i="15" s="1"/>
  <c r="AJ213" i="15"/>
  <c r="AY213" i="15" s="1"/>
  <c r="AZ213" i="15" s="1"/>
  <c r="BA213" i="15" s="1"/>
  <c r="AE173" i="15"/>
  <c r="AG173" i="15" s="1"/>
  <c r="AJ173" i="15"/>
  <c r="AY173" i="15" s="1"/>
  <c r="AZ173" i="15" s="1"/>
  <c r="BA173" i="15" s="1"/>
  <c r="AE52" i="15"/>
  <c r="AG52" i="15" s="1"/>
  <c r="AJ52" i="15"/>
  <c r="AY52" i="15" s="1"/>
  <c r="AZ52" i="15" s="1"/>
  <c r="BA52" i="15" s="1"/>
  <c r="AE12" i="15"/>
  <c r="AG12" i="15" s="1"/>
  <c r="AJ12" i="15"/>
  <c r="AY12" i="15" s="1"/>
  <c r="AZ12" i="15" s="1"/>
  <c r="BA12" i="15" s="1"/>
  <c r="AE353" i="15"/>
  <c r="AG353" i="15" s="1"/>
  <c r="AJ353" i="15"/>
  <c r="AY353" i="15" s="1"/>
  <c r="AZ353" i="15" s="1"/>
  <c r="BA353" i="15" s="1"/>
  <c r="AE280" i="15"/>
  <c r="AG280" i="15" s="1"/>
  <c r="AJ280" i="15"/>
  <c r="AY280" i="15" s="1"/>
  <c r="AZ280" i="15" s="1"/>
  <c r="BA280" i="15" s="1"/>
  <c r="AE272" i="15"/>
  <c r="AG272" i="15" s="1"/>
  <c r="AJ272" i="15"/>
  <c r="AY272" i="15" s="1"/>
  <c r="AZ272" i="15" s="1"/>
  <c r="BA272" i="15" s="1"/>
  <c r="AE259" i="15"/>
  <c r="AG259" i="15" s="1"/>
  <c r="AJ259" i="15"/>
  <c r="AY259" i="15" s="1"/>
  <c r="AZ259" i="15" s="1"/>
  <c r="BA259" i="15" s="1"/>
  <c r="AE249" i="15"/>
  <c r="AG249" i="15" s="1"/>
  <c r="AJ249" i="15"/>
  <c r="AY249" i="15" s="1"/>
  <c r="AZ249" i="15" s="1"/>
  <c r="BA249" i="15" s="1"/>
  <c r="AE227" i="15"/>
  <c r="AG227" i="15" s="1"/>
  <c r="AJ227" i="15"/>
  <c r="AY227" i="15" s="1"/>
  <c r="AZ227" i="15" s="1"/>
  <c r="BA227" i="15" s="1"/>
  <c r="AE191" i="15"/>
  <c r="AG191" i="15" s="1"/>
  <c r="AJ191" i="15"/>
  <c r="AY191" i="15" s="1"/>
  <c r="AZ191" i="15" s="1"/>
  <c r="BA191" i="15" s="1"/>
  <c r="AE129" i="15"/>
  <c r="AG129" i="15" s="1"/>
  <c r="AJ129" i="15"/>
  <c r="AY129" i="15" s="1"/>
  <c r="AZ129" i="15" s="1"/>
  <c r="BA129" i="15" s="1"/>
  <c r="AE113" i="15"/>
  <c r="AG113" i="15" s="1"/>
  <c r="AJ113" i="15"/>
  <c r="AY113" i="15" s="1"/>
  <c r="AZ113" i="15" s="1"/>
  <c r="BA113" i="15" s="1"/>
  <c r="AE29" i="15"/>
  <c r="AG29" i="15" s="1"/>
  <c r="AJ29" i="15"/>
  <c r="AY29" i="15" s="1"/>
  <c r="AZ29" i="15" s="1"/>
  <c r="BA29" i="15" s="1"/>
  <c r="AE361" i="15"/>
  <c r="AG361" i="15" s="1"/>
  <c r="AJ361" i="15"/>
  <c r="AY361" i="15" s="1"/>
  <c r="AZ361" i="15" s="1"/>
  <c r="BA361" i="15" s="1"/>
  <c r="AE308" i="15"/>
  <c r="AG308" i="15" s="1"/>
  <c r="AJ308" i="15"/>
  <c r="AY308" i="15" s="1"/>
  <c r="AZ308" i="15" s="1"/>
  <c r="BA308" i="15" s="1"/>
  <c r="AE281" i="15"/>
  <c r="AG281" i="15" s="1"/>
  <c r="AJ281" i="15"/>
  <c r="AY281" i="15" s="1"/>
  <c r="AZ281" i="15" s="1"/>
  <c r="BA281" i="15" s="1"/>
  <c r="AE273" i="15"/>
  <c r="AG273" i="15" s="1"/>
  <c r="AJ273" i="15"/>
  <c r="AY273" i="15" s="1"/>
  <c r="AZ273" i="15" s="1"/>
  <c r="BA273" i="15" s="1"/>
  <c r="AE265" i="15"/>
  <c r="AG265" i="15" s="1"/>
  <c r="AJ265" i="15"/>
  <c r="AE254" i="15"/>
  <c r="AG254" i="15" s="1"/>
  <c r="AJ254" i="15"/>
  <c r="AY254" i="15" s="1"/>
  <c r="AZ254" i="15" s="1"/>
  <c r="BA254" i="15" s="1"/>
  <c r="AE246" i="15"/>
  <c r="AG246" i="15" s="1"/>
  <c r="AJ246" i="15"/>
  <c r="AY246" i="15" s="1"/>
  <c r="AZ246" i="15" s="1"/>
  <c r="BA246" i="15" s="1"/>
  <c r="AE226" i="15"/>
  <c r="AG226" i="15" s="1"/>
  <c r="AJ226" i="15"/>
  <c r="AY226" i="15" s="1"/>
  <c r="AZ226" i="15" s="1"/>
  <c r="BA226" i="15" s="1"/>
  <c r="AE210" i="15"/>
  <c r="AG210" i="15" s="1"/>
  <c r="AJ210" i="15"/>
  <c r="AY210" i="15" s="1"/>
  <c r="AZ210" i="15" s="1"/>
  <c r="BA210" i="15" s="1"/>
  <c r="AE195" i="15"/>
  <c r="AG195" i="15" s="1"/>
  <c r="AJ195" i="15"/>
  <c r="AY195" i="15" s="1"/>
  <c r="AZ195" i="15" s="1"/>
  <c r="BA195" i="15" s="1"/>
  <c r="AE179" i="15"/>
  <c r="AG179" i="15" s="1"/>
  <c r="AJ179" i="15"/>
  <c r="AY179" i="15" s="1"/>
  <c r="AZ179" i="15" s="1"/>
  <c r="BA179" i="15" s="1"/>
  <c r="AE146" i="15"/>
  <c r="AG146" i="15" s="1"/>
  <c r="AJ146" i="15"/>
  <c r="AY146" i="15" s="1"/>
  <c r="AZ146" i="15" s="1"/>
  <c r="BA146" i="15" s="1"/>
  <c r="AY47" i="15"/>
  <c r="AZ47" i="15" s="1"/>
  <c r="AE373" i="15"/>
  <c r="AG373" i="15" s="1"/>
  <c r="AJ373" i="15"/>
  <c r="AY373" i="15" s="1"/>
  <c r="AZ373" i="15" s="1"/>
  <c r="BA373" i="15" s="1"/>
  <c r="AE304" i="15"/>
  <c r="AG304" i="15" s="1"/>
  <c r="AJ304" i="15"/>
  <c r="AY304" i="15" s="1"/>
  <c r="AZ304" i="15" s="1"/>
  <c r="BA304" i="15" s="1"/>
  <c r="AE222" i="15"/>
  <c r="AG222" i="15" s="1"/>
  <c r="AJ222" i="15"/>
  <c r="AY222" i="15" s="1"/>
  <c r="AZ222" i="15" s="1"/>
  <c r="BA222" i="15" s="1"/>
  <c r="AE185" i="15"/>
  <c r="AG185" i="15" s="1"/>
  <c r="AJ185" i="15"/>
  <c r="AY185" i="15" s="1"/>
  <c r="AZ185" i="15" s="1"/>
  <c r="BA185" i="15" s="1"/>
  <c r="AE149" i="15"/>
  <c r="AG149" i="15" s="1"/>
  <c r="AJ149" i="15"/>
  <c r="AY149" i="15" s="1"/>
  <c r="AZ149" i="15" s="1"/>
  <c r="BA149" i="15" s="1"/>
  <c r="AE28" i="15"/>
  <c r="AG28" i="15" s="1"/>
  <c r="AJ28" i="15"/>
  <c r="AY28" i="15" s="1"/>
  <c r="AZ28" i="15" s="1"/>
  <c r="BA28" i="15" s="1"/>
  <c r="AE247" i="15"/>
  <c r="AG247" i="15" s="1"/>
  <c r="AJ247" i="15"/>
  <c r="AY247" i="15" s="1"/>
  <c r="AZ247" i="15" s="1"/>
  <c r="BA247" i="15" s="1"/>
  <c r="AE211" i="15"/>
  <c r="AG211" i="15" s="1"/>
  <c r="AJ211" i="15"/>
  <c r="AY211" i="15" s="1"/>
  <c r="AZ211" i="15" s="1"/>
  <c r="BA211" i="15" s="1"/>
  <c r="AE167" i="15"/>
  <c r="AG167" i="15" s="1"/>
  <c r="AJ167" i="15"/>
  <c r="AY167" i="15" s="1"/>
  <c r="AZ167" i="15" s="1"/>
  <c r="BA167" i="15" s="1"/>
  <c r="AE93" i="15"/>
  <c r="AG93" i="15" s="1"/>
  <c r="AJ93" i="15"/>
  <c r="AY93" i="15" s="1"/>
  <c r="AZ93" i="15" s="1"/>
  <c r="BA93" i="15" s="1"/>
  <c r="AE17" i="15"/>
  <c r="AG17" i="15" s="1"/>
  <c r="AJ17" i="15"/>
  <c r="AY17" i="15" s="1"/>
  <c r="AZ17" i="15" s="1"/>
  <c r="BA17" i="15" s="1"/>
  <c r="AE76" i="15"/>
  <c r="AG76" i="15" s="1"/>
  <c r="AJ76" i="15"/>
  <c r="AY76" i="15" s="1"/>
  <c r="AZ76" i="15" s="1"/>
  <c r="BA76" i="15" s="1"/>
  <c r="AE82" i="15"/>
  <c r="AG82" i="15" s="1"/>
  <c r="AJ82" i="15"/>
  <c r="AY82" i="15" s="1"/>
  <c r="AZ82" i="15" s="1"/>
  <c r="BA82" i="15" s="1"/>
  <c r="AE123" i="15"/>
  <c r="AG123" i="15" s="1"/>
  <c r="AJ123" i="15"/>
  <c r="AY123" i="15" s="1"/>
  <c r="AZ123" i="15" s="1"/>
  <c r="BA123" i="15" s="1"/>
  <c r="AE814" i="15"/>
  <c r="AG814" i="15" s="1"/>
  <c r="AJ814" i="15"/>
  <c r="AY814" i="15" s="1"/>
  <c r="AZ814" i="15" s="1"/>
  <c r="BA814" i="15" s="1"/>
  <c r="AE834" i="15"/>
  <c r="AG834" i="15" s="1"/>
  <c r="AJ834" i="15"/>
  <c r="AY834" i="15" s="1"/>
  <c r="AZ834" i="15" s="1"/>
  <c r="BA834" i="15" s="1"/>
  <c r="AE842" i="15"/>
  <c r="AG842" i="15" s="1"/>
  <c r="AJ842" i="15"/>
  <c r="AY842" i="15" s="1"/>
  <c r="AZ842" i="15" s="1"/>
  <c r="BA842" i="15" s="1"/>
  <c r="AE783" i="15"/>
  <c r="AG783" i="15" s="1"/>
  <c r="AJ783" i="15"/>
  <c r="AY783" i="15" s="1"/>
  <c r="AZ783" i="15" s="1"/>
  <c r="BA783" i="15" s="1"/>
  <c r="AE591" i="15"/>
  <c r="AG591" i="15" s="1"/>
  <c r="AJ591" i="15"/>
  <c r="AY591" i="15" s="1"/>
  <c r="AZ591" i="15" s="1"/>
  <c r="BA591" i="15" s="1"/>
  <c r="AE575" i="15"/>
  <c r="AG575" i="15" s="1"/>
  <c r="AJ575" i="15"/>
  <c r="AY575" i="15" s="1"/>
  <c r="AZ575" i="15" s="1"/>
  <c r="BA575" i="15" s="1"/>
  <c r="AE459" i="15"/>
  <c r="AG459" i="15" s="1"/>
  <c r="AJ459" i="15"/>
  <c r="AY459" i="15" s="1"/>
  <c r="AZ459" i="15" s="1"/>
  <c r="BA459" i="15" s="1"/>
  <c r="AE350" i="15"/>
  <c r="AG350" i="15" s="1"/>
  <c r="AJ350" i="15"/>
  <c r="AY350" i="15" s="1"/>
  <c r="AZ350" i="15" s="1"/>
  <c r="BA350" i="15" s="1"/>
  <c r="AE762" i="15"/>
  <c r="AG762" i="15" s="1"/>
  <c r="AJ762" i="15"/>
  <c r="AY762" i="15" s="1"/>
  <c r="AZ762" i="15" s="1"/>
  <c r="BA762" i="15" s="1"/>
  <c r="AE596" i="15"/>
  <c r="AG596" i="15" s="1"/>
  <c r="AJ596" i="15"/>
  <c r="AY596" i="15" s="1"/>
  <c r="AZ596" i="15" s="1"/>
  <c r="BA596" i="15" s="1"/>
  <c r="AE580" i="15"/>
  <c r="AG580" i="15" s="1"/>
  <c r="AJ580" i="15"/>
  <c r="AY580" i="15" s="1"/>
  <c r="AZ580" i="15" s="1"/>
  <c r="BA580" i="15" s="1"/>
  <c r="AE477" i="15"/>
  <c r="AG477" i="15" s="1"/>
  <c r="AJ477" i="15"/>
  <c r="AY477" i="15" s="1"/>
  <c r="AZ477" i="15" s="1"/>
  <c r="BA477" i="15" s="1"/>
  <c r="AE645" i="15"/>
  <c r="AG645" i="15" s="1"/>
  <c r="AJ645" i="15"/>
  <c r="AY645" i="15" s="1"/>
  <c r="AZ645" i="15" s="1"/>
  <c r="BA645" i="15" s="1"/>
  <c r="AE526" i="15"/>
  <c r="AG526" i="15" s="1"/>
  <c r="AJ526" i="15"/>
  <c r="AY526" i="15" s="1"/>
  <c r="AZ526" i="15" s="1"/>
  <c r="BA526" i="15" s="1"/>
  <c r="AE366" i="15"/>
  <c r="AG366" i="15" s="1"/>
  <c r="AJ366" i="15"/>
  <c r="AY366" i="15" s="1"/>
  <c r="AZ366" i="15" s="1"/>
  <c r="BA366" i="15" s="1"/>
  <c r="AE593" i="15"/>
  <c r="AG593" i="15" s="1"/>
  <c r="AJ593" i="15"/>
  <c r="AY593" i="15" s="1"/>
  <c r="AZ593" i="15" s="1"/>
  <c r="BA593" i="15" s="1"/>
  <c r="AE577" i="15"/>
  <c r="AG577" i="15" s="1"/>
  <c r="AJ577" i="15"/>
  <c r="AY577" i="15" s="1"/>
  <c r="AZ577" i="15" s="1"/>
  <c r="BA577" i="15" s="1"/>
  <c r="AE137" i="15"/>
  <c r="AG137" i="15" s="1"/>
  <c r="AJ137" i="15"/>
  <c r="AY137" i="15" s="1"/>
  <c r="AZ137" i="15" s="1"/>
  <c r="BA137" i="15" s="1"/>
  <c r="AE775" i="15"/>
  <c r="AG775" i="15" s="1"/>
  <c r="AJ775" i="15"/>
  <c r="AY775" i="15" s="1"/>
  <c r="AZ775" i="15" s="1"/>
  <c r="BA775" i="15" s="1"/>
  <c r="AE582" i="15"/>
  <c r="AG582" i="15" s="1"/>
  <c r="AJ582" i="15"/>
  <c r="AY582" i="15" s="1"/>
  <c r="AZ582" i="15" s="1"/>
  <c r="BA582" i="15" s="1"/>
  <c r="AE141" i="15"/>
  <c r="AG141" i="15" s="1"/>
  <c r="AJ141" i="15"/>
  <c r="AY141" i="15" s="1"/>
  <c r="AZ141" i="15" s="1"/>
  <c r="BA141" i="15" s="1"/>
  <c r="AE678" i="15"/>
  <c r="AG678" i="15" s="1"/>
  <c r="AJ678" i="15"/>
  <c r="AY678" i="15" s="1"/>
  <c r="AZ678" i="15" s="1"/>
  <c r="BA678" i="15" s="1"/>
  <c r="AY133" i="15"/>
  <c r="AZ133" i="15" s="1"/>
  <c r="AE479" i="15"/>
  <c r="AG479" i="15" s="1"/>
  <c r="AJ479" i="15"/>
  <c r="AY479" i="15" s="1"/>
  <c r="AZ479" i="15" s="1"/>
  <c r="BA479" i="15" s="1"/>
  <c r="AE547" i="15"/>
  <c r="AG547" i="15" s="1"/>
  <c r="AJ547" i="15"/>
  <c r="AY547" i="15" s="1"/>
  <c r="AZ547" i="15" s="1"/>
  <c r="BA547" i="15" s="1"/>
  <c r="BE38" i="15"/>
  <c r="BF38" i="15" s="1"/>
  <c r="AJ38" i="15"/>
  <c r="BM894" i="15"/>
  <c r="BN894" i="15" s="1"/>
  <c r="AI894" i="15"/>
  <c r="BM888" i="15"/>
  <c r="BN888" i="15" s="1"/>
  <c r="AI888" i="15"/>
  <c r="BM880" i="15"/>
  <c r="BN880" i="15" s="1"/>
  <c r="AI880" i="15"/>
  <c r="BM876" i="15"/>
  <c r="BN876" i="15" s="1"/>
  <c r="AI876" i="15"/>
  <c r="BM870" i="15"/>
  <c r="BN870" i="15" s="1"/>
  <c r="AI870" i="15"/>
  <c r="BM814" i="15"/>
  <c r="BN814" i="15" s="1"/>
  <c r="AI814" i="15"/>
  <c r="AE805" i="15"/>
  <c r="AG805" i="15" s="1"/>
  <c r="AJ805" i="15"/>
  <c r="AY805" i="15" s="1"/>
  <c r="AZ805" i="15" s="1"/>
  <c r="BA805" i="15" s="1"/>
  <c r="AE799" i="15"/>
  <c r="AG799" i="15" s="1"/>
  <c r="AJ799" i="15"/>
  <c r="AY799" i="15" s="1"/>
  <c r="AZ799" i="15" s="1"/>
  <c r="BA799" i="15" s="1"/>
  <c r="AE793" i="15"/>
  <c r="AG793" i="15" s="1"/>
  <c r="AJ793" i="15"/>
  <c r="AY793" i="15" s="1"/>
  <c r="AZ793" i="15" s="1"/>
  <c r="BA793" i="15" s="1"/>
  <c r="AE789" i="15"/>
  <c r="AG789" i="15" s="1"/>
  <c r="AJ789" i="15"/>
  <c r="AE782" i="15"/>
  <c r="AG782" i="15" s="1"/>
  <c r="AJ782" i="15"/>
  <c r="AY782" i="15" s="1"/>
  <c r="AZ782" i="15" s="1"/>
  <c r="BA782" i="15" s="1"/>
  <c r="AE774" i="15"/>
  <c r="AG774" i="15" s="1"/>
  <c r="AJ774" i="15"/>
  <c r="AY774" i="15" s="1"/>
  <c r="AZ774" i="15" s="1"/>
  <c r="BA774" i="15" s="1"/>
  <c r="BM550" i="15"/>
  <c r="BN550" i="15" s="1"/>
  <c r="AI550" i="15"/>
  <c r="BM542" i="15"/>
  <c r="BN542" i="15" s="1"/>
  <c r="AI542" i="15"/>
  <c r="AE527" i="15"/>
  <c r="AG527" i="15" s="1"/>
  <c r="AJ527" i="15"/>
  <c r="AY527" i="15" s="1"/>
  <c r="AZ527" i="15" s="1"/>
  <c r="BA527" i="15" s="1"/>
  <c r="BM32" i="15"/>
  <c r="BN32" i="15" s="1"/>
  <c r="AI32" i="15"/>
  <c r="BM24" i="15"/>
  <c r="BN24" i="15" s="1"/>
  <c r="AI24" i="15"/>
  <c r="BM16" i="15"/>
  <c r="BN16" i="15" s="1"/>
  <c r="AI16" i="15"/>
  <c r="AE40" i="15"/>
  <c r="AG40" i="15" s="1"/>
  <c r="AJ40" i="15"/>
  <c r="AY40" i="15" s="1"/>
  <c r="AZ40" i="15" s="1"/>
  <c r="BA40" i="15" s="1"/>
  <c r="BM162" i="15"/>
  <c r="BN162" i="15" s="1"/>
  <c r="AI162" i="15"/>
  <c r="BM737" i="15"/>
  <c r="BN737" i="15" s="1"/>
  <c r="AI737" i="15"/>
  <c r="BM731" i="15"/>
  <c r="BN731" i="15" s="1"/>
  <c r="AI731" i="15"/>
  <c r="BM727" i="15"/>
  <c r="BN727" i="15" s="1"/>
  <c r="AI727" i="15"/>
  <c r="BM721" i="15"/>
  <c r="BN721" i="15" s="1"/>
  <c r="AI721" i="15"/>
  <c r="BM708" i="15"/>
  <c r="BN708" i="15" s="1"/>
  <c r="AI708" i="15"/>
  <c r="BM700" i="15"/>
  <c r="BN700" i="15" s="1"/>
  <c r="AI700" i="15"/>
  <c r="AE653" i="15"/>
  <c r="AG653" i="15" s="1"/>
  <c r="AJ653" i="15"/>
  <c r="AY653" i="15" s="1"/>
  <c r="AZ653" i="15" s="1"/>
  <c r="BA653" i="15" s="1"/>
  <c r="BM457" i="15"/>
  <c r="BN457" i="15" s="1"/>
  <c r="AI457" i="15"/>
  <c r="BM442" i="15"/>
  <c r="BN442" i="15" s="1"/>
  <c r="AI442" i="15"/>
  <c r="BM434" i="15"/>
  <c r="BN434" i="15" s="1"/>
  <c r="AI434" i="15"/>
  <c r="AE413" i="15"/>
  <c r="AG413" i="15" s="1"/>
  <c r="AJ413" i="15"/>
  <c r="AY413" i="15" s="1"/>
  <c r="AZ413" i="15" s="1"/>
  <c r="BA413" i="15" s="1"/>
  <c r="BM399" i="15"/>
  <c r="BN399" i="15" s="1"/>
  <c r="AI399" i="15"/>
  <c r="BM334" i="15"/>
  <c r="BN334" i="15" s="1"/>
  <c r="AI334" i="15"/>
  <c r="BM326" i="15"/>
  <c r="BN326" i="15" s="1"/>
  <c r="AI326" i="15"/>
  <c r="BM318" i="15"/>
  <c r="BN318" i="15" s="1"/>
  <c r="AI318" i="15"/>
  <c r="BM309" i="15"/>
  <c r="BN309" i="15" s="1"/>
  <c r="AI309" i="15"/>
  <c r="BM305" i="15"/>
  <c r="BN305" i="15" s="1"/>
  <c r="AI305" i="15"/>
  <c r="BM299" i="15"/>
  <c r="BN299" i="15" s="1"/>
  <c r="AI299" i="15"/>
  <c r="BM295" i="15"/>
  <c r="BN295" i="15" s="1"/>
  <c r="AI295" i="15"/>
  <c r="BM291" i="15"/>
  <c r="BN291" i="15" s="1"/>
  <c r="AI291" i="15"/>
  <c r="BM287" i="15"/>
  <c r="BN287" i="15" s="1"/>
  <c r="AI287" i="15"/>
  <c r="BM139" i="15"/>
  <c r="BN139" i="15" s="1"/>
  <c r="AI139" i="15"/>
  <c r="AE128" i="15"/>
  <c r="AG128" i="15" s="1"/>
  <c r="AJ128" i="15"/>
  <c r="AY128" i="15" s="1"/>
  <c r="AZ128" i="15" s="1"/>
  <c r="BA128" i="15" s="1"/>
  <c r="AE124" i="15"/>
  <c r="AG124" i="15" s="1"/>
  <c r="AJ124" i="15"/>
  <c r="AY124" i="15" s="1"/>
  <c r="AZ124" i="15" s="1"/>
  <c r="BA124" i="15" s="1"/>
  <c r="AE120" i="15"/>
  <c r="AG120" i="15" s="1"/>
  <c r="AJ120" i="15"/>
  <c r="AY120" i="15" s="1"/>
  <c r="AZ120" i="15" s="1"/>
  <c r="BA120" i="15" s="1"/>
  <c r="AE116" i="15"/>
  <c r="AG116" i="15" s="1"/>
  <c r="AJ116" i="15"/>
  <c r="AY116" i="15" s="1"/>
  <c r="AZ116" i="15" s="1"/>
  <c r="BA116" i="15" s="1"/>
  <c r="AE112" i="15"/>
  <c r="AG112" i="15" s="1"/>
  <c r="AJ112" i="15"/>
  <c r="AY112" i="15" s="1"/>
  <c r="AZ112" i="15" s="1"/>
  <c r="BA112" i="15" s="1"/>
  <c r="AE108" i="15"/>
  <c r="AG108" i="15" s="1"/>
  <c r="AJ108" i="15"/>
  <c r="AY108" i="15" s="1"/>
  <c r="AZ108" i="15" s="1"/>
  <c r="BA108" i="15" s="1"/>
  <c r="AE42" i="15"/>
  <c r="AG42" i="15" s="1"/>
  <c r="AJ42" i="15"/>
  <c r="AY42" i="15" s="1"/>
  <c r="AZ42" i="15" s="1"/>
  <c r="BA42" i="15" s="1"/>
  <c r="BM840" i="15"/>
  <c r="BN840" i="15" s="1"/>
  <c r="AI840" i="15"/>
  <c r="BM773" i="15"/>
  <c r="BN773" i="15" s="1"/>
  <c r="AI773" i="15"/>
  <c r="AE758" i="15"/>
  <c r="AG758" i="15" s="1"/>
  <c r="AJ758" i="15"/>
  <c r="AY758" i="15" s="1"/>
  <c r="AZ758" i="15" s="1"/>
  <c r="BA758" i="15" s="1"/>
  <c r="BM547" i="15"/>
  <c r="BN547" i="15" s="1"/>
  <c r="AI547" i="15"/>
  <c r="BM530" i="15"/>
  <c r="BN530" i="15" s="1"/>
  <c r="AI530" i="15"/>
  <c r="BM516" i="15"/>
  <c r="BN516" i="15" s="1"/>
  <c r="AI516" i="15"/>
  <c r="BM505" i="15"/>
  <c r="BN505" i="15" s="1"/>
  <c r="AI505" i="15"/>
  <c r="BM497" i="15"/>
  <c r="BN497" i="15" s="1"/>
  <c r="AI497" i="15"/>
  <c r="BM707" i="15"/>
  <c r="BN707" i="15" s="1"/>
  <c r="AI707" i="15"/>
  <c r="BM672" i="15"/>
  <c r="BN672" i="15" s="1"/>
  <c r="AI672" i="15"/>
  <c r="AE634" i="15"/>
  <c r="AG634" i="15" s="1"/>
  <c r="AJ634" i="15"/>
  <c r="AY634" i="15" s="1"/>
  <c r="AZ634" i="15" s="1"/>
  <c r="BA634" i="15" s="1"/>
  <c r="AE630" i="15"/>
  <c r="AG630" i="15" s="1"/>
  <c r="AJ630" i="15"/>
  <c r="AY630" i="15" s="1"/>
  <c r="AZ630" i="15" s="1"/>
  <c r="BA630" i="15" s="1"/>
  <c r="AE626" i="15"/>
  <c r="AG626" i="15" s="1"/>
  <c r="AJ626" i="15"/>
  <c r="AY626" i="15" s="1"/>
  <c r="AZ626" i="15" s="1"/>
  <c r="BA626" i="15" s="1"/>
  <c r="AE622" i="15"/>
  <c r="AG622" i="15" s="1"/>
  <c r="AJ622" i="15"/>
  <c r="AY622" i="15" s="1"/>
  <c r="AZ622" i="15" s="1"/>
  <c r="BA622" i="15" s="1"/>
  <c r="AE618" i="15"/>
  <c r="AG618" i="15" s="1"/>
  <c r="AJ618" i="15"/>
  <c r="AY618" i="15" s="1"/>
  <c r="AZ618" i="15" s="1"/>
  <c r="BA618" i="15" s="1"/>
  <c r="AE612" i="15"/>
  <c r="AG612" i="15" s="1"/>
  <c r="AJ612" i="15"/>
  <c r="AY612" i="15" s="1"/>
  <c r="AZ612" i="15" s="1"/>
  <c r="BA612" i="15" s="1"/>
  <c r="AE608" i="15"/>
  <c r="AG608" i="15" s="1"/>
  <c r="AJ608" i="15"/>
  <c r="AY608" i="15" s="1"/>
  <c r="AZ608" i="15" s="1"/>
  <c r="BA608" i="15" s="1"/>
  <c r="BM487" i="15"/>
  <c r="BN487" i="15" s="1"/>
  <c r="AI487" i="15"/>
  <c r="BM479" i="15"/>
  <c r="BN479" i="15" s="1"/>
  <c r="AI479" i="15"/>
  <c r="AE452" i="15"/>
  <c r="AG452" i="15" s="1"/>
  <c r="AJ452" i="15"/>
  <c r="AY452" i="15" s="1"/>
  <c r="AZ452" i="15" s="1"/>
  <c r="BA452" i="15" s="1"/>
  <c r="BM416" i="15"/>
  <c r="BN416" i="15" s="1"/>
  <c r="AI416" i="15"/>
  <c r="BM391" i="15"/>
  <c r="BN391" i="15" s="1"/>
  <c r="AI391" i="15"/>
  <c r="BM380" i="15"/>
  <c r="BN380" i="15" s="1"/>
  <c r="AI380" i="15"/>
  <c r="BM376" i="15"/>
  <c r="BN376" i="15" s="1"/>
  <c r="AI376" i="15"/>
  <c r="BM372" i="15"/>
  <c r="BN372" i="15" s="1"/>
  <c r="AI372" i="15"/>
  <c r="BM368" i="15"/>
  <c r="BN368" i="15" s="1"/>
  <c r="AI368" i="15"/>
  <c r="BM362" i="15"/>
  <c r="BN362" i="15" s="1"/>
  <c r="AI362" i="15"/>
  <c r="BM358" i="15"/>
  <c r="BN358" i="15" s="1"/>
  <c r="AI358" i="15"/>
  <c r="BM354" i="15"/>
  <c r="BN354" i="15" s="1"/>
  <c r="AI354" i="15"/>
  <c r="BM348" i="15"/>
  <c r="BN348" i="15" s="1"/>
  <c r="AI348" i="15"/>
  <c r="BM344" i="15"/>
  <c r="BN344" i="15" s="1"/>
  <c r="AI344" i="15"/>
  <c r="BM100" i="15"/>
  <c r="BN100" i="15" s="1"/>
  <c r="AI100" i="15"/>
  <c r="BM92" i="15"/>
  <c r="BN92" i="15" s="1"/>
  <c r="AI92" i="15"/>
  <c r="BM83" i="15"/>
  <c r="BN83" i="15" s="1"/>
  <c r="AI83" i="15"/>
  <c r="BM79" i="15"/>
  <c r="BN79" i="15" s="1"/>
  <c r="AI79" i="15"/>
  <c r="BM75" i="15"/>
  <c r="BN75" i="15" s="1"/>
  <c r="AI75" i="15"/>
  <c r="AE851" i="15"/>
  <c r="AG851" i="15" s="1"/>
  <c r="AJ851" i="15"/>
  <c r="AY851" i="15" s="1"/>
  <c r="AZ851" i="15" s="1"/>
  <c r="BA851" i="15" s="1"/>
  <c r="AE837" i="15"/>
  <c r="AG837" i="15" s="1"/>
  <c r="AJ837" i="15"/>
  <c r="AY837" i="15" s="1"/>
  <c r="AZ837" i="15" s="1"/>
  <c r="BA837" i="15" s="1"/>
  <c r="AE838" i="15"/>
  <c r="AG838" i="15" s="1"/>
  <c r="AJ838" i="15"/>
  <c r="AY838" i="15" s="1"/>
  <c r="AZ838" i="15" s="1"/>
  <c r="BA838" i="15" s="1"/>
  <c r="AE893" i="15"/>
  <c r="AJ893" i="15"/>
  <c r="AY893" i="15" s="1"/>
  <c r="AZ893" i="15" s="1"/>
  <c r="BA893" i="15" s="1"/>
  <c r="AE898" i="15"/>
  <c r="AJ898" i="15"/>
  <c r="AY898" i="15" s="1"/>
  <c r="AZ898" i="15" s="1"/>
  <c r="BA898" i="15" s="1"/>
  <c r="AE829" i="15"/>
  <c r="AG829" i="15" s="1"/>
  <c r="AJ829" i="15"/>
  <c r="AY829" i="15" s="1"/>
  <c r="AZ829" i="15" s="1"/>
  <c r="BA829" i="15" s="1"/>
  <c r="AE785" i="15"/>
  <c r="AG785" i="15" s="1"/>
  <c r="AJ785" i="15"/>
  <c r="AY785" i="15" s="1"/>
  <c r="AZ785" i="15" s="1"/>
  <c r="BA785" i="15" s="1"/>
  <c r="AE711" i="15"/>
  <c r="AG711" i="15" s="1"/>
  <c r="AJ711" i="15"/>
  <c r="AY711" i="15" s="1"/>
  <c r="AZ711" i="15" s="1"/>
  <c r="BA711" i="15" s="1"/>
  <c r="AE699" i="15"/>
  <c r="AG699" i="15" s="1"/>
  <c r="AJ699" i="15"/>
  <c r="AE848" i="15"/>
  <c r="AG848" i="15" s="1"/>
  <c r="AJ848" i="15"/>
  <c r="AY848" i="15" s="1"/>
  <c r="AZ848" i="15" s="1"/>
  <c r="BA848" i="15" s="1"/>
  <c r="AE759" i="15"/>
  <c r="AG759" i="15" s="1"/>
  <c r="AJ759" i="15"/>
  <c r="AY759" i="15" s="1"/>
  <c r="AZ759" i="15" s="1"/>
  <c r="BA759" i="15" s="1"/>
  <c r="AE734" i="15"/>
  <c r="AG734" i="15" s="1"/>
  <c r="AJ734" i="15"/>
  <c r="AY734" i="15" s="1"/>
  <c r="AZ734" i="15" s="1"/>
  <c r="BA734" i="15" s="1"/>
  <c r="AE671" i="15"/>
  <c r="AG671" i="15" s="1"/>
  <c r="AJ671" i="15"/>
  <c r="AE770" i="15"/>
  <c r="AG770" i="15" s="1"/>
  <c r="AJ770" i="15"/>
  <c r="AY770" i="15" s="1"/>
  <c r="AZ770" i="15" s="1"/>
  <c r="BA770" i="15" s="1"/>
  <c r="AE640" i="15"/>
  <c r="AG640" i="15" s="1"/>
  <c r="AJ640" i="15"/>
  <c r="AY640" i="15" s="1"/>
  <c r="AZ640" i="15" s="1"/>
  <c r="BA640" i="15" s="1"/>
  <c r="AE619" i="15"/>
  <c r="AG619" i="15" s="1"/>
  <c r="AJ619" i="15"/>
  <c r="AY619" i="15" s="1"/>
  <c r="AZ619" i="15" s="1"/>
  <c r="BA619" i="15" s="1"/>
  <c r="AE457" i="15"/>
  <c r="AG457" i="15" s="1"/>
  <c r="AJ457" i="15"/>
  <c r="AY457" i="15" s="1"/>
  <c r="AZ457" i="15" s="1"/>
  <c r="BA457" i="15" s="1"/>
  <c r="AE655" i="15"/>
  <c r="AG655" i="15" s="1"/>
  <c r="AJ655" i="15"/>
  <c r="AY655" i="15" s="1"/>
  <c r="AZ655" i="15" s="1"/>
  <c r="BA655" i="15" s="1"/>
  <c r="AE522" i="15"/>
  <c r="AG522" i="15" s="1"/>
  <c r="AJ522" i="15"/>
  <c r="AY522" i="15" s="1"/>
  <c r="AZ522" i="15" s="1"/>
  <c r="BA522" i="15" s="1"/>
  <c r="AE499" i="15"/>
  <c r="AG499" i="15" s="1"/>
  <c r="AJ499" i="15"/>
  <c r="AY499" i="15" s="1"/>
  <c r="AZ499" i="15" s="1"/>
  <c r="BA499" i="15" s="1"/>
  <c r="AE463" i="15"/>
  <c r="AG463" i="15" s="1"/>
  <c r="AJ463" i="15"/>
  <c r="AY463" i="15" s="1"/>
  <c r="AZ463" i="15" s="1"/>
  <c r="BA463" i="15" s="1"/>
  <c r="AE434" i="15"/>
  <c r="AG434" i="15" s="1"/>
  <c r="AJ434" i="15"/>
  <c r="AY434" i="15" s="1"/>
  <c r="AZ434" i="15" s="1"/>
  <c r="BA434" i="15" s="1"/>
  <c r="AE738" i="15"/>
  <c r="AG738" i="15" s="1"/>
  <c r="AJ738" i="15"/>
  <c r="AY738" i="15" s="1"/>
  <c r="AZ738" i="15" s="1"/>
  <c r="BA738" i="15" s="1"/>
  <c r="AE629" i="15"/>
  <c r="AG629" i="15" s="1"/>
  <c r="AJ629" i="15"/>
  <c r="AY629" i="15" s="1"/>
  <c r="AZ629" i="15" s="1"/>
  <c r="BA629" i="15" s="1"/>
  <c r="AE676" i="15"/>
  <c r="AG676" i="15" s="1"/>
  <c r="AJ676" i="15"/>
  <c r="AY676" i="15" s="1"/>
  <c r="AZ676" i="15" s="1"/>
  <c r="BA676" i="15" s="1"/>
  <c r="AE566" i="15"/>
  <c r="AG566" i="15" s="1"/>
  <c r="AJ566" i="15"/>
  <c r="AY566" i="15" s="1"/>
  <c r="AZ566" i="15" s="1"/>
  <c r="BA566" i="15" s="1"/>
  <c r="AE480" i="15"/>
  <c r="AG480" i="15" s="1"/>
  <c r="AJ480" i="15"/>
  <c r="AY480" i="15" s="1"/>
  <c r="AZ480" i="15" s="1"/>
  <c r="BA480" i="15" s="1"/>
  <c r="AE403" i="15"/>
  <c r="AG403" i="15" s="1"/>
  <c r="AJ403" i="15"/>
  <c r="AY403" i="15" s="1"/>
  <c r="AZ403" i="15" s="1"/>
  <c r="BA403" i="15" s="1"/>
  <c r="AE853" i="15"/>
  <c r="AG853" i="15" s="1"/>
  <c r="AJ853" i="15"/>
  <c r="AY853" i="15" s="1"/>
  <c r="AZ853" i="15" s="1"/>
  <c r="BA853" i="15" s="1"/>
  <c r="AE406" i="15"/>
  <c r="AG406" i="15" s="1"/>
  <c r="AJ406" i="15"/>
  <c r="AY406" i="15" s="1"/>
  <c r="AZ406" i="15" s="1"/>
  <c r="BA406" i="15" s="1"/>
  <c r="AE569" i="15"/>
  <c r="AG569" i="15" s="1"/>
  <c r="AJ569" i="15"/>
  <c r="AY569" i="15" s="1"/>
  <c r="AZ569" i="15" s="1"/>
  <c r="BA569" i="15" s="1"/>
  <c r="AE471" i="15"/>
  <c r="AG471" i="15" s="1"/>
  <c r="AJ471" i="15"/>
  <c r="AY471" i="15" s="1"/>
  <c r="AZ471" i="15" s="1"/>
  <c r="BA471" i="15" s="1"/>
  <c r="AE419" i="15"/>
  <c r="AG419" i="15" s="1"/>
  <c r="AJ419" i="15"/>
  <c r="AY419" i="15" s="1"/>
  <c r="AZ419" i="15" s="1"/>
  <c r="BA419" i="15" s="1"/>
  <c r="AE327" i="15"/>
  <c r="AG327" i="15" s="1"/>
  <c r="AJ327" i="15"/>
  <c r="AY327" i="15" s="1"/>
  <c r="AZ327" i="15" s="1"/>
  <c r="BA327" i="15" s="1"/>
  <c r="AE563" i="15"/>
  <c r="AG563" i="15" s="1"/>
  <c r="AJ563" i="15"/>
  <c r="AY563" i="15" s="1"/>
  <c r="AZ563" i="15" s="1"/>
  <c r="BA563" i="15" s="1"/>
  <c r="AE445" i="15"/>
  <c r="AG445" i="15" s="1"/>
  <c r="AJ445" i="15"/>
  <c r="AY445" i="15" s="1"/>
  <c r="AZ445" i="15" s="1"/>
  <c r="BA445" i="15" s="1"/>
  <c r="AE720" i="15"/>
  <c r="AG720" i="15" s="1"/>
  <c r="AJ720" i="15"/>
  <c r="AE543" i="15"/>
  <c r="AG543" i="15" s="1"/>
  <c r="AJ543" i="15"/>
  <c r="AY543" i="15" s="1"/>
  <c r="AZ543" i="15" s="1"/>
  <c r="BA543" i="15" s="1"/>
  <c r="AE431" i="15"/>
  <c r="AG431" i="15" s="1"/>
  <c r="AJ431" i="15"/>
  <c r="AY431" i="15" s="1"/>
  <c r="AZ431" i="15" s="1"/>
  <c r="BA431" i="15" s="1"/>
  <c r="AE336" i="15"/>
  <c r="AG336" i="15" s="1"/>
  <c r="AJ336" i="15"/>
  <c r="AY336" i="15" s="1"/>
  <c r="AZ336" i="15" s="1"/>
  <c r="BA336" i="15" s="1"/>
  <c r="AE235" i="15"/>
  <c r="AG235" i="15" s="1"/>
  <c r="AJ235" i="15"/>
  <c r="AY235" i="15" s="1"/>
  <c r="AZ235" i="15" s="1"/>
  <c r="BA235" i="15" s="1"/>
  <c r="AE158" i="15"/>
  <c r="AG158" i="15" s="1"/>
  <c r="AJ158" i="15"/>
  <c r="AY158" i="15" s="1"/>
  <c r="AZ158" i="15" s="1"/>
  <c r="BA158" i="15" s="1"/>
  <c r="AE486" i="15"/>
  <c r="AG486" i="15" s="1"/>
  <c r="AJ486" i="15"/>
  <c r="AY486" i="15" s="1"/>
  <c r="AZ486" i="15" s="1"/>
  <c r="BA486" i="15" s="1"/>
  <c r="AE317" i="15"/>
  <c r="AG317" i="15" s="1"/>
  <c r="AJ317" i="15"/>
  <c r="AY317" i="15" s="1"/>
  <c r="AZ317" i="15" s="1"/>
  <c r="BA317" i="15" s="1"/>
  <c r="AE310" i="15"/>
  <c r="AG310" i="15" s="1"/>
  <c r="AJ310" i="15"/>
  <c r="AY310" i="15" s="1"/>
  <c r="AZ310" i="15" s="1"/>
  <c r="BA310" i="15" s="1"/>
  <c r="AE205" i="15"/>
  <c r="AG205" i="15" s="1"/>
  <c r="AJ205" i="15"/>
  <c r="AY205" i="15" s="1"/>
  <c r="AZ205" i="15" s="1"/>
  <c r="BA205" i="15" s="1"/>
  <c r="AE165" i="15"/>
  <c r="AG165" i="15" s="1"/>
  <c r="AJ165" i="15"/>
  <c r="AY165" i="15" s="1"/>
  <c r="AZ165" i="15" s="1"/>
  <c r="BA165" i="15" s="1"/>
  <c r="AE98" i="15"/>
  <c r="AG98" i="15" s="1"/>
  <c r="AJ98" i="15"/>
  <c r="AY98" i="15" s="1"/>
  <c r="AZ98" i="15" s="1"/>
  <c r="BA98" i="15" s="1"/>
  <c r="AE30" i="15"/>
  <c r="AG30" i="15" s="1"/>
  <c r="AJ30" i="15"/>
  <c r="AY30" i="15" s="1"/>
  <c r="AZ30" i="15" s="1"/>
  <c r="BA30" i="15" s="1"/>
  <c r="AE91" i="15"/>
  <c r="AG91" i="15" s="1"/>
  <c r="AJ91" i="15"/>
  <c r="AY91" i="15" s="1"/>
  <c r="AZ91" i="15" s="1"/>
  <c r="BA91" i="15" s="1"/>
  <c r="AE193" i="15"/>
  <c r="AG193" i="15" s="1"/>
  <c r="AJ193" i="15"/>
  <c r="AY193" i="15" s="1"/>
  <c r="AZ193" i="15" s="1"/>
  <c r="BA193" i="15" s="1"/>
  <c r="AE96" i="15"/>
  <c r="AG96" i="15" s="1"/>
  <c r="AJ96" i="15"/>
  <c r="AY96" i="15" s="1"/>
  <c r="AZ96" i="15" s="1"/>
  <c r="BA96" i="15" s="1"/>
  <c r="AE24" i="15"/>
  <c r="AG24" i="15" s="1"/>
  <c r="AJ24" i="15"/>
  <c r="AY24" i="15" s="1"/>
  <c r="AZ24" i="15" s="1"/>
  <c r="BA24" i="15" s="1"/>
  <c r="AE300" i="15"/>
  <c r="AG300" i="15" s="1"/>
  <c r="AJ300" i="15"/>
  <c r="AY300" i="15" s="1"/>
  <c r="AZ300" i="15" s="1"/>
  <c r="BA300" i="15" s="1"/>
  <c r="AE268" i="15"/>
  <c r="AG268" i="15" s="1"/>
  <c r="AJ268" i="15"/>
  <c r="AY268" i="15" s="1"/>
  <c r="AZ268" i="15" s="1"/>
  <c r="BA268" i="15" s="1"/>
  <c r="AE240" i="15"/>
  <c r="AG240" i="15" s="1"/>
  <c r="AJ240" i="15"/>
  <c r="AY240" i="15" s="1"/>
  <c r="AZ240" i="15" s="1"/>
  <c r="BA240" i="15" s="1"/>
  <c r="AE169" i="15"/>
  <c r="AG169" i="15" s="1"/>
  <c r="AJ169" i="15"/>
  <c r="AY169" i="15" s="1"/>
  <c r="AZ169" i="15" s="1"/>
  <c r="BA169" i="15" s="1"/>
  <c r="AE121" i="15"/>
  <c r="AG121" i="15" s="1"/>
  <c r="AJ121" i="15"/>
  <c r="AY121" i="15" s="1"/>
  <c r="AZ121" i="15" s="1"/>
  <c r="BA121" i="15" s="1"/>
  <c r="AE377" i="15"/>
  <c r="AG377" i="15" s="1"/>
  <c r="AJ377" i="15"/>
  <c r="AY377" i="15" s="1"/>
  <c r="AZ377" i="15" s="1"/>
  <c r="BA377" i="15" s="1"/>
  <c r="AE292" i="15"/>
  <c r="AG292" i="15" s="1"/>
  <c r="AJ292" i="15"/>
  <c r="AY292" i="15" s="1"/>
  <c r="AZ292" i="15" s="1"/>
  <c r="BA292" i="15" s="1"/>
  <c r="AE269" i="15"/>
  <c r="AG269" i="15" s="1"/>
  <c r="AJ269" i="15"/>
  <c r="AY269" i="15" s="1"/>
  <c r="AZ269" i="15" s="1"/>
  <c r="BA269" i="15" s="1"/>
  <c r="AE250" i="15"/>
  <c r="AG250" i="15" s="1"/>
  <c r="AJ250" i="15"/>
  <c r="AY250" i="15" s="1"/>
  <c r="AZ250" i="15" s="1"/>
  <c r="BA250" i="15" s="1"/>
  <c r="AE219" i="15"/>
  <c r="AG219" i="15" s="1"/>
  <c r="AJ219" i="15"/>
  <c r="AY219" i="15" s="1"/>
  <c r="AZ219" i="15" s="1"/>
  <c r="BA219" i="15" s="1"/>
  <c r="AE187" i="15"/>
  <c r="AG187" i="15" s="1"/>
  <c r="AJ187" i="15"/>
  <c r="AY187" i="15" s="1"/>
  <c r="AZ187" i="15" s="1"/>
  <c r="BA187" i="15" s="1"/>
  <c r="AE139" i="15"/>
  <c r="AG139" i="15" s="1"/>
  <c r="AJ139" i="15"/>
  <c r="AY139" i="15" s="1"/>
  <c r="AZ139" i="15" s="1"/>
  <c r="BA139" i="15" s="1"/>
  <c r="AE23" i="15"/>
  <c r="AG23" i="15" s="1"/>
  <c r="AJ23" i="15"/>
  <c r="AY23" i="15" s="1"/>
  <c r="AZ23" i="15" s="1"/>
  <c r="BA23" i="15" s="1"/>
  <c r="AE288" i="15"/>
  <c r="AG288" i="15" s="1"/>
  <c r="AJ288" i="15"/>
  <c r="AY288" i="15" s="1"/>
  <c r="AZ288" i="15" s="1"/>
  <c r="BA288" i="15" s="1"/>
  <c r="AE171" i="15"/>
  <c r="AG171" i="15" s="1"/>
  <c r="AJ171" i="15"/>
  <c r="AY171" i="15" s="1"/>
  <c r="AZ171" i="15" s="1"/>
  <c r="BA171" i="15" s="1"/>
  <c r="AE266" i="15"/>
  <c r="AG266" i="15" s="1"/>
  <c r="AJ266" i="15"/>
  <c r="AY266" i="15" s="1"/>
  <c r="AZ266" i="15" s="1"/>
  <c r="BA266" i="15" s="1"/>
  <c r="AE183" i="15"/>
  <c r="AG183" i="15" s="1"/>
  <c r="AJ183" i="15"/>
  <c r="AY183" i="15" s="1"/>
  <c r="AZ183" i="15" s="1"/>
  <c r="BA183" i="15" s="1"/>
  <c r="AE41" i="15"/>
  <c r="AG41" i="15" s="1"/>
  <c r="AJ41" i="15"/>
  <c r="AY41" i="15" s="1"/>
  <c r="AZ41" i="15" s="1"/>
  <c r="BA41" i="15" s="1"/>
  <c r="AE111" i="15"/>
  <c r="AG111" i="15" s="1"/>
  <c r="AJ111" i="15"/>
  <c r="AY111" i="15" s="1"/>
  <c r="AZ111" i="15" s="1"/>
  <c r="BA111" i="15" s="1"/>
  <c r="AE80" i="15"/>
  <c r="AG80" i="15" s="1"/>
  <c r="AJ80" i="15"/>
  <c r="AY80" i="15" s="1"/>
  <c r="AZ80" i="15" s="1"/>
  <c r="BA80" i="15" s="1"/>
  <c r="AE767" i="15"/>
  <c r="AG767" i="15" s="1"/>
  <c r="AJ767" i="15"/>
  <c r="AY767" i="15" s="1"/>
  <c r="AZ767" i="15" s="1"/>
  <c r="BA767" i="15" s="1"/>
  <c r="AE483" i="15"/>
  <c r="AG483" i="15" s="1"/>
  <c r="AJ483" i="15"/>
  <c r="AY483" i="15" s="1"/>
  <c r="AZ483" i="15" s="1"/>
  <c r="BA483" i="15" s="1"/>
  <c r="AE779" i="15"/>
  <c r="AG779" i="15" s="1"/>
  <c r="AJ779" i="15"/>
  <c r="AY779" i="15" s="1"/>
  <c r="AZ779" i="15" s="1"/>
  <c r="BA779" i="15" s="1"/>
  <c r="AE686" i="15"/>
  <c r="AG686" i="15" s="1"/>
  <c r="AJ686" i="15"/>
  <c r="AY686" i="15" s="1"/>
  <c r="AZ686" i="15" s="1"/>
  <c r="BA686" i="15" s="1"/>
  <c r="AE639" i="15"/>
  <c r="AG639" i="15" s="1"/>
  <c r="AJ639" i="15"/>
  <c r="AE451" i="15"/>
  <c r="AG451" i="15" s="1"/>
  <c r="AJ451" i="15"/>
  <c r="AY451" i="15" s="1"/>
  <c r="AZ451" i="15" s="1"/>
  <c r="BA451" i="15" s="1"/>
  <c r="AE585" i="15"/>
  <c r="AG585" i="15" s="1"/>
  <c r="AJ585" i="15"/>
  <c r="AY585" i="15" s="1"/>
  <c r="AZ585" i="15" s="1"/>
  <c r="BA585" i="15" s="1"/>
  <c r="AE546" i="15"/>
  <c r="AG546" i="15" s="1"/>
  <c r="AJ546" i="15"/>
  <c r="AY546" i="15" s="1"/>
  <c r="AZ546" i="15" s="1"/>
  <c r="BA546" i="15" s="1"/>
  <c r="AE594" i="15"/>
  <c r="AG594" i="15" s="1"/>
  <c r="AJ594" i="15"/>
  <c r="AY594" i="15" s="1"/>
  <c r="AZ594" i="15" s="1"/>
  <c r="BA594" i="15" s="1"/>
  <c r="AE518" i="15"/>
  <c r="AG518" i="15" s="1"/>
  <c r="AJ518" i="15"/>
  <c r="AY518" i="15" s="1"/>
  <c r="AZ518" i="15" s="1"/>
  <c r="BA518" i="15" s="1"/>
  <c r="AE487" i="15"/>
  <c r="AG487" i="15" s="1"/>
  <c r="AJ487" i="15"/>
  <c r="AY487" i="15" s="1"/>
  <c r="AZ487" i="15" s="1"/>
  <c r="BA487" i="15" s="1"/>
  <c r="AE65" i="15"/>
  <c r="AG65" i="15" s="1"/>
  <c r="AJ65" i="15"/>
  <c r="AY65" i="15" s="1"/>
  <c r="AZ65" i="15" s="1"/>
  <c r="BA65" i="15" s="1"/>
  <c r="BM896" i="15"/>
  <c r="BN896" i="15" s="1"/>
  <c r="AI896" i="15"/>
  <c r="BM884" i="15"/>
  <c r="BN884" i="15" s="1"/>
  <c r="AI884" i="15"/>
  <c r="BM872" i="15"/>
  <c r="BN872" i="15" s="1"/>
  <c r="AI872" i="15"/>
  <c r="AE801" i="15"/>
  <c r="AG801" i="15" s="1"/>
  <c r="AJ801" i="15"/>
  <c r="AY801" i="15" s="1"/>
  <c r="AZ801" i="15" s="1"/>
  <c r="BA801" i="15" s="1"/>
  <c r="AE791" i="15"/>
  <c r="AG791" i="15" s="1"/>
  <c r="AJ791" i="15"/>
  <c r="AY791" i="15" s="1"/>
  <c r="AZ791" i="15" s="1"/>
  <c r="BA791" i="15" s="1"/>
  <c r="AE776" i="15"/>
  <c r="AG776" i="15" s="1"/>
  <c r="AJ776" i="15"/>
  <c r="AY776" i="15" s="1"/>
  <c r="AZ776" i="15" s="1"/>
  <c r="BA776" i="15" s="1"/>
  <c r="BM546" i="15"/>
  <c r="BN546" i="15" s="1"/>
  <c r="AI546" i="15"/>
  <c r="AE519" i="15"/>
  <c r="AG519" i="15" s="1"/>
  <c r="AJ519" i="15"/>
  <c r="AY519" i="15" s="1"/>
  <c r="AZ519" i="15" s="1"/>
  <c r="BA519" i="15" s="1"/>
  <c r="BM20" i="15"/>
  <c r="BN20" i="15" s="1"/>
  <c r="AI20" i="15"/>
  <c r="BM170" i="15"/>
  <c r="BN170" i="15" s="1"/>
  <c r="AI170" i="15"/>
  <c r="BM735" i="15"/>
  <c r="BN735" i="15" s="1"/>
  <c r="AI735" i="15"/>
  <c r="BM723" i="15"/>
  <c r="BN723" i="15" s="1"/>
  <c r="AI723" i="15"/>
  <c r="AE658" i="15"/>
  <c r="AG658" i="15" s="1"/>
  <c r="AJ658" i="15"/>
  <c r="AY658" i="15" s="1"/>
  <c r="AZ658" i="15" s="1"/>
  <c r="BA658" i="15" s="1"/>
  <c r="BM446" i="15"/>
  <c r="BN446" i="15" s="1"/>
  <c r="AI446" i="15"/>
  <c r="BM430" i="15"/>
  <c r="BN430" i="15" s="1"/>
  <c r="AI430" i="15"/>
  <c r="BM403" i="15"/>
  <c r="BN403" i="15" s="1"/>
  <c r="AI403" i="15"/>
  <c r="BM330" i="15"/>
  <c r="BN330" i="15" s="1"/>
  <c r="AI330" i="15"/>
  <c r="BM311" i="15"/>
  <c r="BN311" i="15" s="1"/>
  <c r="AI311" i="15"/>
  <c r="BM303" i="15"/>
  <c r="BN303" i="15" s="1"/>
  <c r="AI303" i="15"/>
  <c r="BM293" i="15"/>
  <c r="BN293" i="15" s="1"/>
  <c r="AI293" i="15"/>
  <c r="BM135" i="15"/>
  <c r="BN135" i="15" s="1"/>
  <c r="AI135" i="15"/>
  <c r="AE122" i="15"/>
  <c r="AG122" i="15" s="1"/>
  <c r="AJ122" i="15"/>
  <c r="AY122" i="15" s="1"/>
  <c r="AZ122" i="15" s="1"/>
  <c r="BA122" i="15" s="1"/>
  <c r="AE114" i="15"/>
  <c r="AG114" i="15" s="1"/>
  <c r="AJ114" i="15"/>
  <c r="AY114" i="15" s="1"/>
  <c r="AZ114" i="15" s="1"/>
  <c r="BA114" i="15" s="1"/>
  <c r="AE110" i="15"/>
  <c r="AG110" i="15" s="1"/>
  <c r="AJ110" i="15"/>
  <c r="AY110" i="15" s="1"/>
  <c r="AZ110" i="15" s="1"/>
  <c r="BA110" i="15" s="1"/>
  <c r="AE815" i="15"/>
  <c r="AG815" i="15" s="1"/>
  <c r="AJ815" i="15"/>
  <c r="AY815" i="15" s="1"/>
  <c r="AZ815" i="15" s="1"/>
  <c r="BA815" i="15" s="1"/>
  <c r="BM599" i="15"/>
  <c r="BN599" i="15" s="1"/>
  <c r="AI599" i="15"/>
  <c r="BM522" i="15"/>
  <c r="BN522" i="15" s="1"/>
  <c r="AI522" i="15"/>
  <c r="BM501" i="15"/>
  <c r="BN501" i="15" s="1"/>
  <c r="AI501" i="15"/>
  <c r="BM711" i="15"/>
  <c r="BN711" i="15" s="1"/>
  <c r="AI711" i="15"/>
  <c r="BM684" i="15"/>
  <c r="BN684" i="15" s="1"/>
  <c r="AI684" i="15"/>
  <c r="AE632" i="15"/>
  <c r="AG632" i="15" s="1"/>
  <c r="AJ632" i="15"/>
  <c r="AY632" i="15" s="1"/>
  <c r="AZ632" i="15" s="1"/>
  <c r="BA632" i="15" s="1"/>
  <c r="AE624" i="15"/>
  <c r="AG624" i="15" s="1"/>
  <c r="AJ624" i="15"/>
  <c r="AY624" i="15" s="1"/>
  <c r="AZ624" i="15" s="1"/>
  <c r="BA624" i="15" s="1"/>
  <c r="AE614" i="15"/>
  <c r="AG614" i="15" s="1"/>
  <c r="AJ614" i="15"/>
  <c r="AY614" i="15" s="1"/>
  <c r="AZ614" i="15" s="1"/>
  <c r="BA614" i="15" s="1"/>
  <c r="AE606" i="15"/>
  <c r="AG606" i="15" s="1"/>
  <c r="AJ606" i="15"/>
  <c r="AY606" i="15" s="1"/>
  <c r="AZ606" i="15" s="1"/>
  <c r="BA606" i="15" s="1"/>
  <c r="BM481" i="15"/>
  <c r="BN481" i="15" s="1"/>
  <c r="AI481" i="15"/>
  <c r="BM420" i="15"/>
  <c r="BN420" i="15" s="1"/>
  <c r="AI420" i="15"/>
  <c r="BM384" i="15"/>
  <c r="BN384" i="15" s="1"/>
  <c r="AI384" i="15"/>
  <c r="BM374" i="15"/>
  <c r="BN374" i="15" s="1"/>
  <c r="AI374" i="15"/>
  <c r="BM364" i="15"/>
  <c r="BN364" i="15" s="1"/>
  <c r="AI364" i="15"/>
  <c r="BM360" i="15"/>
  <c r="BN360" i="15" s="1"/>
  <c r="AI360" i="15"/>
  <c r="BM352" i="15"/>
  <c r="BN352" i="15" s="1"/>
  <c r="AI352" i="15"/>
  <c r="BM85" i="15"/>
  <c r="BN85" i="15" s="1"/>
  <c r="AI85" i="15"/>
  <c r="BM77" i="15"/>
  <c r="BN77" i="15" s="1"/>
  <c r="AI77" i="15"/>
  <c r="AE897" i="15"/>
  <c r="AJ897" i="15"/>
  <c r="AY897" i="15" s="1"/>
  <c r="AZ897" i="15" s="1"/>
  <c r="BA897" i="15" s="1"/>
  <c r="AE859" i="15"/>
  <c r="AG859" i="15" s="1"/>
  <c r="AJ859" i="15"/>
  <c r="AY859" i="15" s="1"/>
  <c r="AZ859" i="15" s="1"/>
  <c r="BA859" i="15" s="1"/>
  <c r="AE835" i="15"/>
  <c r="AG835" i="15" s="1"/>
  <c r="AJ835" i="15"/>
  <c r="AY835" i="15" s="1"/>
  <c r="AZ835" i="15" s="1"/>
  <c r="BA835" i="15" s="1"/>
  <c r="AE890" i="15"/>
  <c r="AJ890" i="15"/>
  <c r="AY890" i="15" s="1"/>
  <c r="AZ890" i="15" s="1"/>
  <c r="BA890" i="15" s="1"/>
  <c r="AE860" i="15"/>
  <c r="AG860" i="15" s="1"/>
  <c r="AJ860" i="15"/>
  <c r="AY860" i="15" s="1"/>
  <c r="AZ860" i="15" s="1"/>
  <c r="BA860" i="15" s="1"/>
  <c r="AE826" i="15"/>
  <c r="AG826" i="15" s="1"/>
  <c r="AJ826" i="15"/>
  <c r="AY826" i="15" s="1"/>
  <c r="AZ826" i="15" s="1"/>
  <c r="BA826" i="15" s="1"/>
  <c r="AE861" i="15"/>
  <c r="AG861" i="15" s="1"/>
  <c r="AJ861" i="15"/>
  <c r="AY861" i="15" s="1"/>
  <c r="AZ861" i="15" s="1"/>
  <c r="BA861" i="15" s="1"/>
  <c r="AE833" i="15"/>
  <c r="AG833" i="15" s="1"/>
  <c r="AJ833" i="15"/>
  <c r="AE847" i="15"/>
  <c r="AG847" i="15" s="1"/>
  <c r="AJ847" i="15"/>
  <c r="AY847" i="15" s="1"/>
  <c r="AZ847" i="15" s="1"/>
  <c r="BA847" i="15" s="1"/>
  <c r="AE825" i="15"/>
  <c r="AG825" i="15" s="1"/>
  <c r="AJ825" i="15"/>
  <c r="AY825" i="15" s="1"/>
  <c r="AZ825" i="15" s="1"/>
  <c r="BA825" i="15" s="1"/>
  <c r="AE755" i="15"/>
  <c r="AG755" i="15" s="1"/>
  <c r="AJ755" i="15"/>
  <c r="AY755" i="15" s="1"/>
  <c r="AZ755" i="15" s="1"/>
  <c r="BA755" i="15" s="1"/>
  <c r="AE713" i="15"/>
  <c r="AG713" i="15" s="1"/>
  <c r="AJ713" i="15"/>
  <c r="AY713" i="15" s="1"/>
  <c r="AZ713" i="15" s="1"/>
  <c r="BA713" i="15" s="1"/>
  <c r="AE709" i="15"/>
  <c r="AG709" i="15" s="1"/>
  <c r="AJ709" i="15"/>
  <c r="AY709" i="15" s="1"/>
  <c r="AZ709" i="15" s="1"/>
  <c r="BA709" i="15" s="1"/>
  <c r="AE701" i="15"/>
  <c r="AG701" i="15" s="1"/>
  <c r="AJ701" i="15"/>
  <c r="AY701" i="15" s="1"/>
  <c r="AZ701" i="15" s="1"/>
  <c r="BA701" i="15" s="1"/>
  <c r="AE796" i="15"/>
  <c r="AG796" i="15" s="1"/>
  <c r="AJ796" i="15"/>
  <c r="AY796" i="15" s="1"/>
  <c r="AZ796" i="15" s="1"/>
  <c r="BA796" i="15" s="1"/>
  <c r="AE808" i="15"/>
  <c r="AG808" i="15" s="1"/>
  <c r="AJ808" i="15"/>
  <c r="AY808" i="15" s="1"/>
  <c r="AZ808" i="15" s="1"/>
  <c r="BA808" i="15" s="1"/>
  <c r="AE778" i="15"/>
  <c r="AG778" i="15" s="1"/>
  <c r="AJ778" i="15"/>
  <c r="AY778" i="15" s="1"/>
  <c r="AZ778" i="15" s="1"/>
  <c r="BA778" i="15" s="1"/>
  <c r="AE753" i="15"/>
  <c r="AG753" i="15" s="1"/>
  <c r="AJ753" i="15"/>
  <c r="AY753" i="15" s="1"/>
  <c r="AZ753" i="15" s="1"/>
  <c r="BA753" i="15" s="1"/>
  <c r="AE693" i="15"/>
  <c r="AG693" i="15" s="1"/>
  <c r="AJ693" i="15"/>
  <c r="AY693" i="15" s="1"/>
  <c r="AZ693" i="15" s="1"/>
  <c r="BA693" i="15" s="1"/>
  <c r="AE646" i="15"/>
  <c r="AG646" i="15" s="1"/>
  <c r="AJ646" i="15"/>
  <c r="AY646" i="15" s="1"/>
  <c r="AZ646" i="15" s="1"/>
  <c r="BA646" i="15" s="1"/>
  <c r="AE681" i="15"/>
  <c r="AG681" i="15" s="1"/>
  <c r="AJ681" i="15"/>
  <c r="AY681" i="15" s="1"/>
  <c r="AZ681" i="15" s="1"/>
  <c r="BA681" i="15" s="1"/>
  <c r="AE684" i="15"/>
  <c r="AG684" i="15" s="1"/>
  <c r="AJ684" i="15"/>
  <c r="AY684" i="15" s="1"/>
  <c r="AZ684" i="15" s="1"/>
  <c r="BA684" i="15" s="1"/>
  <c r="AE611" i="15"/>
  <c r="AG611" i="15" s="1"/>
  <c r="AJ611" i="15"/>
  <c r="AY611" i="15" s="1"/>
  <c r="AZ611" i="15" s="1"/>
  <c r="BA611" i="15" s="1"/>
  <c r="AE516" i="15"/>
  <c r="AG516" i="15" s="1"/>
  <c r="AJ516" i="15"/>
  <c r="AY516" i="15" s="1"/>
  <c r="AZ516" i="15" s="1"/>
  <c r="BA516" i="15" s="1"/>
  <c r="AE666" i="15"/>
  <c r="AG666" i="15" s="1"/>
  <c r="AJ666" i="15"/>
  <c r="AY666" i="15" s="1"/>
  <c r="AZ666" i="15" s="1"/>
  <c r="BA666" i="15" s="1"/>
  <c r="AE641" i="15"/>
  <c r="AG641" i="15" s="1"/>
  <c r="AJ641" i="15"/>
  <c r="AY641" i="15" s="1"/>
  <c r="AZ641" i="15" s="1"/>
  <c r="BA641" i="15" s="1"/>
  <c r="AE495" i="15"/>
  <c r="AG495" i="15" s="1"/>
  <c r="AJ495" i="15"/>
  <c r="AY495" i="15" s="1"/>
  <c r="AZ495" i="15" s="1"/>
  <c r="BA495" i="15" s="1"/>
  <c r="AE446" i="15"/>
  <c r="AG446" i="15" s="1"/>
  <c r="AJ446" i="15"/>
  <c r="AY446" i="15" s="1"/>
  <c r="AZ446" i="15" s="1"/>
  <c r="BA446" i="15" s="1"/>
  <c r="AE430" i="15"/>
  <c r="AG430" i="15" s="1"/>
  <c r="AJ430" i="15"/>
  <c r="AY430" i="15" s="1"/>
  <c r="AZ430" i="15" s="1"/>
  <c r="BA430" i="15" s="1"/>
  <c r="AE642" i="15"/>
  <c r="AG642" i="15" s="1"/>
  <c r="AJ642" i="15"/>
  <c r="AY642" i="15" s="1"/>
  <c r="AZ642" i="15" s="1"/>
  <c r="BA642" i="15" s="1"/>
  <c r="AE889" i="15"/>
  <c r="AJ889" i="15"/>
  <c r="AY889" i="15" s="1"/>
  <c r="AZ889" i="15" s="1"/>
  <c r="BA889" i="15" s="1"/>
  <c r="AE855" i="15"/>
  <c r="AG855" i="15" s="1"/>
  <c r="AJ855" i="15"/>
  <c r="AY855" i="15" s="1"/>
  <c r="AZ855" i="15" s="1"/>
  <c r="BA855" i="15" s="1"/>
  <c r="AE891" i="15"/>
  <c r="AJ891" i="15"/>
  <c r="AY891" i="15" s="1"/>
  <c r="AZ891" i="15" s="1"/>
  <c r="BA891" i="15" s="1"/>
  <c r="AE845" i="15"/>
  <c r="AG845" i="15" s="1"/>
  <c r="AJ845" i="15"/>
  <c r="AY845" i="15" s="1"/>
  <c r="AZ845" i="15" s="1"/>
  <c r="BA845" i="15" s="1"/>
  <c r="AE887" i="15"/>
  <c r="AJ887" i="15"/>
  <c r="AY887" i="15" s="1"/>
  <c r="AZ887" i="15" s="1"/>
  <c r="BA887" i="15" s="1"/>
  <c r="AE857" i="15"/>
  <c r="AG857" i="15" s="1"/>
  <c r="AJ857" i="15"/>
  <c r="AY857" i="15" s="1"/>
  <c r="AZ857" i="15" s="1"/>
  <c r="BA857" i="15" s="1"/>
  <c r="AE824" i="15"/>
  <c r="AG824" i="15" s="1"/>
  <c r="AJ824" i="15"/>
  <c r="AY824" i="15" s="1"/>
  <c r="AZ824" i="15" s="1"/>
  <c r="BA824" i="15" s="1"/>
  <c r="AE773" i="15"/>
  <c r="AG773" i="15" s="1"/>
  <c r="AJ773" i="15"/>
  <c r="AY773" i="15" s="1"/>
  <c r="AZ773" i="15" s="1"/>
  <c r="BA773" i="15" s="1"/>
  <c r="AE846" i="15"/>
  <c r="AG846" i="15" s="1"/>
  <c r="AJ846" i="15"/>
  <c r="AY846" i="15" s="1"/>
  <c r="AZ846" i="15" s="1"/>
  <c r="BA846" i="15" s="1"/>
  <c r="AE879" i="15"/>
  <c r="AJ879" i="15"/>
  <c r="AY879" i="15" s="1"/>
  <c r="AZ879" i="15" s="1"/>
  <c r="BA879" i="15" s="1"/>
  <c r="AE841" i="15"/>
  <c r="AG841" i="15" s="1"/>
  <c r="AJ841" i="15"/>
  <c r="AY841" i="15" s="1"/>
  <c r="AZ841" i="15" s="1"/>
  <c r="BA841" i="15" s="1"/>
  <c r="AE823" i="15"/>
  <c r="AG823" i="15" s="1"/>
  <c r="AJ823" i="15"/>
  <c r="AY823" i="15" s="1"/>
  <c r="AZ823" i="15" s="1"/>
  <c r="BA823" i="15" s="1"/>
  <c r="AE794" i="15"/>
  <c r="AG794" i="15" s="1"/>
  <c r="AJ794" i="15"/>
  <c r="AY794" i="15" s="1"/>
  <c r="AZ794" i="15" s="1"/>
  <c r="BA794" i="15" s="1"/>
  <c r="AE751" i="15"/>
  <c r="AG751" i="15" s="1"/>
  <c r="AJ751" i="15"/>
  <c r="AY751" i="15" s="1"/>
  <c r="AZ751" i="15" s="1"/>
  <c r="BA751" i="15" s="1"/>
  <c r="AE712" i="15"/>
  <c r="AG712" i="15" s="1"/>
  <c r="AJ712" i="15"/>
  <c r="AY712" i="15" s="1"/>
  <c r="AZ712" i="15" s="1"/>
  <c r="BA712" i="15" s="1"/>
  <c r="AE708" i="15"/>
  <c r="AG708" i="15" s="1"/>
  <c r="AJ708" i="15"/>
  <c r="AY708" i="15" s="1"/>
  <c r="AZ708" i="15" s="1"/>
  <c r="BA708" i="15" s="1"/>
  <c r="AE704" i="15"/>
  <c r="AG704" i="15" s="1"/>
  <c r="AJ704" i="15"/>
  <c r="AY704" i="15" s="1"/>
  <c r="AZ704" i="15" s="1"/>
  <c r="BA704" i="15" s="1"/>
  <c r="AE700" i="15"/>
  <c r="AG700" i="15" s="1"/>
  <c r="AJ700" i="15"/>
  <c r="AY700" i="15" s="1"/>
  <c r="AZ700" i="15" s="1"/>
  <c r="BA700" i="15" s="1"/>
  <c r="AE714" i="15"/>
  <c r="AG714" i="15" s="1"/>
  <c r="AJ714" i="15"/>
  <c r="AY714" i="15" s="1"/>
  <c r="AZ714" i="15" s="1"/>
  <c r="BA714" i="15" s="1"/>
  <c r="AE806" i="15"/>
  <c r="AG806" i="15" s="1"/>
  <c r="AJ806" i="15"/>
  <c r="AY806" i="15" s="1"/>
  <c r="AZ806" i="15" s="1"/>
  <c r="BA806" i="15" s="1"/>
  <c r="AE769" i="15"/>
  <c r="AG769" i="15" s="1"/>
  <c r="AJ769" i="15"/>
  <c r="AY769" i="15" s="1"/>
  <c r="AZ769" i="15" s="1"/>
  <c r="BA769" i="15" s="1"/>
  <c r="AE742" i="15"/>
  <c r="AG742" i="15" s="1"/>
  <c r="AJ742" i="15"/>
  <c r="AY742" i="15" s="1"/>
  <c r="AZ742" i="15" s="1"/>
  <c r="BA742" i="15" s="1"/>
  <c r="AE688" i="15"/>
  <c r="AG688" i="15" s="1"/>
  <c r="AJ688" i="15"/>
  <c r="AY688" i="15" s="1"/>
  <c r="AZ688" i="15" s="1"/>
  <c r="BA688" i="15" s="1"/>
  <c r="AE672" i="15"/>
  <c r="AG672" i="15" s="1"/>
  <c r="AJ672" i="15"/>
  <c r="AY672" i="15" s="1"/>
  <c r="AZ672" i="15" s="1"/>
  <c r="BA672" i="15" s="1"/>
  <c r="AE780" i="15"/>
  <c r="AG780" i="15" s="1"/>
  <c r="AJ780" i="15"/>
  <c r="AY780" i="15" s="1"/>
  <c r="AZ780" i="15" s="1"/>
  <c r="BA780" i="15" s="1"/>
  <c r="AE724" i="15"/>
  <c r="AG724" i="15" s="1"/>
  <c r="AJ724" i="15"/>
  <c r="AY724" i="15" s="1"/>
  <c r="AZ724" i="15" s="1"/>
  <c r="BA724" i="15" s="1"/>
  <c r="AE673" i="15"/>
  <c r="AG673" i="15" s="1"/>
  <c r="AJ673" i="15"/>
  <c r="AY673" i="15" s="1"/>
  <c r="AZ673" i="15" s="1"/>
  <c r="BA673" i="15" s="1"/>
  <c r="AE683" i="15"/>
  <c r="AG683" i="15" s="1"/>
  <c r="AJ683" i="15"/>
  <c r="AY683" i="15" s="1"/>
  <c r="AZ683" i="15" s="1"/>
  <c r="BA683" i="15" s="1"/>
  <c r="AE625" i="15"/>
  <c r="AG625" i="15" s="1"/>
  <c r="AJ625" i="15"/>
  <c r="AY625" i="15" s="1"/>
  <c r="AZ625" i="15" s="1"/>
  <c r="BA625" i="15" s="1"/>
  <c r="AE609" i="15"/>
  <c r="AG609" i="15" s="1"/>
  <c r="AJ609" i="15"/>
  <c r="AY609" i="15" s="1"/>
  <c r="AZ609" i="15" s="1"/>
  <c r="BA609" i="15" s="1"/>
  <c r="AE465" i="15"/>
  <c r="AG465" i="15" s="1"/>
  <c r="AJ465" i="15"/>
  <c r="AY465" i="15" s="1"/>
  <c r="AZ465" i="15" s="1"/>
  <c r="BA465" i="15" s="1"/>
  <c r="AE690" i="15"/>
  <c r="AG690" i="15" s="1"/>
  <c r="AJ690" i="15"/>
  <c r="AY690" i="15" s="1"/>
  <c r="AZ690" i="15" s="1"/>
  <c r="BA690" i="15" s="1"/>
  <c r="AE663" i="15"/>
  <c r="AG663" i="15" s="1"/>
  <c r="AJ663" i="15"/>
  <c r="AY663" i="15" s="1"/>
  <c r="AZ663" i="15" s="1"/>
  <c r="BA663" i="15" s="1"/>
  <c r="AE530" i="15"/>
  <c r="AG530" i="15" s="1"/>
  <c r="AJ530" i="15"/>
  <c r="AY530" i="15" s="1"/>
  <c r="AZ530" i="15" s="1"/>
  <c r="BA530" i="15" s="1"/>
  <c r="AE509" i="15"/>
  <c r="AG509" i="15" s="1"/>
  <c r="AJ509" i="15"/>
  <c r="AY509" i="15" s="1"/>
  <c r="AZ509" i="15" s="1"/>
  <c r="BA509" i="15" s="1"/>
  <c r="AE501" i="15"/>
  <c r="AG501" i="15" s="1"/>
  <c r="AJ501" i="15"/>
  <c r="AY501" i="15" s="1"/>
  <c r="AZ501" i="15" s="1"/>
  <c r="BA501" i="15" s="1"/>
  <c r="AE444" i="15"/>
  <c r="AG444" i="15" s="1"/>
  <c r="AJ444" i="15"/>
  <c r="AY444" i="15" s="1"/>
  <c r="AZ444" i="15" s="1"/>
  <c r="BA444" i="15" s="1"/>
  <c r="AE436" i="15"/>
  <c r="AG436" i="15" s="1"/>
  <c r="AJ436" i="15"/>
  <c r="AY436" i="15" s="1"/>
  <c r="AZ436" i="15" s="1"/>
  <c r="BA436" i="15" s="1"/>
  <c r="AE428" i="15"/>
  <c r="AG428" i="15" s="1"/>
  <c r="AJ428" i="15"/>
  <c r="AY428" i="15" s="1"/>
  <c r="AZ428" i="15" s="1"/>
  <c r="BA428" i="15" s="1"/>
  <c r="AE747" i="15"/>
  <c r="AG747" i="15" s="1"/>
  <c r="AJ747" i="15"/>
  <c r="AE695" i="15"/>
  <c r="AG695" i="15" s="1"/>
  <c r="AJ695" i="15"/>
  <c r="AY695" i="15" s="1"/>
  <c r="AZ695" i="15" s="1"/>
  <c r="BA695" i="15" s="1"/>
  <c r="AE631" i="15"/>
  <c r="AG631" i="15" s="1"/>
  <c r="AJ631" i="15"/>
  <c r="AY631" i="15" s="1"/>
  <c r="AZ631" i="15" s="1"/>
  <c r="BA631" i="15" s="1"/>
  <c r="AE615" i="15"/>
  <c r="AG615" i="15" s="1"/>
  <c r="AJ615" i="15"/>
  <c r="AY615" i="15" s="1"/>
  <c r="AZ615" i="15" s="1"/>
  <c r="BA615" i="15" s="1"/>
  <c r="AE651" i="15"/>
  <c r="AG651" i="15" s="1"/>
  <c r="AJ651" i="15"/>
  <c r="AY651" i="15" s="1"/>
  <c r="AZ651" i="15" s="1"/>
  <c r="BA651" i="15" s="1"/>
  <c r="AE568" i="15"/>
  <c r="AG568" i="15" s="1"/>
  <c r="AJ568" i="15"/>
  <c r="AY568" i="15" s="1"/>
  <c r="AZ568" i="15" s="1"/>
  <c r="BA568" i="15" s="1"/>
  <c r="AE539" i="15"/>
  <c r="AG539" i="15" s="1"/>
  <c r="AJ539" i="15"/>
  <c r="AY539" i="15" s="1"/>
  <c r="AZ539" i="15" s="1"/>
  <c r="BA539" i="15" s="1"/>
  <c r="AE488" i="15"/>
  <c r="AG488" i="15" s="1"/>
  <c r="AJ488" i="15"/>
  <c r="AY488" i="15" s="1"/>
  <c r="AZ488" i="15" s="1"/>
  <c r="BA488" i="15" s="1"/>
  <c r="AE435" i="15"/>
  <c r="AG435" i="15" s="1"/>
  <c r="AJ435" i="15"/>
  <c r="AY435" i="15" s="1"/>
  <c r="AZ435" i="15" s="1"/>
  <c r="BA435" i="15" s="1"/>
  <c r="AE407" i="15"/>
  <c r="AG407" i="15" s="1"/>
  <c r="AJ407" i="15"/>
  <c r="AY407" i="15" s="1"/>
  <c r="AZ407" i="15" s="1"/>
  <c r="BA407" i="15" s="1"/>
  <c r="AE330" i="15"/>
  <c r="AG330" i="15" s="1"/>
  <c r="AJ330" i="15"/>
  <c r="AY330" i="15" s="1"/>
  <c r="AZ330" i="15" s="1"/>
  <c r="BA330" i="15" s="1"/>
  <c r="AE643" i="15"/>
  <c r="AG643" i="15" s="1"/>
  <c r="AJ643" i="15"/>
  <c r="AY643" i="15" s="1"/>
  <c r="AZ643" i="15" s="1"/>
  <c r="BA643" i="15" s="1"/>
  <c r="AE462" i="15"/>
  <c r="AG462" i="15" s="1"/>
  <c r="AJ462" i="15"/>
  <c r="AY462" i="15" s="1"/>
  <c r="AZ462" i="15" s="1"/>
  <c r="BA462" i="15" s="1"/>
  <c r="AE333" i="15"/>
  <c r="AG333" i="15" s="1"/>
  <c r="AJ333" i="15"/>
  <c r="AY333" i="15" s="1"/>
  <c r="AZ333" i="15" s="1"/>
  <c r="BA333" i="15" s="1"/>
  <c r="AE654" i="15"/>
  <c r="AG654" i="15" s="1"/>
  <c r="AJ654" i="15"/>
  <c r="AY654" i="15" s="1"/>
  <c r="AZ654" i="15" s="1"/>
  <c r="BA654" i="15" s="1"/>
  <c r="AE555" i="15"/>
  <c r="AG555" i="15" s="1"/>
  <c r="AJ555" i="15"/>
  <c r="AY555" i="15" s="1"/>
  <c r="AZ555" i="15" s="1"/>
  <c r="BA555" i="15" s="1"/>
  <c r="AE520" i="15"/>
  <c r="AG520" i="15" s="1"/>
  <c r="AJ520" i="15"/>
  <c r="AY520" i="15" s="1"/>
  <c r="AZ520" i="15" s="1"/>
  <c r="BA520" i="15" s="1"/>
  <c r="AE482" i="15"/>
  <c r="AG482" i="15" s="1"/>
  <c r="AJ482" i="15"/>
  <c r="AY482" i="15" s="1"/>
  <c r="AZ482" i="15" s="1"/>
  <c r="BA482" i="15" s="1"/>
  <c r="AE464" i="15"/>
  <c r="AG464" i="15" s="1"/>
  <c r="AJ464" i="15"/>
  <c r="AY464" i="15" s="1"/>
  <c r="AZ464" i="15" s="1"/>
  <c r="BA464" i="15" s="1"/>
  <c r="AE433" i="15"/>
  <c r="AG433" i="15" s="1"/>
  <c r="AJ433" i="15"/>
  <c r="AY433" i="15" s="1"/>
  <c r="AZ433" i="15" s="1"/>
  <c r="BA433" i="15" s="1"/>
  <c r="AE400" i="15"/>
  <c r="AG400" i="15" s="1"/>
  <c r="AJ400" i="15"/>
  <c r="AY400" i="15" s="1"/>
  <c r="AZ400" i="15" s="1"/>
  <c r="BA400" i="15" s="1"/>
  <c r="AE331" i="15"/>
  <c r="AG331" i="15" s="1"/>
  <c r="AJ331" i="15"/>
  <c r="AY331" i="15" s="1"/>
  <c r="AZ331" i="15" s="1"/>
  <c r="BA331" i="15" s="1"/>
  <c r="AE154" i="15"/>
  <c r="AG154" i="15" s="1"/>
  <c r="AJ154" i="15"/>
  <c r="AE664" i="15"/>
  <c r="AG664" i="15" s="1"/>
  <c r="AJ664" i="15"/>
  <c r="AY664" i="15" s="1"/>
  <c r="AZ664" i="15" s="1"/>
  <c r="BA664" i="15" s="1"/>
  <c r="AE533" i="15"/>
  <c r="AG533" i="15" s="1"/>
  <c r="AJ533" i="15"/>
  <c r="AY533" i="15" s="1"/>
  <c r="AZ533" i="15" s="1"/>
  <c r="BA533" i="15" s="1"/>
  <c r="AE466" i="15"/>
  <c r="AG466" i="15" s="1"/>
  <c r="AJ466" i="15"/>
  <c r="AY466" i="15" s="1"/>
  <c r="AZ466" i="15" s="1"/>
  <c r="BA466" i="15" s="1"/>
  <c r="AE325" i="15"/>
  <c r="AG325" i="15" s="1"/>
  <c r="AJ325" i="15"/>
  <c r="AY325" i="15" s="1"/>
  <c r="AZ325" i="15" s="1"/>
  <c r="BA325" i="15" s="1"/>
  <c r="AE728" i="15"/>
  <c r="AG728" i="15" s="1"/>
  <c r="AJ728" i="15"/>
  <c r="AY728" i="15" s="1"/>
  <c r="AZ728" i="15" s="1"/>
  <c r="BA728" i="15" s="1"/>
  <c r="AE652" i="15"/>
  <c r="AG652" i="15" s="1"/>
  <c r="AJ652" i="15"/>
  <c r="AY652" i="15" s="1"/>
  <c r="AZ652" i="15" s="1"/>
  <c r="BA652" i="15" s="1"/>
  <c r="AE558" i="15"/>
  <c r="AG558" i="15" s="1"/>
  <c r="AJ558" i="15"/>
  <c r="AY558" i="15" s="1"/>
  <c r="AZ558" i="15" s="1"/>
  <c r="BA558" i="15" s="1"/>
  <c r="AE521" i="15"/>
  <c r="AG521" i="15" s="1"/>
  <c r="AJ521" i="15"/>
  <c r="AY521" i="15" s="1"/>
  <c r="AZ521" i="15" s="1"/>
  <c r="BA521" i="15" s="1"/>
  <c r="AE439" i="15"/>
  <c r="AG439" i="15" s="1"/>
  <c r="AJ439" i="15"/>
  <c r="AY439" i="15" s="1"/>
  <c r="AZ439" i="15" s="1"/>
  <c r="BA439" i="15" s="1"/>
  <c r="AE405" i="15"/>
  <c r="AG405" i="15" s="1"/>
  <c r="AJ405" i="15"/>
  <c r="AY405" i="15" s="1"/>
  <c r="AZ405" i="15" s="1"/>
  <c r="BA405" i="15" s="1"/>
  <c r="AE389" i="15"/>
  <c r="AG389" i="15" s="1"/>
  <c r="AJ389" i="15"/>
  <c r="AE324" i="15"/>
  <c r="AG324" i="15" s="1"/>
  <c r="AJ324" i="15"/>
  <c r="AY324" i="15" s="1"/>
  <c r="AZ324" i="15" s="1"/>
  <c r="BA324" i="15" s="1"/>
  <c r="AE238" i="15"/>
  <c r="AG238" i="15" s="1"/>
  <c r="AJ238" i="15"/>
  <c r="AY238" i="15" s="1"/>
  <c r="AZ238" i="15" s="1"/>
  <c r="BA238" i="15" s="1"/>
  <c r="AE162" i="15"/>
  <c r="AG162" i="15" s="1"/>
  <c r="AJ162" i="15"/>
  <c r="AY162" i="15" s="1"/>
  <c r="AZ162" i="15" s="1"/>
  <c r="BA162" i="15" s="1"/>
  <c r="AE748" i="15"/>
  <c r="AG748" i="15" s="1"/>
  <c r="AJ748" i="15"/>
  <c r="AY748" i="15" s="1"/>
  <c r="AZ748" i="15" s="1"/>
  <c r="BA748" i="15" s="1"/>
  <c r="AE508" i="15"/>
  <c r="AG508" i="15" s="1"/>
  <c r="AJ508" i="15"/>
  <c r="AY508" i="15" s="1"/>
  <c r="AZ508" i="15" s="1"/>
  <c r="BA508" i="15" s="1"/>
  <c r="AE437" i="15"/>
  <c r="AG437" i="15" s="1"/>
  <c r="AJ437" i="15"/>
  <c r="AY437" i="15" s="1"/>
  <c r="AZ437" i="15" s="1"/>
  <c r="BA437" i="15" s="1"/>
  <c r="AE337" i="15"/>
  <c r="AG337" i="15" s="1"/>
  <c r="AJ337" i="15"/>
  <c r="AY337" i="15" s="1"/>
  <c r="AZ337" i="15" s="1"/>
  <c r="BA337" i="15" s="1"/>
  <c r="AE365" i="15"/>
  <c r="AG365" i="15" s="1"/>
  <c r="AJ365" i="15"/>
  <c r="AY365" i="15" s="1"/>
  <c r="AZ365" i="15" s="1"/>
  <c r="BA365" i="15" s="1"/>
  <c r="AE312" i="15"/>
  <c r="AG312" i="15" s="1"/>
  <c r="AJ312" i="15"/>
  <c r="AY312" i="15" s="1"/>
  <c r="AZ312" i="15" s="1"/>
  <c r="BA312" i="15" s="1"/>
  <c r="AE223" i="15"/>
  <c r="AG223" i="15" s="1"/>
  <c r="AJ223" i="15"/>
  <c r="AY223" i="15" s="1"/>
  <c r="AZ223" i="15" s="1"/>
  <c r="BA223" i="15" s="1"/>
  <c r="AE207" i="15"/>
  <c r="AG207" i="15" s="1"/>
  <c r="AJ207" i="15"/>
  <c r="AY207" i="15" s="1"/>
  <c r="AZ207" i="15" s="1"/>
  <c r="BA207" i="15" s="1"/>
  <c r="AE189" i="15"/>
  <c r="AG189" i="15" s="1"/>
  <c r="AJ189" i="15"/>
  <c r="AY189" i="15" s="1"/>
  <c r="AZ189" i="15" s="1"/>
  <c r="BA189" i="15" s="1"/>
  <c r="AE172" i="15"/>
  <c r="AG172" i="15" s="1"/>
  <c r="AJ172" i="15"/>
  <c r="AY172" i="15" s="1"/>
  <c r="AZ172" i="15" s="1"/>
  <c r="BA172" i="15" s="1"/>
  <c r="AE148" i="15"/>
  <c r="AG148" i="15" s="1"/>
  <c r="AJ148" i="15"/>
  <c r="AY148" i="15" s="1"/>
  <c r="AZ148" i="15" s="1"/>
  <c r="BA148" i="15" s="1"/>
  <c r="AE134" i="15"/>
  <c r="AG134" i="15" s="1"/>
  <c r="AJ134" i="15"/>
  <c r="AY134" i="15" s="1"/>
  <c r="AZ134" i="15" s="1"/>
  <c r="BA134" i="15" s="1"/>
  <c r="AE66" i="15"/>
  <c r="AG66" i="15" s="1"/>
  <c r="AJ66" i="15"/>
  <c r="AY66" i="15" s="1"/>
  <c r="AZ66" i="15" s="1"/>
  <c r="BA66" i="15" s="1"/>
  <c r="AE50" i="15"/>
  <c r="AG50" i="15" s="1"/>
  <c r="AJ50" i="15"/>
  <c r="AY50" i="15" s="1"/>
  <c r="AZ50" i="15" s="1"/>
  <c r="BA50" i="15" s="1"/>
  <c r="AE18" i="15"/>
  <c r="AG18" i="15" s="1"/>
  <c r="AJ18" i="15"/>
  <c r="AY18" i="15" s="1"/>
  <c r="AZ18" i="15" s="1"/>
  <c r="BA18" i="15" s="1"/>
  <c r="AE95" i="15"/>
  <c r="AG95" i="15" s="1"/>
  <c r="AJ95" i="15"/>
  <c r="AY95" i="15" s="1"/>
  <c r="AZ95" i="15" s="1"/>
  <c r="BA95" i="15" s="1"/>
  <c r="AE19" i="15"/>
  <c r="AG19" i="15" s="1"/>
  <c r="AJ19" i="15"/>
  <c r="AY19" i="15" s="1"/>
  <c r="AZ19" i="15" s="1"/>
  <c r="BA19" i="15" s="1"/>
  <c r="AE204" i="15"/>
  <c r="AG204" i="15" s="1"/>
  <c r="AJ204" i="15"/>
  <c r="AY204" i="15" s="1"/>
  <c r="AZ204" i="15" s="1"/>
  <c r="BA204" i="15" s="1"/>
  <c r="AE164" i="15"/>
  <c r="AG164" i="15" s="1"/>
  <c r="AJ164" i="15"/>
  <c r="AY164" i="15" s="1"/>
  <c r="AZ164" i="15" s="1"/>
  <c r="BA164" i="15" s="1"/>
  <c r="AE100" i="15"/>
  <c r="AG100" i="15" s="1"/>
  <c r="AJ100" i="15"/>
  <c r="AY100" i="15" s="1"/>
  <c r="AZ100" i="15" s="1"/>
  <c r="BA100" i="15" s="1"/>
  <c r="AE64" i="15"/>
  <c r="AG64" i="15" s="1"/>
  <c r="AJ64" i="15"/>
  <c r="AY64" i="15" s="1"/>
  <c r="AZ64" i="15" s="1"/>
  <c r="BA64" i="15" s="1"/>
  <c r="AE48" i="15"/>
  <c r="AG48" i="15" s="1"/>
  <c r="AJ48" i="15"/>
  <c r="AY48" i="15" s="1"/>
  <c r="AZ48" i="15" s="1"/>
  <c r="BA48" i="15" s="1"/>
  <c r="AE383" i="15"/>
  <c r="AG383" i="15" s="1"/>
  <c r="AJ383" i="15"/>
  <c r="AY383" i="15" s="1"/>
  <c r="AZ383" i="15" s="1"/>
  <c r="BA383" i="15" s="1"/>
  <c r="AE351" i="15"/>
  <c r="AG351" i="15" s="1"/>
  <c r="AJ351" i="15"/>
  <c r="AY351" i="15" s="1"/>
  <c r="AZ351" i="15" s="1"/>
  <c r="BA351" i="15" s="1"/>
  <c r="AE278" i="15"/>
  <c r="AG278" i="15" s="1"/>
  <c r="AJ278" i="15"/>
  <c r="AY278" i="15" s="1"/>
  <c r="AZ278" i="15" s="1"/>
  <c r="BA278" i="15" s="1"/>
  <c r="AE270" i="15"/>
  <c r="AG270" i="15" s="1"/>
  <c r="AJ270" i="15"/>
  <c r="AY270" i="15" s="1"/>
  <c r="AZ270" i="15" s="1"/>
  <c r="BA270" i="15" s="1"/>
  <c r="AE257" i="15"/>
  <c r="AG257" i="15" s="1"/>
  <c r="AJ257" i="15"/>
  <c r="AY257" i="15" s="1"/>
  <c r="AZ257" i="15" s="1"/>
  <c r="BA257" i="15" s="1"/>
  <c r="AE245" i="15"/>
  <c r="AG245" i="15" s="1"/>
  <c r="AJ245" i="15"/>
  <c r="AE218" i="15"/>
  <c r="AG218" i="15" s="1"/>
  <c r="AJ218" i="15"/>
  <c r="AY218" i="15" s="1"/>
  <c r="AZ218" i="15" s="1"/>
  <c r="BA218" i="15" s="1"/>
  <c r="AE188" i="15"/>
  <c r="AG188" i="15" s="1"/>
  <c r="AJ188" i="15"/>
  <c r="AY188" i="15" s="1"/>
  <c r="AZ188" i="15" s="1"/>
  <c r="BA188" i="15" s="1"/>
  <c r="AE125" i="15"/>
  <c r="AG125" i="15" s="1"/>
  <c r="AJ125" i="15"/>
  <c r="AY125" i="15" s="1"/>
  <c r="AZ125" i="15" s="1"/>
  <c r="BA125" i="15" s="1"/>
  <c r="AE109" i="15"/>
  <c r="AG109" i="15" s="1"/>
  <c r="AJ109" i="15"/>
  <c r="AY109" i="15" s="1"/>
  <c r="AZ109" i="15" s="1"/>
  <c r="BA109" i="15" s="1"/>
  <c r="AE25" i="15"/>
  <c r="AG25" i="15" s="1"/>
  <c r="AJ25" i="15"/>
  <c r="AY25" i="15" s="1"/>
  <c r="AZ25" i="15" s="1"/>
  <c r="BA25" i="15" s="1"/>
  <c r="AE359" i="15"/>
  <c r="AG359" i="15" s="1"/>
  <c r="AJ359" i="15"/>
  <c r="AY359" i="15" s="1"/>
  <c r="AZ359" i="15" s="1"/>
  <c r="BA359" i="15" s="1"/>
  <c r="AE306" i="15"/>
  <c r="AG306" i="15" s="1"/>
  <c r="AJ306" i="15"/>
  <c r="AY306" i="15" s="1"/>
  <c r="AZ306" i="15" s="1"/>
  <c r="BA306" i="15" s="1"/>
  <c r="AE279" i="15"/>
  <c r="AG279" i="15" s="1"/>
  <c r="AJ279" i="15"/>
  <c r="AY279" i="15" s="1"/>
  <c r="AZ279" i="15" s="1"/>
  <c r="BA279" i="15" s="1"/>
  <c r="AE271" i="15"/>
  <c r="AG271" i="15" s="1"/>
  <c r="AJ271" i="15"/>
  <c r="AY271" i="15" s="1"/>
  <c r="AZ271" i="15" s="1"/>
  <c r="BA271" i="15" s="1"/>
  <c r="AE260" i="15"/>
  <c r="AG260" i="15" s="1"/>
  <c r="AJ260" i="15"/>
  <c r="AY260" i="15" s="1"/>
  <c r="AZ260" i="15" s="1"/>
  <c r="BA260" i="15" s="1"/>
  <c r="AE252" i="15"/>
  <c r="AG252" i="15" s="1"/>
  <c r="AJ252" i="15"/>
  <c r="AY252" i="15" s="1"/>
  <c r="AZ252" i="15" s="1"/>
  <c r="BA252" i="15" s="1"/>
  <c r="AE241" i="15"/>
  <c r="AG241" i="15" s="1"/>
  <c r="AJ241" i="15"/>
  <c r="AY241" i="15" s="1"/>
  <c r="AZ241" i="15" s="1"/>
  <c r="BA241" i="15" s="1"/>
  <c r="AE224" i="15"/>
  <c r="AG224" i="15" s="1"/>
  <c r="AJ224" i="15"/>
  <c r="AY224" i="15" s="1"/>
  <c r="AZ224" i="15" s="1"/>
  <c r="BA224" i="15" s="1"/>
  <c r="AE208" i="15"/>
  <c r="AG208" i="15" s="1"/>
  <c r="AJ208" i="15"/>
  <c r="AY208" i="15" s="1"/>
  <c r="AZ208" i="15" s="1"/>
  <c r="BA208" i="15" s="1"/>
  <c r="AE192" i="15"/>
  <c r="AG192" i="15" s="1"/>
  <c r="AJ192" i="15"/>
  <c r="AY192" i="15" s="1"/>
  <c r="AZ192" i="15" s="1"/>
  <c r="BA192" i="15" s="1"/>
  <c r="AE168" i="15"/>
  <c r="AG168" i="15" s="1"/>
  <c r="AJ168" i="15"/>
  <c r="AY168" i="15" s="1"/>
  <c r="AZ168" i="15" s="1"/>
  <c r="BA168" i="15" s="1"/>
  <c r="AE143" i="15"/>
  <c r="AG143" i="15" s="1"/>
  <c r="AJ143" i="15"/>
  <c r="AY143" i="15" s="1"/>
  <c r="AZ143" i="15" s="1"/>
  <c r="BA143" i="15" s="1"/>
  <c r="AE63" i="15"/>
  <c r="AG63" i="15" s="1"/>
  <c r="AJ63" i="15"/>
  <c r="AY63" i="15" s="1"/>
  <c r="AZ63" i="15" s="1"/>
  <c r="BA63" i="15" s="1"/>
  <c r="AE27" i="15"/>
  <c r="AG27" i="15" s="1"/>
  <c r="AJ27" i="15"/>
  <c r="AY27" i="15" s="1"/>
  <c r="AZ27" i="15" s="1"/>
  <c r="BA27" i="15" s="1"/>
  <c r="AE371" i="15"/>
  <c r="AG371" i="15" s="1"/>
  <c r="AJ371" i="15"/>
  <c r="AY371" i="15" s="1"/>
  <c r="AZ371" i="15" s="1"/>
  <c r="BA371" i="15" s="1"/>
  <c r="AE302" i="15"/>
  <c r="AG302" i="15" s="1"/>
  <c r="AJ302" i="15"/>
  <c r="AY302" i="15" s="1"/>
  <c r="AZ302" i="15" s="1"/>
  <c r="BA302" i="15" s="1"/>
  <c r="AE220" i="15"/>
  <c r="AG220" i="15" s="1"/>
  <c r="AJ220" i="15"/>
  <c r="AY220" i="15" s="1"/>
  <c r="AZ220" i="15" s="1"/>
  <c r="BA220" i="15" s="1"/>
  <c r="AE182" i="15"/>
  <c r="AG182" i="15" s="1"/>
  <c r="AJ182" i="15"/>
  <c r="AY182" i="15" s="1"/>
  <c r="AZ182" i="15" s="1"/>
  <c r="BA182" i="15" s="1"/>
  <c r="AE140" i="15"/>
  <c r="AG140" i="15" s="1"/>
  <c r="AJ140" i="15"/>
  <c r="AY140" i="15" s="1"/>
  <c r="AZ140" i="15" s="1"/>
  <c r="BA140" i="15" s="1"/>
  <c r="AE20" i="15"/>
  <c r="AG20" i="15" s="1"/>
  <c r="AJ20" i="15"/>
  <c r="AY20" i="15" s="1"/>
  <c r="AZ20" i="15" s="1"/>
  <c r="BA20" i="15" s="1"/>
  <c r="AE236" i="15"/>
  <c r="AG236" i="15" s="1"/>
  <c r="AJ236" i="15"/>
  <c r="AY236" i="15" s="1"/>
  <c r="AZ236" i="15" s="1"/>
  <c r="BA236" i="15" s="1"/>
  <c r="AE196" i="15"/>
  <c r="AG196" i="15" s="1"/>
  <c r="AJ196" i="15"/>
  <c r="AY196" i="15" s="1"/>
  <c r="AZ196" i="15" s="1"/>
  <c r="BA196" i="15" s="1"/>
  <c r="AE147" i="15"/>
  <c r="AG147" i="15" s="1"/>
  <c r="AJ147" i="15"/>
  <c r="AY147" i="15" s="1"/>
  <c r="AZ147" i="15" s="1"/>
  <c r="BA147" i="15" s="1"/>
  <c r="AY89" i="15"/>
  <c r="AZ89" i="15" s="1"/>
  <c r="AE13" i="15"/>
  <c r="AG13" i="15" s="1"/>
  <c r="AJ13" i="15"/>
  <c r="AY13" i="15" s="1"/>
  <c r="AZ13" i="15" s="1"/>
  <c r="BA13" i="15" s="1"/>
  <c r="AE127" i="15"/>
  <c r="AG127" i="15" s="1"/>
  <c r="AJ127" i="15"/>
  <c r="AY127" i="15" s="1"/>
  <c r="AZ127" i="15" s="1"/>
  <c r="BA127" i="15" s="1"/>
  <c r="AE39" i="15"/>
  <c r="AG39" i="15" s="1"/>
  <c r="AJ39" i="15"/>
  <c r="AY39" i="15" s="1"/>
  <c r="AZ39" i="15" s="1"/>
  <c r="BA39" i="15" s="1"/>
  <c r="AE107" i="15"/>
  <c r="AG107" i="15" s="1"/>
  <c r="AJ107" i="15"/>
  <c r="AY107" i="15" s="1"/>
  <c r="AZ107" i="15" s="1"/>
  <c r="BA107" i="15" s="1"/>
  <c r="AE854" i="15"/>
  <c r="AG854" i="15" s="1"/>
  <c r="AJ854" i="15"/>
  <c r="AY854" i="15" s="1"/>
  <c r="AZ854" i="15" s="1"/>
  <c r="BA854" i="15" s="1"/>
  <c r="AE771" i="15"/>
  <c r="AG771" i="15" s="1"/>
  <c r="AJ771" i="15"/>
  <c r="AY771" i="15" s="1"/>
  <c r="AZ771" i="15" s="1"/>
  <c r="BA771" i="15" s="1"/>
  <c r="AE820" i="15"/>
  <c r="AG820" i="15" s="1"/>
  <c r="AJ820" i="15"/>
  <c r="AY820" i="15" s="1"/>
  <c r="AZ820" i="15" s="1"/>
  <c r="BA820" i="15" s="1"/>
  <c r="AE795" i="15"/>
  <c r="AG795" i="15" s="1"/>
  <c r="AJ795" i="15"/>
  <c r="AY795" i="15" s="1"/>
  <c r="AZ795" i="15" s="1"/>
  <c r="BA795" i="15" s="1"/>
  <c r="AE725" i="15"/>
  <c r="AG725" i="15" s="1"/>
  <c r="AJ725" i="15"/>
  <c r="AY725" i="15" s="1"/>
  <c r="AZ725" i="15" s="1"/>
  <c r="BA725" i="15" s="1"/>
  <c r="AE587" i="15"/>
  <c r="AG587" i="15" s="1"/>
  <c r="AJ587" i="15"/>
  <c r="AY587" i="15" s="1"/>
  <c r="AZ587" i="15" s="1"/>
  <c r="BA587" i="15" s="1"/>
  <c r="AE548" i="15"/>
  <c r="AG548" i="15" s="1"/>
  <c r="AJ548" i="15"/>
  <c r="AY548" i="15" s="1"/>
  <c r="AZ548" i="15" s="1"/>
  <c r="BA548" i="15" s="1"/>
  <c r="AE301" i="15"/>
  <c r="AG301" i="15" s="1"/>
  <c r="AJ301" i="15"/>
  <c r="AY301" i="15" s="1"/>
  <c r="AZ301" i="15" s="1"/>
  <c r="BA301" i="15" s="1"/>
  <c r="AE749" i="15"/>
  <c r="AG749" i="15" s="1"/>
  <c r="AJ749" i="15"/>
  <c r="AY749" i="15" s="1"/>
  <c r="AZ749" i="15" s="1"/>
  <c r="BA749" i="15" s="1"/>
  <c r="AE592" i="15"/>
  <c r="AG592" i="15" s="1"/>
  <c r="AJ592" i="15"/>
  <c r="AY592" i="15" s="1"/>
  <c r="AZ592" i="15" s="1"/>
  <c r="BA592" i="15" s="1"/>
  <c r="AE576" i="15"/>
  <c r="AG576" i="15" s="1"/>
  <c r="AJ576" i="15"/>
  <c r="AY576" i="15" s="1"/>
  <c r="AZ576" i="15" s="1"/>
  <c r="BA576" i="15" s="1"/>
  <c r="AE382" i="15"/>
  <c r="AG382" i="15" s="1"/>
  <c r="AJ382" i="15"/>
  <c r="AY382" i="15" s="1"/>
  <c r="AZ382" i="15" s="1"/>
  <c r="BA382" i="15" s="1"/>
  <c r="AE590" i="15"/>
  <c r="AG590" i="15" s="1"/>
  <c r="AJ590" i="15"/>
  <c r="AY590" i="15" s="1"/>
  <c r="AZ590" i="15" s="1"/>
  <c r="BA590" i="15" s="1"/>
  <c r="AE485" i="15"/>
  <c r="AG485" i="15" s="1"/>
  <c r="AJ485" i="15"/>
  <c r="AY485" i="15" s="1"/>
  <c r="AZ485" i="15" s="1"/>
  <c r="BA485" i="15" s="1"/>
  <c r="AE886" i="15"/>
  <c r="AJ886" i="15"/>
  <c r="AY886" i="15" s="1"/>
  <c r="AZ886" i="15" s="1"/>
  <c r="BA886" i="15" s="1"/>
  <c r="AE589" i="15"/>
  <c r="AG589" i="15" s="1"/>
  <c r="AJ589" i="15"/>
  <c r="AY589" i="15" s="1"/>
  <c r="AZ589" i="15" s="1"/>
  <c r="BA589" i="15" s="1"/>
  <c r="AE550" i="15"/>
  <c r="AG550" i="15" s="1"/>
  <c r="AJ550" i="15"/>
  <c r="AY550" i="15" s="1"/>
  <c r="AZ550" i="15" s="1"/>
  <c r="BA550" i="15" s="1"/>
  <c r="AE61" i="15"/>
  <c r="AG61" i="15" s="1"/>
  <c r="AJ61" i="15"/>
  <c r="AY61" i="15" s="1"/>
  <c r="AZ61" i="15" s="1"/>
  <c r="BA61" i="15" s="1"/>
  <c r="AE715" i="15"/>
  <c r="AG715" i="15" s="1"/>
  <c r="AJ715" i="15"/>
  <c r="AY715" i="15" s="1"/>
  <c r="AZ715" i="15" s="1"/>
  <c r="BA715" i="15" s="1"/>
  <c r="AE57" i="15"/>
  <c r="AG57" i="15" s="1"/>
  <c r="AJ57" i="15"/>
  <c r="AY57" i="15" s="1"/>
  <c r="AZ57" i="15" s="1"/>
  <c r="BA57" i="15" s="1"/>
  <c r="AE53" i="15"/>
  <c r="AG53" i="15" s="1"/>
  <c r="AJ53" i="15"/>
  <c r="AY53" i="15" s="1"/>
  <c r="AZ53" i="15" s="1"/>
  <c r="BA53" i="15" s="1"/>
  <c r="BE71" i="15"/>
  <c r="BF71" i="15" s="1"/>
  <c r="AJ71" i="15"/>
  <c r="AE894" i="15"/>
  <c r="AJ894" i="15"/>
  <c r="AY894" i="15" s="1"/>
  <c r="AZ894" i="15" s="1"/>
  <c r="BA894" i="15" s="1"/>
  <c r="AE888" i="15"/>
  <c r="AJ888" i="15"/>
  <c r="AY888" i="15" s="1"/>
  <c r="AZ888" i="15" s="1"/>
  <c r="BA888" i="15" s="1"/>
  <c r="AE880" i="15"/>
  <c r="AJ880" i="15"/>
  <c r="AY880" i="15" s="1"/>
  <c r="AZ880" i="15" s="1"/>
  <c r="BA880" i="15" s="1"/>
  <c r="AE876" i="15"/>
  <c r="AJ876" i="15"/>
  <c r="AY876" i="15" s="1"/>
  <c r="AZ876" i="15" s="1"/>
  <c r="BA876" i="15" s="1"/>
  <c r="AE870" i="15"/>
  <c r="AJ870" i="15"/>
  <c r="AY870" i="15" s="1"/>
  <c r="AZ870" i="15" s="1"/>
  <c r="BA870" i="15" s="1"/>
  <c r="BM807" i="15"/>
  <c r="BN807" i="15" s="1"/>
  <c r="AI807" i="15"/>
  <c r="BM801" i="15"/>
  <c r="BN801" i="15" s="1"/>
  <c r="AI801" i="15"/>
  <c r="BM797" i="15"/>
  <c r="BN797" i="15" s="1"/>
  <c r="AI797" i="15"/>
  <c r="BM791" i="15"/>
  <c r="BN791" i="15" s="1"/>
  <c r="AI791" i="15"/>
  <c r="BM784" i="15"/>
  <c r="BN784" i="15" s="1"/>
  <c r="AI784" i="15"/>
  <c r="BM776" i="15"/>
  <c r="BN776" i="15" s="1"/>
  <c r="AI776" i="15"/>
  <c r="BM548" i="15"/>
  <c r="BN548" i="15" s="1"/>
  <c r="AI548" i="15"/>
  <c r="BM540" i="15"/>
  <c r="BN540" i="15" s="1"/>
  <c r="AI540" i="15"/>
  <c r="BM519" i="15"/>
  <c r="BN519" i="15" s="1"/>
  <c r="AI519" i="15"/>
  <c r="BM30" i="15"/>
  <c r="BN30" i="15" s="1"/>
  <c r="AI30" i="15"/>
  <c r="BM22" i="15"/>
  <c r="BN22" i="15" s="1"/>
  <c r="AI22" i="15"/>
  <c r="BM14" i="15"/>
  <c r="BN14" i="15" s="1"/>
  <c r="AI14" i="15"/>
  <c r="BM174" i="15"/>
  <c r="BN174" i="15" s="1"/>
  <c r="AI174" i="15"/>
  <c r="BM158" i="15"/>
  <c r="BN158" i="15" s="1"/>
  <c r="AI158" i="15"/>
  <c r="AE737" i="15"/>
  <c r="AG737" i="15" s="1"/>
  <c r="AJ737" i="15"/>
  <c r="AY737" i="15" s="1"/>
  <c r="AZ737" i="15" s="1"/>
  <c r="BA737" i="15" s="1"/>
  <c r="AE731" i="15"/>
  <c r="AG731" i="15" s="1"/>
  <c r="AJ731" i="15"/>
  <c r="AY731" i="15" s="1"/>
  <c r="AZ731" i="15" s="1"/>
  <c r="BA731" i="15" s="1"/>
  <c r="AE727" i="15"/>
  <c r="AG727" i="15" s="1"/>
  <c r="AJ727" i="15"/>
  <c r="AY727" i="15" s="1"/>
  <c r="AZ727" i="15" s="1"/>
  <c r="BA727" i="15" s="1"/>
  <c r="AE721" i="15"/>
  <c r="AG721" i="15" s="1"/>
  <c r="AJ721" i="15"/>
  <c r="AY721" i="15" s="1"/>
  <c r="AZ721" i="15" s="1"/>
  <c r="BA721" i="15" s="1"/>
  <c r="BM706" i="15"/>
  <c r="BN706" i="15" s="1"/>
  <c r="AI706" i="15"/>
  <c r="BM658" i="15"/>
  <c r="BN658" i="15" s="1"/>
  <c r="AI658" i="15"/>
  <c r="BM465" i="15"/>
  <c r="BN465" i="15" s="1"/>
  <c r="AI465" i="15"/>
  <c r="BM455" i="15"/>
  <c r="BN455" i="15" s="1"/>
  <c r="AI455" i="15"/>
  <c r="BM440" i="15"/>
  <c r="BN440" i="15" s="1"/>
  <c r="AI440" i="15"/>
  <c r="BM432" i="15"/>
  <c r="BN432" i="15" s="1"/>
  <c r="AI432" i="15"/>
  <c r="BM421" i="15"/>
  <c r="BN421" i="15" s="1"/>
  <c r="AI421" i="15"/>
  <c r="BM405" i="15"/>
  <c r="BN405" i="15" s="1"/>
  <c r="AI405" i="15"/>
  <c r="BM396" i="15"/>
  <c r="BN396" i="15" s="1"/>
  <c r="AI396" i="15"/>
  <c r="BM332" i="15"/>
  <c r="BN332" i="15" s="1"/>
  <c r="AI332" i="15"/>
  <c r="BM324" i="15"/>
  <c r="BN324" i="15" s="1"/>
  <c r="AI324" i="15"/>
  <c r="AE309" i="15"/>
  <c r="AG309" i="15" s="1"/>
  <c r="AJ309" i="15"/>
  <c r="AY309" i="15" s="1"/>
  <c r="AZ309" i="15" s="1"/>
  <c r="BA309" i="15" s="1"/>
  <c r="AE305" i="15"/>
  <c r="AG305" i="15" s="1"/>
  <c r="AJ305" i="15"/>
  <c r="AY305" i="15" s="1"/>
  <c r="AZ305" i="15" s="1"/>
  <c r="BA305" i="15" s="1"/>
  <c r="AE299" i="15"/>
  <c r="AG299" i="15" s="1"/>
  <c r="AJ299" i="15"/>
  <c r="AY299" i="15" s="1"/>
  <c r="AZ299" i="15" s="1"/>
  <c r="BA299" i="15" s="1"/>
  <c r="AE295" i="15"/>
  <c r="AG295" i="15" s="1"/>
  <c r="AJ295" i="15"/>
  <c r="AY295" i="15" s="1"/>
  <c r="AZ295" i="15" s="1"/>
  <c r="BA295" i="15" s="1"/>
  <c r="AE291" i="15"/>
  <c r="AG291" i="15" s="1"/>
  <c r="AJ291" i="15"/>
  <c r="AY291" i="15" s="1"/>
  <c r="AZ291" i="15" s="1"/>
  <c r="BA291" i="15" s="1"/>
  <c r="AE287" i="15"/>
  <c r="AG287" i="15" s="1"/>
  <c r="AJ287" i="15"/>
  <c r="AY287" i="15" s="1"/>
  <c r="AZ287" i="15" s="1"/>
  <c r="BA287" i="15" s="1"/>
  <c r="BM137" i="15"/>
  <c r="BN137" i="15" s="1"/>
  <c r="AI137" i="15"/>
  <c r="BM126" i="15"/>
  <c r="BN126" i="15" s="1"/>
  <c r="AI126" i="15"/>
  <c r="BM122" i="15"/>
  <c r="BN122" i="15" s="1"/>
  <c r="AI122" i="15"/>
  <c r="BM118" i="15"/>
  <c r="BN118" i="15" s="1"/>
  <c r="AI118" i="15"/>
  <c r="BM114" i="15"/>
  <c r="BN114" i="15" s="1"/>
  <c r="AI114" i="15"/>
  <c r="BM110" i="15"/>
  <c r="BN110" i="15" s="1"/>
  <c r="AI110" i="15"/>
  <c r="BM106" i="15"/>
  <c r="BN106" i="15" s="1"/>
  <c r="AI106" i="15"/>
  <c r="BM815" i="15"/>
  <c r="BN815" i="15" s="1"/>
  <c r="AI815" i="15"/>
  <c r="BM767" i="15"/>
  <c r="BN767" i="15" s="1"/>
  <c r="AI767" i="15"/>
  <c r="BM756" i="15"/>
  <c r="BN756" i="15" s="1"/>
  <c r="AI756" i="15"/>
  <c r="BM545" i="15"/>
  <c r="BN545" i="15" s="1"/>
  <c r="AI545" i="15"/>
  <c r="BM524" i="15"/>
  <c r="BN524" i="15" s="1"/>
  <c r="AI524" i="15"/>
  <c r="BM503" i="15"/>
  <c r="BN503" i="15" s="1"/>
  <c r="AI503" i="15"/>
  <c r="BM495" i="15"/>
  <c r="BN495" i="15" s="1"/>
  <c r="AI495" i="15"/>
  <c r="BM713" i="15"/>
  <c r="BN713" i="15" s="1"/>
  <c r="AI713" i="15"/>
  <c r="BM705" i="15"/>
  <c r="BN705" i="15" s="1"/>
  <c r="AI705" i="15"/>
  <c r="BM688" i="15"/>
  <c r="BN688" i="15" s="1"/>
  <c r="AI688" i="15"/>
  <c r="BM661" i="15"/>
  <c r="BN661" i="15" s="1"/>
  <c r="AI661" i="15"/>
  <c r="BM632" i="15"/>
  <c r="BN632" i="15" s="1"/>
  <c r="AI632" i="15"/>
  <c r="BM628" i="15"/>
  <c r="BN628" i="15" s="1"/>
  <c r="AI628" i="15"/>
  <c r="BM624" i="15"/>
  <c r="BN624" i="15" s="1"/>
  <c r="AI624" i="15"/>
  <c r="BM620" i="15"/>
  <c r="BN620" i="15" s="1"/>
  <c r="AI620" i="15"/>
  <c r="BM614" i="15"/>
  <c r="BN614" i="15" s="1"/>
  <c r="AI614" i="15"/>
  <c r="BM610" i="15"/>
  <c r="BN610" i="15" s="1"/>
  <c r="AI610" i="15"/>
  <c r="BM606" i="15"/>
  <c r="BN606" i="15" s="1"/>
  <c r="AI606" i="15"/>
  <c r="BM483" i="15"/>
  <c r="BN483" i="15" s="1"/>
  <c r="AI483" i="15"/>
  <c r="BM460" i="15"/>
  <c r="BN460" i="15" s="1"/>
  <c r="AI460" i="15"/>
  <c r="BM422" i="15"/>
  <c r="BN422" i="15" s="1"/>
  <c r="AI422" i="15"/>
  <c r="BM410" i="15"/>
  <c r="BN410" i="15" s="1"/>
  <c r="AI410" i="15"/>
  <c r="AE380" i="15"/>
  <c r="AG380" i="15" s="1"/>
  <c r="AJ380" i="15"/>
  <c r="AY380" i="15" s="1"/>
  <c r="AZ380" i="15" s="1"/>
  <c r="BA380" i="15" s="1"/>
  <c r="AE376" i="15"/>
  <c r="AG376" i="15" s="1"/>
  <c r="AJ376" i="15"/>
  <c r="AY376" i="15" s="1"/>
  <c r="AZ376" i="15" s="1"/>
  <c r="BA376" i="15" s="1"/>
  <c r="AE372" i="15"/>
  <c r="AG372" i="15" s="1"/>
  <c r="AJ372" i="15"/>
  <c r="AY372" i="15" s="1"/>
  <c r="AZ372" i="15" s="1"/>
  <c r="BA372" i="15" s="1"/>
  <c r="AE368" i="15"/>
  <c r="AG368" i="15" s="1"/>
  <c r="AJ368" i="15"/>
  <c r="AY368" i="15" s="1"/>
  <c r="AZ368" i="15" s="1"/>
  <c r="BA368" i="15" s="1"/>
  <c r="AE362" i="15"/>
  <c r="AG362" i="15" s="1"/>
  <c r="AJ362" i="15"/>
  <c r="AY362" i="15" s="1"/>
  <c r="AZ362" i="15" s="1"/>
  <c r="BA362" i="15" s="1"/>
  <c r="AE358" i="15"/>
  <c r="AG358" i="15" s="1"/>
  <c r="AJ358" i="15"/>
  <c r="AY358" i="15" s="1"/>
  <c r="AZ358" i="15" s="1"/>
  <c r="BA358" i="15" s="1"/>
  <c r="AE354" i="15"/>
  <c r="AG354" i="15" s="1"/>
  <c r="AJ354" i="15"/>
  <c r="AY354" i="15" s="1"/>
  <c r="AZ354" i="15" s="1"/>
  <c r="BA354" i="15" s="1"/>
  <c r="AE348" i="15"/>
  <c r="AG348" i="15" s="1"/>
  <c r="AJ348" i="15"/>
  <c r="AY348" i="15" s="1"/>
  <c r="AZ348" i="15" s="1"/>
  <c r="BA348" i="15" s="1"/>
  <c r="AE344" i="15"/>
  <c r="AG344" i="15" s="1"/>
  <c r="AJ344" i="15"/>
  <c r="AY344" i="15" s="1"/>
  <c r="AZ344" i="15" s="1"/>
  <c r="BA344" i="15" s="1"/>
  <c r="BM98" i="15"/>
  <c r="BN98" i="15" s="1"/>
  <c r="AI98" i="15"/>
  <c r="BM90" i="15"/>
  <c r="BN90" i="15" s="1"/>
  <c r="AI90" i="15"/>
  <c r="AE83" i="15"/>
  <c r="AG83" i="15" s="1"/>
  <c r="AJ83" i="15"/>
  <c r="AY83" i="15" s="1"/>
  <c r="AZ83" i="15" s="1"/>
  <c r="BA83" i="15" s="1"/>
  <c r="AE79" i="15"/>
  <c r="AG79" i="15" s="1"/>
  <c r="AJ79" i="15"/>
  <c r="AY79" i="15" s="1"/>
  <c r="AZ79" i="15" s="1"/>
  <c r="BA79" i="15" s="1"/>
  <c r="AE75" i="15"/>
  <c r="AG75" i="15" s="1"/>
  <c r="AJ75" i="15"/>
  <c r="AY75" i="15" s="1"/>
  <c r="AZ75" i="15" s="1"/>
  <c r="BA75" i="15" s="1"/>
  <c r="BC791" i="15"/>
  <c r="BD791" i="15" s="1"/>
  <c r="BE519" i="15"/>
  <c r="BF519" i="15" s="1"/>
  <c r="BC287" i="15"/>
  <c r="BD287" i="15" s="1"/>
  <c r="BE106" i="15"/>
  <c r="BF106" i="15" s="1"/>
  <c r="BE797" i="15"/>
  <c r="BF797" i="15" s="1"/>
  <c r="BE766" i="15"/>
  <c r="BF766" i="15" s="1"/>
  <c r="BE421" i="15"/>
  <c r="BF421" i="15" s="1"/>
  <c r="BC118" i="15"/>
  <c r="BD118" i="15" s="1"/>
  <c r="BC460" i="15"/>
  <c r="BD460" i="15" s="1"/>
  <c r="BE309" i="15"/>
  <c r="BF309" i="15" s="1"/>
  <c r="BC126" i="15"/>
  <c r="BD126" i="15" s="1"/>
  <c r="BC801" i="15"/>
  <c r="BD801" i="15" s="1"/>
  <c r="BC776" i="15"/>
  <c r="BD776" i="15" s="1"/>
  <c r="BE658" i="15"/>
  <c r="BF658" i="15" s="1"/>
  <c r="BE110" i="15"/>
  <c r="BF110" i="15" s="1"/>
  <c r="BE460" i="15"/>
  <c r="BF460" i="15" s="1"/>
  <c r="BE807" i="15"/>
  <c r="BF807" i="15" s="1"/>
  <c r="BE801" i="15"/>
  <c r="BF801" i="15" s="1"/>
  <c r="BC797" i="15"/>
  <c r="BD797" i="15" s="1"/>
  <c r="BE791" i="15"/>
  <c r="BF791" i="15" s="1"/>
  <c r="BE784" i="15"/>
  <c r="BF784" i="15" s="1"/>
  <c r="BE776" i="15"/>
  <c r="BF776" i="15" s="1"/>
  <c r="BC766" i="15"/>
  <c r="BD766" i="15" s="1"/>
  <c r="BC519" i="15"/>
  <c r="BD519" i="15" s="1"/>
  <c r="BE118" i="15"/>
  <c r="BF118" i="15" s="1"/>
  <c r="BC110" i="15"/>
  <c r="BD110" i="15" s="1"/>
  <c r="BE126" i="15"/>
  <c r="BF126" i="15" s="1"/>
  <c r="BC106" i="15"/>
  <c r="BD106" i="15" s="1"/>
  <c r="BC815" i="15"/>
  <c r="BD815" i="15" s="1"/>
  <c r="BC122" i="15"/>
  <c r="BD122" i="15" s="1"/>
  <c r="BE114" i="15"/>
  <c r="BF114" i="15" s="1"/>
  <c r="BE661" i="15"/>
  <c r="BF661" i="15" s="1"/>
  <c r="BE632" i="15"/>
  <c r="BF632" i="15" s="1"/>
  <c r="BC628" i="15"/>
  <c r="BD628" i="15" s="1"/>
  <c r="BC624" i="15"/>
  <c r="BD624" i="15" s="1"/>
  <c r="BC620" i="15"/>
  <c r="BD620" i="15" s="1"/>
  <c r="BE614" i="15"/>
  <c r="BF614" i="15" s="1"/>
  <c r="BC610" i="15"/>
  <c r="BD610" i="15" s="1"/>
  <c r="BC606" i="15"/>
  <c r="BD606" i="15" s="1"/>
  <c r="BC658" i="15"/>
  <c r="BD658" i="15" s="1"/>
  <c r="BC421" i="15"/>
  <c r="BD421" i="15" s="1"/>
  <c r="BE815" i="15"/>
  <c r="BF815" i="15" s="1"/>
  <c r="BE122" i="15"/>
  <c r="BF122" i="15" s="1"/>
  <c r="BC114" i="15"/>
  <c r="BD114" i="15" s="1"/>
  <c r="BC661" i="15"/>
  <c r="BD661" i="15" s="1"/>
  <c r="BC632" i="15"/>
  <c r="BD632" i="15" s="1"/>
  <c r="BE628" i="15"/>
  <c r="BF628" i="15" s="1"/>
  <c r="BE624" i="15"/>
  <c r="BF624" i="15" s="1"/>
  <c r="BE620" i="15"/>
  <c r="BF620" i="15" s="1"/>
  <c r="BC614" i="15"/>
  <c r="BD614" i="15" s="1"/>
  <c r="BE610" i="15"/>
  <c r="BF610" i="15" s="1"/>
  <c r="BE606" i="15"/>
  <c r="BF606" i="15" s="1"/>
  <c r="BE896" i="15"/>
  <c r="BF896" i="15" s="1"/>
  <c r="BE884" i="15"/>
  <c r="BF884" i="15" s="1"/>
  <c r="BC872" i="15"/>
  <c r="BD872" i="15" s="1"/>
  <c r="BE346" i="15"/>
  <c r="BF346" i="15" s="1"/>
  <c r="BE735" i="15"/>
  <c r="BF735" i="15" s="1"/>
  <c r="BE723" i="15"/>
  <c r="BF723" i="15" s="1"/>
  <c r="BE370" i="15"/>
  <c r="BF370" i="15" s="1"/>
  <c r="BE364" i="15"/>
  <c r="BF364" i="15" s="1"/>
  <c r="BE360" i="15"/>
  <c r="BF360" i="15" s="1"/>
  <c r="BC356" i="15"/>
  <c r="BD356" i="15" s="1"/>
  <c r="BE352" i="15"/>
  <c r="BF352" i="15" s="1"/>
  <c r="BE297" i="15"/>
  <c r="BF297" i="15" s="1"/>
  <c r="BC289" i="15"/>
  <c r="BD289" i="15" s="1"/>
  <c r="BC307" i="15"/>
  <c r="BD307" i="15" s="1"/>
  <c r="BE892" i="15"/>
  <c r="BF892" i="15" s="1"/>
  <c r="BC878" i="15"/>
  <c r="BD878" i="15" s="1"/>
  <c r="BC868" i="15"/>
  <c r="BD868" i="15" s="1"/>
  <c r="BC739" i="15"/>
  <c r="BD739" i="15" s="1"/>
  <c r="BE729" i="15"/>
  <c r="BF729" i="15" s="1"/>
  <c r="BC384" i="15"/>
  <c r="BD384" i="15" s="1"/>
  <c r="BC378" i="15"/>
  <c r="BD378" i="15" s="1"/>
  <c r="BE374" i="15"/>
  <c r="BF374" i="15" s="1"/>
  <c r="BE342" i="15"/>
  <c r="BF342" i="15" s="1"/>
  <c r="BE311" i="15"/>
  <c r="BF311" i="15" s="1"/>
  <c r="BC293" i="15"/>
  <c r="BD293" i="15" s="1"/>
  <c r="BE481" i="15"/>
  <c r="BF481" i="15" s="1"/>
  <c r="BE307" i="15"/>
  <c r="BF307" i="15" s="1"/>
  <c r="BC892" i="15"/>
  <c r="BD892" i="15" s="1"/>
  <c r="BE878" i="15"/>
  <c r="BF878" i="15" s="1"/>
  <c r="BE868" i="15"/>
  <c r="BF868" i="15" s="1"/>
  <c r="BE739" i="15"/>
  <c r="BF739" i="15" s="1"/>
  <c r="BC729" i="15"/>
  <c r="BD729" i="15" s="1"/>
  <c r="BE384" i="15"/>
  <c r="BF384" i="15" s="1"/>
  <c r="BE378" i="15"/>
  <c r="BF378" i="15" s="1"/>
  <c r="BC374" i="15"/>
  <c r="BD374" i="15" s="1"/>
  <c r="BC342" i="15"/>
  <c r="BD342" i="15" s="1"/>
  <c r="BC311" i="15"/>
  <c r="BD311" i="15" s="1"/>
  <c r="BE293" i="15"/>
  <c r="BF293" i="15" s="1"/>
  <c r="BC481" i="15"/>
  <c r="BD481" i="15" s="1"/>
  <c r="BE303" i="15"/>
  <c r="BF303" i="15" s="1"/>
  <c r="BE876" i="15"/>
  <c r="BF876" i="15" s="1"/>
  <c r="BC870" i="15"/>
  <c r="BD870" i="15" s="1"/>
  <c r="BC737" i="15"/>
  <c r="BD737" i="15" s="1"/>
  <c r="BE731" i="15"/>
  <c r="BF731" i="15" s="1"/>
  <c r="BC727" i="15"/>
  <c r="BD727" i="15" s="1"/>
  <c r="BC721" i="15"/>
  <c r="BD721" i="15" s="1"/>
  <c r="BE305" i="15"/>
  <c r="BF305" i="15" s="1"/>
  <c r="BC299" i="15"/>
  <c r="BD299" i="15" s="1"/>
  <c r="BC291" i="15"/>
  <c r="BD291" i="15" s="1"/>
  <c r="BC876" i="15"/>
  <c r="BD876" i="15" s="1"/>
  <c r="BE870" i="15"/>
  <c r="BF870" i="15" s="1"/>
  <c r="BE737" i="15"/>
  <c r="BF737" i="15" s="1"/>
  <c r="BC731" i="15"/>
  <c r="BD731" i="15" s="1"/>
  <c r="BE727" i="15"/>
  <c r="BF727" i="15" s="1"/>
  <c r="BE721" i="15"/>
  <c r="BF721" i="15" s="1"/>
  <c r="BC305" i="15"/>
  <c r="BD305" i="15" s="1"/>
  <c r="BE299" i="15"/>
  <c r="BF299" i="15" s="1"/>
  <c r="BE291" i="15"/>
  <c r="BF291" i="15" s="1"/>
  <c r="BC309" i="15"/>
  <c r="BD309" i="15" s="1"/>
  <c r="BC295" i="15"/>
  <c r="BD295" i="15" s="1"/>
  <c r="BE287" i="15"/>
  <c r="BF287" i="15" s="1"/>
  <c r="BM59" i="15"/>
  <c r="BN59" i="15" s="1"/>
  <c r="BM51" i="15"/>
  <c r="BN51" i="15" s="1"/>
  <c r="AH831" i="15"/>
  <c r="AI831" i="15" s="1"/>
  <c r="AH745" i="15"/>
  <c r="AI745" i="15" s="1"/>
  <c r="AH492" i="15"/>
  <c r="AI492" i="15" s="1"/>
  <c r="AH669" i="15"/>
  <c r="AI669" i="15" s="1"/>
  <c r="AH474" i="15"/>
  <c r="AI474" i="15" s="1"/>
  <c r="AH718" i="15"/>
  <c r="AI718" i="15" s="1"/>
  <c r="AH284" i="15"/>
  <c r="AI284" i="15" s="1"/>
  <c r="BM766" i="15"/>
  <c r="BN766" i="15" s="1"/>
  <c r="AH764" i="15"/>
  <c r="AI764" i="15" s="1"/>
  <c r="BM538" i="15"/>
  <c r="BN538" i="15" s="1"/>
  <c r="AH536" i="15"/>
  <c r="AI536" i="15" s="1"/>
  <c r="AH314" i="15"/>
  <c r="AI314" i="15" s="1"/>
  <c r="BM316" i="15"/>
  <c r="BN316" i="15" s="1"/>
  <c r="BM231" i="15"/>
  <c r="BN231" i="15" s="1"/>
  <c r="AH229" i="15"/>
  <c r="AI229" i="15" s="1"/>
  <c r="BM699" i="15"/>
  <c r="BN699" i="15" s="1"/>
  <c r="AH697" i="15"/>
  <c r="AI697" i="15" s="1"/>
  <c r="BM342" i="15"/>
  <c r="BN342" i="15" s="1"/>
  <c r="AH340" i="15"/>
  <c r="AI340" i="15" s="1"/>
  <c r="BM65" i="15"/>
  <c r="BN65" i="15" s="1"/>
  <c r="BM57" i="15"/>
  <c r="BN57" i="15" s="1"/>
  <c r="BM49" i="15"/>
  <c r="BN49" i="15" s="1"/>
  <c r="BM63" i="15"/>
  <c r="BN63" i="15" s="1"/>
  <c r="BM55" i="15"/>
  <c r="BN55" i="15" s="1"/>
  <c r="AH864" i="15"/>
  <c r="AI864" i="15" s="1"/>
  <c r="AH810" i="15"/>
  <c r="AI810" i="15" s="1"/>
  <c r="AH572" i="15"/>
  <c r="AI572" i="15" s="1"/>
  <c r="AH603" i="15"/>
  <c r="AI603" i="15" s="1"/>
  <c r="AH648" i="15"/>
  <c r="AI648" i="15" s="1"/>
  <c r="AH448" i="15"/>
  <c r="AI448" i="15" s="1"/>
  <c r="BM789" i="15"/>
  <c r="BN789" i="15" s="1"/>
  <c r="AH787" i="15"/>
  <c r="AI787" i="15" s="1"/>
  <c r="BM426" i="15"/>
  <c r="BN426" i="15" s="1"/>
  <c r="AH424" i="15"/>
  <c r="AI424" i="15" s="1"/>
  <c r="AH152" i="15"/>
  <c r="AI152" i="15" s="1"/>
  <c r="BM154" i="15"/>
  <c r="BN154" i="15" s="1"/>
  <c r="BM514" i="15"/>
  <c r="BN514" i="15" s="1"/>
  <c r="AH512" i="15"/>
  <c r="AI512" i="15" s="1"/>
  <c r="BM389" i="15"/>
  <c r="BN389" i="15" s="1"/>
  <c r="AH387" i="15"/>
  <c r="AI387" i="15" s="1"/>
  <c r="BM61" i="15"/>
  <c r="BN61" i="15" s="1"/>
  <c r="BM53" i="15"/>
  <c r="BN53" i="15" s="1"/>
  <c r="BE894" i="15"/>
  <c r="BF894" i="15" s="1"/>
  <c r="BC888" i="15"/>
  <c r="BD888" i="15" s="1"/>
  <c r="BE880" i="15"/>
  <c r="BF880" i="15" s="1"/>
  <c r="BC894" i="15"/>
  <c r="BD894" i="15" s="1"/>
  <c r="BE888" i="15"/>
  <c r="BF888" i="15" s="1"/>
  <c r="BC880" i="15"/>
  <c r="BD880" i="15" s="1"/>
  <c r="BC71" i="15"/>
  <c r="BD71" i="15" s="1"/>
  <c r="BE40" i="15"/>
  <c r="BF40" i="15" s="1"/>
  <c r="AB8" i="15"/>
  <c r="F6" i="15"/>
  <c r="G6" i="15"/>
  <c r="N6" i="15"/>
  <c r="J6" i="15"/>
  <c r="S6" i="15"/>
  <c r="R6" i="15"/>
  <c r="C6" i="15"/>
  <c r="K6" i="15"/>
  <c r="O6" i="15"/>
  <c r="Q6" i="15"/>
  <c r="P6" i="15"/>
  <c r="T6" i="15"/>
  <c r="L6" i="15"/>
  <c r="I6" i="15"/>
  <c r="D6" i="15"/>
  <c r="H6" i="15"/>
  <c r="M6" i="15"/>
  <c r="BC38" i="15"/>
  <c r="E6" i="15"/>
  <c r="AH35" i="15"/>
  <c r="AI35" i="15" s="1"/>
  <c r="AH9" i="15"/>
  <c r="AI9" i="15" s="1"/>
  <c r="AH103" i="15"/>
  <c r="AI103" i="15" s="1"/>
  <c r="AE89" i="15"/>
  <c r="AD87" i="15"/>
  <c r="W6" i="15"/>
  <c r="AH131" i="15"/>
  <c r="AI131" i="15" s="1"/>
  <c r="AE105" i="15"/>
  <c r="AD103" i="15"/>
  <c r="AH87" i="15"/>
  <c r="AI87" i="15" s="1"/>
  <c r="AE71" i="15"/>
  <c r="AD68" i="15"/>
  <c r="AE47" i="15"/>
  <c r="AD44" i="15"/>
  <c r="AE133" i="15"/>
  <c r="AD131" i="15"/>
  <c r="AE38" i="15"/>
  <c r="AD35" i="15"/>
  <c r="AH68" i="15"/>
  <c r="AI68" i="15" s="1"/>
  <c r="AD9" i="15"/>
  <c r="AH44" i="15"/>
  <c r="AI44" i="15" s="1"/>
  <c r="AE11" i="15"/>
  <c r="BE508" i="15"/>
  <c r="BF508" i="15" s="1"/>
  <c r="BC508" i="15"/>
  <c r="BD508" i="15" s="1"/>
  <c r="BE478" i="15"/>
  <c r="BF478" i="15" s="1"/>
  <c r="BC478" i="15"/>
  <c r="BD478" i="15" s="1"/>
  <c r="BC437" i="15"/>
  <c r="BD437" i="15" s="1"/>
  <c r="BE437" i="15"/>
  <c r="BF437" i="15" s="1"/>
  <c r="BE394" i="15"/>
  <c r="BF394" i="15" s="1"/>
  <c r="BC394" i="15"/>
  <c r="BD394" i="15" s="1"/>
  <c r="BC337" i="15"/>
  <c r="BD337" i="15" s="1"/>
  <c r="BE337" i="15"/>
  <c r="BF337" i="15" s="1"/>
  <c r="BC381" i="15"/>
  <c r="BD381" i="15" s="1"/>
  <c r="BE381" i="15"/>
  <c r="BF381" i="15" s="1"/>
  <c r="BC365" i="15"/>
  <c r="BD365" i="15" s="1"/>
  <c r="BE365" i="15"/>
  <c r="BF365" i="15" s="1"/>
  <c r="BC349" i="15"/>
  <c r="BD349" i="15" s="1"/>
  <c r="BE349" i="15"/>
  <c r="BF349" i="15" s="1"/>
  <c r="BE312" i="15"/>
  <c r="BF312" i="15" s="1"/>
  <c r="BC312" i="15"/>
  <c r="BD312" i="15" s="1"/>
  <c r="BC296" i="15"/>
  <c r="BD296" i="15" s="1"/>
  <c r="BE296" i="15"/>
  <c r="BF296" i="15" s="1"/>
  <c r="BC207" i="15"/>
  <c r="BD207" i="15" s="1"/>
  <c r="BE207" i="15"/>
  <c r="BF207" i="15" s="1"/>
  <c r="BE197" i="15"/>
  <c r="BF197" i="15" s="1"/>
  <c r="BC197" i="15"/>
  <c r="BD197" i="15" s="1"/>
  <c r="BE189" i="15"/>
  <c r="BF189" i="15" s="1"/>
  <c r="BC189" i="15"/>
  <c r="BD189" i="15" s="1"/>
  <c r="BE181" i="15"/>
  <c r="BF181" i="15" s="1"/>
  <c r="BC181" i="15"/>
  <c r="BD181" i="15" s="1"/>
  <c r="BE148" i="15"/>
  <c r="BF148" i="15" s="1"/>
  <c r="BC148" i="15"/>
  <c r="BD148" i="15" s="1"/>
  <c r="BE142" i="15"/>
  <c r="BF142" i="15" s="1"/>
  <c r="BC142" i="15"/>
  <c r="BD142" i="15" s="1"/>
  <c r="BE134" i="15"/>
  <c r="BF134" i="15" s="1"/>
  <c r="BC134" i="15"/>
  <c r="BD134" i="15" s="1"/>
  <c r="BE98" i="15"/>
  <c r="BF98" i="15" s="1"/>
  <c r="BC98" i="15"/>
  <c r="BD98" i="15" s="1"/>
  <c r="BE66" i="15"/>
  <c r="BF66" i="15" s="1"/>
  <c r="BC66" i="15"/>
  <c r="BD66" i="15" s="1"/>
  <c r="BE58" i="15"/>
  <c r="BF58" i="15" s="1"/>
  <c r="BC58" i="15"/>
  <c r="BD58" i="15" s="1"/>
  <c r="BE50" i="15"/>
  <c r="BF50" i="15" s="1"/>
  <c r="BC50" i="15"/>
  <c r="BD50" i="15" s="1"/>
  <c r="BC22" i="15"/>
  <c r="BD22" i="15" s="1"/>
  <c r="BE22" i="15"/>
  <c r="BF22" i="15" s="1"/>
  <c r="BE99" i="15"/>
  <c r="BF99" i="15" s="1"/>
  <c r="BC99" i="15"/>
  <c r="BD99" i="15" s="1"/>
  <c r="BC91" i="15"/>
  <c r="BD91" i="15" s="1"/>
  <c r="BE91" i="15"/>
  <c r="BF91" i="15" s="1"/>
  <c r="BE19" i="15"/>
  <c r="BF19" i="15" s="1"/>
  <c r="BC19" i="15"/>
  <c r="BD19" i="15" s="1"/>
  <c r="BE11" i="15"/>
  <c r="BF11" i="15" s="1"/>
  <c r="BC11" i="15"/>
  <c r="BD11" i="15" s="1"/>
  <c r="BE190" i="15"/>
  <c r="BF190" i="15" s="1"/>
  <c r="BC190" i="15"/>
  <c r="BD190" i="15" s="1"/>
  <c r="BC144" i="15"/>
  <c r="BD144" i="15" s="1"/>
  <c r="BE144" i="15"/>
  <c r="BF144" i="15" s="1"/>
  <c r="BE92" i="15"/>
  <c r="BF92" i="15" s="1"/>
  <c r="BC92" i="15"/>
  <c r="BD92" i="15" s="1"/>
  <c r="BC60" i="15"/>
  <c r="BD60" i="15" s="1"/>
  <c r="BE60" i="15"/>
  <c r="BF60" i="15" s="1"/>
  <c r="BC52" i="15"/>
  <c r="BD52" i="15" s="1"/>
  <c r="BE52" i="15"/>
  <c r="BF52" i="15" s="1"/>
  <c r="BE369" i="15"/>
  <c r="BF369" i="15" s="1"/>
  <c r="BC369" i="15"/>
  <c r="BD369" i="15" s="1"/>
  <c r="BE353" i="15"/>
  <c r="BF353" i="15" s="1"/>
  <c r="BC353" i="15"/>
  <c r="BD353" i="15" s="1"/>
  <c r="BE300" i="15"/>
  <c r="BF300" i="15" s="1"/>
  <c r="BC300" i="15"/>
  <c r="BD300" i="15" s="1"/>
  <c r="BC240" i="15"/>
  <c r="BD240" i="15" s="1"/>
  <c r="BE240" i="15"/>
  <c r="BF240" i="15" s="1"/>
  <c r="BE227" i="15"/>
  <c r="BF227" i="15" s="1"/>
  <c r="BC227" i="15"/>
  <c r="BD227" i="15" s="1"/>
  <c r="BE209" i="15"/>
  <c r="BF209" i="15" s="1"/>
  <c r="BC209" i="15"/>
  <c r="BD209" i="15" s="1"/>
  <c r="BC191" i="15"/>
  <c r="BD191" i="15" s="1"/>
  <c r="BE191" i="15"/>
  <c r="BF191" i="15" s="1"/>
  <c r="BE129" i="15"/>
  <c r="BF129" i="15" s="1"/>
  <c r="BC129" i="15"/>
  <c r="BD129" i="15" s="1"/>
  <c r="BE121" i="15"/>
  <c r="BF121" i="15" s="1"/>
  <c r="BC121" i="15"/>
  <c r="BD121" i="15" s="1"/>
  <c r="BE29" i="15"/>
  <c r="BF29" i="15" s="1"/>
  <c r="BC29" i="15"/>
  <c r="BD29" i="15" s="1"/>
  <c r="BE377" i="15"/>
  <c r="BF377" i="15" s="1"/>
  <c r="BC377" i="15"/>
  <c r="BD377" i="15" s="1"/>
  <c r="BE361" i="15"/>
  <c r="BF361" i="15" s="1"/>
  <c r="BC361" i="15"/>
  <c r="BD361" i="15" s="1"/>
  <c r="BE345" i="15"/>
  <c r="BF345" i="15" s="1"/>
  <c r="BC345" i="15"/>
  <c r="BD345" i="15" s="1"/>
  <c r="BC308" i="15"/>
  <c r="BD308" i="15" s="1"/>
  <c r="BE308" i="15"/>
  <c r="BF308" i="15" s="1"/>
  <c r="BE292" i="15"/>
  <c r="BF292" i="15" s="1"/>
  <c r="BC292" i="15"/>
  <c r="BD292" i="15" s="1"/>
  <c r="BE281" i="15"/>
  <c r="BF281" i="15" s="1"/>
  <c r="BC281" i="15"/>
  <c r="BD281" i="15" s="1"/>
  <c r="BE277" i="15"/>
  <c r="BF277" i="15" s="1"/>
  <c r="BC277" i="15"/>
  <c r="BD277" i="15" s="1"/>
  <c r="BE273" i="15"/>
  <c r="BF273" i="15" s="1"/>
  <c r="BC273" i="15"/>
  <c r="BD273" i="15" s="1"/>
  <c r="BC269" i="15"/>
  <c r="BD269" i="15" s="1"/>
  <c r="BE269" i="15"/>
  <c r="BF269" i="15" s="1"/>
  <c r="BE265" i="15"/>
  <c r="BC265" i="15"/>
  <c r="BE258" i="15"/>
  <c r="BF258" i="15" s="1"/>
  <c r="BC258" i="15"/>
  <c r="BD258" i="15" s="1"/>
  <c r="BE254" i="15"/>
  <c r="BF254" i="15" s="1"/>
  <c r="BC254" i="15"/>
  <c r="BD254" i="15" s="1"/>
  <c r="BE250" i="15"/>
  <c r="BF250" i="15" s="1"/>
  <c r="BC250" i="15"/>
  <c r="BD250" i="15" s="1"/>
  <c r="BE246" i="15"/>
  <c r="BF246" i="15" s="1"/>
  <c r="BC246" i="15"/>
  <c r="BD246" i="15" s="1"/>
  <c r="BE195" i="15"/>
  <c r="BF195" i="15" s="1"/>
  <c r="BC195" i="15"/>
  <c r="BD195" i="15" s="1"/>
  <c r="BE187" i="15"/>
  <c r="BF187" i="15" s="1"/>
  <c r="BC187" i="15"/>
  <c r="BD187" i="15" s="1"/>
  <c r="BE179" i="15"/>
  <c r="BF179" i="15" s="1"/>
  <c r="BC179" i="15"/>
  <c r="BD179" i="15" s="1"/>
  <c r="BC146" i="15"/>
  <c r="BD146" i="15" s="1"/>
  <c r="BE146" i="15"/>
  <c r="BF146" i="15" s="1"/>
  <c r="BC135" i="15"/>
  <c r="BD135" i="15" s="1"/>
  <c r="BE135" i="15"/>
  <c r="BF135" i="15" s="1"/>
  <c r="BE63" i="15"/>
  <c r="BF63" i="15" s="1"/>
  <c r="BC63" i="15"/>
  <c r="BD63" i="15" s="1"/>
  <c r="BE27" i="15"/>
  <c r="BF27" i="15" s="1"/>
  <c r="BC27" i="15"/>
  <c r="BD27" i="15" s="1"/>
  <c r="BE385" i="15"/>
  <c r="BF385" i="15" s="1"/>
  <c r="BC385" i="15"/>
  <c r="BD385" i="15" s="1"/>
  <c r="BE371" i="15"/>
  <c r="BF371" i="15" s="1"/>
  <c r="BC371" i="15"/>
  <c r="BD371" i="15" s="1"/>
  <c r="BE355" i="15"/>
  <c r="BF355" i="15" s="1"/>
  <c r="BC355" i="15"/>
  <c r="BD355" i="15" s="1"/>
  <c r="BE302" i="15"/>
  <c r="BF302" i="15" s="1"/>
  <c r="BC302" i="15"/>
  <c r="BD302" i="15" s="1"/>
  <c r="BE286" i="15"/>
  <c r="BF286" i="15" s="1"/>
  <c r="BC286" i="15"/>
  <c r="BC182" i="15"/>
  <c r="BD182" i="15" s="1"/>
  <c r="BE182" i="15"/>
  <c r="BF182" i="15" s="1"/>
  <c r="BE140" i="15"/>
  <c r="BF140" i="15" s="1"/>
  <c r="BC140" i="15"/>
  <c r="BD140" i="15" s="1"/>
  <c r="BE32" i="15"/>
  <c r="BF32" i="15" s="1"/>
  <c r="BC32" i="15"/>
  <c r="BD32" i="15" s="1"/>
  <c r="BE266" i="15"/>
  <c r="BF266" i="15" s="1"/>
  <c r="BC266" i="15"/>
  <c r="BD266" i="15" s="1"/>
  <c r="BE247" i="15"/>
  <c r="BF247" i="15" s="1"/>
  <c r="BC247" i="15"/>
  <c r="BD247" i="15" s="1"/>
  <c r="BE211" i="15"/>
  <c r="BF211" i="15" s="1"/>
  <c r="BC211" i="15"/>
  <c r="BD211" i="15" s="1"/>
  <c r="BC167" i="15"/>
  <c r="BD167" i="15" s="1"/>
  <c r="BE167" i="15"/>
  <c r="BF167" i="15" s="1"/>
  <c r="BC41" i="15"/>
  <c r="BD41" i="15" s="1"/>
  <c r="BE41" i="15"/>
  <c r="BF41" i="15" s="1"/>
  <c r="BE72" i="15"/>
  <c r="BF72" i="15" s="1"/>
  <c r="BC72" i="15"/>
  <c r="BD72" i="15" s="1"/>
  <c r="BC123" i="15"/>
  <c r="BD123" i="15" s="1"/>
  <c r="BE123" i="15"/>
  <c r="BF123" i="15" s="1"/>
  <c r="BE854" i="15"/>
  <c r="BF854" i="15" s="1"/>
  <c r="BC854" i="15"/>
  <c r="BD854" i="15" s="1"/>
  <c r="BC819" i="15"/>
  <c r="BD819" i="15" s="1"/>
  <c r="BE819" i="15"/>
  <c r="BF819" i="15" s="1"/>
  <c r="BE754" i="15"/>
  <c r="BF754" i="15" s="1"/>
  <c r="BC754" i="15"/>
  <c r="BD754" i="15" s="1"/>
  <c r="BE767" i="15"/>
  <c r="BF767" i="15" s="1"/>
  <c r="BC767" i="15"/>
  <c r="BD767" i="15" s="1"/>
  <c r="BE725" i="15"/>
  <c r="BF725" i="15" s="1"/>
  <c r="BC725" i="15"/>
  <c r="BD725" i="15" s="1"/>
  <c r="BE544" i="15"/>
  <c r="BF544" i="15" s="1"/>
  <c r="BC544" i="15"/>
  <c r="BD544" i="15" s="1"/>
  <c r="BE749" i="15"/>
  <c r="BF749" i="15" s="1"/>
  <c r="BC749" i="15"/>
  <c r="BD749" i="15" s="1"/>
  <c r="BE592" i="15"/>
  <c r="BF592" i="15" s="1"/>
  <c r="BC592" i="15"/>
  <c r="BD592" i="15" s="1"/>
  <c r="BE584" i="15"/>
  <c r="BF584" i="15" s="1"/>
  <c r="BC584" i="15"/>
  <c r="BD584" i="15" s="1"/>
  <c r="BE576" i="15"/>
  <c r="BF576" i="15" s="1"/>
  <c r="BC576" i="15"/>
  <c r="BD576" i="15" s="1"/>
  <c r="BE477" i="15"/>
  <c r="BF477" i="15" s="1"/>
  <c r="BC477" i="15"/>
  <c r="BD477" i="15" s="1"/>
  <c r="BE366" i="15"/>
  <c r="BF366" i="15" s="1"/>
  <c r="BC366" i="15"/>
  <c r="BD366" i="15" s="1"/>
  <c r="BE803" i="15"/>
  <c r="BF803" i="15" s="1"/>
  <c r="BC803" i="15"/>
  <c r="BD803" i="15" s="1"/>
  <c r="BE137" i="15"/>
  <c r="BF137" i="15" s="1"/>
  <c r="BC137" i="15"/>
  <c r="BD137" i="15" s="1"/>
  <c r="BE487" i="15"/>
  <c r="BF487" i="15" s="1"/>
  <c r="BC487" i="15"/>
  <c r="BD487" i="15" s="1"/>
  <c r="BC49" i="15"/>
  <c r="BD49" i="15" s="1"/>
  <c r="BE49" i="15"/>
  <c r="BF49" i="15" s="1"/>
  <c r="BC844" i="15"/>
  <c r="BD844" i="15" s="1"/>
  <c r="BE844" i="15"/>
  <c r="BF844" i="15" s="1"/>
  <c r="BC897" i="15"/>
  <c r="BD897" i="15" s="1"/>
  <c r="BE897" i="15"/>
  <c r="BF897" i="15" s="1"/>
  <c r="BE851" i="15"/>
  <c r="BF851" i="15" s="1"/>
  <c r="BC851" i="15"/>
  <c r="BD851" i="15" s="1"/>
  <c r="BC883" i="15"/>
  <c r="BD883" i="15" s="1"/>
  <c r="BE883" i="15"/>
  <c r="BF883" i="15" s="1"/>
  <c r="BC837" i="15"/>
  <c r="BD837" i="15" s="1"/>
  <c r="BE837" i="15"/>
  <c r="BF837" i="15" s="1"/>
  <c r="BC874" i="15"/>
  <c r="BD874" i="15" s="1"/>
  <c r="BE874" i="15"/>
  <c r="BF874" i="15" s="1"/>
  <c r="BC833" i="15"/>
  <c r="BD833" i="15" s="1"/>
  <c r="BE833" i="15"/>
  <c r="BF833" i="15" s="1"/>
  <c r="BE882" i="15"/>
  <c r="BF882" i="15" s="1"/>
  <c r="BC882" i="15"/>
  <c r="BD882" i="15" s="1"/>
  <c r="BC755" i="15"/>
  <c r="BD755" i="15" s="1"/>
  <c r="BE755" i="15"/>
  <c r="BF755" i="15" s="1"/>
  <c r="BE707" i="15"/>
  <c r="BF707" i="15" s="1"/>
  <c r="BC707" i="15"/>
  <c r="BD707" i="15" s="1"/>
  <c r="BE699" i="15"/>
  <c r="BF699" i="15" s="1"/>
  <c r="BC699" i="15"/>
  <c r="BD699" i="15" s="1"/>
  <c r="BE778" i="15"/>
  <c r="BF778" i="15" s="1"/>
  <c r="BC778" i="15"/>
  <c r="BD778" i="15" s="1"/>
  <c r="BC687" i="15"/>
  <c r="BD687" i="15" s="1"/>
  <c r="BE687" i="15"/>
  <c r="BF687" i="15" s="1"/>
  <c r="BE599" i="15"/>
  <c r="BF599" i="15" s="1"/>
  <c r="BC599" i="15"/>
  <c r="BD599" i="15" s="1"/>
  <c r="BE740" i="15"/>
  <c r="BF740" i="15" s="1"/>
  <c r="BC740" i="15"/>
  <c r="BD740" i="15" s="1"/>
  <c r="BE689" i="15"/>
  <c r="BF689" i="15" s="1"/>
  <c r="BC689" i="15"/>
  <c r="BD689" i="15" s="1"/>
  <c r="BE600" i="15"/>
  <c r="BF600" i="15" s="1"/>
  <c r="BC600" i="15"/>
  <c r="BD600" i="15" s="1"/>
  <c r="BE465" i="15"/>
  <c r="BF465" i="15" s="1"/>
  <c r="BC465" i="15"/>
  <c r="BD465" i="15" s="1"/>
  <c r="BC674" i="15"/>
  <c r="BD674" i="15" s="1"/>
  <c r="BE674" i="15"/>
  <c r="BF674" i="15" s="1"/>
  <c r="BC650" i="15"/>
  <c r="BD650" i="15" s="1"/>
  <c r="BE650" i="15"/>
  <c r="BF650" i="15" s="1"/>
  <c r="BE542" i="15"/>
  <c r="BF542" i="15" s="1"/>
  <c r="BC542" i="15"/>
  <c r="BD542" i="15" s="1"/>
  <c r="BE507" i="15"/>
  <c r="BF507" i="15" s="1"/>
  <c r="BC507" i="15"/>
  <c r="BD507" i="15" s="1"/>
  <c r="BE463" i="15"/>
  <c r="BF463" i="15" s="1"/>
  <c r="BC463" i="15"/>
  <c r="BD463" i="15" s="1"/>
  <c r="BE426" i="15"/>
  <c r="BC426" i="15"/>
  <c r="BE676" i="15"/>
  <c r="BF676" i="15" s="1"/>
  <c r="BC676" i="15"/>
  <c r="BD676" i="15" s="1"/>
  <c r="BE660" i="15"/>
  <c r="BF660" i="15" s="1"/>
  <c r="BC660" i="15"/>
  <c r="BD660" i="15" s="1"/>
  <c r="BE506" i="15"/>
  <c r="BF506" i="15" s="1"/>
  <c r="BC506" i="15"/>
  <c r="BD506" i="15" s="1"/>
  <c r="BE435" i="15"/>
  <c r="BF435" i="15" s="1"/>
  <c r="BC435" i="15"/>
  <c r="BD435" i="15" s="1"/>
  <c r="BE414" i="15"/>
  <c r="BF414" i="15" s="1"/>
  <c r="BC414" i="15"/>
  <c r="BD414" i="15" s="1"/>
  <c r="BE800" i="15"/>
  <c r="BF800" i="15" s="1"/>
  <c r="BC800" i="15"/>
  <c r="BD800" i="15" s="1"/>
  <c r="BC682" i="15"/>
  <c r="BD682" i="15" s="1"/>
  <c r="BE682" i="15"/>
  <c r="BF682" i="15" s="1"/>
  <c r="BE520" i="15"/>
  <c r="BF520" i="15" s="1"/>
  <c r="BC520" i="15"/>
  <c r="BD520" i="15" s="1"/>
  <c r="BE664" i="15"/>
  <c r="BF664" i="15" s="1"/>
  <c r="BC664" i="15"/>
  <c r="BD664" i="15" s="1"/>
  <c r="BE692" i="15"/>
  <c r="BF692" i="15" s="1"/>
  <c r="BC692" i="15"/>
  <c r="BD692" i="15" s="1"/>
  <c r="BC565" i="15"/>
  <c r="BD565" i="15" s="1"/>
  <c r="BE565" i="15"/>
  <c r="BF565" i="15" s="1"/>
  <c r="BE558" i="15"/>
  <c r="BF558" i="15" s="1"/>
  <c r="BC558" i="15"/>
  <c r="BD558" i="15" s="1"/>
  <c r="BE476" i="15"/>
  <c r="BC476" i="15"/>
  <c r="BC461" i="15"/>
  <c r="BD461" i="15" s="1"/>
  <c r="BE461" i="15"/>
  <c r="BF461" i="15" s="1"/>
  <c r="BE396" i="15"/>
  <c r="BF396" i="15" s="1"/>
  <c r="BC396" i="15"/>
  <c r="BD396" i="15" s="1"/>
  <c r="BC316" i="15"/>
  <c r="BD316" i="15" s="1"/>
  <c r="BE316" i="15"/>
  <c r="BF316" i="15" s="1"/>
  <c r="BC748" i="15"/>
  <c r="BD748" i="15" s="1"/>
  <c r="BE748" i="15"/>
  <c r="BF748" i="15" s="1"/>
  <c r="BE887" i="15"/>
  <c r="BF887" i="15" s="1"/>
  <c r="BC887" i="15"/>
  <c r="BD887" i="15" s="1"/>
  <c r="BE857" i="15"/>
  <c r="BF857" i="15" s="1"/>
  <c r="BC857" i="15"/>
  <c r="BD857" i="15" s="1"/>
  <c r="BE773" i="15"/>
  <c r="BF773" i="15" s="1"/>
  <c r="BC773" i="15"/>
  <c r="BD773" i="15" s="1"/>
  <c r="BE861" i="15"/>
  <c r="BF861" i="15" s="1"/>
  <c r="BC861" i="15"/>
  <c r="BD861" i="15" s="1"/>
  <c r="BE879" i="15"/>
  <c r="BF879" i="15" s="1"/>
  <c r="BC879" i="15"/>
  <c r="BD879" i="15" s="1"/>
  <c r="BE841" i="15"/>
  <c r="BF841" i="15" s="1"/>
  <c r="BC841" i="15"/>
  <c r="BD841" i="15" s="1"/>
  <c r="BE706" i="15"/>
  <c r="BF706" i="15" s="1"/>
  <c r="BC706" i="15"/>
  <c r="BD706" i="15" s="1"/>
  <c r="BC804" i="15"/>
  <c r="BD804" i="15" s="1"/>
  <c r="BE804" i="15"/>
  <c r="BF804" i="15" s="1"/>
  <c r="BE757" i="15"/>
  <c r="BF757" i="15" s="1"/>
  <c r="BC757" i="15"/>
  <c r="BD757" i="15" s="1"/>
  <c r="BE672" i="15"/>
  <c r="BF672" i="15" s="1"/>
  <c r="BC672" i="15"/>
  <c r="BD672" i="15" s="1"/>
  <c r="BC598" i="15"/>
  <c r="BD598" i="15" s="1"/>
  <c r="BE598" i="15"/>
  <c r="BF598" i="15" s="1"/>
  <c r="BE635" i="15"/>
  <c r="BF635" i="15" s="1"/>
  <c r="BC635" i="15"/>
  <c r="BD635" i="15" s="1"/>
  <c r="BE619" i="15"/>
  <c r="BF619" i="15" s="1"/>
  <c r="BC619" i="15"/>
  <c r="BD619" i="15" s="1"/>
  <c r="BE611" i="15"/>
  <c r="BF611" i="15" s="1"/>
  <c r="BC611" i="15"/>
  <c r="BD611" i="15" s="1"/>
  <c r="BE532" i="15"/>
  <c r="BF532" i="15" s="1"/>
  <c r="BC532" i="15"/>
  <c r="BD532" i="15" s="1"/>
  <c r="BE457" i="15"/>
  <c r="BF457" i="15" s="1"/>
  <c r="BC457" i="15"/>
  <c r="BD457" i="15" s="1"/>
  <c r="BE663" i="15"/>
  <c r="BF663" i="15" s="1"/>
  <c r="BC663" i="15"/>
  <c r="BD663" i="15" s="1"/>
  <c r="BC540" i="15"/>
  <c r="BD540" i="15" s="1"/>
  <c r="BE540" i="15"/>
  <c r="BF540" i="15" s="1"/>
  <c r="BE514" i="15"/>
  <c r="BF514" i="15" s="1"/>
  <c r="BC514" i="15"/>
  <c r="BD514" i="15" s="1"/>
  <c r="BE505" i="15"/>
  <c r="BF505" i="15" s="1"/>
  <c r="BC505" i="15"/>
  <c r="BD505" i="15" s="1"/>
  <c r="BE497" i="15"/>
  <c r="BF497" i="15" s="1"/>
  <c r="BC497" i="15"/>
  <c r="BD497" i="15" s="1"/>
  <c r="BE455" i="15"/>
  <c r="BF455" i="15" s="1"/>
  <c r="BC455" i="15"/>
  <c r="BD455" i="15" s="1"/>
  <c r="BE440" i="15"/>
  <c r="BF440" i="15" s="1"/>
  <c r="BC440" i="15"/>
  <c r="BD440" i="15" s="1"/>
  <c r="BC432" i="15"/>
  <c r="BD432" i="15" s="1"/>
  <c r="BE432" i="15"/>
  <c r="BF432" i="15" s="1"/>
  <c r="BC416" i="15"/>
  <c r="BD416" i="15" s="1"/>
  <c r="BE416" i="15"/>
  <c r="BF416" i="15" s="1"/>
  <c r="BE738" i="15"/>
  <c r="BF738" i="15" s="1"/>
  <c r="BC738" i="15"/>
  <c r="BD738" i="15" s="1"/>
  <c r="BC722" i="15"/>
  <c r="BD722" i="15" s="1"/>
  <c r="BE722" i="15"/>
  <c r="BF722" i="15" s="1"/>
  <c r="BC642" i="15"/>
  <c r="BD642" i="15" s="1"/>
  <c r="BE642" i="15"/>
  <c r="BF642" i="15" s="1"/>
  <c r="BE629" i="15"/>
  <c r="BF629" i="15" s="1"/>
  <c r="BC629" i="15"/>
  <c r="BD629" i="15" s="1"/>
  <c r="BC621" i="15"/>
  <c r="BD621" i="15" s="1"/>
  <c r="BE621" i="15"/>
  <c r="BF621" i="15" s="1"/>
  <c r="BE613" i="15"/>
  <c r="BF613" i="15" s="1"/>
  <c r="BC613" i="15"/>
  <c r="BD613" i="15" s="1"/>
  <c r="BC605" i="15"/>
  <c r="BD605" i="15" s="1"/>
  <c r="BE605" i="15"/>
  <c r="BF605" i="15" s="1"/>
  <c r="BE568" i="15"/>
  <c r="BF568" i="15" s="1"/>
  <c r="BC568" i="15"/>
  <c r="BD568" i="15" s="1"/>
  <c r="BC559" i="15"/>
  <c r="BD559" i="15" s="1"/>
  <c r="BE559" i="15"/>
  <c r="BF559" i="15" s="1"/>
  <c r="BC456" i="15"/>
  <c r="BD456" i="15" s="1"/>
  <c r="BE456" i="15"/>
  <c r="BF456" i="15" s="1"/>
  <c r="BE338" i="15"/>
  <c r="BF338" i="15" s="1"/>
  <c r="BC338" i="15"/>
  <c r="BD338" i="15" s="1"/>
  <c r="BE322" i="15"/>
  <c r="BF322" i="15" s="1"/>
  <c r="BC322" i="15"/>
  <c r="BD322" i="15" s="1"/>
  <c r="BE561" i="15"/>
  <c r="BF561" i="15" s="1"/>
  <c r="BC561" i="15"/>
  <c r="BD561" i="15" s="1"/>
  <c r="BE470" i="15"/>
  <c r="BF470" i="15" s="1"/>
  <c r="BC470" i="15"/>
  <c r="BD470" i="15" s="1"/>
  <c r="BE569" i="15"/>
  <c r="BF569" i="15" s="1"/>
  <c r="BC569" i="15"/>
  <c r="BD569" i="15" s="1"/>
  <c r="BC562" i="15"/>
  <c r="BD562" i="15" s="1"/>
  <c r="BE562" i="15"/>
  <c r="BF562" i="15" s="1"/>
  <c r="BC504" i="15"/>
  <c r="BD504" i="15" s="1"/>
  <c r="BE504" i="15"/>
  <c r="BF504" i="15" s="1"/>
  <c r="BE482" i="15"/>
  <c r="BF482" i="15" s="1"/>
  <c r="BC482" i="15"/>
  <c r="BD482" i="15" s="1"/>
  <c r="BE469" i="15"/>
  <c r="BF469" i="15" s="1"/>
  <c r="BC469" i="15"/>
  <c r="BD469" i="15" s="1"/>
  <c r="BC404" i="15"/>
  <c r="BD404" i="15" s="1"/>
  <c r="BE404" i="15"/>
  <c r="BF404" i="15" s="1"/>
  <c r="BE395" i="15"/>
  <c r="BF395" i="15" s="1"/>
  <c r="BC395" i="15"/>
  <c r="BD395" i="15" s="1"/>
  <c r="BE331" i="15"/>
  <c r="BF331" i="15" s="1"/>
  <c r="BC331" i="15"/>
  <c r="BD331" i="15" s="1"/>
  <c r="BC323" i="15"/>
  <c r="BD323" i="15" s="1"/>
  <c r="BE323" i="15"/>
  <c r="BF323" i="15" s="1"/>
  <c r="BE154" i="15"/>
  <c r="BC154" i="15"/>
  <c r="BC554" i="15"/>
  <c r="BD554" i="15" s="1"/>
  <c r="BE554" i="15"/>
  <c r="BF554" i="15" s="1"/>
  <c r="BC533" i="15"/>
  <c r="BD533" i="15" s="1"/>
  <c r="BE533" i="15"/>
  <c r="BF533" i="15" s="1"/>
  <c r="BC466" i="15"/>
  <c r="BD466" i="15" s="1"/>
  <c r="BE466" i="15"/>
  <c r="BF466" i="15" s="1"/>
  <c r="BC736" i="15"/>
  <c r="BD736" i="15" s="1"/>
  <c r="BE736" i="15"/>
  <c r="BF736" i="15" s="1"/>
  <c r="BC720" i="15"/>
  <c r="BD720" i="15" s="1"/>
  <c r="BE720" i="15"/>
  <c r="BF720" i="15" s="1"/>
  <c r="BC543" i="15"/>
  <c r="BD543" i="15" s="1"/>
  <c r="BE543" i="15"/>
  <c r="BF543" i="15" s="1"/>
  <c r="BE521" i="15"/>
  <c r="BF521" i="15" s="1"/>
  <c r="BC521" i="15"/>
  <c r="BD521" i="15" s="1"/>
  <c r="BE431" i="15"/>
  <c r="BF431" i="15" s="1"/>
  <c r="BC431" i="15"/>
  <c r="BD431" i="15" s="1"/>
  <c r="BC409" i="15"/>
  <c r="BD409" i="15" s="1"/>
  <c r="BE409" i="15"/>
  <c r="BF409" i="15" s="1"/>
  <c r="BC393" i="15"/>
  <c r="BD393" i="15" s="1"/>
  <c r="BE393" i="15"/>
  <c r="BF393" i="15" s="1"/>
  <c r="BC328" i="15"/>
  <c r="BD328" i="15" s="1"/>
  <c r="BE328" i="15"/>
  <c r="BF328" i="15" s="1"/>
  <c r="BE239" i="15"/>
  <c r="BF239" i="15" s="1"/>
  <c r="BC239" i="15"/>
  <c r="BD239" i="15" s="1"/>
  <c r="BC231" i="15"/>
  <c r="BE231" i="15"/>
  <c r="BC166" i="15"/>
  <c r="BD166" i="15" s="1"/>
  <c r="BE166" i="15"/>
  <c r="BF166" i="15" s="1"/>
  <c r="BC570" i="15"/>
  <c r="BD570" i="15" s="1"/>
  <c r="BE570" i="15"/>
  <c r="BF570" i="15" s="1"/>
  <c r="BC223" i="15"/>
  <c r="BD223" i="15" s="1"/>
  <c r="BE223" i="15"/>
  <c r="BF223" i="15" s="1"/>
  <c r="BE214" i="15"/>
  <c r="BF214" i="15" s="1"/>
  <c r="BC214" i="15"/>
  <c r="BD214" i="15" s="1"/>
  <c r="BC172" i="15"/>
  <c r="BD172" i="15" s="1"/>
  <c r="BE172" i="15"/>
  <c r="BF172" i="15" s="1"/>
  <c r="BE163" i="15"/>
  <c r="BF163" i="15" s="1"/>
  <c r="BC163" i="15"/>
  <c r="BD163" i="15" s="1"/>
  <c r="BE94" i="15"/>
  <c r="BF94" i="15" s="1"/>
  <c r="BC94" i="15"/>
  <c r="BD94" i="15" s="1"/>
  <c r="BC18" i="15"/>
  <c r="BD18" i="15" s="1"/>
  <c r="BE18" i="15"/>
  <c r="BF18" i="15" s="1"/>
  <c r="BE55" i="15"/>
  <c r="BF55" i="15" s="1"/>
  <c r="BC55" i="15"/>
  <c r="BD55" i="15" s="1"/>
  <c r="BC204" i="15"/>
  <c r="BD204" i="15" s="1"/>
  <c r="BE204" i="15"/>
  <c r="BF204" i="15" s="1"/>
  <c r="BE164" i="15"/>
  <c r="BF164" i="15" s="1"/>
  <c r="BC164" i="15"/>
  <c r="BD164" i="15" s="1"/>
  <c r="BE24" i="15"/>
  <c r="BF24" i="15" s="1"/>
  <c r="BC24" i="15"/>
  <c r="BD24" i="15" s="1"/>
  <c r="BC280" i="15"/>
  <c r="BD280" i="15" s="1"/>
  <c r="BE280" i="15"/>
  <c r="BF280" i="15" s="1"/>
  <c r="BE276" i="15"/>
  <c r="BF276" i="15" s="1"/>
  <c r="BC276" i="15"/>
  <c r="BD276" i="15" s="1"/>
  <c r="BC272" i="15"/>
  <c r="BD272" i="15" s="1"/>
  <c r="BE272" i="15"/>
  <c r="BF272" i="15" s="1"/>
  <c r="BE268" i="15"/>
  <c r="BF268" i="15" s="1"/>
  <c r="BC268" i="15"/>
  <c r="BD268" i="15" s="1"/>
  <c r="BC259" i="15"/>
  <c r="BD259" i="15" s="1"/>
  <c r="BE259" i="15"/>
  <c r="BF259" i="15" s="1"/>
  <c r="BE255" i="15"/>
  <c r="BF255" i="15" s="1"/>
  <c r="BC255" i="15"/>
  <c r="BD255" i="15" s="1"/>
  <c r="BE249" i="15"/>
  <c r="BF249" i="15" s="1"/>
  <c r="BC249" i="15"/>
  <c r="BD249" i="15" s="1"/>
  <c r="BE169" i="15"/>
  <c r="BF169" i="15" s="1"/>
  <c r="BC169" i="15"/>
  <c r="BD169" i="15" s="1"/>
  <c r="BC113" i="15"/>
  <c r="BD113" i="15" s="1"/>
  <c r="BE113" i="15"/>
  <c r="BF113" i="15" s="1"/>
  <c r="BC105" i="15"/>
  <c r="BD105" i="15" s="1"/>
  <c r="BE105" i="15"/>
  <c r="BF105" i="15" s="1"/>
  <c r="BE237" i="15"/>
  <c r="BF237" i="15" s="1"/>
  <c r="BC237" i="15"/>
  <c r="BD237" i="15" s="1"/>
  <c r="BC226" i="15"/>
  <c r="BD226" i="15" s="1"/>
  <c r="BE226" i="15"/>
  <c r="BF226" i="15" s="1"/>
  <c r="BE219" i="15"/>
  <c r="BF219" i="15" s="1"/>
  <c r="BC219" i="15"/>
  <c r="BD219" i="15" s="1"/>
  <c r="BC210" i="15"/>
  <c r="BD210" i="15" s="1"/>
  <c r="BE210" i="15"/>
  <c r="BF210" i="15" s="1"/>
  <c r="BE203" i="15"/>
  <c r="BF203" i="15" s="1"/>
  <c r="BC203" i="15"/>
  <c r="BD203" i="15" s="1"/>
  <c r="BE161" i="15"/>
  <c r="BF161" i="15" s="1"/>
  <c r="BC161" i="15"/>
  <c r="BD161" i="15" s="1"/>
  <c r="BC59" i="15"/>
  <c r="BD59" i="15" s="1"/>
  <c r="BE59" i="15"/>
  <c r="BF59" i="15" s="1"/>
  <c r="BC220" i="15"/>
  <c r="BD220" i="15" s="1"/>
  <c r="BE220" i="15"/>
  <c r="BF220" i="15" s="1"/>
  <c r="BE206" i="15"/>
  <c r="BF206" i="15" s="1"/>
  <c r="BC206" i="15"/>
  <c r="BD206" i="15" s="1"/>
  <c r="BE155" i="15"/>
  <c r="BF155" i="15" s="1"/>
  <c r="BC155" i="15"/>
  <c r="BD155" i="15" s="1"/>
  <c r="BC28" i="15"/>
  <c r="BD28" i="15" s="1"/>
  <c r="BE28" i="15"/>
  <c r="BF28" i="15" s="1"/>
  <c r="BC236" i="15"/>
  <c r="BD236" i="15" s="1"/>
  <c r="BE236" i="15"/>
  <c r="BF236" i="15" s="1"/>
  <c r="BE97" i="15"/>
  <c r="BF97" i="15" s="1"/>
  <c r="BC97" i="15"/>
  <c r="BD97" i="15" s="1"/>
  <c r="BE89" i="15"/>
  <c r="BF89" i="15" s="1"/>
  <c r="BC89" i="15"/>
  <c r="BD89" i="15" s="1"/>
  <c r="BE17" i="15"/>
  <c r="BF17" i="15" s="1"/>
  <c r="BC17" i="15"/>
  <c r="BD17" i="15" s="1"/>
  <c r="BC115" i="15"/>
  <c r="BD115" i="15" s="1"/>
  <c r="BE115" i="15"/>
  <c r="BF115" i="15" s="1"/>
  <c r="BE84" i="15"/>
  <c r="BF84" i="15" s="1"/>
  <c r="BC84" i="15"/>
  <c r="BD84" i="15" s="1"/>
  <c r="BE74" i="15"/>
  <c r="BF74" i="15" s="1"/>
  <c r="BC74" i="15"/>
  <c r="BD74" i="15" s="1"/>
  <c r="BE78" i="15"/>
  <c r="BF78" i="15" s="1"/>
  <c r="BC78" i="15"/>
  <c r="BD78" i="15" s="1"/>
  <c r="BE850" i="15"/>
  <c r="BF850" i="15" s="1"/>
  <c r="BC850" i="15"/>
  <c r="BD850" i="15" s="1"/>
  <c r="BE814" i="15"/>
  <c r="BF814" i="15" s="1"/>
  <c r="BC814" i="15"/>
  <c r="BD814" i="15" s="1"/>
  <c r="BE836" i="15"/>
  <c r="BF836" i="15" s="1"/>
  <c r="BC836" i="15"/>
  <c r="BD836" i="15" s="1"/>
  <c r="BE858" i="15"/>
  <c r="BF858" i="15" s="1"/>
  <c r="BC858" i="15"/>
  <c r="BD858" i="15" s="1"/>
  <c r="BE783" i="15"/>
  <c r="BF783" i="15" s="1"/>
  <c r="BC783" i="15"/>
  <c r="BD783" i="15" s="1"/>
  <c r="BE686" i="15"/>
  <c r="BF686" i="15" s="1"/>
  <c r="BC686" i="15"/>
  <c r="BD686" i="15" s="1"/>
  <c r="BE591" i="15"/>
  <c r="BF591" i="15" s="1"/>
  <c r="BC591" i="15"/>
  <c r="BD591" i="15" s="1"/>
  <c r="BE583" i="15"/>
  <c r="BF583" i="15" s="1"/>
  <c r="BC583" i="15"/>
  <c r="BD583" i="15" s="1"/>
  <c r="BE575" i="15"/>
  <c r="BF575" i="15" s="1"/>
  <c r="BC575" i="15"/>
  <c r="BD575" i="15" s="1"/>
  <c r="BE534" i="15"/>
  <c r="BF534" i="15" s="1"/>
  <c r="BC534" i="15"/>
  <c r="BD534" i="15" s="1"/>
  <c r="BC420" i="15"/>
  <c r="BD420" i="15" s="1"/>
  <c r="BE420" i="15"/>
  <c r="BF420" i="15" s="1"/>
  <c r="BE301" i="15"/>
  <c r="BF301" i="15" s="1"/>
  <c r="BC301" i="15"/>
  <c r="BD301" i="15" s="1"/>
  <c r="BC616" i="15"/>
  <c r="BD616" i="15" s="1"/>
  <c r="BE616" i="15"/>
  <c r="BF616" i="15" s="1"/>
  <c r="BE590" i="15"/>
  <c r="BF590" i="15" s="1"/>
  <c r="BC590" i="15"/>
  <c r="BD590" i="15" s="1"/>
  <c r="BE574" i="15"/>
  <c r="BF574" i="15" s="1"/>
  <c r="BC574" i="15"/>
  <c r="BD574" i="15" s="1"/>
  <c r="BE485" i="15"/>
  <c r="BF485" i="15" s="1"/>
  <c r="BC485" i="15"/>
  <c r="BD485" i="15" s="1"/>
  <c r="BE412" i="15"/>
  <c r="BF412" i="15" s="1"/>
  <c r="BC412" i="15"/>
  <c r="BD412" i="15" s="1"/>
  <c r="BE597" i="15"/>
  <c r="BF597" i="15" s="1"/>
  <c r="BC597" i="15"/>
  <c r="BD597" i="15" s="1"/>
  <c r="BC589" i="15"/>
  <c r="BD589" i="15" s="1"/>
  <c r="BE589" i="15"/>
  <c r="BF589" i="15" s="1"/>
  <c r="BE581" i="15"/>
  <c r="BF581" i="15" s="1"/>
  <c r="BC581" i="15"/>
  <c r="BD581" i="15" s="1"/>
  <c r="BE550" i="15"/>
  <c r="BF550" i="15" s="1"/>
  <c r="BC550" i="15"/>
  <c r="BD550" i="15" s="1"/>
  <c r="BE812" i="15"/>
  <c r="BF812" i="15" s="1"/>
  <c r="BC812" i="15"/>
  <c r="BD812" i="15" s="1"/>
  <c r="BE715" i="15"/>
  <c r="BF715" i="15" s="1"/>
  <c r="BC715" i="15"/>
  <c r="BD715" i="15" s="1"/>
  <c r="BE586" i="15"/>
  <c r="BF586" i="15" s="1"/>
  <c r="BC586" i="15"/>
  <c r="BD586" i="15" s="1"/>
  <c r="BC141" i="15"/>
  <c r="BD141" i="15" s="1"/>
  <c r="BE141" i="15"/>
  <c r="BF141" i="15" s="1"/>
  <c r="BE547" i="15"/>
  <c r="BF547" i="15" s="1"/>
  <c r="BC547" i="15"/>
  <c r="BD547" i="15" s="1"/>
  <c r="BG630" i="15"/>
  <c r="BE442" i="15"/>
  <c r="BF442" i="15" s="1"/>
  <c r="BC442" i="15"/>
  <c r="BD442" i="15" s="1"/>
  <c r="BC695" i="15"/>
  <c r="BD695" i="15" s="1"/>
  <c r="BE695" i="15"/>
  <c r="BF695" i="15" s="1"/>
  <c r="BE399" i="15"/>
  <c r="BF399" i="15" s="1"/>
  <c r="BC399" i="15"/>
  <c r="BD399" i="15" s="1"/>
  <c r="BE326" i="15"/>
  <c r="BF326" i="15" s="1"/>
  <c r="BC326" i="15"/>
  <c r="BD326" i="15" s="1"/>
  <c r="BE398" i="15"/>
  <c r="BF398" i="15" s="1"/>
  <c r="BC398" i="15"/>
  <c r="BD398" i="15" s="1"/>
  <c r="BC170" i="15"/>
  <c r="BD170" i="15" s="1"/>
  <c r="BE170" i="15"/>
  <c r="BF170" i="15" s="1"/>
  <c r="BE794" i="15"/>
  <c r="BF794" i="15" s="1"/>
  <c r="BC794" i="15"/>
  <c r="BD794" i="15" s="1"/>
  <c r="BC790" i="15"/>
  <c r="BD790" i="15" s="1"/>
  <c r="BE790" i="15"/>
  <c r="BF790" i="15" s="1"/>
  <c r="BC881" i="15"/>
  <c r="BD881" i="15" s="1"/>
  <c r="BE881" i="15"/>
  <c r="BF881" i="15" s="1"/>
  <c r="BE891" i="15"/>
  <c r="BF891" i="15" s="1"/>
  <c r="BC891" i="15"/>
  <c r="BD891" i="15" s="1"/>
  <c r="BE823" i="15"/>
  <c r="BF823" i="15" s="1"/>
  <c r="BC823" i="15"/>
  <c r="BD823" i="15" s="1"/>
  <c r="BE818" i="15"/>
  <c r="BF818" i="15" s="1"/>
  <c r="BC818" i="15"/>
  <c r="BD818" i="15" s="1"/>
  <c r="BE751" i="15"/>
  <c r="BF751" i="15" s="1"/>
  <c r="BC751" i="15"/>
  <c r="BD751" i="15" s="1"/>
  <c r="BE713" i="15"/>
  <c r="BF713" i="15" s="1"/>
  <c r="BC713" i="15"/>
  <c r="BD713" i="15" s="1"/>
  <c r="BE709" i="15"/>
  <c r="BF709" i="15" s="1"/>
  <c r="BC709" i="15"/>
  <c r="BD709" i="15" s="1"/>
  <c r="BC705" i="15"/>
  <c r="BD705" i="15" s="1"/>
  <c r="BE705" i="15"/>
  <c r="BF705" i="15" s="1"/>
  <c r="BE701" i="15"/>
  <c r="BF701" i="15" s="1"/>
  <c r="BC701" i="15"/>
  <c r="BD701" i="15" s="1"/>
  <c r="BC816" i="15"/>
  <c r="BD816" i="15" s="1"/>
  <c r="BE816" i="15"/>
  <c r="BF816" i="15" s="1"/>
  <c r="BE716" i="15"/>
  <c r="BF716" i="15" s="1"/>
  <c r="BC716" i="15"/>
  <c r="BD716" i="15" s="1"/>
  <c r="BE768" i="15"/>
  <c r="BF768" i="15" s="1"/>
  <c r="BC768" i="15"/>
  <c r="BD768" i="15" s="1"/>
  <c r="BC753" i="15"/>
  <c r="BD753" i="15" s="1"/>
  <c r="BE753" i="15"/>
  <c r="BF753" i="15" s="1"/>
  <c r="BE693" i="15"/>
  <c r="BF693" i="15" s="1"/>
  <c r="BC693" i="15"/>
  <c r="BD693" i="15" s="1"/>
  <c r="BE680" i="15"/>
  <c r="BF680" i="15" s="1"/>
  <c r="BC680" i="15"/>
  <c r="BD680" i="15" s="1"/>
  <c r="BC671" i="15"/>
  <c r="BD671" i="15" s="1"/>
  <c r="BE671" i="15"/>
  <c r="BF671" i="15" s="1"/>
  <c r="BE732" i="15"/>
  <c r="BF732" i="15" s="1"/>
  <c r="BC732" i="15"/>
  <c r="BD732" i="15" s="1"/>
  <c r="BE681" i="15"/>
  <c r="BF681" i="15" s="1"/>
  <c r="BC681" i="15"/>
  <c r="BD681" i="15" s="1"/>
  <c r="BC640" i="15"/>
  <c r="BD640" i="15" s="1"/>
  <c r="BE640" i="15"/>
  <c r="BF640" i="15" s="1"/>
  <c r="BE684" i="15"/>
  <c r="BF684" i="15" s="1"/>
  <c r="BC684" i="15"/>
  <c r="BD684" i="15" s="1"/>
  <c r="BC524" i="15"/>
  <c r="BD524" i="15" s="1"/>
  <c r="BE524" i="15"/>
  <c r="BF524" i="15" s="1"/>
  <c r="BC418" i="15"/>
  <c r="BD418" i="15" s="1"/>
  <c r="BE418" i="15"/>
  <c r="BF418" i="15" s="1"/>
  <c r="BE685" i="15"/>
  <c r="BF685" i="15" s="1"/>
  <c r="BC685" i="15"/>
  <c r="BD685" i="15" s="1"/>
  <c r="BC666" i="15"/>
  <c r="BD666" i="15" s="1"/>
  <c r="BE666" i="15"/>
  <c r="BF666" i="15" s="1"/>
  <c r="BE641" i="15"/>
  <c r="BF641" i="15" s="1"/>
  <c r="BC641" i="15"/>
  <c r="BD641" i="15" s="1"/>
  <c r="BC538" i="15"/>
  <c r="BD538" i="15" s="1"/>
  <c r="BE538" i="15"/>
  <c r="BF538" i="15" s="1"/>
  <c r="BE503" i="15"/>
  <c r="BF503" i="15" s="1"/>
  <c r="BC503" i="15"/>
  <c r="BD503" i="15" s="1"/>
  <c r="BE495" i="15"/>
  <c r="BF495" i="15" s="1"/>
  <c r="BC495" i="15"/>
  <c r="BD495" i="15" s="1"/>
  <c r="BC446" i="15"/>
  <c r="BD446" i="15" s="1"/>
  <c r="BE446" i="15"/>
  <c r="BF446" i="15" s="1"/>
  <c r="BE438" i="15"/>
  <c r="BF438" i="15" s="1"/>
  <c r="BC438" i="15"/>
  <c r="BD438" i="15" s="1"/>
  <c r="BC430" i="15"/>
  <c r="BD430" i="15" s="1"/>
  <c r="BE430" i="15"/>
  <c r="BF430" i="15" s="1"/>
  <c r="BE408" i="15"/>
  <c r="BF408" i="15" s="1"/>
  <c r="BC408" i="15"/>
  <c r="BD408" i="15" s="1"/>
  <c r="BE691" i="15"/>
  <c r="BF691" i="15" s="1"/>
  <c r="BC691" i="15"/>
  <c r="BD691" i="15" s="1"/>
  <c r="BC644" i="15"/>
  <c r="BD644" i="15" s="1"/>
  <c r="BE644" i="15"/>
  <c r="BF644" i="15" s="1"/>
  <c r="BE498" i="15"/>
  <c r="BF498" i="15" s="1"/>
  <c r="BC498" i="15"/>
  <c r="BD498" i="15" s="1"/>
  <c r="BE480" i="15"/>
  <c r="BF480" i="15" s="1"/>
  <c r="BC480" i="15"/>
  <c r="BD480" i="15" s="1"/>
  <c r="BE443" i="15"/>
  <c r="BF443" i="15" s="1"/>
  <c r="BC443" i="15"/>
  <c r="BD443" i="15" s="1"/>
  <c r="BE427" i="15"/>
  <c r="BF427" i="15" s="1"/>
  <c r="BC427" i="15"/>
  <c r="BD427" i="15" s="1"/>
  <c r="BE407" i="15"/>
  <c r="BF407" i="15" s="1"/>
  <c r="BC407" i="15"/>
  <c r="BD407" i="15" s="1"/>
  <c r="BE391" i="15"/>
  <c r="BF391" i="15" s="1"/>
  <c r="BC391" i="15"/>
  <c r="BD391" i="15" s="1"/>
  <c r="BE334" i="15"/>
  <c r="BF334" i="15" s="1"/>
  <c r="BC334" i="15"/>
  <c r="BD334" i="15" s="1"/>
  <c r="BE318" i="15"/>
  <c r="BF318" i="15" s="1"/>
  <c r="BC318" i="15"/>
  <c r="BD318" i="15" s="1"/>
  <c r="BE817" i="15"/>
  <c r="BF817" i="15" s="1"/>
  <c r="BC817" i="15"/>
  <c r="BD817" i="15" s="1"/>
  <c r="BE643" i="15"/>
  <c r="BF643" i="15" s="1"/>
  <c r="BC643" i="15"/>
  <c r="BD643" i="15" s="1"/>
  <c r="BC402" i="15"/>
  <c r="BD402" i="15" s="1"/>
  <c r="BE402" i="15"/>
  <c r="BF402" i="15" s="1"/>
  <c r="BE333" i="15"/>
  <c r="BF333" i="15" s="1"/>
  <c r="BC333" i="15"/>
  <c r="BD333" i="15" s="1"/>
  <c r="BE677" i="15"/>
  <c r="BF677" i="15" s="1"/>
  <c r="BC677" i="15"/>
  <c r="BD677" i="15" s="1"/>
  <c r="BE654" i="15"/>
  <c r="BF654" i="15" s="1"/>
  <c r="BC654" i="15"/>
  <c r="BD654" i="15" s="1"/>
  <c r="BC464" i="15"/>
  <c r="BD464" i="15" s="1"/>
  <c r="BE464" i="15"/>
  <c r="BF464" i="15" s="1"/>
  <c r="BE433" i="15"/>
  <c r="BF433" i="15" s="1"/>
  <c r="BC433" i="15"/>
  <c r="BD433" i="15" s="1"/>
  <c r="BE419" i="15"/>
  <c r="BF419" i="15" s="1"/>
  <c r="BC419" i="15"/>
  <c r="BD419" i="15" s="1"/>
  <c r="BE869" i="15"/>
  <c r="BF869" i="15" s="1"/>
  <c r="BC869" i="15"/>
  <c r="BD869" i="15" s="1"/>
  <c r="BC541" i="15"/>
  <c r="BD541" i="15" s="1"/>
  <c r="BE541" i="15"/>
  <c r="BF541" i="15" s="1"/>
  <c r="BE445" i="15"/>
  <c r="BF445" i="15" s="1"/>
  <c r="BC445" i="15"/>
  <c r="BD445" i="15" s="1"/>
  <c r="BE329" i="15"/>
  <c r="BF329" i="15" s="1"/>
  <c r="BC329" i="15"/>
  <c r="BD329" i="15" s="1"/>
  <c r="BC321" i="15"/>
  <c r="BD321" i="15" s="1"/>
  <c r="BE321" i="15"/>
  <c r="BF321" i="15" s="1"/>
  <c r="BC659" i="15"/>
  <c r="BD659" i="15" s="1"/>
  <c r="BE659" i="15"/>
  <c r="BF659" i="15" s="1"/>
  <c r="BC567" i="15"/>
  <c r="BD567" i="15" s="1"/>
  <c r="BE567" i="15"/>
  <c r="BF567" i="15" s="1"/>
  <c r="BE560" i="15"/>
  <c r="BF560" i="15" s="1"/>
  <c r="BC560" i="15"/>
  <c r="BD560" i="15" s="1"/>
  <c r="BE510" i="15"/>
  <c r="BF510" i="15" s="1"/>
  <c r="BC510" i="15"/>
  <c r="BD510" i="15" s="1"/>
  <c r="BE494" i="15"/>
  <c r="BF494" i="15" s="1"/>
  <c r="BC494" i="15"/>
  <c r="BD494" i="15" s="1"/>
  <c r="BE484" i="15"/>
  <c r="BF484" i="15" s="1"/>
  <c r="BC484" i="15"/>
  <c r="BD484" i="15" s="1"/>
  <c r="BC454" i="15"/>
  <c r="BD454" i="15" s="1"/>
  <c r="BE454" i="15"/>
  <c r="BF454" i="15" s="1"/>
  <c r="BE405" i="15"/>
  <c r="BF405" i="15" s="1"/>
  <c r="BC405" i="15"/>
  <c r="BD405" i="15" s="1"/>
  <c r="BE389" i="15"/>
  <c r="BC389" i="15"/>
  <c r="BE324" i="15"/>
  <c r="BF324" i="15" s="1"/>
  <c r="BC324" i="15"/>
  <c r="BD324" i="15" s="1"/>
  <c r="BC238" i="15"/>
  <c r="BD238" i="15" s="1"/>
  <c r="BE238" i="15"/>
  <c r="BF238" i="15" s="1"/>
  <c r="BE162" i="15"/>
  <c r="BF162" i="15" s="1"/>
  <c r="BC162" i="15"/>
  <c r="BD162" i="15" s="1"/>
  <c r="BE792" i="15"/>
  <c r="BF792" i="15" s="1"/>
  <c r="BC792" i="15"/>
  <c r="BD792" i="15" s="1"/>
  <c r="BE662" i="15"/>
  <c r="BF662" i="15" s="1"/>
  <c r="BC662" i="15"/>
  <c r="BD662" i="15" s="1"/>
  <c r="BE486" i="15"/>
  <c r="BF486" i="15" s="1"/>
  <c r="BC486" i="15"/>
  <c r="BD486" i="15" s="1"/>
  <c r="BE390" i="15"/>
  <c r="BF390" i="15" s="1"/>
  <c r="BC390" i="15"/>
  <c r="BD390" i="15" s="1"/>
  <c r="BE317" i="15"/>
  <c r="BF317" i="15" s="1"/>
  <c r="BC317" i="15"/>
  <c r="BD317" i="15" s="1"/>
  <c r="BC379" i="15"/>
  <c r="BD379" i="15" s="1"/>
  <c r="BE379" i="15"/>
  <c r="BF379" i="15" s="1"/>
  <c r="BC363" i="15"/>
  <c r="BD363" i="15" s="1"/>
  <c r="BE363" i="15"/>
  <c r="BF363" i="15" s="1"/>
  <c r="BC347" i="15"/>
  <c r="BD347" i="15" s="1"/>
  <c r="BE347" i="15"/>
  <c r="BF347" i="15" s="1"/>
  <c r="BC310" i="15"/>
  <c r="BD310" i="15" s="1"/>
  <c r="BE310" i="15"/>
  <c r="BF310" i="15" s="1"/>
  <c r="BC294" i="15"/>
  <c r="BD294" i="15" s="1"/>
  <c r="BE294" i="15"/>
  <c r="BF294" i="15" s="1"/>
  <c r="BC221" i="15"/>
  <c r="BD221" i="15" s="1"/>
  <c r="BE221" i="15"/>
  <c r="BF221" i="15" s="1"/>
  <c r="BC205" i="15"/>
  <c r="BD205" i="15" s="1"/>
  <c r="BE205" i="15"/>
  <c r="BF205" i="15" s="1"/>
  <c r="BE194" i="15"/>
  <c r="BF194" i="15" s="1"/>
  <c r="BC194" i="15"/>
  <c r="BD194" i="15" s="1"/>
  <c r="BE186" i="15"/>
  <c r="BF186" i="15" s="1"/>
  <c r="BC186" i="15"/>
  <c r="BD186" i="15" s="1"/>
  <c r="BC178" i="15"/>
  <c r="BE178" i="15"/>
  <c r="BE145" i="15"/>
  <c r="BF145" i="15" s="1"/>
  <c r="BC145" i="15"/>
  <c r="BD145" i="15" s="1"/>
  <c r="BE138" i="15"/>
  <c r="BF138" i="15" s="1"/>
  <c r="BC138" i="15"/>
  <c r="BD138" i="15" s="1"/>
  <c r="BE90" i="15"/>
  <c r="BF90" i="15" s="1"/>
  <c r="BC90" i="15"/>
  <c r="BD90" i="15" s="1"/>
  <c r="BC62" i="15"/>
  <c r="BD62" i="15" s="1"/>
  <c r="BE62" i="15"/>
  <c r="BF62" i="15" s="1"/>
  <c r="BC54" i="15"/>
  <c r="BD54" i="15" s="1"/>
  <c r="BE54" i="15"/>
  <c r="BF54" i="15" s="1"/>
  <c r="BC30" i="15"/>
  <c r="BD30" i="15" s="1"/>
  <c r="BE30" i="15"/>
  <c r="BF30" i="15" s="1"/>
  <c r="BE14" i="15"/>
  <c r="BF14" i="15" s="1"/>
  <c r="BC14" i="15"/>
  <c r="BD14" i="15" s="1"/>
  <c r="BC95" i="15"/>
  <c r="BD95" i="15" s="1"/>
  <c r="BE95" i="15"/>
  <c r="BF95" i="15" s="1"/>
  <c r="BC31" i="15"/>
  <c r="BD31" i="15" s="1"/>
  <c r="BE31" i="15"/>
  <c r="BF31" i="15" s="1"/>
  <c r="BE15" i="15"/>
  <c r="BF15" i="15" s="1"/>
  <c r="BD15" i="15"/>
  <c r="BC213" i="15"/>
  <c r="BD213" i="15" s="1"/>
  <c r="BE213" i="15"/>
  <c r="BF213" i="15" s="1"/>
  <c r="BE193" i="15"/>
  <c r="BF193" i="15" s="1"/>
  <c r="BC193" i="15"/>
  <c r="BD193" i="15" s="1"/>
  <c r="BC100" i="15"/>
  <c r="BD100" i="15" s="1"/>
  <c r="BE100" i="15"/>
  <c r="BF100" i="15" s="1"/>
  <c r="BE64" i="15"/>
  <c r="BF64" i="15" s="1"/>
  <c r="BC64" i="15"/>
  <c r="BD64" i="15" s="1"/>
  <c r="BE56" i="15"/>
  <c r="BF56" i="15" s="1"/>
  <c r="BC56" i="15"/>
  <c r="BD56" i="15" s="1"/>
  <c r="BE48" i="15"/>
  <c r="BF48" i="15" s="1"/>
  <c r="BC48" i="15"/>
  <c r="BD48" i="15" s="1"/>
  <c r="BC16" i="15"/>
  <c r="BD16" i="15" s="1"/>
  <c r="BE16" i="15"/>
  <c r="BF16" i="15" s="1"/>
  <c r="BC383" i="15"/>
  <c r="BD383" i="15" s="1"/>
  <c r="BE383" i="15"/>
  <c r="BF383" i="15" s="1"/>
  <c r="BC367" i="15"/>
  <c r="BD367" i="15" s="1"/>
  <c r="BE367" i="15"/>
  <c r="BF367" i="15" s="1"/>
  <c r="BC351" i="15"/>
  <c r="BD351" i="15" s="1"/>
  <c r="BE351" i="15"/>
  <c r="BF351" i="15" s="1"/>
  <c r="BC298" i="15"/>
  <c r="BD298" i="15" s="1"/>
  <c r="BE298" i="15"/>
  <c r="BF298" i="15" s="1"/>
  <c r="BE232" i="15"/>
  <c r="BF232" i="15" s="1"/>
  <c r="BC232" i="15"/>
  <c r="BD232" i="15" s="1"/>
  <c r="BC117" i="15"/>
  <c r="BD117" i="15" s="1"/>
  <c r="BE117" i="15"/>
  <c r="BF117" i="15" s="1"/>
  <c r="BE109" i="15"/>
  <c r="BF109" i="15" s="1"/>
  <c r="BC109" i="15"/>
  <c r="BD109" i="15" s="1"/>
  <c r="BC33" i="15"/>
  <c r="BD33" i="15" s="1"/>
  <c r="BE33" i="15"/>
  <c r="BF33" i="15" s="1"/>
  <c r="BE25" i="15"/>
  <c r="BF25" i="15" s="1"/>
  <c r="BC25" i="15"/>
  <c r="BD25" i="15" s="1"/>
  <c r="BE375" i="15"/>
  <c r="BF375" i="15" s="1"/>
  <c r="BC375" i="15"/>
  <c r="BD375" i="15" s="1"/>
  <c r="BE359" i="15"/>
  <c r="BF359" i="15" s="1"/>
  <c r="BC359" i="15"/>
  <c r="BD359" i="15" s="1"/>
  <c r="BE343" i="15"/>
  <c r="BF343" i="15" s="1"/>
  <c r="BC343" i="15"/>
  <c r="BD343" i="15" s="1"/>
  <c r="BE306" i="15"/>
  <c r="BF306" i="15" s="1"/>
  <c r="BC306" i="15"/>
  <c r="BD306" i="15" s="1"/>
  <c r="BE290" i="15"/>
  <c r="BF290" i="15" s="1"/>
  <c r="BC290" i="15"/>
  <c r="BD290" i="15" s="1"/>
  <c r="BE279" i="15"/>
  <c r="BF279" i="15" s="1"/>
  <c r="BC279" i="15"/>
  <c r="BD279" i="15" s="1"/>
  <c r="BC275" i="15"/>
  <c r="BD275" i="15" s="1"/>
  <c r="BE275" i="15"/>
  <c r="BF275" i="15" s="1"/>
  <c r="BE271" i="15"/>
  <c r="BF271" i="15" s="1"/>
  <c r="BC271" i="15"/>
  <c r="BD271" i="15" s="1"/>
  <c r="BC267" i="15"/>
  <c r="BD267" i="15" s="1"/>
  <c r="BE267" i="15"/>
  <c r="BF267" i="15" s="1"/>
  <c r="BE260" i="15"/>
  <c r="BF260" i="15" s="1"/>
  <c r="BC260" i="15"/>
  <c r="BD260" i="15" s="1"/>
  <c r="BC256" i="15"/>
  <c r="BD256" i="15" s="1"/>
  <c r="BE256" i="15"/>
  <c r="BF256" i="15" s="1"/>
  <c r="BE252" i="15"/>
  <c r="BF252" i="15" s="1"/>
  <c r="BC252" i="15"/>
  <c r="BD252" i="15" s="1"/>
  <c r="BC248" i="15"/>
  <c r="BD248" i="15" s="1"/>
  <c r="BE248" i="15"/>
  <c r="BF248" i="15" s="1"/>
  <c r="BE217" i="15"/>
  <c r="BF217" i="15" s="1"/>
  <c r="BC217" i="15"/>
  <c r="BD217" i="15" s="1"/>
  <c r="BE201" i="15"/>
  <c r="BC201" i="15"/>
  <c r="BC143" i="15"/>
  <c r="BD143" i="15" s="1"/>
  <c r="BE143" i="15"/>
  <c r="BF143" i="15" s="1"/>
  <c r="BE51" i="15"/>
  <c r="BF51" i="15" s="1"/>
  <c r="BC51" i="15"/>
  <c r="BD51" i="15" s="1"/>
  <c r="BC23" i="15"/>
  <c r="BD23" i="15" s="1"/>
  <c r="BE23" i="15"/>
  <c r="BF23" i="15" s="1"/>
  <c r="BE373" i="15"/>
  <c r="BF373" i="15" s="1"/>
  <c r="BC373" i="15"/>
  <c r="BD373" i="15" s="1"/>
  <c r="BE357" i="15"/>
  <c r="BF357" i="15" s="1"/>
  <c r="BC357" i="15"/>
  <c r="BD357" i="15" s="1"/>
  <c r="BE304" i="15"/>
  <c r="BF304" i="15" s="1"/>
  <c r="BC304" i="15"/>
  <c r="BD304" i="15" s="1"/>
  <c r="BE288" i="15"/>
  <c r="BF288" i="15" s="1"/>
  <c r="BC288" i="15"/>
  <c r="BD288" i="15" s="1"/>
  <c r="BC215" i="15"/>
  <c r="BD215" i="15" s="1"/>
  <c r="BE215" i="15"/>
  <c r="BF215" i="15" s="1"/>
  <c r="BC185" i="15"/>
  <c r="BD185" i="15" s="1"/>
  <c r="BE185" i="15"/>
  <c r="BF185" i="15" s="1"/>
  <c r="BC136" i="15"/>
  <c r="BD136" i="15" s="1"/>
  <c r="BE136" i="15"/>
  <c r="BF136" i="15" s="1"/>
  <c r="BC20" i="15"/>
  <c r="BD20" i="15" s="1"/>
  <c r="BE20" i="15"/>
  <c r="BF20" i="15" s="1"/>
  <c r="BC253" i="15"/>
  <c r="BD253" i="15" s="1"/>
  <c r="BE253" i="15"/>
  <c r="BF253" i="15" s="1"/>
  <c r="BE216" i="15"/>
  <c r="BF216" i="15" s="1"/>
  <c r="BC216" i="15"/>
  <c r="BD216" i="15" s="1"/>
  <c r="BC196" i="15"/>
  <c r="BD196" i="15" s="1"/>
  <c r="BE196" i="15"/>
  <c r="BF196" i="15" s="1"/>
  <c r="BC180" i="15"/>
  <c r="BD180" i="15" s="1"/>
  <c r="BE180" i="15"/>
  <c r="BF180" i="15" s="1"/>
  <c r="BE147" i="15"/>
  <c r="BF147" i="15" s="1"/>
  <c r="BC147" i="15"/>
  <c r="BD147" i="15" s="1"/>
  <c r="BC127" i="15"/>
  <c r="BD127" i="15" s="1"/>
  <c r="BE127" i="15"/>
  <c r="BF127" i="15" s="1"/>
  <c r="BE39" i="15"/>
  <c r="BF39" i="15" s="1"/>
  <c r="BC39" i="15"/>
  <c r="BD39" i="15" s="1"/>
  <c r="BC107" i="15"/>
  <c r="BD107" i="15" s="1"/>
  <c r="BE107" i="15"/>
  <c r="BF107" i="15" s="1"/>
  <c r="BC771" i="15"/>
  <c r="BD771" i="15" s="1"/>
  <c r="BE771" i="15"/>
  <c r="BF771" i="15" s="1"/>
  <c r="BE820" i="15"/>
  <c r="BF820" i="15" s="1"/>
  <c r="BC820" i="15"/>
  <c r="BD820" i="15" s="1"/>
  <c r="BC741" i="15"/>
  <c r="BD741" i="15" s="1"/>
  <c r="BE741" i="15"/>
  <c r="BF741" i="15" s="1"/>
  <c r="BC483" i="15"/>
  <c r="BD483" i="15" s="1"/>
  <c r="BE483" i="15"/>
  <c r="BF483" i="15" s="1"/>
  <c r="BC795" i="15"/>
  <c r="BD795" i="15" s="1"/>
  <c r="BE795" i="15"/>
  <c r="BF795" i="15" s="1"/>
  <c r="BE733" i="15"/>
  <c r="BF733" i="15" s="1"/>
  <c r="BC733" i="15"/>
  <c r="BD733" i="15" s="1"/>
  <c r="BC459" i="15"/>
  <c r="BD459" i="15" s="1"/>
  <c r="BE459" i="15"/>
  <c r="BF459" i="15" s="1"/>
  <c r="BE762" i="15"/>
  <c r="BF762" i="15" s="1"/>
  <c r="BC762" i="15"/>
  <c r="BD762" i="15" s="1"/>
  <c r="BE639" i="15"/>
  <c r="BF639" i="15" s="1"/>
  <c r="BC639" i="15"/>
  <c r="BD639" i="15" s="1"/>
  <c r="BC596" i="15"/>
  <c r="BD596" i="15" s="1"/>
  <c r="BE596" i="15"/>
  <c r="BF596" i="15" s="1"/>
  <c r="BE588" i="15"/>
  <c r="BF588" i="15" s="1"/>
  <c r="BC588" i="15"/>
  <c r="BD588" i="15" s="1"/>
  <c r="BC580" i="15"/>
  <c r="BD580" i="15" s="1"/>
  <c r="BE580" i="15"/>
  <c r="BF580" i="15" s="1"/>
  <c r="BC549" i="15"/>
  <c r="BD549" i="15" s="1"/>
  <c r="BE549" i="15"/>
  <c r="BF549" i="15" s="1"/>
  <c r="BE886" i="15"/>
  <c r="BF886" i="15" s="1"/>
  <c r="BC886" i="15"/>
  <c r="BD886" i="15" s="1"/>
  <c r="BC546" i="15"/>
  <c r="BD546" i="15" s="1"/>
  <c r="BE546" i="15"/>
  <c r="BF546" i="15" s="1"/>
  <c r="BE756" i="15"/>
  <c r="BF756" i="15" s="1"/>
  <c r="BC756" i="15"/>
  <c r="BD756" i="15" s="1"/>
  <c r="BE518" i="15"/>
  <c r="BF518" i="15" s="1"/>
  <c r="BC518" i="15"/>
  <c r="BD518" i="15" s="1"/>
  <c r="BC862" i="15"/>
  <c r="BD862" i="15" s="1"/>
  <c r="BE862" i="15"/>
  <c r="BF862" i="15" s="1"/>
  <c r="BE678" i="15"/>
  <c r="BF678" i="15" s="1"/>
  <c r="BC678" i="15"/>
  <c r="BD678" i="15" s="1"/>
  <c r="BE53" i="15"/>
  <c r="BF53" i="15" s="1"/>
  <c r="BC53" i="15"/>
  <c r="BD53" i="15" s="1"/>
  <c r="BE489" i="15"/>
  <c r="BF489" i="15" s="1"/>
  <c r="BC489" i="15"/>
  <c r="BD489" i="15" s="1"/>
  <c r="BE859" i="15"/>
  <c r="BF859" i="15" s="1"/>
  <c r="BC859" i="15"/>
  <c r="BD859" i="15" s="1"/>
  <c r="BE835" i="15"/>
  <c r="BF835" i="15" s="1"/>
  <c r="BC835" i="15"/>
  <c r="BD835" i="15" s="1"/>
  <c r="BC867" i="15"/>
  <c r="BD867" i="15" s="1"/>
  <c r="BE867" i="15"/>
  <c r="BF867" i="15" s="1"/>
  <c r="BC890" i="15"/>
  <c r="BD890" i="15" s="1"/>
  <c r="BE890" i="15"/>
  <c r="BF890" i="15" s="1"/>
  <c r="BE826" i="15"/>
  <c r="BF826" i="15" s="1"/>
  <c r="BC826" i="15"/>
  <c r="BD826" i="15" s="1"/>
  <c r="BE822" i="15"/>
  <c r="BF822" i="15" s="1"/>
  <c r="BC822" i="15"/>
  <c r="BD822" i="15" s="1"/>
  <c r="BE898" i="15"/>
  <c r="BF898" i="15" s="1"/>
  <c r="BC898" i="15"/>
  <c r="BD898" i="15" s="1"/>
  <c r="BE866" i="15"/>
  <c r="BF866" i="15" s="1"/>
  <c r="BC866" i="15"/>
  <c r="BD866" i="15" s="1"/>
  <c r="BC829" i="15"/>
  <c r="BD829" i="15" s="1"/>
  <c r="BE829" i="15"/>
  <c r="BF829" i="15" s="1"/>
  <c r="BE825" i="15"/>
  <c r="BF825" i="15" s="1"/>
  <c r="BC825" i="15"/>
  <c r="BD825" i="15" s="1"/>
  <c r="BE711" i="15"/>
  <c r="BF711" i="15" s="1"/>
  <c r="BC711" i="15"/>
  <c r="BD711" i="15" s="1"/>
  <c r="BC703" i="15"/>
  <c r="BD703" i="15" s="1"/>
  <c r="BE703" i="15"/>
  <c r="BF703" i="15" s="1"/>
  <c r="BC724" i="15"/>
  <c r="BD724" i="15" s="1"/>
  <c r="BE724" i="15"/>
  <c r="BF724" i="15" s="1"/>
  <c r="BE673" i="15"/>
  <c r="BF673" i="15" s="1"/>
  <c r="BC673" i="15"/>
  <c r="BD673" i="15" s="1"/>
  <c r="BC690" i="15"/>
  <c r="BD690" i="15" s="1"/>
  <c r="BE690" i="15"/>
  <c r="BF690" i="15" s="1"/>
  <c r="BE522" i="15"/>
  <c r="BF522" i="15" s="1"/>
  <c r="BC522" i="15"/>
  <c r="BD522" i="15" s="1"/>
  <c r="BE499" i="15"/>
  <c r="BF499" i="15" s="1"/>
  <c r="BC499" i="15"/>
  <c r="BD499" i="15" s="1"/>
  <c r="BE434" i="15"/>
  <c r="BF434" i="15" s="1"/>
  <c r="BC434" i="15"/>
  <c r="BD434" i="15" s="1"/>
  <c r="BE539" i="15"/>
  <c r="BF539" i="15" s="1"/>
  <c r="BC539" i="15"/>
  <c r="BD539" i="15" s="1"/>
  <c r="BC488" i="15"/>
  <c r="BD488" i="15" s="1"/>
  <c r="BE488" i="15"/>
  <c r="BF488" i="15" s="1"/>
  <c r="BC411" i="15"/>
  <c r="BD411" i="15" s="1"/>
  <c r="BE411" i="15"/>
  <c r="BF411" i="15" s="1"/>
  <c r="BC853" i="15"/>
  <c r="BD853" i="15" s="1"/>
  <c r="BE853" i="15"/>
  <c r="BF853" i="15" s="1"/>
  <c r="BE406" i="15"/>
  <c r="BF406" i="15" s="1"/>
  <c r="BC406" i="15"/>
  <c r="BD406" i="15" s="1"/>
  <c r="BE656" i="15"/>
  <c r="BF656" i="15" s="1"/>
  <c r="BC656" i="15"/>
  <c r="BD656" i="15" s="1"/>
  <c r="BC517" i="15"/>
  <c r="BD517" i="15" s="1"/>
  <c r="BE517" i="15"/>
  <c r="BF517" i="15" s="1"/>
  <c r="BE441" i="15"/>
  <c r="BF441" i="15" s="1"/>
  <c r="BC441" i="15"/>
  <c r="BD441" i="15" s="1"/>
  <c r="BE415" i="15"/>
  <c r="BF415" i="15" s="1"/>
  <c r="BC415" i="15"/>
  <c r="BD415" i="15" s="1"/>
  <c r="BE856" i="15"/>
  <c r="BF856" i="15" s="1"/>
  <c r="BC856" i="15"/>
  <c r="BD856" i="15" s="1"/>
  <c r="BE500" i="15"/>
  <c r="BF500" i="15" s="1"/>
  <c r="BC500" i="15"/>
  <c r="BD500" i="15" s="1"/>
  <c r="BE429" i="15"/>
  <c r="BF429" i="15" s="1"/>
  <c r="BC429" i="15"/>
  <c r="BD429" i="15" s="1"/>
  <c r="BE325" i="15"/>
  <c r="BF325" i="15" s="1"/>
  <c r="BC325" i="15"/>
  <c r="BD325" i="15" s="1"/>
  <c r="BE502" i="15"/>
  <c r="BF502" i="15" s="1"/>
  <c r="BC502" i="15"/>
  <c r="BD502" i="15" s="1"/>
  <c r="BC458" i="15"/>
  <c r="BD458" i="15" s="1"/>
  <c r="BE458" i="15"/>
  <c r="BF458" i="15" s="1"/>
  <c r="BC332" i="15"/>
  <c r="BD332" i="15" s="1"/>
  <c r="BE332" i="15"/>
  <c r="BF332" i="15" s="1"/>
  <c r="BE234" i="15"/>
  <c r="BF234" i="15" s="1"/>
  <c r="BC234" i="15"/>
  <c r="BD234" i="15" s="1"/>
  <c r="BE849" i="15"/>
  <c r="BF849" i="15" s="1"/>
  <c r="BC849" i="15"/>
  <c r="BD849" i="15" s="1"/>
  <c r="BE873" i="15"/>
  <c r="BF873" i="15" s="1"/>
  <c r="BC873" i="15"/>
  <c r="BD873" i="15" s="1"/>
  <c r="BE871" i="15"/>
  <c r="BF871" i="15" s="1"/>
  <c r="BC871" i="15"/>
  <c r="BD871" i="15" s="1"/>
  <c r="BE840" i="15"/>
  <c r="BF840" i="15" s="1"/>
  <c r="BC840" i="15"/>
  <c r="BD840" i="15" s="1"/>
  <c r="BE895" i="15"/>
  <c r="BF895" i="15" s="1"/>
  <c r="BC895" i="15"/>
  <c r="BD895" i="15" s="1"/>
  <c r="BE852" i="15"/>
  <c r="BF852" i="15" s="1"/>
  <c r="BC852" i="15"/>
  <c r="BD852" i="15" s="1"/>
  <c r="BC710" i="15"/>
  <c r="BD710" i="15" s="1"/>
  <c r="BE710" i="15"/>
  <c r="BF710" i="15" s="1"/>
  <c r="BE702" i="15"/>
  <c r="BF702" i="15" s="1"/>
  <c r="BC702" i="15"/>
  <c r="BD702" i="15" s="1"/>
  <c r="BC714" i="15"/>
  <c r="BD714" i="15" s="1"/>
  <c r="BE714" i="15"/>
  <c r="BF714" i="15" s="1"/>
  <c r="BC806" i="15"/>
  <c r="BD806" i="15" s="1"/>
  <c r="BE806" i="15"/>
  <c r="BF806" i="15" s="1"/>
  <c r="BC769" i="15"/>
  <c r="BD769" i="15" s="1"/>
  <c r="BE769" i="15"/>
  <c r="BF769" i="15" s="1"/>
  <c r="BE734" i="15"/>
  <c r="BF734" i="15" s="1"/>
  <c r="BC734" i="15"/>
  <c r="BD734" i="15" s="1"/>
  <c r="BE646" i="15"/>
  <c r="BF646" i="15" s="1"/>
  <c r="BC646" i="15"/>
  <c r="BD646" i="15" s="1"/>
  <c r="BC780" i="15"/>
  <c r="BD780" i="15" s="1"/>
  <c r="BE780" i="15"/>
  <c r="BF780" i="15" s="1"/>
  <c r="BE627" i="15"/>
  <c r="BF627" i="15" s="1"/>
  <c r="BC627" i="15"/>
  <c r="BD627" i="15" s="1"/>
  <c r="BC855" i="15"/>
  <c r="BD855" i="15" s="1"/>
  <c r="BE855" i="15"/>
  <c r="BF855" i="15" s="1"/>
  <c r="BE843" i="15"/>
  <c r="BF843" i="15" s="1"/>
  <c r="BC843" i="15"/>
  <c r="BD843" i="15" s="1"/>
  <c r="BE875" i="15"/>
  <c r="BF875" i="15" s="1"/>
  <c r="BC875" i="15"/>
  <c r="BD875" i="15" s="1"/>
  <c r="BE845" i="15"/>
  <c r="BF845" i="15" s="1"/>
  <c r="BC845" i="15"/>
  <c r="BD845" i="15" s="1"/>
  <c r="BE828" i="15"/>
  <c r="BF828" i="15" s="1"/>
  <c r="BC828" i="15"/>
  <c r="BD828" i="15" s="1"/>
  <c r="BC824" i="15"/>
  <c r="BD824" i="15" s="1"/>
  <c r="BE824" i="15"/>
  <c r="BF824" i="15" s="1"/>
  <c r="BE877" i="15"/>
  <c r="BF877" i="15" s="1"/>
  <c r="BC877" i="15"/>
  <c r="BD877" i="15" s="1"/>
  <c r="BC839" i="15"/>
  <c r="BD839" i="15" s="1"/>
  <c r="BE839" i="15"/>
  <c r="BF839" i="15" s="1"/>
  <c r="BC827" i="15"/>
  <c r="BD827" i="15" s="1"/>
  <c r="BE827" i="15"/>
  <c r="BF827" i="15" s="1"/>
  <c r="BE889" i="15"/>
  <c r="BF889" i="15" s="1"/>
  <c r="BC889" i="15"/>
  <c r="BD889" i="15" s="1"/>
  <c r="BC860" i="15"/>
  <c r="BD860" i="15" s="1"/>
  <c r="BE860" i="15"/>
  <c r="BF860" i="15" s="1"/>
  <c r="BE838" i="15"/>
  <c r="BF838" i="15" s="1"/>
  <c r="BC838" i="15"/>
  <c r="BD838" i="15" s="1"/>
  <c r="BE781" i="15"/>
  <c r="BF781" i="15" s="1"/>
  <c r="BC781" i="15"/>
  <c r="BD781" i="15" s="1"/>
  <c r="BE893" i="15"/>
  <c r="BF893" i="15" s="1"/>
  <c r="BC893" i="15"/>
  <c r="BD893" i="15" s="1"/>
  <c r="BC846" i="15"/>
  <c r="BD846" i="15" s="1"/>
  <c r="BE846" i="15"/>
  <c r="BF846" i="15" s="1"/>
  <c r="BE847" i="15"/>
  <c r="BF847" i="15" s="1"/>
  <c r="BC847" i="15"/>
  <c r="BD847" i="15" s="1"/>
  <c r="BE885" i="15"/>
  <c r="BF885" i="15" s="1"/>
  <c r="BC885" i="15"/>
  <c r="BD885" i="15" s="1"/>
  <c r="BC802" i="15"/>
  <c r="BD802" i="15" s="1"/>
  <c r="BE802" i="15"/>
  <c r="BF802" i="15" s="1"/>
  <c r="BC785" i="15"/>
  <c r="BD785" i="15" s="1"/>
  <c r="BE785" i="15"/>
  <c r="BF785" i="15" s="1"/>
  <c r="BC772" i="15"/>
  <c r="BD772" i="15" s="1"/>
  <c r="BE772" i="15"/>
  <c r="BF772" i="15" s="1"/>
  <c r="BC750" i="15"/>
  <c r="BD750" i="15" s="1"/>
  <c r="BE750" i="15"/>
  <c r="BF750" i="15" s="1"/>
  <c r="BC712" i="15"/>
  <c r="BD712" i="15" s="1"/>
  <c r="BE712" i="15"/>
  <c r="BF712" i="15" s="1"/>
  <c r="BE708" i="15"/>
  <c r="BF708" i="15" s="1"/>
  <c r="BC708" i="15"/>
  <c r="BD708" i="15" s="1"/>
  <c r="BE704" i="15"/>
  <c r="BF704" i="15" s="1"/>
  <c r="BC704" i="15"/>
  <c r="BD704" i="15" s="1"/>
  <c r="BE700" i="15"/>
  <c r="BF700" i="15" s="1"/>
  <c r="BC700" i="15"/>
  <c r="BD700" i="15" s="1"/>
  <c r="BE796" i="15"/>
  <c r="BF796" i="15" s="1"/>
  <c r="BC796" i="15"/>
  <c r="BD796" i="15" s="1"/>
  <c r="BC777" i="15"/>
  <c r="BD777" i="15" s="1"/>
  <c r="BE777" i="15"/>
  <c r="BF777" i="15" s="1"/>
  <c r="BC752" i="15"/>
  <c r="BD752" i="15" s="1"/>
  <c r="BE752" i="15"/>
  <c r="BF752" i="15" s="1"/>
  <c r="BC848" i="15"/>
  <c r="BD848" i="15" s="1"/>
  <c r="BE848" i="15"/>
  <c r="BF848" i="15" s="1"/>
  <c r="BE808" i="15"/>
  <c r="BF808" i="15" s="1"/>
  <c r="BC808" i="15"/>
  <c r="BD808" i="15" s="1"/>
  <c r="BE798" i="15"/>
  <c r="BF798" i="15" s="1"/>
  <c r="BC798" i="15"/>
  <c r="BD798" i="15" s="1"/>
  <c r="BE759" i="15"/>
  <c r="BF759" i="15" s="1"/>
  <c r="BC759" i="15"/>
  <c r="BD759" i="15" s="1"/>
  <c r="BC761" i="15"/>
  <c r="BD761" i="15" s="1"/>
  <c r="BE761" i="15"/>
  <c r="BF761" i="15" s="1"/>
  <c r="BE742" i="15"/>
  <c r="BF742" i="15" s="1"/>
  <c r="BC742" i="15"/>
  <c r="BD742" i="15" s="1"/>
  <c r="BE726" i="15"/>
  <c r="BF726" i="15" s="1"/>
  <c r="BC726" i="15"/>
  <c r="BD726" i="15" s="1"/>
  <c r="BE688" i="15"/>
  <c r="BF688" i="15" s="1"/>
  <c r="BC688" i="15"/>
  <c r="BD688" i="15" s="1"/>
  <c r="BC679" i="15"/>
  <c r="BD679" i="15" s="1"/>
  <c r="BE679" i="15"/>
  <c r="BF679" i="15" s="1"/>
  <c r="BE770" i="15"/>
  <c r="BF770" i="15" s="1"/>
  <c r="BC770" i="15"/>
  <c r="BD770" i="15" s="1"/>
  <c r="BE694" i="15"/>
  <c r="BF694" i="15" s="1"/>
  <c r="BC694" i="15"/>
  <c r="BD694" i="15" s="1"/>
  <c r="BE683" i="15"/>
  <c r="BF683" i="15" s="1"/>
  <c r="BC683" i="15"/>
  <c r="BD683" i="15" s="1"/>
  <c r="BE633" i="15"/>
  <c r="BF633" i="15" s="1"/>
  <c r="BC633" i="15"/>
  <c r="BD633" i="15" s="1"/>
  <c r="BC625" i="15"/>
  <c r="BD625" i="15" s="1"/>
  <c r="BE625" i="15"/>
  <c r="BF625" i="15" s="1"/>
  <c r="BE617" i="15"/>
  <c r="BF617" i="15" s="1"/>
  <c r="BC617" i="15"/>
  <c r="BD617" i="15" s="1"/>
  <c r="BC609" i="15"/>
  <c r="BD609" i="15" s="1"/>
  <c r="BE609" i="15"/>
  <c r="BF609" i="15" s="1"/>
  <c r="BE516" i="15"/>
  <c r="BF516" i="15" s="1"/>
  <c r="BC516" i="15"/>
  <c r="BD516" i="15" s="1"/>
  <c r="BE410" i="15"/>
  <c r="BF410" i="15" s="1"/>
  <c r="BC410" i="15"/>
  <c r="BD410" i="15" s="1"/>
  <c r="BE655" i="15"/>
  <c r="BF655" i="15" s="1"/>
  <c r="BC655" i="15"/>
  <c r="BD655" i="15" s="1"/>
  <c r="BE530" i="15"/>
  <c r="BF530" i="15" s="1"/>
  <c r="BC530" i="15"/>
  <c r="BD530" i="15" s="1"/>
  <c r="BC509" i="15"/>
  <c r="BD509" i="15" s="1"/>
  <c r="BE509" i="15"/>
  <c r="BF509" i="15" s="1"/>
  <c r="BC501" i="15"/>
  <c r="BD501" i="15" s="1"/>
  <c r="BE501" i="15"/>
  <c r="BF501" i="15" s="1"/>
  <c r="BC444" i="15"/>
  <c r="BD444" i="15" s="1"/>
  <c r="BE444" i="15"/>
  <c r="BF444" i="15" s="1"/>
  <c r="BE436" i="15"/>
  <c r="BF436" i="15" s="1"/>
  <c r="BC436" i="15"/>
  <c r="BD436" i="15" s="1"/>
  <c r="BC428" i="15"/>
  <c r="BD428" i="15" s="1"/>
  <c r="BE428" i="15"/>
  <c r="BF428" i="15" s="1"/>
  <c r="BE747" i="15"/>
  <c r="BF747" i="15" s="1"/>
  <c r="BC747" i="15"/>
  <c r="BD747" i="15" s="1"/>
  <c r="BE730" i="15"/>
  <c r="BF730" i="15" s="1"/>
  <c r="BC730" i="15"/>
  <c r="BD730" i="15" s="1"/>
  <c r="BE675" i="15"/>
  <c r="BF675" i="15" s="1"/>
  <c r="BC675" i="15"/>
  <c r="BD675" i="15" s="1"/>
  <c r="BE631" i="15"/>
  <c r="BF631" i="15" s="1"/>
  <c r="BC631" i="15"/>
  <c r="BD631" i="15" s="1"/>
  <c r="BC623" i="15"/>
  <c r="BD623" i="15" s="1"/>
  <c r="BE623" i="15"/>
  <c r="BF623" i="15" s="1"/>
  <c r="BE615" i="15"/>
  <c r="BF615" i="15" s="1"/>
  <c r="BC615" i="15"/>
  <c r="BD615" i="15" s="1"/>
  <c r="BC607" i="15"/>
  <c r="BD607" i="15" s="1"/>
  <c r="BE607" i="15"/>
  <c r="BF607" i="15" s="1"/>
  <c r="BE667" i="15"/>
  <c r="BF667" i="15" s="1"/>
  <c r="BC667" i="15"/>
  <c r="BD667" i="15" s="1"/>
  <c r="BE651" i="15"/>
  <c r="BF651" i="15" s="1"/>
  <c r="BC651" i="15"/>
  <c r="BD651" i="15" s="1"/>
  <c r="BE566" i="15"/>
  <c r="BF566" i="15" s="1"/>
  <c r="BC566" i="15"/>
  <c r="BD566" i="15" s="1"/>
  <c r="BC557" i="15"/>
  <c r="BD557" i="15" s="1"/>
  <c r="BE557" i="15"/>
  <c r="BF557" i="15" s="1"/>
  <c r="BE523" i="15"/>
  <c r="BF523" i="15" s="1"/>
  <c r="BC523" i="15"/>
  <c r="BD523" i="15" s="1"/>
  <c r="BE403" i="15"/>
  <c r="BF403" i="15" s="1"/>
  <c r="BC403" i="15"/>
  <c r="BD403" i="15" s="1"/>
  <c r="BC330" i="15"/>
  <c r="BD330" i="15" s="1"/>
  <c r="BE330" i="15"/>
  <c r="BF330" i="15" s="1"/>
  <c r="BE529" i="15"/>
  <c r="BF529" i="15" s="1"/>
  <c r="BC529" i="15"/>
  <c r="BD529" i="15" s="1"/>
  <c r="BE462" i="15"/>
  <c r="BF462" i="15" s="1"/>
  <c r="BC462" i="15"/>
  <c r="BD462" i="15" s="1"/>
  <c r="BC564" i="15"/>
  <c r="BD564" i="15" s="1"/>
  <c r="BE564" i="15"/>
  <c r="BF564" i="15" s="1"/>
  <c r="BE555" i="15"/>
  <c r="BF555" i="15" s="1"/>
  <c r="BC555" i="15"/>
  <c r="BD555" i="15" s="1"/>
  <c r="BE531" i="15"/>
  <c r="BF531" i="15" s="1"/>
  <c r="BC531" i="15"/>
  <c r="BD531" i="15" s="1"/>
  <c r="BC496" i="15"/>
  <c r="BD496" i="15" s="1"/>
  <c r="BE496" i="15"/>
  <c r="BF496" i="15" s="1"/>
  <c r="BC471" i="15"/>
  <c r="BD471" i="15" s="1"/>
  <c r="BE471" i="15"/>
  <c r="BF471" i="15" s="1"/>
  <c r="BE467" i="15"/>
  <c r="BF467" i="15" s="1"/>
  <c r="BC467" i="15"/>
  <c r="BD467" i="15" s="1"/>
  <c r="BE453" i="15"/>
  <c r="BF453" i="15" s="1"/>
  <c r="BC453" i="15"/>
  <c r="BD453" i="15" s="1"/>
  <c r="BE450" i="15"/>
  <c r="BC450" i="15"/>
  <c r="BC400" i="15"/>
  <c r="BD400" i="15" s="1"/>
  <c r="BE400" i="15"/>
  <c r="BF400" i="15" s="1"/>
  <c r="BE392" i="15"/>
  <c r="BF392" i="15" s="1"/>
  <c r="BC392" i="15"/>
  <c r="BD392" i="15" s="1"/>
  <c r="BE335" i="15"/>
  <c r="BF335" i="15" s="1"/>
  <c r="BC335" i="15"/>
  <c r="BD335" i="15" s="1"/>
  <c r="BE327" i="15"/>
  <c r="BF327" i="15" s="1"/>
  <c r="BC327" i="15"/>
  <c r="BD327" i="15" s="1"/>
  <c r="BE319" i="15"/>
  <c r="BF319" i="15" s="1"/>
  <c r="BC319" i="15"/>
  <c r="BD319" i="15" s="1"/>
  <c r="BE813" i="15"/>
  <c r="BF813" i="15" s="1"/>
  <c r="BC813" i="15"/>
  <c r="BD813" i="15" s="1"/>
  <c r="BE563" i="15"/>
  <c r="BF563" i="15" s="1"/>
  <c r="BC563" i="15"/>
  <c r="BD563" i="15" s="1"/>
  <c r="BE515" i="15"/>
  <c r="BF515" i="15" s="1"/>
  <c r="BC515" i="15"/>
  <c r="BD515" i="15" s="1"/>
  <c r="BE472" i="15"/>
  <c r="BF472" i="15" s="1"/>
  <c r="BC472" i="15"/>
  <c r="BD472" i="15" s="1"/>
  <c r="BE728" i="15"/>
  <c r="BF728" i="15" s="1"/>
  <c r="BC728" i="15"/>
  <c r="BD728" i="15" s="1"/>
  <c r="BC652" i="15"/>
  <c r="BD652" i="15" s="1"/>
  <c r="BE652" i="15"/>
  <c r="BF652" i="15" s="1"/>
  <c r="BC528" i="15"/>
  <c r="BD528" i="15" s="1"/>
  <c r="BE528" i="15"/>
  <c r="BF528" i="15" s="1"/>
  <c r="BE525" i="15"/>
  <c r="BF525" i="15" s="1"/>
  <c r="BC525" i="15"/>
  <c r="BD525" i="15" s="1"/>
  <c r="BC439" i="15"/>
  <c r="BD439" i="15" s="1"/>
  <c r="BE439" i="15"/>
  <c r="BF439" i="15" s="1"/>
  <c r="BE422" i="15"/>
  <c r="BF422" i="15" s="1"/>
  <c r="BC422" i="15"/>
  <c r="BD422" i="15" s="1"/>
  <c r="BE401" i="15"/>
  <c r="BF401" i="15" s="1"/>
  <c r="BC401" i="15"/>
  <c r="BD401" i="15" s="1"/>
  <c r="BE336" i="15"/>
  <c r="BF336" i="15" s="1"/>
  <c r="BC336" i="15"/>
  <c r="BD336" i="15" s="1"/>
  <c r="BE320" i="15"/>
  <c r="BF320" i="15" s="1"/>
  <c r="BC320" i="15"/>
  <c r="BD320" i="15" s="1"/>
  <c r="BE235" i="15"/>
  <c r="BF235" i="15" s="1"/>
  <c r="BC235" i="15"/>
  <c r="BD235" i="15" s="1"/>
  <c r="BC174" i="15"/>
  <c r="BD174" i="15" s="1"/>
  <c r="BE174" i="15"/>
  <c r="BF174" i="15" s="1"/>
  <c r="BC158" i="15"/>
  <c r="BD158" i="15" s="1"/>
  <c r="BE158" i="15"/>
  <c r="BF158" i="15" s="1"/>
  <c r="BC556" i="15"/>
  <c r="BD556" i="15" s="1"/>
  <c r="BE556" i="15"/>
  <c r="BF556" i="15" s="1"/>
  <c r="BE468" i="15"/>
  <c r="BF468" i="15" s="1"/>
  <c r="BC468" i="15"/>
  <c r="BD468" i="15" s="1"/>
  <c r="BE417" i="15"/>
  <c r="BF417" i="15" s="1"/>
  <c r="BC417" i="15"/>
  <c r="BD417" i="15" s="1"/>
  <c r="BE212" i="15"/>
  <c r="BF212" i="15" s="1"/>
  <c r="BC212" i="15"/>
  <c r="BD212" i="15" s="1"/>
  <c r="BC165" i="15"/>
  <c r="BD165" i="15" s="1"/>
  <c r="BE165" i="15"/>
  <c r="BF165" i="15" s="1"/>
  <c r="BC156" i="15"/>
  <c r="BD156" i="15" s="1"/>
  <c r="BE156" i="15"/>
  <c r="BF156" i="15" s="1"/>
  <c r="BE26" i="15"/>
  <c r="BF26" i="15" s="1"/>
  <c r="BC26" i="15"/>
  <c r="BD26" i="15" s="1"/>
  <c r="BE173" i="15"/>
  <c r="BF173" i="15" s="1"/>
  <c r="BC173" i="15"/>
  <c r="BD173" i="15" s="1"/>
  <c r="BE157" i="15"/>
  <c r="BF157" i="15" s="1"/>
  <c r="BC157" i="15"/>
  <c r="BD157" i="15" s="1"/>
  <c r="BE96" i="15"/>
  <c r="BF96" i="15" s="1"/>
  <c r="BC96" i="15"/>
  <c r="BD96" i="15" s="1"/>
  <c r="BE12" i="15"/>
  <c r="BF12" i="15" s="1"/>
  <c r="BC12" i="15"/>
  <c r="BE278" i="15"/>
  <c r="BF278" i="15" s="1"/>
  <c r="BC278" i="15"/>
  <c r="BD278" i="15" s="1"/>
  <c r="BE274" i="15"/>
  <c r="BF274" i="15" s="1"/>
  <c r="BC274" i="15"/>
  <c r="BD274" i="15" s="1"/>
  <c r="BE270" i="15"/>
  <c r="BF270" i="15" s="1"/>
  <c r="BC270" i="15"/>
  <c r="BD270" i="15" s="1"/>
  <c r="BE257" i="15"/>
  <c r="BF257" i="15" s="1"/>
  <c r="BC257" i="15"/>
  <c r="BD257" i="15" s="1"/>
  <c r="BC251" i="15"/>
  <c r="BD251" i="15" s="1"/>
  <c r="BE251" i="15"/>
  <c r="BF251" i="15" s="1"/>
  <c r="BE245" i="15"/>
  <c r="BC245" i="15"/>
  <c r="BC218" i="15"/>
  <c r="BD218" i="15" s="1"/>
  <c r="BE218" i="15"/>
  <c r="BF218" i="15" s="1"/>
  <c r="BC202" i="15"/>
  <c r="BD202" i="15" s="1"/>
  <c r="BE202" i="15"/>
  <c r="BF202" i="15" s="1"/>
  <c r="BC188" i="15"/>
  <c r="BD188" i="15" s="1"/>
  <c r="BE188" i="15"/>
  <c r="BF188" i="15" s="1"/>
  <c r="BC160" i="15"/>
  <c r="BD160" i="15" s="1"/>
  <c r="BE160" i="15"/>
  <c r="BF160" i="15" s="1"/>
  <c r="BC125" i="15"/>
  <c r="BD125" i="15" s="1"/>
  <c r="BE125" i="15"/>
  <c r="BF125" i="15" s="1"/>
  <c r="BE241" i="15"/>
  <c r="BF241" i="15" s="1"/>
  <c r="BC241" i="15"/>
  <c r="BD241" i="15" s="1"/>
  <c r="BE233" i="15"/>
  <c r="BF233" i="15" s="1"/>
  <c r="BC233" i="15"/>
  <c r="BD233" i="15" s="1"/>
  <c r="BE224" i="15"/>
  <c r="BF224" i="15" s="1"/>
  <c r="BC224" i="15"/>
  <c r="BD224" i="15" s="1"/>
  <c r="BE208" i="15"/>
  <c r="BF208" i="15" s="1"/>
  <c r="BC208" i="15"/>
  <c r="BD208" i="15" s="1"/>
  <c r="BE192" i="15"/>
  <c r="BF192" i="15" s="1"/>
  <c r="BC192" i="15"/>
  <c r="BD192" i="15" s="1"/>
  <c r="BE184" i="15"/>
  <c r="BF184" i="15" s="1"/>
  <c r="BC184" i="15"/>
  <c r="BD184" i="15" s="1"/>
  <c r="BE168" i="15"/>
  <c r="BF168" i="15" s="1"/>
  <c r="BC168" i="15"/>
  <c r="BD168" i="15" s="1"/>
  <c r="BC159" i="15"/>
  <c r="BD159" i="15" s="1"/>
  <c r="BE159" i="15"/>
  <c r="BF159" i="15" s="1"/>
  <c r="BC139" i="15"/>
  <c r="BD139" i="15" s="1"/>
  <c r="BE139" i="15"/>
  <c r="BF139" i="15" s="1"/>
  <c r="BE47" i="15"/>
  <c r="BF47" i="15" s="1"/>
  <c r="BC47" i="15"/>
  <c r="BD47" i="15" s="1"/>
  <c r="BE222" i="15"/>
  <c r="BF222" i="15" s="1"/>
  <c r="BC222" i="15"/>
  <c r="BD222" i="15" s="1"/>
  <c r="BE171" i="15"/>
  <c r="BF171" i="15" s="1"/>
  <c r="BC171" i="15"/>
  <c r="BD171" i="15" s="1"/>
  <c r="BE149" i="15"/>
  <c r="BF149" i="15" s="1"/>
  <c r="BC149" i="15"/>
  <c r="BD149" i="15" s="1"/>
  <c r="BE225" i="15"/>
  <c r="BF225" i="15" s="1"/>
  <c r="BC225" i="15"/>
  <c r="BD225" i="15" s="1"/>
  <c r="BE183" i="15"/>
  <c r="BF183" i="15" s="1"/>
  <c r="BC183" i="15"/>
  <c r="BD183" i="15" s="1"/>
  <c r="BE101" i="15"/>
  <c r="BF101" i="15" s="1"/>
  <c r="BC101" i="15"/>
  <c r="BD101" i="15" s="1"/>
  <c r="BC93" i="15"/>
  <c r="BD93" i="15" s="1"/>
  <c r="BE93" i="15"/>
  <c r="BF93" i="15" s="1"/>
  <c r="BE21" i="15"/>
  <c r="BF21" i="15" s="1"/>
  <c r="BC21" i="15"/>
  <c r="BD21" i="15" s="1"/>
  <c r="BC13" i="15"/>
  <c r="BD13" i="15" s="1"/>
  <c r="BE13" i="15"/>
  <c r="BF13" i="15" s="1"/>
  <c r="BE76" i="15"/>
  <c r="BF76" i="15" s="1"/>
  <c r="BC76" i="15"/>
  <c r="BD76" i="15" s="1"/>
  <c r="BE111" i="15"/>
  <c r="BF111" i="15" s="1"/>
  <c r="BC111" i="15"/>
  <c r="BD111" i="15" s="1"/>
  <c r="BE82" i="15"/>
  <c r="BF82" i="15" s="1"/>
  <c r="BC82" i="15"/>
  <c r="BD82" i="15" s="1"/>
  <c r="BC119" i="15"/>
  <c r="BD119" i="15" s="1"/>
  <c r="BE119" i="15"/>
  <c r="BF119" i="15" s="1"/>
  <c r="BC80" i="15"/>
  <c r="BD80" i="15" s="1"/>
  <c r="BE80" i="15"/>
  <c r="BF80" i="15" s="1"/>
  <c r="BC760" i="15"/>
  <c r="BD760" i="15" s="1"/>
  <c r="BE760" i="15"/>
  <c r="BF760" i="15" s="1"/>
  <c r="BE665" i="15"/>
  <c r="BF665" i="15" s="1"/>
  <c r="BC665" i="15"/>
  <c r="BD665" i="15" s="1"/>
  <c r="BE834" i="15"/>
  <c r="BF834" i="15" s="1"/>
  <c r="BC834" i="15"/>
  <c r="BD834" i="15" s="1"/>
  <c r="BE842" i="15"/>
  <c r="BF842" i="15" s="1"/>
  <c r="BC842" i="15"/>
  <c r="BD842" i="15" s="1"/>
  <c r="BC779" i="15"/>
  <c r="BD779" i="15" s="1"/>
  <c r="BE779" i="15"/>
  <c r="BF779" i="15" s="1"/>
  <c r="BE821" i="15"/>
  <c r="BF821" i="15" s="1"/>
  <c r="BC821" i="15"/>
  <c r="BD821" i="15" s="1"/>
  <c r="BE595" i="15"/>
  <c r="BF595" i="15" s="1"/>
  <c r="BC595" i="15"/>
  <c r="BD595" i="15" s="1"/>
  <c r="BC587" i="15"/>
  <c r="BD587" i="15" s="1"/>
  <c r="BE587" i="15"/>
  <c r="BF587" i="15" s="1"/>
  <c r="BE579" i="15"/>
  <c r="BF579" i="15" s="1"/>
  <c r="BC579" i="15"/>
  <c r="BD579" i="15" s="1"/>
  <c r="BC548" i="15"/>
  <c r="BD548" i="15" s="1"/>
  <c r="BE548" i="15"/>
  <c r="BF548" i="15" s="1"/>
  <c r="BE350" i="15"/>
  <c r="BF350" i="15" s="1"/>
  <c r="BC350" i="15"/>
  <c r="BD350" i="15" s="1"/>
  <c r="BE545" i="15"/>
  <c r="BF545" i="15" s="1"/>
  <c r="BC545" i="15"/>
  <c r="BD545" i="15" s="1"/>
  <c r="BE382" i="15"/>
  <c r="BF382" i="15" s="1"/>
  <c r="BC382" i="15"/>
  <c r="BD382" i="15" s="1"/>
  <c r="BC645" i="15"/>
  <c r="BD645" i="15" s="1"/>
  <c r="BE645" i="15"/>
  <c r="BF645" i="15" s="1"/>
  <c r="BC578" i="15"/>
  <c r="BD578" i="15" s="1"/>
  <c r="BE578" i="15"/>
  <c r="BF578" i="15" s="1"/>
  <c r="BC526" i="15"/>
  <c r="BD526" i="15" s="1"/>
  <c r="BE526" i="15"/>
  <c r="BF526" i="15" s="1"/>
  <c r="BE451" i="15"/>
  <c r="BF451" i="15" s="1"/>
  <c r="BC451" i="15"/>
  <c r="BD451" i="15" s="1"/>
  <c r="BE593" i="15"/>
  <c r="BF593" i="15" s="1"/>
  <c r="BC593" i="15"/>
  <c r="BD593" i="15" s="1"/>
  <c r="BE585" i="15"/>
  <c r="BF585" i="15" s="1"/>
  <c r="BC585" i="15"/>
  <c r="BD585" i="15" s="1"/>
  <c r="BE577" i="15"/>
  <c r="BF577" i="15" s="1"/>
  <c r="BC577" i="15"/>
  <c r="BD577" i="15" s="1"/>
  <c r="BE61" i="15"/>
  <c r="BF61" i="15" s="1"/>
  <c r="BC61" i="15"/>
  <c r="BD61" i="15" s="1"/>
  <c r="BE775" i="15"/>
  <c r="BF775" i="15" s="1"/>
  <c r="BC775" i="15"/>
  <c r="BD775" i="15" s="1"/>
  <c r="BC594" i="15"/>
  <c r="BD594" i="15" s="1"/>
  <c r="BE594" i="15"/>
  <c r="BF594" i="15" s="1"/>
  <c r="BC582" i="15"/>
  <c r="BD582" i="15" s="1"/>
  <c r="BE582" i="15"/>
  <c r="BF582" i="15" s="1"/>
  <c r="BC57" i="15"/>
  <c r="BD57" i="15" s="1"/>
  <c r="BE57" i="15"/>
  <c r="BF57" i="15" s="1"/>
  <c r="BC65" i="15"/>
  <c r="BD65" i="15" s="1"/>
  <c r="BE65" i="15"/>
  <c r="BF65" i="15" s="1"/>
  <c r="BC133" i="15"/>
  <c r="BD133" i="15" s="1"/>
  <c r="BE133" i="15"/>
  <c r="BF133" i="15" s="1"/>
  <c r="BC479" i="15"/>
  <c r="BD479" i="15" s="1"/>
  <c r="BE479" i="15"/>
  <c r="BF479" i="15" s="1"/>
  <c r="BG73" i="15"/>
  <c r="BG124" i="15"/>
  <c r="J540" i="16"/>
  <c r="J542" i="16" s="1"/>
  <c r="G578" i="16"/>
  <c r="I541" i="16"/>
  <c r="AD314" i="15"/>
  <c r="AE314" i="15" s="1"/>
  <c r="AG314" i="15" s="1"/>
  <c r="AD243" i="15"/>
  <c r="AE243" i="15" s="1"/>
  <c r="AG243" i="15" s="1"/>
  <c r="AD552" i="15"/>
  <c r="AE552" i="15" s="1"/>
  <c r="AG552" i="15" s="1"/>
  <c r="AD864" i="15"/>
  <c r="AE864" i="15" s="1"/>
  <c r="AG864" i="15" s="1"/>
  <c r="AD229" i="15"/>
  <c r="AE229" i="15" s="1"/>
  <c r="AG229" i="15" s="1"/>
  <c r="AD474" i="15"/>
  <c r="AE474" i="15" s="1"/>
  <c r="AG474" i="15" s="1"/>
  <c r="AD424" i="15"/>
  <c r="AE424" i="15" s="1"/>
  <c r="AG424" i="15" s="1"/>
  <c r="AD176" i="15"/>
  <c r="AE176" i="15" s="1"/>
  <c r="AG176" i="15" s="1"/>
  <c r="AD764" i="15"/>
  <c r="AE764" i="15" s="1"/>
  <c r="AG764" i="15" s="1"/>
  <c r="AD448" i="15"/>
  <c r="AE448" i="15" s="1"/>
  <c r="AG448" i="15" s="1"/>
  <c r="AD340" i="15"/>
  <c r="AE340" i="15" s="1"/>
  <c r="AG340" i="15" s="1"/>
  <c r="AB151" i="15"/>
  <c r="AD284" i="15"/>
  <c r="AE284" i="15" s="1"/>
  <c r="AG284" i="15" s="1"/>
  <c r="U151" i="15"/>
  <c r="U602" i="15"/>
  <c r="AB602" i="15"/>
  <c r="AB283" i="15"/>
  <c r="U744" i="15"/>
  <c r="AD669" i="15"/>
  <c r="AE669" i="15" s="1"/>
  <c r="AG669" i="15" s="1"/>
  <c r="AD718" i="15"/>
  <c r="AE718" i="15" s="1"/>
  <c r="AG718" i="15" s="1"/>
  <c r="AD572" i="15"/>
  <c r="AE572" i="15" s="1"/>
  <c r="AG572" i="15" s="1"/>
  <c r="AD648" i="15"/>
  <c r="AE648" i="15" s="1"/>
  <c r="AG648" i="15" s="1"/>
  <c r="AD637" i="15"/>
  <c r="AE637" i="15" s="1"/>
  <c r="AG637" i="15" s="1"/>
  <c r="AD810" i="15"/>
  <c r="AE810" i="15" s="1"/>
  <c r="AG810" i="15" s="1"/>
  <c r="AB491" i="15"/>
  <c r="AD492" i="15"/>
  <c r="AE492" i="15" s="1"/>
  <c r="AG492" i="15" s="1"/>
  <c r="AD831" i="15"/>
  <c r="AE831" i="15" s="1"/>
  <c r="AG831" i="15" s="1"/>
  <c r="AD745" i="15"/>
  <c r="AE745" i="15" s="1"/>
  <c r="AG745" i="15" s="1"/>
  <c r="AB744" i="15"/>
  <c r="AD512" i="15"/>
  <c r="AE512" i="15" s="1"/>
  <c r="AG512" i="15" s="1"/>
  <c r="U491" i="15"/>
  <c r="U283" i="15"/>
  <c r="BG108" i="15" l="1"/>
  <c r="BG79" i="15"/>
  <c r="BG782" i="15"/>
  <c r="BG807" i="15"/>
  <c r="BG81" i="15"/>
  <c r="BG805" i="15"/>
  <c r="BG372" i="15"/>
  <c r="BG75" i="15"/>
  <c r="AF71" i="15"/>
  <c r="AG71" i="15"/>
  <c r="AF38" i="15"/>
  <c r="AG38" i="15"/>
  <c r="AF105" i="15"/>
  <c r="AG105" i="15"/>
  <c r="AF133" i="15"/>
  <c r="AG133" i="15"/>
  <c r="AF11" i="15"/>
  <c r="AG11" i="15"/>
  <c r="AF47" i="15"/>
  <c r="AG47" i="15"/>
  <c r="AF89" i="15"/>
  <c r="AG89" i="15"/>
  <c r="AF79" i="15"/>
  <c r="AF344" i="15"/>
  <c r="AF354" i="15"/>
  <c r="AF362" i="15"/>
  <c r="AF372" i="15"/>
  <c r="AF380" i="15"/>
  <c r="AF287" i="15"/>
  <c r="AF295" i="15"/>
  <c r="AF305" i="15"/>
  <c r="AF727" i="15"/>
  <c r="AF737" i="15"/>
  <c r="AF876" i="15"/>
  <c r="AF888" i="15"/>
  <c r="AF57" i="15"/>
  <c r="AF61" i="15"/>
  <c r="AF589" i="15"/>
  <c r="AF485" i="15"/>
  <c r="AF382" i="15"/>
  <c r="AF592" i="15"/>
  <c r="AF301" i="15"/>
  <c r="AF587" i="15"/>
  <c r="AF795" i="15"/>
  <c r="AF771" i="15"/>
  <c r="AF107" i="15"/>
  <c r="AF127" i="15"/>
  <c r="AF141" i="15"/>
  <c r="AF775" i="15"/>
  <c r="AF577" i="15"/>
  <c r="AF366" i="15"/>
  <c r="AF645" i="15"/>
  <c r="AF580" i="15"/>
  <c r="AF762" i="15"/>
  <c r="AF459" i="15"/>
  <c r="AF591" i="15"/>
  <c r="AF842" i="15"/>
  <c r="AF814" i="15"/>
  <c r="AF82" i="15"/>
  <c r="AF17" i="15"/>
  <c r="AF167" i="15"/>
  <c r="AF247" i="15"/>
  <c r="AF149" i="15"/>
  <c r="AF222" i="15"/>
  <c r="AF373" i="15"/>
  <c r="AF209" i="15"/>
  <c r="AF276" i="15"/>
  <c r="AF60" i="15"/>
  <c r="AF15" i="15"/>
  <c r="AF62" i="15"/>
  <c r="AF186" i="15"/>
  <c r="AF363" i="15"/>
  <c r="AF662" i="15"/>
  <c r="AF320" i="15"/>
  <c r="AF461" i="15"/>
  <c r="AF567" i="15"/>
  <c r="AF515" i="15"/>
  <c r="AF395" i="15"/>
  <c r="AF517" i="15"/>
  <c r="AF561" i="15"/>
  <c r="AF427" i="15"/>
  <c r="AF613" i="15"/>
  <c r="AF426" i="15"/>
  <c r="AF507" i="15"/>
  <c r="AF685" i="15"/>
  <c r="AF635" i="15"/>
  <c r="AF599" i="15"/>
  <c r="AF768" i="15"/>
  <c r="AF777" i="15"/>
  <c r="AF707" i="15"/>
  <c r="AF885" i="15"/>
  <c r="AF840" i="15"/>
  <c r="AF874" i="15"/>
  <c r="AF881" i="15"/>
  <c r="AF77" i="15"/>
  <c r="AF85" i="15"/>
  <c r="AF342" i="15"/>
  <c r="AF352" i="15"/>
  <c r="AF360" i="15"/>
  <c r="AF370" i="15"/>
  <c r="AF378" i="15"/>
  <c r="AF289" i="15"/>
  <c r="AF297" i="15"/>
  <c r="AF307" i="15"/>
  <c r="AF723" i="15"/>
  <c r="AF735" i="15"/>
  <c r="AF872" i="15"/>
  <c r="AF884" i="15"/>
  <c r="AF896" i="15"/>
  <c r="AF844" i="15"/>
  <c r="AF862" i="15"/>
  <c r="AF812" i="15"/>
  <c r="AF597" i="15"/>
  <c r="AF574" i="15"/>
  <c r="AF584" i="15"/>
  <c r="AF420" i="15"/>
  <c r="AF579" i="15"/>
  <c r="AF821" i="15"/>
  <c r="AF741" i="15"/>
  <c r="AF665" i="15"/>
  <c r="AF78" i="15"/>
  <c r="AF84" i="15"/>
  <c r="AF21" i="15"/>
  <c r="AF180" i="15"/>
  <c r="AF253" i="15"/>
  <c r="AF155" i="15"/>
  <c r="AF286" i="15"/>
  <c r="AF385" i="15"/>
  <c r="AF135" i="15"/>
  <c r="AF184" i="15"/>
  <c r="AF217" i="15"/>
  <c r="AF248" i="15"/>
  <c r="AF267" i="15"/>
  <c r="AF290" i="15"/>
  <c r="AF375" i="15"/>
  <c r="AF117" i="15"/>
  <c r="AF202" i="15"/>
  <c r="AF251" i="15"/>
  <c r="AF274" i="15"/>
  <c r="AF367" i="15"/>
  <c r="AF56" i="15"/>
  <c r="AF144" i="15"/>
  <c r="AF55" i="15"/>
  <c r="AF58" i="15"/>
  <c r="AF142" i="15"/>
  <c r="AF181" i="15"/>
  <c r="AF214" i="15"/>
  <c r="AF349" i="15"/>
  <c r="AF394" i="15"/>
  <c r="AF570" i="15"/>
  <c r="AF170" i="15"/>
  <c r="AF316" i="15"/>
  <c r="AF396" i="15"/>
  <c r="AF458" i="15"/>
  <c r="AF502" i="15"/>
  <c r="AF565" i="15"/>
  <c r="AF429" i="15"/>
  <c r="AF554" i="15"/>
  <c r="AF323" i="15"/>
  <c r="AF415" i="15"/>
  <c r="AF469" i="15"/>
  <c r="AF564" i="15"/>
  <c r="AF402" i="15"/>
  <c r="AF817" i="15"/>
  <c r="AF338" i="15"/>
  <c r="AF414" i="15"/>
  <c r="AF506" i="15"/>
  <c r="AF667" i="15"/>
  <c r="AF623" i="15"/>
  <c r="AF730" i="15"/>
  <c r="AF432" i="15"/>
  <c r="AF455" i="15"/>
  <c r="AF505" i="15"/>
  <c r="AF540" i="15"/>
  <c r="AF674" i="15"/>
  <c r="AF524" i="15"/>
  <c r="AF633" i="15"/>
  <c r="AF689" i="15"/>
  <c r="AF598" i="15"/>
  <c r="AF726" i="15"/>
  <c r="AF790" i="15"/>
  <c r="AF757" i="15"/>
  <c r="AF702" i="15"/>
  <c r="AF710" i="15"/>
  <c r="AF818" i="15"/>
  <c r="AF852" i="15"/>
  <c r="AF839" i="15"/>
  <c r="AF828" i="15"/>
  <c r="AF875" i="15"/>
  <c r="AF873" i="15"/>
  <c r="AF147" i="15"/>
  <c r="AF236" i="15"/>
  <c r="AF140" i="15"/>
  <c r="AF220" i="15"/>
  <c r="AF371" i="15"/>
  <c r="AF63" i="15"/>
  <c r="AF168" i="15"/>
  <c r="AF208" i="15"/>
  <c r="AF241" i="15"/>
  <c r="AF260" i="15"/>
  <c r="AF279" i="15"/>
  <c r="AF359" i="15"/>
  <c r="AF109" i="15"/>
  <c r="AF188" i="15"/>
  <c r="AF245" i="15"/>
  <c r="AF270" i="15"/>
  <c r="AF351" i="15"/>
  <c r="AF48" i="15"/>
  <c r="AF100" i="15"/>
  <c r="AF204" i="15"/>
  <c r="AF95" i="15"/>
  <c r="AF50" i="15"/>
  <c r="AF134" i="15"/>
  <c r="AF172" i="15"/>
  <c r="AF207" i="15"/>
  <c r="AF312" i="15"/>
  <c r="AF337" i="15"/>
  <c r="AF508" i="15"/>
  <c r="AF162" i="15"/>
  <c r="AF324" i="15"/>
  <c r="AF405" i="15"/>
  <c r="AF521" i="15"/>
  <c r="AF652" i="15"/>
  <c r="AF325" i="15"/>
  <c r="AF533" i="15"/>
  <c r="AF154" i="15"/>
  <c r="AF400" i="15"/>
  <c r="AF464" i="15"/>
  <c r="AF520" i="15"/>
  <c r="AF654" i="15"/>
  <c r="AF462" i="15"/>
  <c r="AF330" i="15"/>
  <c r="AF435" i="15"/>
  <c r="AF539" i="15"/>
  <c r="AF651" i="15"/>
  <c r="AF631" i="15"/>
  <c r="AF747" i="15"/>
  <c r="AF436" i="15"/>
  <c r="AF501" i="15"/>
  <c r="AF530" i="15"/>
  <c r="AF690" i="15"/>
  <c r="AF609" i="15"/>
  <c r="AF683" i="15"/>
  <c r="AF724" i="15"/>
  <c r="AF672" i="15"/>
  <c r="AF742" i="15"/>
  <c r="AF806" i="15"/>
  <c r="AF700" i="15"/>
  <c r="AF708" i="15"/>
  <c r="AF751" i="15"/>
  <c r="AF823" i="15"/>
  <c r="AF879" i="15"/>
  <c r="AF773" i="15"/>
  <c r="AF857" i="15"/>
  <c r="AF845" i="15"/>
  <c r="AF855" i="15"/>
  <c r="AF642" i="15"/>
  <c r="AF446" i="15"/>
  <c r="AF641" i="15"/>
  <c r="AF516" i="15"/>
  <c r="AF684" i="15"/>
  <c r="AF646" i="15"/>
  <c r="AF753" i="15"/>
  <c r="AF808" i="15"/>
  <c r="AF701" i="15"/>
  <c r="AF713" i="15"/>
  <c r="AF825" i="15"/>
  <c r="AF833" i="15"/>
  <c r="AF826" i="15"/>
  <c r="AF890" i="15"/>
  <c r="AF859" i="15"/>
  <c r="AF614" i="15"/>
  <c r="AF632" i="15"/>
  <c r="AF815" i="15"/>
  <c r="AF114" i="15"/>
  <c r="AF658" i="15"/>
  <c r="AF791" i="15"/>
  <c r="AF487" i="15"/>
  <c r="AF594" i="15"/>
  <c r="AF585" i="15"/>
  <c r="AF639" i="15"/>
  <c r="AF779" i="15"/>
  <c r="AF767" i="15"/>
  <c r="AF111" i="15"/>
  <c r="AF183" i="15"/>
  <c r="AF171" i="15"/>
  <c r="AF23" i="15"/>
  <c r="AF187" i="15"/>
  <c r="AF250" i="15"/>
  <c r="AF292" i="15"/>
  <c r="AF121" i="15"/>
  <c r="AF240" i="15"/>
  <c r="AF300" i="15"/>
  <c r="AF96" i="15"/>
  <c r="AF91" i="15"/>
  <c r="AF98" i="15"/>
  <c r="AF205" i="15"/>
  <c r="AF317" i="15"/>
  <c r="AF158" i="15"/>
  <c r="AF336" i="15"/>
  <c r="AF543" i="15"/>
  <c r="AF445" i="15"/>
  <c r="AF327" i="15"/>
  <c r="AF471" i="15"/>
  <c r="AF406" i="15"/>
  <c r="AF403" i="15"/>
  <c r="AF566" i="15"/>
  <c r="AF629" i="15"/>
  <c r="AF434" i="15"/>
  <c r="AF499" i="15"/>
  <c r="AF655" i="15"/>
  <c r="AF619" i="15"/>
  <c r="AF770" i="15"/>
  <c r="AF734" i="15"/>
  <c r="AF848" i="15"/>
  <c r="AF711" i="15"/>
  <c r="AF829" i="15"/>
  <c r="AF893" i="15"/>
  <c r="AF837" i="15"/>
  <c r="AF452" i="15"/>
  <c r="AF612" i="15"/>
  <c r="AF622" i="15"/>
  <c r="AF630" i="15"/>
  <c r="AF42" i="15"/>
  <c r="AF112" i="15"/>
  <c r="AF120" i="15"/>
  <c r="AF128" i="15"/>
  <c r="AF413" i="15"/>
  <c r="AF653" i="15"/>
  <c r="AF40" i="15"/>
  <c r="AF527" i="15"/>
  <c r="AF782" i="15"/>
  <c r="AF793" i="15"/>
  <c r="AF805" i="15"/>
  <c r="AF547" i="15"/>
  <c r="AF179" i="15"/>
  <c r="AF210" i="15"/>
  <c r="AF246" i="15"/>
  <c r="AF265" i="15"/>
  <c r="AF281" i="15"/>
  <c r="AF361" i="15"/>
  <c r="AF113" i="15"/>
  <c r="AF191" i="15"/>
  <c r="AF249" i="15"/>
  <c r="AF272" i="15"/>
  <c r="AF353" i="15"/>
  <c r="AF52" i="15"/>
  <c r="AF213" i="15"/>
  <c r="AF99" i="15"/>
  <c r="AF54" i="15"/>
  <c r="AF138" i="15"/>
  <c r="AF178" i="15"/>
  <c r="AF212" i="15"/>
  <c r="AF347" i="15"/>
  <c r="AF390" i="15"/>
  <c r="AF556" i="15"/>
  <c r="AF166" i="15"/>
  <c r="AF239" i="15"/>
  <c r="AF393" i="15"/>
  <c r="AF454" i="15"/>
  <c r="AF494" i="15"/>
  <c r="AF560" i="15"/>
  <c r="AF736" i="15"/>
  <c r="AF472" i="15"/>
  <c r="AF813" i="15"/>
  <c r="AF335" i="15"/>
  <c r="AF441" i="15"/>
  <c r="AF496" i="15"/>
  <c r="AF562" i="15"/>
  <c r="AF398" i="15"/>
  <c r="AF800" i="15"/>
  <c r="AF334" i="15"/>
  <c r="AF411" i="15"/>
  <c r="AF498" i="15"/>
  <c r="AF644" i="15"/>
  <c r="AF605" i="15"/>
  <c r="AF722" i="15"/>
  <c r="AF438" i="15"/>
  <c r="AF538" i="15"/>
  <c r="AF627" i="15"/>
  <c r="AF679" i="15"/>
  <c r="AF752" i="15"/>
  <c r="AF802" i="15"/>
  <c r="AF781" i="15"/>
  <c r="AF460" i="15"/>
  <c r="AF620" i="15"/>
  <c r="AF661" i="15"/>
  <c r="AF118" i="15"/>
  <c r="AF421" i="15"/>
  <c r="AF784" i="15"/>
  <c r="AF807" i="15"/>
  <c r="AF756" i="15"/>
  <c r="AF578" i="15"/>
  <c r="AF588" i="15"/>
  <c r="AF583" i="15"/>
  <c r="AF754" i="15"/>
  <c r="AF760" i="15"/>
  <c r="AF115" i="15"/>
  <c r="AF225" i="15"/>
  <c r="AF215" i="15"/>
  <c r="AF59" i="15"/>
  <c r="AF203" i="15"/>
  <c r="AF258" i="15"/>
  <c r="AF345" i="15"/>
  <c r="AF75" i="15"/>
  <c r="AF83" i="15"/>
  <c r="AF348" i="15"/>
  <c r="AF358" i="15"/>
  <c r="AF368" i="15"/>
  <c r="AF376" i="15"/>
  <c r="AF291" i="15"/>
  <c r="AF299" i="15"/>
  <c r="AF309" i="15"/>
  <c r="AF721" i="15"/>
  <c r="AF731" i="15"/>
  <c r="AF870" i="15"/>
  <c r="AF880" i="15"/>
  <c r="AF894" i="15"/>
  <c r="AF53" i="15"/>
  <c r="AF715" i="15"/>
  <c r="AF550" i="15"/>
  <c r="AF886" i="15"/>
  <c r="AF590" i="15"/>
  <c r="AF576" i="15"/>
  <c r="AF749" i="15"/>
  <c r="AF548" i="15"/>
  <c r="AF725" i="15"/>
  <c r="AF820" i="15"/>
  <c r="AF854" i="15"/>
  <c r="AF39" i="15"/>
  <c r="AF13" i="15"/>
  <c r="AF678" i="15"/>
  <c r="AF582" i="15"/>
  <c r="AF137" i="15"/>
  <c r="AF593" i="15"/>
  <c r="AF526" i="15"/>
  <c r="AF477" i="15"/>
  <c r="AF596" i="15"/>
  <c r="AF350" i="15"/>
  <c r="AF575" i="15"/>
  <c r="AF783" i="15"/>
  <c r="AF834" i="15"/>
  <c r="AF123" i="15"/>
  <c r="AF76" i="15"/>
  <c r="AF93" i="15"/>
  <c r="AF211" i="15"/>
  <c r="AF28" i="15"/>
  <c r="AF185" i="15"/>
  <c r="AF304" i="15"/>
  <c r="AF255" i="15"/>
  <c r="AF369" i="15"/>
  <c r="AF157" i="15"/>
  <c r="AF14" i="15"/>
  <c r="AF145" i="15"/>
  <c r="AF221" i="15"/>
  <c r="AF417" i="15"/>
  <c r="AF174" i="15"/>
  <c r="AF401" i="15"/>
  <c r="AF510" i="15"/>
  <c r="AF321" i="15"/>
  <c r="AF869" i="15"/>
  <c r="AF453" i="15"/>
  <c r="AF682" i="15"/>
  <c r="AF326" i="15"/>
  <c r="AF523" i="15"/>
  <c r="AF691" i="15"/>
  <c r="AF442" i="15"/>
  <c r="AF542" i="15"/>
  <c r="AF532" i="15"/>
  <c r="AF694" i="15"/>
  <c r="AF687" i="15"/>
  <c r="AF798" i="15"/>
  <c r="AF703" i="15"/>
  <c r="AF750" i="15"/>
  <c r="AF866" i="15"/>
  <c r="AF822" i="15"/>
  <c r="AF883" i="15"/>
  <c r="AF73" i="15"/>
  <c r="AF81" i="15"/>
  <c r="AF346" i="15"/>
  <c r="AF356" i="15"/>
  <c r="AF364" i="15"/>
  <c r="AF374" i="15"/>
  <c r="AF384" i="15"/>
  <c r="AF481" i="15"/>
  <c r="AF293" i="15"/>
  <c r="AF303" i="15"/>
  <c r="AF311" i="15"/>
  <c r="AF729" i="15"/>
  <c r="AF739" i="15"/>
  <c r="AF868" i="15"/>
  <c r="AF878" i="15"/>
  <c r="AF892" i="15"/>
  <c r="AF489" i="15"/>
  <c r="AF49" i="15"/>
  <c r="AF586" i="15"/>
  <c r="AF581" i="15"/>
  <c r="AF412" i="15"/>
  <c r="AF545" i="15"/>
  <c r="AF616" i="15"/>
  <c r="AF534" i="15"/>
  <c r="AF595" i="15"/>
  <c r="AF733" i="15"/>
  <c r="AF836" i="15"/>
  <c r="AF819" i="15"/>
  <c r="AF74" i="15"/>
  <c r="AF72" i="15"/>
  <c r="AF97" i="15"/>
  <c r="AF216" i="15"/>
  <c r="AF32" i="15"/>
  <c r="AF206" i="15"/>
  <c r="AF355" i="15"/>
  <c r="AF51" i="15"/>
  <c r="AF159" i="15"/>
  <c r="AF201" i="15"/>
  <c r="AF233" i="15"/>
  <c r="AF256" i="15"/>
  <c r="AF275" i="15"/>
  <c r="AF343" i="15"/>
  <c r="AF33" i="15"/>
  <c r="AF160" i="15"/>
  <c r="AF232" i="15"/>
  <c r="AF261" i="15"/>
  <c r="AF298" i="15"/>
  <c r="AF16" i="15"/>
  <c r="AF92" i="15"/>
  <c r="AF190" i="15"/>
  <c r="AF26" i="15"/>
  <c r="AF94" i="15"/>
  <c r="AF163" i="15"/>
  <c r="AF197" i="15"/>
  <c r="AF296" i="15"/>
  <c r="AF381" i="15"/>
  <c r="AF478" i="15"/>
  <c r="AF849" i="15"/>
  <c r="AF234" i="15"/>
  <c r="AF332" i="15"/>
  <c r="AF422" i="15"/>
  <c r="AF484" i="15"/>
  <c r="AF528" i="15"/>
  <c r="AF692" i="15"/>
  <c r="AF500" i="15"/>
  <c r="AF856" i="15"/>
  <c r="AF392" i="15"/>
  <c r="AF450" i="15"/>
  <c r="AF504" i="15"/>
  <c r="AF677" i="15"/>
  <c r="AF529" i="15"/>
  <c r="AF322" i="15"/>
  <c r="AF399" i="15"/>
  <c r="AF456" i="15"/>
  <c r="AF559" i="15"/>
  <c r="AF607" i="15"/>
  <c r="AF675" i="15"/>
  <c r="AF416" i="15"/>
  <c r="AF440" i="15"/>
  <c r="AF497" i="15"/>
  <c r="AF514" i="15"/>
  <c r="AF650" i="15"/>
  <c r="AF418" i="15"/>
  <c r="AF617" i="15"/>
  <c r="AF600" i="15"/>
  <c r="AF740" i="15"/>
  <c r="AF680" i="15"/>
  <c r="AF761" i="15"/>
  <c r="AF816" i="15"/>
  <c r="AF804" i="15"/>
  <c r="AF706" i="15"/>
  <c r="AF772" i="15"/>
  <c r="AF827" i="15"/>
  <c r="AF895" i="15"/>
  <c r="AF877" i="15"/>
  <c r="AF871" i="15"/>
  <c r="AF843" i="15"/>
  <c r="AF196" i="15"/>
  <c r="AF20" i="15"/>
  <c r="AF182" i="15"/>
  <c r="AF302" i="15"/>
  <c r="AF27" i="15"/>
  <c r="AF143" i="15"/>
  <c r="AF192" i="15"/>
  <c r="AF224" i="15"/>
  <c r="AF252" i="15"/>
  <c r="AF271" i="15"/>
  <c r="AF306" i="15"/>
  <c r="AF25" i="15"/>
  <c r="AF125" i="15"/>
  <c r="AF218" i="15"/>
  <c r="AF257" i="15"/>
  <c r="AF278" i="15"/>
  <c r="AF383" i="15"/>
  <c r="AF64" i="15"/>
  <c r="AF164" i="15"/>
  <c r="AF19" i="15"/>
  <c r="AF18" i="15"/>
  <c r="AF66" i="15"/>
  <c r="AF148" i="15"/>
  <c r="AF189" i="15"/>
  <c r="AF223" i="15"/>
  <c r="AF365" i="15"/>
  <c r="AF437" i="15"/>
  <c r="AF748" i="15"/>
  <c r="AF238" i="15"/>
  <c r="AF389" i="15"/>
  <c r="AF439" i="15"/>
  <c r="AF558" i="15"/>
  <c r="AF728" i="15"/>
  <c r="AF466" i="15"/>
  <c r="AF664" i="15"/>
  <c r="AF331" i="15"/>
  <c r="AF433" i="15"/>
  <c r="AF482" i="15"/>
  <c r="AF555" i="15"/>
  <c r="AF333" i="15"/>
  <c r="AF643" i="15"/>
  <c r="AF407" i="15"/>
  <c r="AF488" i="15"/>
  <c r="AF568" i="15"/>
  <c r="AF615" i="15"/>
  <c r="AF695" i="15"/>
  <c r="AF428" i="15"/>
  <c r="AF444" i="15"/>
  <c r="AF509" i="15"/>
  <c r="AF663" i="15"/>
  <c r="AF465" i="15"/>
  <c r="AF625" i="15"/>
  <c r="AF673" i="15"/>
  <c r="AF780" i="15"/>
  <c r="AF688" i="15"/>
  <c r="AF769" i="15"/>
  <c r="AF714" i="15"/>
  <c r="AF704" i="15"/>
  <c r="AF712" i="15"/>
  <c r="AF794" i="15"/>
  <c r="AF841" i="15"/>
  <c r="AF846" i="15"/>
  <c r="AF824" i="15"/>
  <c r="AF887" i="15"/>
  <c r="AF891" i="15"/>
  <c r="AF889" i="15"/>
  <c r="AF430" i="15"/>
  <c r="AF495" i="15"/>
  <c r="AF666" i="15"/>
  <c r="AF611" i="15"/>
  <c r="AF681" i="15"/>
  <c r="AF693" i="15"/>
  <c r="AF778" i="15"/>
  <c r="AF796" i="15"/>
  <c r="AF709" i="15"/>
  <c r="AF755" i="15"/>
  <c r="AF847" i="15"/>
  <c r="AF861" i="15"/>
  <c r="AF860" i="15"/>
  <c r="AF835" i="15"/>
  <c r="AF897" i="15"/>
  <c r="AF606" i="15"/>
  <c r="AF624" i="15"/>
  <c r="AF110" i="15"/>
  <c r="AF122" i="15"/>
  <c r="AF519" i="15"/>
  <c r="AF776" i="15"/>
  <c r="AF801" i="15"/>
  <c r="AF65" i="15"/>
  <c r="AF518" i="15"/>
  <c r="AF546" i="15"/>
  <c r="AF451" i="15"/>
  <c r="AF686" i="15"/>
  <c r="AF483" i="15"/>
  <c r="AF80" i="15"/>
  <c r="AF41" i="15"/>
  <c r="AF266" i="15"/>
  <c r="AF288" i="15"/>
  <c r="AF139" i="15"/>
  <c r="AF219" i="15"/>
  <c r="AF269" i="15"/>
  <c r="AF377" i="15"/>
  <c r="AF169" i="15"/>
  <c r="AF268" i="15"/>
  <c r="AF24" i="15"/>
  <c r="AF193" i="15"/>
  <c r="AF30" i="15"/>
  <c r="AF165" i="15"/>
  <c r="AF310" i="15"/>
  <c r="AF486" i="15"/>
  <c r="AF235" i="15"/>
  <c r="AF431" i="15"/>
  <c r="AF720" i="15"/>
  <c r="AF563" i="15"/>
  <c r="AF419" i="15"/>
  <c r="AF569" i="15"/>
  <c r="AF853" i="15"/>
  <c r="AF480" i="15"/>
  <c r="AF676" i="15"/>
  <c r="AF738" i="15"/>
  <c r="AF463" i="15"/>
  <c r="AF522" i="15"/>
  <c r="AF457" i="15"/>
  <c r="AF640" i="15"/>
  <c r="AF671" i="15"/>
  <c r="AF759" i="15"/>
  <c r="AF699" i="15"/>
  <c r="AF785" i="15"/>
  <c r="AF898" i="15"/>
  <c r="AF838" i="15"/>
  <c r="AF851" i="15"/>
  <c r="AF608" i="15"/>
  <c r="AF618" i="15"/>
  <c r="AF626" i="15"/>
  <c r="AF634" i="15"/>
  <c r="AF758" i="15"/>
  <c r="AF108" i="15"/>
  <c r="AF116" i="15"/>
  <c r="AF124" i="15"/>
  <c r="AF774" i="15"/>
  <c r="AF789" i="15"/>
  <c r="AF799" i="15"/>
  <c r="AF479" i="15"/>
  <c r="AF146" i="15"/>
  <c r="AF195" i="15"/>
  <c r="AF226" i="15"/>
  <c r="AF254" i="15"/>
  <c r="AF273" i="15"/>
  <c r="AF308" i="15"/>
  <c r="AF29" i="15"/>
  <c r="AF129" i="15"/>
  <c r="AF227" i="15"/>
  <c r="AF259" i="15"/>
  <c r="AF280" i="15"/>
  <c r="AF12" i="15"/>
  <c r="AF173" i="15"/>
  <c r="AF31" i="15"/>
  <c r="AF22" i="15"/>
  <c r="AF90" i="15"/>
  <c r="AF156" i="15"/>
  <c r="AF194" i="15"/>
  <c r="AF294" i="15"/>
  <c r="AF379" i="15"/>
  <c r="AF468" i="15"/>
  <c r="AF792" i="15"/>
  <c r="AF231" i="15"/>
  <c r="AF328" i="15"/>
  <c r="AF409" i="15"/>
  <c r="AF476" i="15"/>
  <c r="AF525" i="15"/>
  <c r="AF659" i="15"/>
  <c r="AF329" i="15"/>
  <c r="AF541" i="15"/>
  <c r="AF319" i="15"/>
  <c r="AF404" i="15"/>
  <c r="AF467" i="15"/>
  <c r="AF531" i="15"/>
  <c r="AF656" i="15"/>
  <c r="AF470" i="15"/>
  <c r="AF318" i="15"/>
  <c r="AF391" i="15"/>
  <c r="AF443" i="15"/>
  <c r="AF557" i="15"/>
  <c r="AF660" i="15"/>
  <c r="AF621" i="15"/>
  <c r="AF408" i="15"/>
  <c r="AF503" i="15"/>
  <c r="AF410" i="15"/>
  <c r="AF732" i="15"/>
  <c r="AF716" i="15"/>
  <c r="AF705" i="15"/>
  <c r="AF882" i="15"/>
  <c r="AF867" i="15"/>
  <c r="AF610" i="15"/>
  <c r="AF628" i="15"/>
  <c r="AF106" i="15"/>
  <c r="AF126" i="15"/>
  <c r="AF766" i="15"/>
  <c r="AF797" i="15"/>
  <c r="AF803" i="15"/>
  <c r="AF549" i="15"/>
  <c r="AF544" i="15"/>
  <c r="AF858" i="15"/>
  <c r="AF850" i="15"/>
  <c r="AF119" i="15"/>
  <c r="AF101" i="15"/>
  <c r="AF136" i="15"/>
  <c r="AF357" i="15"/>
  <c r="AF161" i="15"/>
  <c r="AF237" i="15"/>
  <c r="AF277" i="15"/>
  <c r="BD12" i="15"/>
  <c r="BP12" i="15"/>
  <c r="BI787" i="15"/>
  <c r="BK787" i="15" s="1"/>
  <c r="BL787" i="15" s="1"/>
  <c r="AM787" i="15"/>
  <c r="AN787" i="15" s="1"/>
  <c r="BI284" i="15"/>
  <c r="BK284" i="15" s="1"/>
  <c r="BL284" i="15" s="1"/>
  <c r="AM284" i="15"/>
  <c r="AN284" i="15" s="1"/>
  <c r="BI387" i="15"/>
  <c r="BK387" i="15" s="1"/>
  <c r="BL387" i="15" s="1"/>
  <c r="AM387" i="15"/>
  <c r="AN387" i="15" s="1"/>
  <c r="BI9" i="15"/>
  <c r="BK9" i="15" s="1"/>
  <c r="BL9" i="15" s="1"/>
  <c r="AM9" i="15"/>
  <c r="AN9" i="15" s="1"/>
  <c r="BI229" i="15"/>
  <c r="BK229" i="15" s="1"/>
  <c r="BL229" i="15" s="1"/>
  <c r="AM229" i="15"/>
  <c r="AN229" i="15" s="1"/>
  <c r="BI152" i="15"/>
  <c r="BK152" i="15" s="1"/>
  <c r="BL152" i="15" s="1"/>
  <c r="AM152" i="15"/>
  <c r="AN152" i="15" s="1"/>
  <c r="BI697" i="15"/>
  <c r="BK697" i="15" s="1"/>
  <c r="BL697" i="15" s="1"/>
  <c r="AM697" i="15"/>
  <c r="AN697" i="15" s="1"/>
  <c r="BI536" i="15"/>
  <c r="BK536" i="15" s="1"/>
  <c r="BL536" i="15" s="1"/>
  <c r="AM536" i="15"/>
  <c r="AN536" i="15" s="1"/>
  <c r="BI718" i="15"/>
  <c r="BK718" i="15" s="1"/>
  <c r="BL718" i="15" s="1"/>
  <c r="AM718" i="15"/>
  <c r="AN718" i="15" s="1"/>
  <c r="BI199" i="15"/>
  <c r="BK199" i="15" s="1"/>
  <c r="BL199" i="15" s="1"/>
  <c r="AM199" i="15"/>
  <c r="AN199" i="15" s="1"/>
  <c r="BI745" i="15"/>
  <c r="BK745" i="15" s="1"/>
  <c r="BL745" i="15" s="1"/>
  <c r="AM745" i="15"/>
  <c r="AN745" i="15" s="1"/>
  <c r="BI35" i="15"/>
  <c r="BK35" i="15" s="1"/>
  <c r="BL35" i="15" s="1"/>
  <c r="AM35" i="15"/>
  <c r="AN35" i="15" s="1"/>
  <c r="BI263" i="15"/>
  <c r="BK263" i="15" s="1"/>
  <c r="BL263" i="15" s="1"/>
  <c r="AM263" i="15"/>
  <c r="AN263" i="15" s="1"/>
  <c r="BI492" i="15"/>
  <c r="BK492" i="15" s="1"/>
  <c r="BL492" i="15" s="1"/>
  <c r="AM492" i="15"/>
  <c r="AN492" i="15" s="1"/>
  <c r="BI176" i="15"/>
  <c r="BK176" i="15" s="1"/>
  <c r="BL176" i="15" s="1"/>
  <c r="AM176" i="15"/>
  <c r="AN176" i="15" s="1"/>
  <c r="BI340" i="15"/>
  <c r="BK340" i="15" s="1"/>
  <c r="BL340" i="15" s="1"/>
  <c r="AM340" i="15"/>
  <c r="AN340" i="15" s="1"/>
  <c r="BI512" i="15"/>
  <c r="BK512" i="15" s="1"/>
  <c r="BL512" i="15" s="1"/>
  <c r="AM512" i="15"/>
  <c r="AN512" i="15" s="1"/>
  <c r="BG368" i="15"/>
  <c r="BG799" i="15"/>
  <c r="BG460" i="15"/>
  <c r="BI552" i="15"/>
  <c r="BK552" i="15" s="1"/>
  <c r="BL552" i="15" s="1"/>
  <c r="AM552" i="15"/>
  <c r="AN552" i="15" s="1"/>
  <c r="BI810" i="15"/>
  <c r="BK810" i="15" s="1"/>
  <c r="BL810" i="15" s="1"/>
  <c r="AM810" i="15"/>
  <c r="AN810" i="15" s="1"/>
  <c r="BI68" i="15"/>
  <c r="BK68" i="15" s="1"/>
  <c r="BL68" i="15" s="1"/>
  <c r="AM68" i="15"/>
  <c r="AN68" i="15" s="1"/>
  <c r="BI448" i="15"/>
  <c r="BK448" i="15" s="1"/>
  <c r="BL448" i="15" s="1"/>
  <c r="AM448" i="15"/>
  <c r="AN448" i="15" s="1"/>
  <c r="BI637" i="15"/>
  <c r="BK637" i="15" s="1"/>
  <c r="BL637" i="15" s="1"/>
  <c r="AM637" i="15"/>
  <c r="AN637" i="15" s="1"/>
  <c r="BI424" i="15"/>
  <c r="BK424" i="15" s="1"/>
  <c r="BL424" i="15" s="1"/>
  <c r="AM424" i="15"/>
  <c r="AN424" i="15" s="1"/>
  <c r="BI474" i="15"/>
  <c r="BK474" i="15" s="1"/>
  <c r="BL474" i="15" s="1"/>
  <c r="AM474" i="15"/>
  <c r="AN474" i="15" s="1"/>
  <c r="BI243" i="15"/>
  <c r="BK243" i="15" s="1"/>
  <c r="BL243" i="15" s="1"/>
  <c r="AM243" i="15"/>
  <c r="AN243" i="15" s="1"/>
  <c r="BI572" i="15"/>
  <c r="BK572" i="15" s="1"/>
  <c r="BL572" i="15" s="1"/>
  <c r="AM572" i="15"/>
  <c r="AN572" i="15" s="1"/>
  <c r="BG83" i="15"/>
  <c r="BI131" i="15"/>
  <c r="BK131" i="15" s="1"/>
  <c r="BL131" i="15" s="1"/>
  <c r="AM131" i="15"/>
  <c r="AN131" i="15" s="1"/>
  <c r="BI44" i="15"/>
  <c r="BK44" i="15" s="1"/>
  <c r="BL44" i="15" s="1"/>
  <c r="AM44" i="15"/>
  <c r="AN44" i="15" s="1"/>
  <c r="BI864" i="15"/>
  <c r="BK864" i="15" s="1"/>
  <c r="BL864" i="15" s="1"/>
  <c r="AM864" i="15"/>
  <c r="AN864" i="15" s="1"/>
  <c r="BI603" i="15"/>
  <c r="BK603" i="15" s="1"/>
  <c r="BL603" i="15" s="1"/>
  <c r="AM603" i="15"/>
  <c r="AN603" i="15" s="1"/>
  <c r="BI764" i="15"/>
  <c r="BK764" i="15" s="1"/>
  <c r="BL764" i="15" s="1"/>
  <c r="AM764" i="15"/>
  <c r="AN764" i="15" s="1"/>
  <c r="BI103" i="15"/>
  <c r="BK103" i="15" s="1"/>
  <c r="BL103" i="15" s="1"/>
  <c r="AM103" i="15"/>
  <c r="AN103" i="15" s="1"/>
  <c r="BI314" i="15"/>
  <c r="BK314" i="15" s="1"/>
  <c r="BL314" i="15" s="1"/>
  <c r="AM314" i="15"/>
  <c r="AN314" i="15" s="1"/>
  <c r="BI831" i="15"/>
  <c r="BK831" i="15" s="1"/>
  <c r="BL831" i="15" s="1"/>
  <c r="AM831" i="15"/>
  <c r="AN831" i="15" s="1"/>
  <c r="BI87" i="15"/>
  <c r="BK87" i="15" s="1"/>
  <c r="BL87" i="15" s="1"/>
  <c r="AM87" i="15"/>
  <c r="AN87" i="15" s="1"/>
  <c r="BI669" i="15"/>
  <c r="BK669" i="15" s="1"/>
  <c r="BL669" i="15" s="1"/>
  <c r="AM669" i="15"/>
  <c r="AN669" i="15" s="1"/>
  <c r="BI648" i="15"/>
  <c r="BK648" i="15" s="1"/>
  <c r="BL648" i="15" s="1"/>
  <c r="AM648" i="15"/>
  <c r="AN648" i="15" s="1"/>
  <c r="BG774" i="15"/>
  <c r="BE536" i="15"/>
  <c r="BF536" i="15" s="1"/>
  <c r="BG352" i="15"/>
  <c r="BG612" i="15"/>
  <c r="BG344" i="15"/>
  <c r="AK8" i="15"/>
  <c r="AL8" i="15"/>
  <c r="BJ8" i="15" s="1"/>
  <c r="BG114" i="15"/>
  <c r="BG622" i="15"/>
  <c r="AK491" i="15"/>
  <c r="AL491" i="15"/>
  <c r="BJ491" i="15" s="1"/>
  <c r="BC536" i="15"/>
  <c r="BD536" i="15" s="1"/>
  <c r="BG626" i="15"/>
  <c r="AL744" i="15"/>
  <c r="BJ744" i="15" s="1"/>
  <c r="AK744" i="15"/>
  <c r="AK283" i="15"/>
  <c r="AL283" i="15"/>
  <c r="BJ283" i="15" s="1"/>
  <c r="BG120" i="15"/>
  <c r="AL602" i="15"/>
  <c r="BJ602" i="15" s="1"/>
  <c r="AK602" i="15"/>
  <c r="AK151" i="15"/>
  <c r="AL151" i="15"/>
  <c r="BJ151" i="15" s="1"/>
  <c r="BG42" i="15"/>
  <c r="BG116" i="15"/>
  <c r="BG413" i="15"/>
  <c r="BG128" i="15"/>
  <c r="BG348" i="15"/>
  <c r="BG527" i="15"/>
  <c r="BG634" i="15"/>
  <c r="BG653" i="15"/>
  <c r="BG311" i="15"/>
  <c r="BG112" i="15"/>
  <c r="BG85" i="15"/>
  <c r="BG358" i="15"/>
  <c r="BG307" i="15"/>
  <c r="BG789" i="15"/>
  <c r="BG362" i="15"/>
  <c r="BG793" i="15"/>
  <c r="BG77" i="15"/>
  <c r="BG758" i="15"/>
  <c r="BG801" i="15"/>
  <c r="BG354" i="15"/>
  <c r="BG342" i="15"/>
  <c r="BG618" i="15"/>
  <c r="BG624" i="15"/>
  <c r="BG376" i="15"/>
  <c r="BG295" i="15"/>
  <c r="BG380" i="15"/>
  <c r="BG452" i="15"/>
  <c r="BG608" i="15"/>
  <c r="BG384" i="15"/>
  <c r="BG106" i="15"/>
  <c r="AJ87" i="15"/>
  <c r="BG606" i="15"/>
  <c r="BA47" i="15"/>
  <c r="AZ44" i="15"/>
  <c r="BA44" i="15" s="1"/>
  <c r="BA105" i="15"/>
  <c r="AZ103" i="15"/>
  <c r="BA103" i="15" s="1"/>
  <c r="BA89" i="15"/>
  <c r="AZ87" i="15"/>
  <c r="BA87" i="15" s="1"/>
  <c r="BA11" i="15"/>
  <c r="AZ9" i="15"/>
  <c r="BA133" i="15"/>
  <c r="AZ131" i="15"/>
  <c r="BA131" i="15" s="1"/>
  <c r="AY389" i="15"/>
  <c r="AZ389" i="15" s="1"/>
  <c r="AJ387" i="15"/>
  <c r="AY720" i="15"/>
  <c r="AZ720" i="15" s="1"/>
  <c r="AJ718" i="15"/>
  <c r="AY671" i="15"/>
  <c r="AZ671" i="15" s="1"/>
  <c r="AJ669" i="15"/>
  <c r="AJ697" i="15"/>
  <c r="AY699" i="15"/>
  <c r="AZ699" i="15" s="1"/>
  <c r="AJ787" i="15"/>
  <c r="AY789" i="15"/>
  <c r="AZ789" i="15" s="1"/>
  <c r="AJ492" i="15"/>
  <c r="AY494" i="15"/>
  <c r="AZ494" i="15" s="1"/>
  <c r="AY812" i="15"/>
  <c r="AZ812" i="15" s="1"/>
  <c r="AJ810" i="15"/>
  <c r="AY574" i="15"/>
  <c r="AZ574" i="15" s="1"/>
  <c r="AJ572" i="15"/>
  <c r="AY514" i="15"/>
  <c r="AZ514" i="15" s="1"/>
  <c r="AJ512" i="15"/>
  <c r="BG628" i="15"/>
  <c r="BG356" i="15"/>
  <c r="BG421" i="15"/>
  <c r="BG661" i="15"/>
  <c r="BG815" i="15"/>
  <c r="BG519" i="15"/>
  <c r="AY245" i="15"/>
  <c r="AZ245" i="15" s="1"/>
  <c r="AJ243" i="15"/>
  <c r="AJ152" i="15"/>
  <c r="AY154" i="15"/>
  <c r="AZ154" i="15" s="1"/>
  <c r="AY747" i="15"/>
  <c r="AZ747" i="15" s="1"/>
  <c r="AJ745" i="15"/>
  <c r="AJ831" i="15"/>
  <c r="AY833" i="15"/>
  <c r="AZ833" i="15" s="1"/>
  <c r="AY639" i="15"/>
  <c r="AZ639" i="15" s="1"/>
  <c r="AJ637" i="15"/>
  <c r="AJ131" i="15"/>
  <c r="AY231" i="15"/>
  <c r="AZ231" i="15" s="1"/>
  <c r="AJ229" i="15"/>
  <c r="AJ474" i="15"/>
  <c r="AY476" i="15"/>
  <c r="AZ476" i="15" s="1"/>
  <c r="AY766" i="15"/>
  <c r="AZ766" i="15" s="1"/>
  <c r="AJ764" i="15"/>
  <c r="AY866" i="15"/>
  <c r="AZ866" i="15" s="1"/>
  <c r="AJ864" i="15"/>
  <c r="AY201" i="15"/>
  <c r="AZ201" i="15" s="1"/>
  <c r="AJ199" i="15"/>
  <c r="AY316" i="15"/>
  <c r="AZ316" i="15" s="1"/>
  <c r="AJ314" i="15"/>
  <c r="AY554" i="15"/>
  <c r="AJ552" i="15"/>
  <c r="AY71" i="15"/>
  <c r="AZ71" i="15" s="1"/>
  <c r="AJ68" i="15"/>
  <c r="AY38" i="15"/>
  <c r="AZ38" i="15" s="1"/>
  <c r="AJ35" i="15"/>
  <c r="AJ44" i="15"/>
  <c r="AJ263" i="15"/>
  <c r="AY265" i="15"/>
  <c r="AZ265" i="15" s="1"/>
  <c r="AY178" i="15"/>
  <c r="AZ178" i="15" s="1"/>
  <c r="AJ176" i="15"/>
  <c r="AY605" i="15"/>
  <c r="AZ605" i="15" s="1"/>
  <c r="AJ603" i="15"/>
  <c r="AY538" i="15"/>
  <c r="AZ538" i="15" s="1"/>
  <c r="AJ536" i="15"/>
  <c r="AY426" i="15"/>
  <c r="AZ426" i="15" s="1"/>
  <c r="AJ424" i="15"/>
  <c r="AY342" i="15"/>
  <c r="AZ342" i="15" s="1"/>
  <c r="AJ340" i="15"/>
  <c r="AY286" i="15"/>
  <c r="AZ286" i="15" s="1"/>
  <c r="AJ284" i="15"/>
  <c r="AJ9" i="15"/>
  <c r="AJ448" i="15"/>
  <c r="AY450" i="15"/>
  <c r="AZ450" i="15" s="1"/>
  <c r="AY650" i="15"/>
  <c r="AZ650" i="15" s="1"/>
  <c r="AJ648" i="15"/>
  <c r="BG614" i="15"/>
  <c r="BG723" i="15"/>
  <c r="BG40" i="15"/>
  <c r="BG309" i="15"/>
  <c r="BG784" i="15"/>
  <c r="BG620" i="15"/>
  <c r="AJ103" i="15"/>
  <c r="BG776" i="15"/>
  <c r="BG610" i="15"/>
  <c r="BG297" i="15"/>
  <c r="BG110" i="15"/>
  <c r="BG870" i="15"/>
  <c r="BG872" i="15"/>
  <c r="BG878" i="15"/>
  <c r="BG293" i="15"/>
  <c r="BG346" i="15"/>
  <c r="BG364" i="15"/>
  <c r="BG126" i="15"/>
  <c r="BG118" i="15"/>
  <c r="BG287" i="15"/>
  <c r="BG370" i="15"/>
  <c r="BG122" i="15"/>
  <c r="BG632" i="15"/>
  <c r="BG791" i="15"/>
  <c r="BG894" i="15"/>
  <c r="BG721" i="15"/>
  <c r="BG884" i="15"/>
  <c r="BG766" i="15"/>
  <c r="BG658" i="15"/>
  <c r="BG797" i="15"/>
  <c r="BG303" i="15"/>
  <c r="BG374" i="15"/>
  <c r="BG735" i="15"/>
  <c r="BG378" i="15"/>
  <c r="BG481" i="15"/>
  <c r="BG731" i="15"/>
  <c r="BG737" i="15"/>
  <c r="BG892" i="15"/>
  <c r="BG896" i="15"/>
  <c r="BG739" i="15"/>
  <c r="BG71" i="15"/>
  <c r="BG729" i="15"/>
  <c r="BG289" i="15"/>
  <c r="BG360" i="15"/>
  <c r="BG299" i="15"/>
  <c r="BG868" i="15"/>
  <c r="BG876" i="15"/>
  <c r="BG291" i="15"/>
  <c r="BG880" i="15"/>
  <c r="BG305" i="15"/>
  <c r="BG727" i="15"/>
  <c r="BG888" i="15"/>
  <c r="BD286" i="15"/>
  <c r="BC284" i="15"/>
  <c r="BF178" i="15"/>
  <c r="BE176" i="15"/>
  <c r="BF176" i="15" s="1"/>
  <c r="BD389" i="15"/>
  <c r="BC387" i="15"/>
  <c r="BD387" i="15" s="1"/>
  <c r="BF231" i="15"/>
  <c r="BE229" i="15"/>
  <c r="BF229" i="15" s="1"/>
  <c r="BC474" i="15"/>
  <c r="BD474" i="15" s="1"/>
  <c r="BD476" i="15"/>
  <c r="BC176" i="15"/>
  <c r="BD176" i="15" s="1"/>
  <c r="BD178" i="15"/>
  <c r="BF389" i="15"/>
  <c r="BE387" i="15"/>
  <c r="BF387" i="15" s="1"/>
  <c r="BD231" i="15"/>
  <c r="BC229" i="15"/>
  <c r="BD229" i="15" s="1"/>
  <c r="BF476" i="15"/>
  <c r="BE474" i="15"/>
  <c r="BF474" i="15" s="1"/>
  <c r="BD265" i="15"/>
  <c r="BC263" i="15"/>
  <c r="BD263" i="15" s="1"/>
  <c r="BG38" i="15"/>
  <c r="BD38" i="15"/>
  <c r="BC243" i="15"/>
  <c r="BD243" i="15" s="1"/>
  <c r="BD245" i="15"/>
  <c r="BD450" i="15"/>
  <c r="BC448" i="15"/>
  <c r="BD448" i="15" s="1"/>
  <c r="BD201" i="15"/>
  <c r="BC199" i="15"/>
  <c r="BD199" i="15" s="1"/>
  <c r="BD154" i="15"/>
  <c r="BC152" i="15"/>
  <c r="BC424" i="15"/>
  <c r="BD424" i="15" s="1"/>
  <c r="BD426" i="15"/>
  <c r="BF265" i="15"/>
  <c r="BE263" i="15"/>
  <c r="BF263" i="15" s="1"/>
  <c r="BF245" i="15"/>
  <c r="BE243" i="15"/>
  <c r="BF243" i="15" s="1"/>
  <c r="BF450" i="15"/>
  <c r="BE448" i="15"/>
  <c r="BF448" i="15" s="1"/>
  <c r="BF201" i="15"/>
  <c r="BE199" i="15"/>
  <c r="BF199" i="15" s="1"/>
  <c r="BF154" i="15"/>
  <c r="BE152" i="15"/>
  <c r="BF426" i="15"/>
  <c r="BE424" i="15"/>
  <c r="BF424" i="15" s="1"/>
  <c r="BE35" i="15"/>
  <c r="BF35" i="15" s="1"/>
  <c r="BC864" i="15"/>
  <c r="BD864" i="15" s="1"/>
  <c r="BE340" i="15"/>
  <c r="BF340" i="15" s="1"/>
  <c r="BE864" i="15"/>
  <c r="BF864" i="15" s="1"/>
  <c r="BC340" i="15"/>
  <c r="BD340" i="15" s="1"/>
  <c r="AD8" i="15"/>
  <c r="AH8" i="15"/>
  <c r="AI8" i="15" s="1"/>
  <c r="U6" i="15"/>
  <c r="AB6" i="15"/>
  <c r="BE131" i="15"/>
  <c r="BF131" i="15" s="1"/>
  <c r="BE44" i="15"/>
  <c r="BF44" i="15" s="1"/>
  <c r="BC44" i="15"/>
  <c r="BD44" i="15" s="1"/>
  <c r="AE35" i="15"/>
  <c r="AG35" i="15" s="1"/>
  <c r="AE131" i="15"/>
  <c r="AG131" i="15" s="1"/>
  <c r="AE68" i="15"/>
  <c r="AG68" i="15" s="1"/>
  <c r="AE9" i="15"/>
  <c r="AG9" i="15" s="1"/>
  <c r="BC68" i="15"/>
  <c r="BD68" i="15" s="1"/>
  <c r="BE68" i="15"/>
  <c r="BF68" i="15" s="1"/>
  <c r="BC87" i="15"/>
  <c r="BD87" i="15" s="1"/>
  <c r="BE103" i="15"/>
  <c r="BF103" i="15" s="1"/>
  <c r="AE44" i="15"/>
  <c r="AG44" i="15" s="1"/>
  <c r="BC35" i="15"/>
  <c r="BD35" i="15" s="1"/>
  <c r="AE87" i="15"/>
  <c r="AG87" i="15" s="1"/>
  <c r="BC131" i="15"/>
  <c r="BD131" i="15" s="1"/>
  <c r="BE87" i="15"/>
  <c r="BF87" i="15" s="1"/>
  <c r="BC103" i="15"/>
  <c r="BD103" i="15" s="1"/>
  <c r="AE103" i="15"/>
  <c r="AG103" i="15" s="1"/>
  <c r="BG135" i="15"/>
  <c r="BG147" i="15"/>
  <c r="AH283" i="15"/>
  <c r="AI283" i="15" s="1"/>
  <c r="BG133" i="15"/>
  <c r="BG594" i="15"/>
  <c r="BG578" i="15"/>
  <c r="BG779" i="15"/>
  <c r="BG760" i="15"/>
  <c r="BG556" i="15"/>
  <c r="BG528" i="15"/>
  <c r="BG496" i="15"/>
  <c r="BG509" i="15"/>
  <c r="BG679" i="15"/>
  <c r="BG761" i="15"/>
  <c r="BG848" i="15"/>
  <c r="BG777" i="15"/>
  <c r="BG750" i="15"/>
  <c r="BG785" i="15"/>
  <c r="BG846" i="15"/>
  <c r="BG860" i="15"/>
  <c r="BG827" i="15"/>
  <c r="BG855" i="15"/>
  <c r="BG780" i="15"/>
  <c r="BG806" i="15"/>
  <c r="BG517" i="15"/>
  <c r="BG690" i="15"/>
  <c r="BG724" i="15"/>
  <c r="BG829" i="15"/>
  <c r="BG867" i="15"/>
  <c r="BG862" i="15"/>
  <c r="BG580" i="15"/>
  <c r="BG596" i="15"/>
  <c r="BG659" i="15"/>
  <c r="BG541" i="15"/>
  <c r="BG524" i="15"/>
  <c r="BG640" i="15"/>
  <c r="BG753" i="15"/>
  <c r="BG881" i="15"/>
  <c r="BG715" i="15"/>
  <c r="BG550" i="15"/>
  <c r="BG574" i="15"/>
  <c r="BG575" i="15"/>
  <c r="BG591" i="15"/>
  <c r="BG783" i="15"/>
  <c r="BG836" i="15"/>
  <c r="BG850" i="15"/>
  <c r="BG268" i="15"/>
  <c r="BG276" i="15"/>
  <c r="BG521" i="15"/>
  <c r="BG569" i="15"/>
  <c r="BG561" i="15"/>
  <c r="BG568" i="15"/>
  <c r="BG613" i="15"/>
  <c r="BG629" i="15"/>
  <c r="BG497" i="15"/>
  <c r="BG514" i="15"/>
  <c r="BG663" i="15"/>
  <c r="BG532" i="15"/>
  <c r="BG619" i="15"/>
  <c r="BG757" i="15"/>
  <c r="BG706" i="15"/>
  <c r="BG879" i="15"/>
  <c r="BG773" i="15"/>
  <c r="BG887" i="15"/>
  <c r="BG558" i="15"/>
  <c r="BG692" i="15"/>
  <c r="BG520" i="15"/>
  <c r="BG800" i="15"/>
  <c r="BG660" i="15"/>
  <c r="BG507" i="15"/>
  <c r="BG689" i="15"/>
  <c r="BG599" i="15"/>
  <c r="BG778" i="15"/>
  <c r="BG707" i="15"/>
  <c r="BG882" i="15"/>
  <c r="BG803" i="15"/>
  <c r="BG584" i="15"/>
  <c r="BG749" i="15"/>
  <c r="BG725" i="15"/>
  <c r="BG754" i="15"/>
  <c r="BG854" i="15"/>
  <c r="BG277" i="15"/>
  <c r="BC9" i="15"/>
  <c r="BG142" i="15"/>
  <c r="BG775" i="15"/>
  <c r="BG577" i="15"/>
  <c r="BG593" i="15"/>
  <c r="BG545" i="15"/>
  <c r="BG821" i="15"/>
  <c r="BG842" i="15"/>
  <c r="BG665" i="15"/>
  <c r="BG270" i="15"/>
  <c r="BG278" i="15"/>
  <c r="BG525" i="15"/>
  <c r="BG563" i="15"/>
  <c r="BG531" i="15"/>
  <c r="BG529" i="15"/>
  <c r="BG651" i="15"/>
  <c r="BG675" i="15"/>
  <c r="BG747" i="15"/>
  <c r="BG530" i="15"/>
  <c r="BG683" i="15"/>
  <c r="BG770" i="15"/>
  <c r="BG688" i="15"/>
  <c r="BG742" i="15"/>
  <c r="BG759" i="15"/>
  <c r="BG808" i="15"/>
  <c r="BG796" i="15"/>
  <c r="BG704" i="15"/>
  <c r="BG847" i="15"/>
  <c r="BG893" i="15"/>
  <c r="BG838" i="15"/>
  <c r="BG889" i="15"/>
  <c r="BG845" i="15"/>
  <c r="BG843" i="15"/>
  <c r="BG627" i="15"/>
  <c r="BG646" i="15"/>
  <c r="BG895" i="15"/>
  <c r="BG871" i="15"/>
  <c r="BG849" i="15"/>
  <c r="BG502" i="15"/>
  <c r="BG856" i="15"/>
  <c r="BG656" i="15"/>
  <c r="BG522" i="15"/>
  <c r="BG673" i="15"/>
  <c r="BG825" i="15"/>
  <c r="BG866" i="15"/>
  <c r="BG822" i="15"/>
  <c r="BG835" i="15"/>
  <c r="BG678" i="15"/>
  <c r="BG518" i="15"/>
  <c r="BG588" i="15"/>
  <c r="BG639" i="15"/>
  <c r="BG145" i="15"/>
  <c r="BG662" i="15"/>
  <c r="BG510" i="15"/>
  <c r="BG869" i="15"/>
  <c r="BG654" i="15"/>
  <c r="BG643" i="15"/>
  <c r="BG495" i="15"/>
  <c r="BG684" i="15"/>
  <c r="BG681" i="15"/>
  <c r="BG693" i="15"/>
  <c r="BG768" i="15"/>
  <c r="BG713" i="15"/>
  <c r="BG818" i="15"/>
  <c r="BG891" i="15"/>
  <c r="BG141" i="15"/>
  <c r="BG589" i="15"/>
  <c r="BG616" i="15"/>
  <c r="BG570" i="15"/>
  <c r="BG554" i="15"/>
  <c r="BG504" i="15"/>
  <c r="BG722" i="15"/>
  <c r="BG598" i="15"/>
  <c r="BG650" i="15"/>
  <c r="BG874" i="15"/>
  <c r="BG883" i="15"/>
  <c r="BG897" i="15"/>
  <c r="BG844" i="15"/>
  <c r="BG269" i="15"/>
  <c r="BG144" i="15"/>
  <c r="BG582" i="15"/>
  <c r="BG526" i="15"/>
  <c r="BG645" i="15"/>
  <c r="BG548" i="15"/>
  <c r="BG587" i="15"/>
  <c r="BG652" i="15"/>
  <c r="BG564" i="15"/>
  <c r="BG557" i="15"/>
  <c r="BG607" i="15"/>
  <c r="BG623" i="15"/>
  <c r="BG501" i="15"/>
  <c r="BG609" i="15"/>
  <c r="BG625" i="15"/>
  <c r="BG752" i="15"/>
  <c r="BG712" i="15"/>
  <c r="BG772" i="15"/>
  <c r="BG802" i="15"/>
  <c r="BG839" i="15"/>
  <c r="BG824" i="15"/>
  <c r="BG769" i="15"/>
  <c r="BG714" i="15"/>
  <c r="BG710" i="15"/>
  <c r="BG853" i="15"/>
  <c r="BG703" i="15"/>
  <c r="BG890" i="15"/>
  <c r="BG546" i="15"/>
  <c r="BG549" i="15"/>
  <c r="BG795" i="15"/>
  <c r="BG741" i="15"/>
  <c r="BG771" i="15"/>
  <c r="BG136" i="15"/>
  <c r="BG267" i="15"/>
  <c r="BG275" i="15"/>
  <c r="BG567" i="15"/>
  <c r="BG644" i="15"/>
  <c r="BG538" i="15"/>
  <c r="BG666" i="15"/>
  <c r="BG671" i="15"/>
  <c r="BG816" i="15"/>
  <c r="BG705" i="15"/>
  <c r="BG790" i="15"/>
  <c r="BG695" i="15"/>
  <c r="BG547" i="15"/>
  <c r="BG586" i="15"/>
  <c r="BG812" i="15"/>
  <c r="BG581" i="15"/>
  <c r="BG597" i="15"/>
  <c r="BG590" i="15"/>
  <c r="BG534" i="15"/>
  <c r="BG583" i="15"/>
  <c r="BG686" i="15"/>
  <c r="BG858" i="15"/>
  <c r="BG814" i="15"/>
  <c r="BG738" i="15"/>
  <c r="BG505" i="15"/>
  <c r="BG611" i="15"/>
  <c r="BG635" i="15"/>
  <c r="BG672" i="15"/>
  <c r="BG841" i="15"/>
  <c r="BG861" i="15"/>
  <c r="BG857" i="15"/>
  <c r="BG664" i="15"/>
  <c r="BG506" i="15"/>
  <c r="BG676" i="15"/>
  <c r="BG542" i="15"/>
  <c r="BG600" i="15"/>
  <c r="BG740" i="15"/>
  <c r="BG699" i="15"/>
  <c r="BG851" i="15"/>
  <c r="BG137" i="15"/>
  <c r="BG576" i="15"/>
  <c r="BG592" i="15"/>
  <c r="BG544" i="15"/>
  <c r="BG767" i="15"/>
  <c r="BG266" i="15"/>
  <c r="BG140" i="15"/>
  <c r="BG265" i="15"/>
  <c r="BG273" i="15"/>
  <c r="BG281" i="15"/>
  <c r="BG134" i="15"/>
  <c r="BG148" i="15"/>
  <c r="BG508" i="15"/>
  <c r="BG585" i="15"/>
  <c r="BG579" i="15"/>
  <c r="BG595" i="15"/>
  <c r="BG834" i="15"/>
  <c r="BG149" i="15"/>
  <c r="BG139" i="15"/>
  <c r="BG274" i="15"/>
  <c r="BG728" i="15"/>
  <c r="BG515" i="15"/>
  <c r="BG813" i="15"/>
  <c r="BG555" i="15"/>
  <c r="BG523" i="15"/>
  <c r="BG566" i="15"/>
  <c r="BG667" i="15"/>
  <c r="BG615" i="15"/>
  <c r="BG631" i="15"/>
  <c r="BG730" i="15"/>
  <c r="BG655" i="15"/>
  <c r="BG516" i="15"/>
  <c r="BG617" i="15"/>
  <c r="BG633" i="15"/>
  <c r="BG694" i="15"/>
  <c r="BG726" i="15"/>
  <c r="BG798" i="15"/>
  <c r="BG700" i="15"/>
  <c r="BG708" i="15"/>
  <c r="BG885" i="15"/>
  <c r="BG781" i="15"/>
  <c r="BG877" i="15"/>
  <c r="BG828" i="15"/>
  <c r="BG875" i="15"/>
  <c r="BG734" i="15"/>
  <c r="BG702" i="15"/>
  <c r="BG852" i="15"/>
  <c r="BG840" i="15"/>
  <c r="BG873" i="15"/>
  <c r="BG500" i="15"/>
  <c r="BG539" i="15"/>
  <c r="BG499" i="15"/>
  <c r="BG711" i="15"/>
  <c r="BG898" i="15"/>
  <c r="BG826" i="15"/>
  <c r="BG859" i="15"/>
  <c r="BG756" i="15"/>
  <c r="BG886" i="15"/>
  <c r="BG762" i="15"/>
  <c r="BG733" i="15"/>
  <c r="BG820" i="15"/>
  <c r="BG143" i="15"/>
  <c r="BG271" i="15"/>
  <c r="BG279" i="15"/>
  <c r="BE9" i="15"/>
  <c r="BG138" i="15"/>
  <c r="BG792" i="15"/>
  <c r="BG494" i="15"/>
  <c r="BG560" i="15"/>
  <c r="BG677" i="15"/>
  <c r="BG817" i="15"/>
  <c r="BG498" i="15"/>
  <c r="BG691" i="15"/>
  <c r="BG503" i="15"/>
  <c r="BG641" i="15"/>
  <c r="BG685" i="15"/>
  <c r="BG732" i="15"/>
  <c r="BG680" i="15"/>
  <c r="BG716" i="15"/>
  <c r="BG701" i="15"/>
  <c r="BG709" i="15"/>
  <c r="BG751" i="15"/>
  <c r="BG823" i="15"/>
  <c r="BG794" i="15"/>
  <c r="BG272" i="15"/>
  <c r="BG280" i="15"/>
  <c r="BG543" i="15"/>
  <c r="BG736" i="15"/>
  <c r="BG533" i="15"/>
  <c r="BG562" i="15"/>
  <c r="BG559" i="15"/>
  <c r="BG605" i="15"/>
  <c r="BG621" i="15"/>
  <c r="BG642" i="15"/>
  <c r="BG540" i="15"/>
  <c r="BG804" i="15"/>
  <c r="BG748" i="15"/>
  <c r="BG565" i="15"/>
  <c r="BG682" i="15"/>
  <c r="BG674" i="15"/>
  <c r="BG687" i="15"/>
  <c r="BG755" i="15"/>
  <c r="BG833" i="15"/>
  <c r="BG837" i="15"/>
  <c r="BG819" i="15"/>
  <c r="BG146" i="15"/>
  <c r="BG420" i="15"/>
  <c r="BG477" i="15"/>
  <c r="BG80" i="15"/>
  <c r="BG101" i="15"/>
  <c r="BG225" i="15"/>
  <c r="BG171" i="15"/>
  <c r="BG168" i="15"/>
  <c r="BG192" i="15"/>
  <c r="BG224" i="15"/>
  <c r="BG245" i="15"/>
  <c r="BG96" i="15"/>
  <c r="BG173" i="15"/>
  <c r="BG165" i="15"/>
  <c r="BG174" i="15"/>
  <c r="BG439" i="15"/>
  <c r="BG392" i="15"/>
  <c r="BG450" i="15"/>
  <c r="BG467" i="15"/>
  <c r="BG462" i="15"/>
  <c r="BG330" i="15"/>
  <c r="BG428" i="15"/>
  <c r="BG444" i="15"/>
  <c r="BG127" i="15"/>
  <c r="BG216" i="15"/>
  <c r="BG304" i="15"/>
  <c r="BG373" i="15"/>
  <c r="BG201" i="15"/>
  <c r="BG248" i="15"/>
  <c r="BG256" i="15"/>
  <c r="BG117" i="15"/>
  <c r="BG383" i="15"/>
  <c r="BG193" i="15"/>
  <c r="BG178" i="15"/>
  <c r="BG194" i="15"/>
  <c r="BG221" i="15"/>
  <c r="BG310" i="15"/>
  <c r="BG363" i="15"/>
  <c r="BG317" i="15"/>
  <c r="BG486" i="15"/>
  <c r="BG238" i="15"/>
  <c r="BG389" i="15"/>
  <c r="BG454" i="15"/>
  <c r="BG329" i="15"/>
  <c r="BG402" i="15"/>
  <c r="BG334" i="15"/>
  <c r="BG407" i="15"/>
  <c r="BG78" i="15"/>
  <c r="BG115" i="15"/>
  <c r="BG203" i="15"/>
  <c r="BG219" i="15"/>
  <c r="BG237" i="15"/>
  <c r="BG113" i="15"/>
  <c r="BG163" i="15"/>
  <c r="BG214" i="15"/>
  <c r="BG231" i="15"/>
  <c r="BG328" i="15"/>
  <c r="BG409" i="15"/>
  <c r="BG466" i="15"/>
  <c r="BG323" i="15"/>
  <c r="BG338" i="15"/>
  <c r="BG416" i="15"/>
  <c r="BG440" i="15"/>
  <c r="BG182" i="15"/>
  <c r="BG302" i="15"/>
  <c r="BG371" i="15"/>
  <c r="BG179" i="15"/>
  <c r="BG195" i="15"/>
  <c r="BG250" i="15"/>
  <c r="BG258" i="15"/>
  <c r="BG345" i="15"/>
  <c r="BG377" i="15"/>
  <c r="BG240" i="15"/>
  <c r="BG353" i="15"/>
  <c r="BG92" i="15"/>
  <c r="BG190" i="15"/>
  <c r="BG189" i="15"/>
  <c r="BG207" i="15"/>
  <c r="BG312" i="15"/>
  <c r="BG365" i="15"/>
  <c r="BG437" i="15"/>
  <c r="BG458" i="15"/>
  <c r="BG476" i="15"/>
  <c r="BG429" i="15"/>
  <c r="BG415" i="15"/>
  <c r="BG398" i="15"/>
  <c r="BG326" i="15"/>
  <c r="BG411" i="15"/>
  <c r="BG434" i="15"/>
  <c r="BG463" i="15"/>
  <c r="BG465" i="15"/>
  <c r="BE572" i="15"/>
  <c r="BF572" i="15" s="1"/>
  <c r="BC572" i="15"/>
  <c r="BD572" i="15" s="1"/>
  <c r="BG412" i="15"/>
  <c r="BG487" i="15"/>
  <c r="BG479" i="15"/>
  <c r="BG82" i="15"/>
  <c r="BG76" i="15"/>
  <c r="BG241" i="15"/>
  <c r="BG160" i="15"/>
  <c r="BG202" i="15"/>
  <c r="BG257" i="15"/>
  <c r="BG417" i="15"/>
  <c r="BG320" i="15"/>
  <c r="BG401" i="15"/>
  <c r="BG327" i="15"/>
  <c r="BG180" i="15"/>
  <c r="BG215" i="15"/>
  <c r="BG290" i="15"/>
  <c r="BG343" i="15"/>
  <c r="BG375" i="15"/>
  <c r="BG351" i="15"/>
  <c r="BG95" i="15"/>
  <c r="BG419" i="15"/>
  <c r="BG464" i="15"/>
  <c r="BG443" i="15"/>
  <c r="BG430" i="15"/>
  <c r="BG446" i="15"/>
  <c r="BG84" i="15"/>
  <c r="BG97" i="15"/>
  <c r="BG155" i="15"/>
  <c r="BG220" i="15"/>
  <c r="BG249" i="15"/>
  <c r="BG259" i="15"/>
  <c r="BG204" i="15"/>
  <c r="BG395" i="15"/>
  <c r="BG469" i="15"/>
  <c r="BG456" i="15"/>
  <c r="BG72" i="15"/>
  <c r="BG211" i="15"/>
  <c r="BG292" i="15"/>
  <c r="BG129" i="15"/>
  <c r="BG209" i="15"/>
  <c r="BG99" i="15"/>
  <c r="BG337" i="15"/>
  <c r="BG234" i="15"/>
  <c r="BG332" i="15"/>
  <c r="BG435" i="15"/>
  <c r="BE314" i="15"/>
  <c r="BF314" i="15" s="1"/>
  <c r="BC314" i="15"/>
  <c r="BD314" i="15" s="1"/>
  <c r="BE284" i="15"/>
  <c r="BC552" i="15"/>
  <c r="BD552" i="15" s="1"/>
  <c r="BE552" i="15"/>
  <c r="BF552" i="15" s="1"/>
  <c r="BG489" i="15"/>
  <c r="BG483" i="15"/>
  <c r="BG485" i="15"/>
  <c r="BG301" i="15"/>
  <c r="BG366" i="15"/>
  <c r="BG451" i="15"/>
  <c r="BG350" i="15"/>
  <c r="BG93" i="15"/>
  <c r="BG159" i="15"/>
  <c r="BG184" i="15"/>
  <c r="BG208" i="15"/>
  <c r="BG233" i="15"/>
  <c r="BG125" i="15"/>
  <c r="BG251" i="15"/>
  <c r="BG157" i="15"/>
  <c r="BG156" i="15"/>
  <c r="BG212" i="15"/>
  <c r="BG468" i="15"/>
  <c r="BG158" i="15"/>
  <c r="BG235" i="15"/>
  <c r="BG336" i="15"/>
  <c r="BG422" i="15"/>
  <c r="BG319" i="15"/>
  <c r="BG335" i="15"/>
  <c r="BG400" i="15"/>
  <c r="BG471" i="15"/>
  <c r="BG436" i="15"/>
  <c r="BG253" i="15"/>
  <c r="BG185" i="15"/>
  <c r="BG288" i="15"/>
  <c r="BG357" i="15"/>
  <c r="BG217" i="15"/>
  <c r="BG260" i="15"/>
  <c r="BG100" i="15"/>
  <c r="BG186" i="15"/>
  <c r="BG205" i="15"/>
  <c r="BG294" i="15"/>
  <c r="BG347" i="15"/>
  <c r="BG379" i="15"/>
  <c r="BG390" i="15"/>
  <c r="BG324" i="15"/>
  <c r="BG405" i="15"/>
  <c r="BG484" i="15"/>
  <c r="BG321" i="15"/>
  <c r="BG445" i="15"/>
  <c r="BG433" i="15"/>
  <c r="BG333" i="15"/>
  <c r="BG391" i="15"/>
  <c r="BG480" i="15"/>
  <c r="BG418" i="15"/>
  <c r="BG74" i="15"/>
  <c r="BG89" i="15"/>
  <c r="BG236" i="15"/>
  <c r="BG206" i="15"/>
  <c r="BG161" i="15"/>
  <c r="BG210" i="15"/>
  <c r="BG226" i="15"/>
  <c r="BG105" i="15"/>
  <c r="BG94" i="15"/>
  <c r="BG223" i="15"/>
  <c r="BG166" i="15"/>
  <c r="BG431" i="15"/>
  <c r="BG154" i="15"/>
  <c r="BG331" i="15"/>
  <c r="BG404" i="15"/>
  <c r="BG470" i="15"/>
  <c r="BG322" i="15"/>
  <c r="BG432" i="15"/>
  <c r="BG455" i="15"/>
  <c r="BG457" i="15"/>
  <c r="BG167" i="15"/>
  <c r="BG286" i="15"/>
  <c r="BG355" i="15"/>
  <c r="BG187" i="15"/>
  <c r="BG246" i="15"/>
  <c r="BG254" i="15"/>
  <c r="BG361" i="15"/>
  <c r="BG227" i="15"/>
  <c r="BG369" i="15"/>
  <c r="BG91" i="15"/>
  <c r="BG98" i="15"/>
  <c r="BG181" i="15"/>
  <c r="BG197" i="15"/>
  <c r="BG296" i="15"/>
  <c r="BG349" i="15"/>
  <c r="BG381" i="15"/>
  <c r="BG394" i="15"/>
  <c r="BG478" i="15"/>
  <c r="BG170" i="15"/>
  <c r="BG396" i="15"/>
  <c r="BG441" i="15"/>
  <c r="BG406" i="15"/>
  <c r="BG399" i="15"/>
  <c r="BG414" i="15"/>
  <c r="BG488" i="15"/>
  <c r="BG426" i="15"/>
  <c r="BG442" i="15"/>
  <c r="BG459" i="15"/>
  <c r="BG382" i="15"/>
  <c r="BG119" i="15"/>
  <c r="BG111" i="15"/>
  <c r="BG183" i="15"/>
  <c r="BG222" i="15"/>
  <c r="BG188" i="15"/>
  <c r="BG218" i="15"/>
  <c r="BG472" i="15"/>
  <c r="BG453" i="15"/>
  <c r="BG403" i="15"/>
  <c r="BG410" i="15"/>
  <c r="BG107" i="15"/>
  <c r="BG196" i="15"/>
  <c r="BG252" i="15"/>
  <c r="BG306" i="15"/>
  <c r="BG359" i="15"/>
  <c r="BG109" i="15"/>
  <c r="BG232" i="15"/>
  <c r="BG298" i="15"/>
  <c r="BG367" i="15"/>
  <c r="BG213" i="15"/>
  <c r="BG90" i="15"/>
  <c r="BG162" i="15"/>
  <c r="BG318" i="15"/>
  <c r="BG427" i="15"/>
  <c r="BG408" i="15"/>
  <c r="BG438" i="15"/>
  <c r="BG169" i="15"/>
  <c r="BG255" i="15"/>
  <c r="BG164" i="15"/>
  <c r="BG172" i="15"/>
  <c r="BG239" i="15"/>
  <c r="BG393" i="15"/>
  <c r="BG482" i="15"/>
  <c r="BG123" i="15"/>
  <c r="BG247" i="15"/>
  <c r="BG385" i="15"/>
  <c r="BG308" i="15"/>
  <c r="BG121" i="15"/>
  <c r="BG191" i="15"/>
  <c r="BG300" i="15"/>
  <c r="BG316" i="15"/>
  <c r="BG461" i="15"/>
  <c r="BG325" i="15"/>
  <c r="F578" i="16"/>
  <c r="F579" i="16" s="1"/>
  <c r="G579" i="16"/>
  <c r="G580" i="16" s="1"/>
  <c r="BG18" i="15"/>
  <c r="BG26" i="15"/>
  <c r="BG41" i="15"/>
  <c r="BG19" i="15"/>
  <c r="BG47" i="15"/>
  <c r="BG65" i="15"/>
  <c r="BG20" i="15"/>
  <c r="BG51" i="15"/>
  <c r="BG33" i="15"/>
  <c r="BG48" i="15"/>
  <c r="BG64" i="15"/>
  <c r="BG31" i="15"/>
  <c r="BG30" i="15"/>
  <c r="BG62" i="15"/>
  <c r="BG59" i="15"/>
  <c r="BG55" i="15"/>
  <c r="BG21" i="15"/>
  <c r="BG49" i="15"/>
  <c r="BG32" i="15"/>
  <c r="BG63" i="15"/>
  <c r="BG52" i="15"/>
  <c r="BG50" i="15"/>
  <c r="BG66" i="15"/>
  <c r="BG61" i="15"/>
  <c r="BG11" i="15"/>
  <c r="BG22" i="15"/>
  <c r="BG57" i="15"/>
  <c r="BG13" i="15"/>
  <c r="BG12" i="15"/>
  <c r="BG53" i="15"/>
  <c r="BG17" i="15"/>
  <c r="BG39" i="15"/>
  <c r="BG23" i="15"/>
  <c r="BG25" i="15"/>
  <c r="BG16" i="15"/>
  <c r="BG56" i="15"/>
  <c r="BG15" i="15"/>
  <c r="BG14" i="15"/>
  <c r="BG54" i="15"/>
  <c r="BG28" i="15"/>
  <c r="BG24" i="15"/>
  <c r="BG27" i="15"/>
  <c r="BG29" i="15"/>
  <c r="BG60" i="15"/>
  <c r="BG58" i="15"/>
  <c r="AD151" i="15"/>
  <c r="AE151" i="15" s="1"/>
  <c r="AG151" i="15" s="1"/>
  <c r="AD283" i="15"/>
  <c r="AE283" i="15" s="1"/>
  <c r="AG283" i="15" s="1"/>
  <c r="AD491" i="15"/>
  <c r="AE491" i="15" s="1"/>
  <c r="AG491" i="15" s="1"/>
  <c r="AH151" i="15"/>
  <c r="AI151" i="15" s="1"/>
  <c r="AH602" i="15"/>
  <c r="AI602" i="15" s="1"/>
  <c r="AD602" i="15"/>
  <c r="AE602" i="15" s="1"/>
  <c r="AG602" i="15" s="1"/>
  <c r="AD744" i="15"/>
  <c r="AE744" i="15" s="1"/>
  <c r="AG744" i="15" s="1"/>
  <c r="AH744" i="15"/>
  <c r="AI744" i="15" s="1"/>
  <c r="AH491" i="15"/>
  <c r="AI491" i="15" s="1"/>
  <c r="AF603" i="15" l="1"/>
  <c r="AF176" i="15"/>
  <c r="AF314" i="15"/>
  <c r="AF810" i="15"/>
  <c r="AF474" i="15"/>
  <c r="AF718" i="15"/>
  <c r="AF648" i="15"/>
  <c r="AF284" i="15"/>
  <c r="AF131" i="15"/>
  <c r="AF512" i="15"/>
  <c r="AF552" i="15"/>
  <c r="AF697" i="15"/>
  <c r="AF745" i="15"/>
  <c r="AF243" i="15"/>
  <c r="AF87" i="15"/>
  <c r="AF103" i="15"/>
  <c r="AF764" i="15"/>
  <c r="AF229" i="15"/>
  <c r="AF387" i="15"/>
  <c r="AF831" i="15"/>
  <c r="AF787" i="15"/>
  <c r="AF669" i="15"/>
  <c r="AF199" i="15"/>
  <c r="AF864" i="15"/>
  <c r="AF536" i="15"/>
  <c r="AF263" i="15"/>
  <c r="AF424" i="15"/>
  <c r="AF44" i="15"/>
  <c r="AF35" i="15"/>
  <c r="AF152" i="15"/>
  <c r="AF572" i="15"/>
  <c r="AF448" i="15"/>
  <c r="AF492" i="15"/>
  <c r="AF637" i="15"/>
  <c r="AF340" i="15"/>
  <c r="AF9" i="15"/>
  <c r="AF68" i="15"/>
  <c r="BI602" i="15"/>
  <c r="BK602" i="15" s="1"/>
  <c r="BL602" i="15" s="1"/>
  <c r="AM602" i="15"/>
  <c r="AN602" i="15" s="1"/>
  <c r="BI744" i="15"/>
  <c r="BK744" i="15" s="1"/>
  <c r="BL744" i="15" s="1"/>
  <c r="AM744" i="15"/>
  <c r="AN744" i="15" s="1"/>
  <c r="BI151" i="15"/>
  <c r="AM151" i="15"/>
  <c r="AN151" i="15" s="1"/>
  <c r="BI283" i="15"/>
  <c r="BK283" i="15" s="1"/>
  <c r="BL283" i="15" s="1"/>
  <c r="AM283" i="15"/>
  <c r="AN283" i="15" s="1"/>
  <c r="BI491" i="15"/>
  <c r="BK491" i="15" s="1"/>
  <c r="BL491" i="15" s="1"/>
  <c r="AM491" i="15"/>
  <c r="AN491" i="15" s="1"/>
  <c r="BI8" i="15"/>
  <c r="BK8" i="15" s="1"/>
  <c r="BL8" i="15" s="1"/>
  <c r="AM8" i="15"/>
  <c r="AN8" i="15" s="1"/>
  <c r="BK151" i="15"/>
  <c r="BL151" i="15" s="1"/>
  <c r="AL6" i="15"/>
  <c r="BJ6" i="15" s="1"/>
  <c r="AK6" i="15"/>
  <c r="AJ8" i="15"/>
  <c r="BA342" i="15"/>
  <c r="AZ340" i="15"/>
  <c r="BA340" i="15" s="1"/>
  <c r="BA538" i="15"/>
  <c r="AZ536" i="15"/>
  <c r="BA536" i="15" s="1"/>
  <c r="BA178" i="15"/>
  <c r="AZ176" i="15"/>
  <c r="BA176" i="15" s="1"/>
  <c r="AZ637" i="15"/>
  <c r="BA637" i="15" s="1"/>
  <c r="BA639" i="15"/>
  <c r="BA747" i="15"/>
  <c r="AZ745" i="15"/>
  <c r="BA245" i="15"/>
  <c r="AZ243" i="15"/>
  <c r="BA243" i="15" s="1"/>
  <c r="BA514" i="15"/>
  <c r="AZ512" i="15"/>
  <c r="BA512" i="15" s="1"/>
  <c r="AZ810" i="15"/>
  <c r="BA810" i="15" s="1"/>
  <c r="BA812" i="15"/>
  <c r="BA671" i="15"/>
  <c r="AZ669" i="15"/>
  <c r="BA669" i="15" s="1"/>
  <c r="BA389" i="15"/>
  <c r="AZ387" i="15"/>
  <c r="BA387" i="15" s="1"/>
  <c r="BA650" i="15"/>
  <c r="AZ648" i="15"/>
  <c r="BA648" i="15" s="1"/>
  <c r="AJ283" i="15"/>
  <c r="BA265" i="15"/>
  <c r="AZ263" i="15"/>
  <c r="BA263" i="15" s="1"/>
  <c r="BA38" i="15"/>
  <c r="AZ35" i="15"/>
  <c r="BA35" i="15" s="1"/>
  <c r="AY552" i="15"/>
  <c r="AY491" i="15" s="1"/>
  <c r="AY6" i="15" s="1"/>
  <c r="AZ554" i="15"/>
  <c r="BA201" i="15"/>
  <c r="AZ199" i="15"/>
  <c r="BA199" i="15" s="1"/>
  <c r="BA766" i="15"/>
  <c r="AZ764" i="15"/>
  <c r="BA764" i="15" s="1"/>
  <c r="BA231" i="15"/>
  <c r="AZ229" i="15"/>
  <c r="BA229" i="15" s="1"/>
  <c r="BA833" i="15"/>
  <c r="AZ831" i="15"/>
  <c r="BA831" i="15" s="1"/>
  <c r="BA154" i="15"/>
  <c r="AZ152" i="15"/>
  <c r="BA494" i="15"/>
  <c r="AZ492" i="15"/>
  <c r="BA699" i="15"/>
  <c r="AZ697" i="15"/>
  <c r="BA697" i="15" s="1"/>
  <c r="BA450" i="15"/>
  <c r="AZ448" i="15"/>
  <c r="BA448" i="15" s="1"/>
  <c r="BA286" i="15"/>
  <c r="AZ284" i="15"/>
  <c r="BA426" i="15"/>
  <c r="AZ424" i="15"/>
  <c r="BA424" i="15" s="1"/>
  <c r="BA605" i="15"/>
  <c r="AZ603" i="15"/>
  <c r="BA476" i="15"/>
  <c r="AZ474" i="15"/>
  <c r="BA474" i="15" s="1"/>
  <c r="BA574" i="15"/>
  <c r="AZ572" i="15"/>
  <c r="BA572" i="15" s="1"/>
  <c r="BA720" i="15"/>
  <c r="AZ718" i="15"/>
  <c r="BA718" i="15" s="1"/>
  <c r="BA71" i="15"/>
  <c r="AZ68" i="15"/>
  <c r="BA68" i="15" s="1"/>
  <c r="BA316" i="15"/>
  <c r="AZ314" i="15"/>
  <c r="BA314" i="15" s="1"/>
  <c r="AZ864" i="15"/>
  <c r="BA864" i="15" s="1"/>
  <c r="BA866" i="15"/>
  <c r="AZ787" i="15"/>
  <c r="BA787" i="15" s="1"/>
  <c r="BA789" i="15"/>
  <c r="BA9" i="15"/>
  <c r="AJ151" i="15"/>
  <c r="AJ491" i="15"/>
  <c r="AJ744" i="15"/>
  <c r="AJ602" i="15"/>
  <c r="BG424" i="15"/>
  <c r="BG152" i="15"/>
  <c r="BG474" i="15"/>
  <c r="BG243" i="15"/>
  <c r="BG263" i="15"/>
  <c r="BC8" i="15"/>
  <c r="BD8" i="15" s="1"/>
  <c r="BD9" i="15"/>
  <c r="BG229" i="15"/>
  <c r="BE8" i="15"/>
  <c r="BF8" i="15" s="1"/>
  <c r="BF9" i="15"/>
  <c r="BD284" i="15"/>
  <c r="BC283" i="15"/>
  <c r="BD283" i="15" s="1"/>
  <c r="BG387" i="15"/>
  <c r="BG176" i="15"/>
  <c r="BG448" i="15"/>
  <c r="BF152" i="15"/>
  <c r="BE151" i="15"/>
  <c r="BF151" i="15" s="1"/>
  <c r="BG199" i="15"/>
  <c r="BG9" i="15"/>
  <c r="BG8" i="15" s="1"/>
  <c r="BF284" i="15"/>
  <c r="BE283" i="15"/>
  <c r="BF283" i="15" s="1"/>
  <c r="BD152" i="15"/>
  <c r="BC151" i="15"/>
  <c r="BD151" i="15" s="1"/>
  <c r="BG340" i="15"/>
  <c r="BG864" i="15"/>
  <c r="AE8" i="15"/>
  <c r="BG68" i="15"/>
  <c r="BG35" i="15"/>
  <c r="AH6" i="15"/>
  <c r="BG103" i="15"/>
  <c r="BG131" i="15"/>
  <c r="AD6" i="15"/>
  <c r="BG87" i="15"/>
  <c r="BG44" i="15"/>
  <c r="BG284" i="15"/>
  <c r="BG314" i="15"/>
  <c r="X150" i="1"/>
  <c r="M150" i="1"/>
  <c r="D150" i="1"/>
  <c r="X149" i="1"/>
  <c r="N149" i="1"/>
  <c r="M149" i="1"/>
  <c r="D149" i="1"/>
  <c r="X148" i="1"/>
  <c r="M148" i="1"/>
  <c r="D148" i="1"/>
  <c r="X147" i="1"/>
  <c r="N147" i="1"/>
  <c r="M147" i="1"/>
  <c r="D147" i="1"/>
  <c r="X146" i="1"/>
  <c r="N146" i="1"/>
  <c r="M146" i="1"/>
  <c r="D146" i="1"/>
  <c r="X145" i="1"/>
  <c r="M145" i="1"/>
  <c r="D145" i="1"/>
  <c r="X144" i="1"/>
  <c r="N144" i="1"/>
  <c r="M144" i="1"/>
  <c r="D144" i="1"/>
  <c r="X143" i="1"/>
  <c r="N143" i="1"/>
  <c r="M143" i="1"/>
  <c r="D143" i="1"/>
  <c r="G46" i="3"/>
  <c r="G47" i="3"/>
  <c r="G42" i="3"/>
  <c r="G43" i="3"/>
  <c r="X142" i="1"/>
  <c r="M142" i="1"/>
  <c r="D142" i="1"/>
  <c r="X141" i="1"/>
  <c r="N141" i="1"/>
  <c r="M141" i="1"/>
  <c r="D141" i="1"/>
  <c r="X140" i="1"/>
  <c r="M140" i="1"/>
  <c r="D140" i="1"/>
  <c r="X139" i="1"/>
  <c r="N139" i="1"/>
  <c r="M139" i="1"/>
  <c r="D139" i="1"/>
  <c r="X138" i="1"/>
  <c r="N138" i="1"/>
  <c r="M138" i="1"/>
  <c r="D138" i="1"/>
  <c r="X137" i="1"/>
  <c r="N137" i="1"/>
  <c r="M137" i="1"/>
  <c r="D137" i="1"/>
  <c r="X110" i="1"/>
  <c r="M110" i="1"/>
  <c r="D110" i="1"/>
  <c r="X108" i="1"/>
  <c r="M108" i="1"/>
  <c r="D108" i="1"/>
  <c r="AC94" i="1"/>
  <c r="AI94" i="1" s="1"/>
  <c r="AB94" i="1"/>
  <c r="AH94" i="1" s="1"/>
  <c r="AA94" i="1"/>
  <c r="AG94" i="1" s="1"/>
  <c r="Z94" i="1"/>
  <c r="AF94" i="1" s="1"/>
  <c r="Y94" i="1"/>
  <c r="AE94" i="1" s="1"/>
  <c r="X94" i="1"/>
  <c r="N94" i="1"/>
  <c r="M94" i="1"/>
  <c r="D94" i="1"/>
  <c r="X93" i="1"/>
  <c r="N93" i="1"/>
  <c r="M93" i="1"/>
  <c r="D93" i="1"/>
  <c r="X92" i="1"/>
  <c r="N92" i="1"/>
  <c r="M92" i="1"/>
  <c r="D92" i="1"/>
  <c r="AC91" i="1"/>
  <c r="AI91" i="1" s="1"/>
  <c r="AB91" i="1"/>
  <c r="AH91" i="1" s="1"/>
  <c r="AA91" i="1"/>
  <c r="AG91" i="1" s="1"/>
  <c r="Z91" i="1"/>
  <c r="AF91" i="1" s="1"/>
  <c r="Y91" i="1"/>
  <c r="AE91" i="1" s="1"/>
  <c r="X91" i="1"/>
  <c r="N91" i="1"/>
  <c r="M91" i="1"/>
  <c r="D91" i="1"/>
  <c r="X90" i="1"/>
  <c r="N90" i="1"/>
  <c r="M90" i="1"/>
  <c r="D90" i="1"/>
  <c r="X17" i="1"/>
  <c r="M17" i="1"/>
  <c r="D17" i="1"/>
  <c r="X24" i="1"/>
  <c r="M24" i="1"/>
  <c r="D24" i="1"/>
  <c r="AZ8" i="15" l="1"/>
  <c r="BA8" i="15" s="1"/>
  <c r="AF283" i="15"/>
  <c r="AE6" i="15"/>
  <c r="AG8" i="15"/>
  <c r="AF151" i="15"/>
  <c r="AF8" i="15"/>
  <c r="AF744" i="15"/>
  <c r="AF491" i="15"/>
  <c r="AF602" i="15"/>
  <c r="BI6" i="15"/>
  <c r="BK6" i="15" s="1"/>
  <c r="AM6" i="15"/>
  <c r="AJ6" i="15"/>
  <c r="AZ602" i="15"/>
  <c r="BA602" i="15" s="1"/>
  <c r="BA603" i="15"/>
  <c r="AZ283" i="15"/>
  <c r="BA283" i="15" s="1"/>
  <c r="BA284" i="15"/>
  <c r="BA152" i="15"/>
  <c r="AZ151" i="15"/>
  <c r="BA151" i="15" s="1"/>
  <c r="BA745" i="15"/>
  <c r="AZ744" i="15"/>
  <c r="BA744" i="15" s="1"/>
  <c r="BA492" i="15"/>
  <c r="BA554" i="15"/>
  <c r="AZ552" i="15"/>
  <c r="BA552" i="15" s="1"/>
  <c r="BG283" i="15"/>
  <c r="BG151" i="15"/>
  <c r="BE6" i="15"/>
  <c r="BC6" i="15"/>
  <c r="O175" i="1" s="1"/>
  <c r="BG744" i="15"/>
  <c r="AJ94" i="1"/>
  <c r="AD94" i="1"/>
  <c r="AJ91" i="1"/>
  <c r="AD91" i="1"/>
  <c r="AC268" i="1"/>
  <c r="AI268" i="1" s="1"/>
  <c r="AB268" i="1"/>
  <c r="AH268" i="1" s="1"/>
  <c r="AA268" i="1"/>
  <c r="AG268" i="1" s="1"/>
  <c r="Z268" i="1"/>
  <c r="AF268" i="1" s="1"/>
  <c r="Y268" i="1"/>
  <c r="AE268" i="1" s="1"/>
  <c r="X268" i="1"/>
  <c r="N268" i="1"/>
  <c r="M268" i="1"/>
  <c r="D268" i="1"/>
  <c r="X267" i="1"/>
  <c r="N267" i="1"/>
  <c r="M267" i="1"/>
  <c r="D267" i="1"/>
  <c r="X266" i="1"/>
  <c r="N266" i="1"/>
  <c r="M266" i="1"/>
  <c r="D266" i="1"/>
  <c r="AC265" i="1"/>
  <c r="AI265" i="1" s="1"/>
  <c r="AB265" i="1"/>
  <c r="AH265" i="1" s="1"/>
  <c r="AA265" i="1"/>
  <c r="AG265" i="1" s="1"/>
  <c r="Z265" i="1"/>
  <c r="AF265" i="1" s="1"/>
  <c r="Y265" i="1"/>
  <c r="AE265" i="1" s="1"/>
  <c r="X265" i="1"/>
  <c r="N265" i="1"/>
  <c r="M265" i="1"/>
  <c r="D265" i="1"/>
  <c r="AC264" i="1"/>
  <c r="AI264" i="1" s="1"/>
  <c r="AB264" i="1"/>
  <c r="AH264" i="1" s="1"/>
  <c r="AA264" i="1"/>
  <c r="AG264" i="1" s="1"/>
  <c r="Z264" i="1"/>
  <c r="AF264" i="1" s="1"/>
  <c r="Y264" i="1"/>
  <c r="AE264" i="1" s="1"/>
  <c r="X264" i="1"/>
  <c r="N264" i="1"/>
  <c r="M264" i="1"/>
  <c r="D264" i="1"/>
  <c r="AC263" i="1"/>
  <c r="AI263" i="1" s="1"/>
  <c r="AB263" i="1"/>
  <c r="AH263" i="1" s="1"/>
  <c r="AA263" i="1"/>
  <c r="AG263" i="1" s="1"/>
  <c r="Z263" i="1"/>
  <c r="Y263" i="1"/>
  <c r="AE263" i="1" s="1"/>
  <c r="X263" i="1"/>
  <c r="N263" i="1"/>
  <c r="M263" i="1"/>
  <c r="D263" i="1"/>
  <c r="X262" i="1"/>
  <c r="N262" i="1"/>
  <c r="M262" i="1"/>
  <c r="D262" i="1"/>
  <c r="AC261" i="1"/>
  <c r="AI261" i="1" s="1"/>
  <c r="AB261" i="1"/>
  <c r="AH261" i="1" s="1"/>
  <c r="AA261" i="1"/>
  <c r="AG261" i="1" s="1"/>
  <c r="Z261" i="1"/>
  <c r="AF261" i="1" s="1"/>
  <c r="Y261" i="1"/>
  <c r="AE261" i="1" s="1"/>
  <c r="X261" i="1"/>
  <c r="N261" i="1"/>
  <c r="M261" i="1"/>
  <c r="D261" i="1"/>
  <c r="AC260" i="1"/>
  <c r="AI260" i="1" s="1"/>
  <c r="AB260" i="1"/>
  <c r="AH260" i="1" s="1"/>
  <c r="AA260" i="1"/>
  <c r="AG260" i="1" s="1"/>
  <c r="Z260" i="1"/>
  <c r="AF260" i="1" s="1"/>
  <c r="Y260" i="1"/>
  <c r="AE260" i="1" s="1"/>
  <c r="X260" i="1"/>
  <c r="N260" i="1"/>
  <c r="M260" i="1"/>
  <c r="D260" i="1"/>
  <c r="X259" i="1"/>
  <c r="N259" i="1"/>
  <c r="M259" i="1"/>
  <c r="D259" i="1"/>
  <c r="X257" i="1"/>
  <c r="N257" i="1"/>
  <c r="M257" i="1"/>
  <c r="D257" i="1"/>
  <c r="X256" i="1"/>
  <c r="N256" i="1"/>
  <c r="M256" i="1"/>
  <c r="D256" i="1"/>
  <c r="X255" i="1"/>
  <c r="N255" i="1"/>
  <c r="M255" i="1"/>
  <c r="D255" i="1"/>
  <c r="X254" i="1"/>
  <c r="N254" i="1"/>
  <c r="M254" i="1"/>
  <c r="D254" i="1"/>
  <c r="C254" i="1" s="1"/>
  <c r="X246" i="1"/>
  <c r="M246" i="1"/>
  <c r="D246" i="1"/>
  <c r="X245" i="1"/>
  <c r="N245" i="1"/>
  <c r="M245" i="1"/>
  <c r="D245" i="1"/>
  <c r="AC244" i="1"/>
  <c r="AI244" i="1" s="1"/>
  <c r="AB244" i="1"/>
  <c r="AH244" i="1" s="1"/>
  <c r="AA244" i="1"/>
  <c r="AG244" i="1" s="1"/>
  <c r="Z244" i="1"/>
  <c r="AF244" i="1" s="1"/>
  <c r="Y244" i="1"/>
  <c r="X244" i="1"/>
  <c r="N244" i="1"/>
  <c r="M244" i="1"/>
  <c r="D244" i="1"/>
  <c r="X243" i="1"/>
  <c r="M243" i="1"/>
  <c r="D243" i="1"/>
  <c r="X242" i="1"/>
  <c r="N242" i="1"/>
  <c r="M242" i="1"/>
  <c r="D242" i="1"/>
  <c r="X240" i="1"/>
  <c r="N240" i="1"/>
  <c r="M240" i="1"/>
  <c r="D240" i="1"/>
  <c r="X239" i="1"/>
  <c r="N239" i="1"/>
  <c r="M239" i="1"/>
  <c r="D239" i="1"/>
  <c r="X238" i="1"/>
  <c r="N238" i="1"/>
  <c r="M238" i="1"/>
  <c r="D238" i="1"/>
  <c r="X237" i="1"/>
  <c r="N237" i="1"/>
  <c r="M237" i="1"/>
  <c r="D237" i="1"/>
  <c r="C237" i="1" s="1"/>
  <c r="X236" i="1"/>
  <c r="M236" i="1"/>
  <c r="D236" i="1"/>
  <c r="X232" i="1"/>
  <c r="M232" i="1"/>
  <c r="D232" i="1"/>
  <c r="AC229" i="1"/>
  <c r="AI229" i="1" s="1"/>
  <c r="AB229" i="1"/>
  <c r="AH229" i="1" s="1"/>
  <c r="AA229" i="1"/>
  <c r="AG229" i="1" s="1"/>
  <c r="Z229" i="1"/>
  <c r="AF229" i="1" s="1"/>
  <c r="Y229" i="1"/>
  <c r="AE229" i="1" s="1"/>
  <c r="X229" i="1"/>
  <c r="N229" i="1"/>
  <c r="M229" i="1"/>
  <c r="D229" i="1"/>
  <c r="X228" i="1"/>
  <c r="N228" i="1"/>
  <c r="M228" i="1"/>
  <c r="D228" i="1"/>
  <c r="X223" i="1"/>
  <c r="N223" i="1"/>
  <c r="M223" i="1"/>
  <c r="D223" i="1"/>
  <c r="X222" i="1"/>
  <c r="N222" i="1"/>
  <c r="M222" i="1"/>
  <c r="D222" i="1"/>
  <c r="X221" i="1"/>
  <c r="N221" i="1"/>
  <c r="M221" i="1"/>
  <c r="D221" i="1"/>
  <c r="X220" i="1"/>
  <c r="N220" i="1"/>
  <c r="M220" i="1"/>
  <c r="D220" i="1"/>
  <c r="Y4" i="1"/>
  <c r="AE4" i="1"/>
  <c r="H7" i="13"/>
  <c r="N7" i="13" s="1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77" i="3"/>
  <c r="G78" i="3"/>
  <c r="G79" i="3"/>
  <c r="G80" i="3"/>
  <c r="G82" i="3"/>
  <c r="G83" i="3"/>
  <c r="G89" i="3"/>
  <c r="G90" i="3"/>
  <c r="G91" i="3"/>
  <c r="G92" i="3"/>
  <c r="G93" i="3"/>
  <c r="G94" i="3"/>
  <c r="G95" i="3"/>
  <c r="G96" i="3"/>
  <c r="G97" i="3"/>
  <c r="G98" i="3"/>
  <c r="G104" i="3"/>
  <c r="G107" i="3"/>
  <c r="G108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76" i="3"/>
  <c r="G75" i="3"/>
  <c r="G74" i="3"/>
  <c r="G73" i="3"/>
  <c r="G72" i="3"/>
  <c r="G71" i="3"/>
  <c r="N169" i="1" l="1"/>
  <c r="N166" i="1"/>
  <c r="AB169" i="1"/>
  <c r="AH169" i="1" s="1"/>
  <c r="AA169" i="1"/>
  <c r="AG169" i="1" s="1"/>
  <c r="AC169" i="1"/>
  <c r="AI169" i="1" s="1"/>
  <c r="Z169" i="1"/>
  <c r="AF169" i="1" s="1"/>
  <c r="Y169" i="1"/>
  <c r="AA166" i="1"/>
  <c r="AG166" i="1" s="1"/>
  <c r="AB166" i="1"/>
  <c r="AH166" i="1" s="1"/>
  <c r="AC166" i="1"/>
  <c r="AI166" i="1" s="1"/>
  <c r="Z166" i="1"/>
  <c r="AF166" i="1" s="1"/>
  <c r="Y166" i="1"/>
  <c r="AF6" i="15"/>
  <c r="O178" i="1" s="1"/>
  <c r="N167" i="1"/>
  <c r="N170" i="1"/>
  <c r="AC170" i="1"/>
  <c r="AI170" i="1" s="1"/>
  <c r="AB167" i="1"/>
  <c r="AH167" i="1" s="1"/>
  <c r="Z170" i="1"/>
  <c r="AF170" i="1" s="1"/>
  <c r="AA167" i="1"/>
  <c r="AG167" i="1" s="1"/>
  <c r="Y170" i="1"/>
  <c r="Y167" i="1"/>
  <c r="AC167" i="1"/>
  <c r="AI167" i="1" s="1"/>
  <c r="Z167" i="1"/>
  <c r="AF167" i="1" s="1"/>
  <c r="AB170" i="1"/>
  <c r="AH170" i="1" s="1"/>
  <c r="AA170" i="1"/>
  <c r="AG170" i="1" s="1"/>
  <c r="O192" i="1"/>
  <c r="O190" i="1"/>
  <c r="AZ491" i="15"/>
  <c r="BA491" i="15" s="1"/>
  <c r="O176" i="1"/>
  <c r="Y232" i="1"/>
  <c r="AE232" i="1" s="1"/>
  <c r="AA236" i="1"/>
  <c r="AG236" i="1" s="1"/>
  <c r="AB246" i="1"/>
  <c r="AH246" i="1" s="1"/>
  <c r="AC232" i="1"/>
  <c r="AI232" i="1" s="1"/>
  <c r="AB232" i="1"/>
  <c r="AH232" i="1" s="1"/>
  <c r="BG6" i="15"/>
  <c r="BO6" i="15" s="1"/>
  <c r="Z232" i="1"/>
  <c r="AF232" i="1" s="1"/>
  <c r="N232" i="1"/>
  <c r="AA232" i="1"/>
  <c r="AG232" i="1" s="1"/>
  <c r="Z248" i="1"/>
  <c r="AF248" i="1" s="1"/>
  <c r="AC248" i="1"/>
  <c r="AI248" i="1" s="1"/>
  <c r="Y248" i="1"/>
  <c r="AB248" i="1"/>
  <c r="AH248" i="1" s="1"/>
  <c r="AA248" i="1"/>
  <c r="AG248" i="1" s="1"/>
  <c r="N248" i="1"/>
  <c r="AA241" i="1"/>
  <c r="AG241" i="1" s="1"/>
  <c r="N241" i="1"/>
  <c r="Z241" i="1"/>
  <c r="AF241" i="1" s="1"/>
  <c r="AC241" i="1"/>
  <c r="AI241" i="1" s="1"/>
  <c r="Y241" i="1"/>
  <c r="AB241" i="1"/>
  <c r="AH241" i="1" s="1"/>
  <c r="AB236" i="1"/>
  <c r="AH236" i="1" s="1"/>
  <c r="N243" i="1"/>
  <c r="AA243" i="1"/>
  <c r="AG243" i="1" s="1"/>
  <c r="Y246" i="1"/>
  <c r="AE246" i="1" s="1"/>
  <c r="AC246" i="1"/>
  <c r="AI246" i="1" s="1"/>
  <c r="Y236" i="1"/>
  <c r="AE236" i="1" s="1"/>
  <c r="AC236" i="1"/>
  <c r="AI236" i="1" s="1"/>
  <c r="AB243" i="1"/>
  <c r="AH243" i="1" s="1"/>
  <c r="Z246" i="1"/>
  <c r="AF246" i="1" s="1"/>
  <c r="Z235" i="1"/>
  <c r="AF235" i="1" s="1"/>
  <c r="AC235" i="1"/>
  <c r="AI235" i="1" s="1"/>
  <c r="AB235" i="1"/>
  <c r="AH235" i="1" s="1"/>
  <c r="Y235" i="1"/>
  <c r="AA235" i="1"/>
  <c r="AG235" i="1" s="1"/>
  <c r="N235" i="1"/>
  <c r="Z236" i="1"/>
  <c r="AF236" i="1" s="1"/>
  <c r="Y243" i="1"/>
  <c r="AE243" i="1" s="1"/>
  <c r="AC243" i="1"/>
  <c r="AI243" i="1" s="1"/>
  <c r="N246" i="1"/>
  <c r="AA246" i="1"/>
  <c r="AG246" i="1" s="1"/>
  <c r="AC231" i="1"/>
  <c r="AI231" i="1" s="1"/>
  <c r="Y231" i="1"/>
  <c r="AB231" i="1"/>
  <c r="AH231" i="1" s="1"/>
  <c r="AA231" i="1"/>
  <c r="AG231" i="1" s="1"/>
  <c r="N231" i="1"/>
  <c r="Z231" i="1"/>
  <c r="AF231" i="1" s="1"/>
  <c r="N236" i="1"/>
  <c r="Z243" i="1"/>
  <c r="AF243" i="1" s="1"/>
  <c r="AA150" i="1"/>
  <c r="AG150" i="1" s="1"/>
  <c r="N150" i="1"/>
  <c r="AC150" i="1"/>
  <c r="AI150" i="1" s="1"/>
  <c r="AB150" i="1"/>
  <c r="AH150" i="1" s="1"/>
  <c r="Z150" i="1"/>
  <c r="AF150" i="1" s="1"/>
  <c r="Y150" i="1"/>
  <c r="AB148" i="1"/>
  <c r="AH148" i="1" s="1"/>
  <c r="AC145" i="1"/>
  <c r="AI145" i="1" s="1"/>
  <c r="Y145" i="1"/>
  <c r="Z148" i="1"/>
  <c r="AF148" i="1" s="1"/>
  <c r="AA145" i="1"/>
  <c r="AG145" i="1" s="1"/>
  <c r="AC148" i="1"/>
  <c r="AI148" i="1" s="1"/>
  <c r="Z145" i="1"/>
  <c r="AF145" i="1" s="1"/>
  <c r="AA148" i="1"/>
  <c r="AG148" i="1" s="1"/>
  <c r="N148" i="1"/>
  <c r="AB145" i="1"/>
  <c r="AH145" i="1" s="1"/>
  <c r="N145" i="1"/>
  <c r="Y148" i="1"/>
  <c r="Z110" i="1"/>
  <c r="AF110" i="1" s="1"/>
  <c r="AA108" i="1"/>
  <c r="AG108" i="1" s="1"/>
  <c r="N108" i="1"/>
  <c r="AA24" i="1"/>
  <c r="AG24" i="1" s="1"/>
  <c r="N24" i="1"/>
  <c r="AC24" i="1"/>
  <c r="AI24" i="1" s="1"/>
  <c r="AA110" i="1"/>
  <c r="AG110" i="1" s="1"/>
  <c r="AC110" i="1"/>
  <c r="AI110" i="1" s="1"/>
  <c r="Y110" i="1"/>
  <c r="Z108" i="1"/>
  <c r="AF108" i="1" s="1"/>
  <c r="Z24" i="1"/>
  <c r="AF24" i="1" s="1"/>
  <c r="AB108" i="1"/>
  <c r="AH108" i="1" s="1"/>
  <c r="AB24" i="1"/>
  <c r="AH24" i="1" s="1"/>
  <c r="AB110" i="1"/>
  <c r="AH110" i="1" s="1"/>
  <c r="AC108" i="1"/>
  <c r="AI108" i="1" s="1"/>
  <c r="Y108" i="1"/>
  <c r="Y24" i="1"/>
  <c r="N110" i="1"/>
  <c r="AJ261" i="1"/>
  <c r="AD263" i="1"/>
  <c r="AJ260" i="1"/>
  <c r="AJ268" i="1"/>
  <c r="AJ265" i="1"/>
  <c r="AJ264" i="1"/>
  <c r="AD260" i="1"/>
  <c r="AD264" i="1"/>
  <c r="AD268" i="1"/>
  <c r="AD261" i="1"/>
  <c r="AF263" i="1"/>
  <c r="AJ263" i="1" s="1"/>
  <c r="AD265" i="1"/>
  <c r="AE244" i="1"/>
  <c r="AJ244" i="1" s="1"/>
  <c r="AD244" i="1"/>
  <c r="AD229" i="1"/>
  <c r="AJ229" i="1"/>
  <c r="C220" i="1"/>
  <c r="I7" i="13"/>
  <c r="J7" i="13" s="1"/>
  <c r="K7" i="13" s="1"/>
  <c r="Q7" i="13" s="1"/>
  <c r="AE169" i="1" l="1"/>
  <c r="AJ169" i="1" s="1"/>
  <c r="AD169" i="1"/>
  <c r="AE167" i="1"/>
  <c r="AJ167" i="1" s="1"/>
  <c r="AD167" i="1"/>
  <c r="AE170" i="1"/>
  <c r="AJ170" i="1" s="1"/>
  <c r="AD170" i="1"/>
  <c r="AE166" i="1"/>
  <c r="AJ166" i="1" s="1"/>
  <c r="AD166" i="1"/>
  <c r="AZ6" i="15"/>
  <c r="AJ232" i="1"/>
  <c r="AD232" i="1"/>
  <c r="Z176" i="1"/>
  <c r="AF176" i="1" s="1"/>
  <c r="AC176" i="1"/>
  <c r="AI176" i="1" s="1"/>
  <c r="AB176" i="1"/>
  <c r="AH176" i="1" s="1"/>
  <c r="Y176" i="1"/>
  <c r="AA176" i="1"/>
  <c r="AG176" i="1" s="1"/>
  <c r="AJ243" i="1"/>
  <c r="AJ246" i="1"/>
  <c r="AD236" i="1"/>
  <c r="AD246" i="1"/>
  <c r="AD243" i="1"/>
  <c r="AE241" i="1"/>
  <c r="AJ241" i="1" s="1"/>
  <c r="AD241" i="1"/>
  <c r="AE248" i="1"/>
  <c r="AJ248" i="1" s="1"/>
  <c r="AD248" i="1"/>
  <c r="AE231" i="1"/>
  <c r="AJ231" i="1" s="1"/>
  <c r="AD231" i="1"/>
  <c r="AD235" i="1"/>
  <c r="AE235" i="1"/>
  <c r="AJ235" i="1" s="1"/>
  <c r="AJ236" i="1"/>
  <c r="AE145" i="1"/>
  <c r="AJ145" i="1" s="1"/>
  <c r="AD145" i="1"/>
  <c r="AE148" i="1"/>
  <c r="AJ148" i="1" s="1"/>
  <c r="AD148" i="1"/>
  <c r="AE150" i="1"/>
  <c r="AJ150" i="1" s="1"/>
  <c r="AD150" i="1"/>
  <c r="AE108" i="1"/>
  <c r="AJ108" i="1" s="1"/>
  <c r="AD108" i="1"/>
  <c r="AE24" i="1"/>
  <c r="AJ24" i="1" s="1"/>
  <c r="AD24" i="1"/>
  <c r="AE110" i="1"/>
  <c r="AJ110" i="1" s="1"/>
  <c r="AD110" i="1"/>
  <c r="O7" i="13"/>
  <c r="P7" i="13"/>
  <c r="L7" i="13"/>
  <c r="R6" i="11" s="1"/>
  <c r="O98" i="1" l="1"/>
  <c r="BU8" i="15"/>
  <c r="BU13" i="15"/>
  <c r="BU17" i="15"/>
  <c r="BU21" i="15"/>
  <c r="BU25" i="15"/>
  <c r="BU29" i="15"/>
  <c r="BU33" i="15"/>
  <c r="BU38" i="15"/>
  <c r="BU42" i="15"/>
  <c r="BU47" i="15"/>
  <c r="BU51" i="15"/>
  <c r="BU55" i="15"/>
  <c r="BU59" i="15"/>
  <c r="BU63" i="15"/>
  <c r="BU68" i="15"/>
  <c r="BU72" i="15"/>
  <c r="BU76" i="15"/>
  <c r="BU80" i="15"/>
  <c r="BU84" i="15"/>
  <c r="BU89" i="15"/>
  <c r="BU93" i="15"/>
  <c r="BU97" i="15"/>
  <c r="BU101" i="15"/>
  <c r="BU106" i="15"/>
  <c r="BU110" i="15"/>
  <c r="BU114" i="15"/>
  <c r="BU118" i="15"/>
  <c r="BU122" i="15"/>
  <c r="BU126" i="15"/>
  <c r="BU131" i="15"/>
  <c r="BU135" i="15"/>
  <c r="BU139" i="15"/>
  <c r="BU143" i="15"/>
  <c r="BU147" i="15"/>
  <c r="BU151" i="15"/>
  <c r="BU155" i="15"/>
  <c r="BU159" i="15"/>
  <c r="BU163" i="15"/>
  <c r="BU167" i="15"/>
  <c r="BU171" i="15"/>
  <c r="BU176" i="15"/>
  <c r="BU180" i="15"/>
  <c r="BU184" i="15"/>
  <c r="BU188" i="15"/>
  <c r="BU192" i="15"/>
  <c r="BU196" i="15"/>
  <c r="BU201" i="15"/>
  <c r="BU205" i="15"/>
  <c r="BU209" i="15"/>
  <c r="BU213" i="15"/>
  <c r="BU217" i="15"/>
  <c r="BU221" i="15"/>
  <c r="BU225" i="15"/>
  <c r="BU230" i="15"/>
  <c r="BU234" i="15"/>
  <c r="BU238" i="15"/>
  <c r="BU243" i="15"/>
  <c r="BU247" i="15"/>
  <c r="BU251" i="15"/>
  <c r="BU255" i="15"/>
  <c r="BU259" i="15"/>
  <c r="BU264" i="15"/>
  <c r="BU268" i="15"/>
  <c r="BU272" i="15"/>
  <c r="BU276" i="15"/>
  <c r="BU280" i="15"/>
  <c r="BU284" i="15"/>
  <c r="BU288" i="15"/>
  <c r="BU292" i="15"/>
  <c r="BU296" i="15"/>
  <c r="BU300" i="15"/>
  <c r="BU304" i="15"/>
  <c r="BU308" i="15"/>
  <c r="BU312" i="15"/>
  <c r="BU317" i="15"/>
  <c r="BU321" i="15"/>
  <c r="BU325" i="15"/>
  <c r="BU329" i="15"/>
  <c r="BU333" i="15"/>
  <c r="BU337" i="15"/>
  <c r="BU342" i="15"/>
  <c r="BU346" i="15"/>
  <c r="BU350" i="15"/>
  <c r="BU354" i="15"/>
  <c r="BU9" i="15"/>
  <c r="BU14" i="15"/>
  <c r="BU18" i="15"/>
  <c r="BU22" i="15"/>
  <c r="BU26" i="15"/>
  <c r="BU30" i="15"/>
  <c r="BU35" i="15"/>
  <c r="BU39" i="15"/>
  <c r="BU44" i="15"/>
  <c r="BU48" i="15"/>
  <c r="BU52" i="15"/>
  <c r="BU56" i="15"/>
  <c r="BU60" i="15"/>
  <c r="BU64" i="15"/>
  <c r="BU69" i="15"/>
  <c r="BU73" i="15"/>
  <c r="BU77" i="15"/>
  <c r="BU81" i="15"/>
  <c r="BU85" i="15"/>
  <c r="BU90" i="15"/>
  <c r="BU6" i="15"/>
  <c r="BY6" i="15" s="1"/>
  <c r="BU15" i="15"/>
  <c r="BU23" i="15"/>
  <c r="BU31" i="15"/>
  <c r="BU40" i="15"/>
  <c r="BU49" i="15"/>
  <c r="BU57" i="15"/>
  <c r="BU65" i="15"/>
  <c r="BU74" i="15"/>
  <c r="BU82" i="15"/>
  <c r="BU91" i="15"/>
  <c r="BU96" i="15"/>
  <c r="BU103" i="15"/>
  <c r="BU108" i="15"/>
  <c r="BU113" i="15"/>
  <c r="BU119" i="15"/>
  <c r="BU124" i="15"/>
  <c r="BU129" i="15"/>
  <c r="BU136" i="15"/>
  <c r="BU141" i="15"/>
  <c r="BU146" i="15"/>
  <c r="BU152" i="15"/>
  <c r="BU157" i="15"/>
  <c r="BU162" i="15"/>
  <c r="BU168" i="15"/>
  <c r="BU173" i="15"/>
  <c r="BU179" i="15"/>
  <c r="BU185" i="15"/>
  <c r="BU190" i="15"/>
  <c r="BU195" i="15"/>
  <c r="BU202" i="15"/>
  <c r="BU207" i="15"/>
  <c r="BU212" i="15"/>
  <c r="BU218" i="15"/>
  <c r="BU223" i="15"/>
  <c r="BU229" i="15"/>
  <c r="BU235" i="15"/>
  <c r="BU240" i="15"/>
  <c r="BU246" i="15"/>
  <c r="BU252" i="15"/>
  <c r="BU257" i="15"/>
  <c r="BU263" i="15"/>
  <c r="BU269" i="15"/>
  <c r="BU274" i="15"/>
  <c r="BU279" i="15"/>
  <c r="BU285" i="15"/>
  <c r="BU290" i="15"/>
  <c r="BU295" i="15"/>
  <c r="BU301" i="15"/>
  <c r="BU306" i="15"/>
  <c r="BU311" i="15"/>
  <c r="BU318" i="15"/>
  <c r="BU323" i="15"/>
  <c r="BU328" i="15"/>
  <c r="BU334" i="15"/>
  <c r="BU340" i="15"/>
  <c r="BU345" i="15"/>
  <c r="BU351" i="15"/>
  <c r="BU356" i="15"/>
  <c r="BU360" i="15"/>
  <c r="BU364" i="15"/>
  <c r="BU368" i="15"/>
  <c r="BU372" i="15"/>
  <c r="BU376" i="15"/>
  <c r="BU380" i="15"/>
  <c r="BU384" i="15"/>
  <c r="BU389" i="15"/>
  <c r="BU393" i="15"/>
  <c r="BU397" i="15"/>
  <c r="BU401" i="15"/>
  <c r="BU405" i="15"/>
  <c r="BU409" i="15"/>
  <c r="BU413" i="15"/>
  <c r="BU417" i="15"/>
  <c r="BU421" i="15"/>
  <c r="BU426" i="15"/>
  <c r="BU430" i="15"/>
  <c r="BU434" i="15"/>
  <c r="BU438" i="15"/>
  <c r="BU442" i="15"/>
  <c r="BU446" i="15"/>
  <c r="BU451" i="15"/>
  <c r="BU16" i="15"/>
  <c r="BU24" i="15"/>
  <c r="BU32" i="15"/>
  <c r="BU41" i="15"/>
  <c r="BU50" i="15"/>
  <c r="BU58" i="15"/>
  <c r="BU66" i="15"/>
  <c r="BU75" i="15"/>
  <c r="BU83" i="15"/>
  <c r="BU92" i="15"/>
  <c r="BU98" i="15"/>
  <c r="BU104" i="15"/>
  <c r="BU109" i="15"/>
  <c r="BU115" i="15"/>
  <c r="BU120" i="15"/>
  <c r="BU125" i="15"/>
  <c r="BU132" i="15"/>
  <c r="BU137" i="15"/>
  <c r="BU142" i="15"/>
  <c r="BU148" i="15"/>
  <c r="BU153" i="15"/>
  <c r="BU158" i="15"/>
  <c r="BU164" i="15"/>
  <c r="BU169" i="15"/>
  <c r="BU174" i="15"/>
  <c r="BU181" i="15"/>
  <c r="BU186" i="15"/>
  <c r="BU191" i="15"/>
  <c r="BU197" i="15"/>
  <c r="BU203" i="15"/>
  <c r="BU208" i="15"/>
  <c r="BU214" i="15"/>
  <c r="BU219" i="15"/>
  <c r="BU224" i="15"/>
  <c r="BU231" i="15"/>
  <c r="BU236" i="15"/>
  <c r="BU241" i="15"/>
  <c r="BU248" i="15"/>
  <c r="BU253" i="15"/>
  <c r="BU258" i="15"/>
  <c r="BU265" i="15"/>
  <c r="BU270" i="15"/>
  <c r="BU275" i="15"/>
  <c r="BU281" i="15"/>
  <c r="BU286" i="15"/>
  <c r="BU291" i="15"/>
  <c r="BU297" i="15"/>
  <c r="BU302" i="15"/>
  <c r="BU307" i="15"/>
  <c r="BU314" i="15"/>
  <c r="BU319" i="15"/>
  <c r="BU324" i="15"/>
  <c r="BU330" i="15"/>
  <c r="BU335" i="15"/>
  <c r="BU341" i="15"/>
  <c r="BU347" i="15"/>
  <c r="BU352" i="15"/>
  <c r="BU357" i="15"/>
  <c r="BU361" i="15"/>
  <c r="BU365" i="15"/>
  <c r="BU369" i="15"/>
  <c r="BU373" i="15"/>
  <c r="BU377" i="15"/>
  <c r="BU381" i="15"/>
  <c r="BU385" i="15"/>
  <c r="BU390" i="15"/>
  <c r="BU394" i="15"/>
  <c r="BU398" i="15"/>
  <c r="BU402" i="15"/>
  <c r="BU406" i="15"/>
  <c r="BU410" i="15"/>
  <c r="BU414" i="15"/>
  <c r="BU418" i="15"/>
  <c r="BU422" i="15"/>
  <c r="BU427" i="15"/>
  <c r="BU431" i="15"/>
  <c r="BU435" i="15"/>
  <c r="BU439" i="15"/>
  <c r="BU443" i="15"/>
  <c r="BU448" i="15"/>
  <c r="BU452" i="15"/>
  <c r="BU456" i="15"/>
  <c r="BU460" i="15"/>
  <c r="BU464" i="15"/>
  <c r="BU11" i="15"/>
  <c r="BU19" i="15"/>
  <c r="BU27" i="15"/>
  <c r="BU36" i="15"/>
  <c r="BU45" i="15"/>
  <c r="BU53" i="15"/>
  <c r="BU61" i="15"/>
  <c r="BU70" i="15"/>
  <c r="BU78" i="15"/>
  <c r="BU87" i="15"/>
  <c r="BU94" i="15"/>
  <c r="BU99" i="15"/>
  <c r="BU105" i="15"/>
  <c r="BU111" i="15"/>
  <c r="BU116" i="15"/>
  <c r="BU121" i="15"/>
  <c r="BU127" i="15"/>
  <c r="BU133" i="15"/>
  <c r="BU138" i="15"/>
  <c r="BU144" i="15"/>
  <c r="BU149" i="15"/>
  <c r="BU154" i="15"/>
  <c r="BU160" i="15"/>
  <c r="BU165" i="15"/>
  <c r="BU170" i="15"/>
  <c r="BU177" i="15"/>
  <c r="BU182" i="15"/>
  <c r="BU187" i="15"/>
  <c r="BU193" i="15"/>
  <c r="BU199" i="15"/>
  <c r="BU204" i="15"/>
  <c r="BU210" i="15"/>
  <c r="BU215" i="15"/>
  <c r="BU220" i="15"/>
  <c r="BU226" i="15"/>
  <c r="BU232" i="15"/>
  <c r="BU237" i="15"/>
  <c r="BU244" i="15"/>
  <c r="BU249" i="15"/>
  <c r="BU254" i="15"/>
  <c r="BU260" i="15"/>
  <c r="BU266" i="15"/>
  <c r="BU271" i="15"/>
  <c r="BU277" i="15"/>
  <c r="BU282" i="15"/>
  <c r="BU287" i="15"/>
  <c r="BU293" i="15"/>
  <c r="BU298" i="15"/>
  <c r="BU303" i="15"/>
  <c r="BU309" i="15"/>
  <c r="BU315" i="15"/>
  <c r="BU320" i="15"/>
  <c r="BU326" i="15"/>
  <c r="BU331" i="15"/>
  <c r="BU336" i="15"/>
  <c r="BU343" i="15"/>
  <c r="BU348" i="15"/>
  <c r="BU353" i="15"/>
  <c r="BU358" i="15"/>
  <c r="BU362" i="15"/>
  <c r="BU366" i="15"/>
  <c r="BU370" i="15"/>
  <c r="BU374" i="15"/>
  <c r="BU378" i="15"/>
  <c r="BU382" i="15"/>
  <c r="BU387" i="15"/>
  <c r="BU391" i="15"/>
  <c r="BU395" i="15"/>
  <c r="BU399" i="15"/>
  <c r="BU403" i="15"/>
  <c r="BU407" i="15"/>
  <c r="BU411" i="15"/>
  <c r="BU415" i="15"/>
  <c r="BU12" i="15"/>
  <c r="BU46" i="15"/>
  <c r="BU79" i="15"/>
  <c r="BU107" i="15"/>
  <c r="BU128" i="15"/>
  <c r="BU150" i="15"/>
  <c r="BU172" i="15"/>
  <c r="BU194" i="15"/>
  <c r="BU216" i="15"/>
  <c r="BU239" i="15"/>
  <c r="BU261" i="15"/>
  <c r="BU283" i="15"/>
  <c r="BU305" i="15"/>
  <c r="BU327" i="15"/>
  <c r="BU349" i="15"/>
  <c r="BU367" i="15"/>
  <c r="BU383" i="15"/>
  <c r="BU400" i="15"/>
  <c r="BU416" i="15"/>
  <c r="BU425" i="15"/>
  <c r="BU433" i="15"/>
  <c r="BU441" i="15"/>
  <c r="BU450" i="15"/>
  <c r="BU457" i="15"/>
  <c r="BU462" i="15"/>
  <c r="BU467" i="15"/>
  <c r="BU471" i="15"/>
  <c r="BU476" i="15"/>
  <c r="BU480" i="15"/>
  <c r="BU484" i="15"/>
  <c r="BU488" i="15"/>
  <c r="BU492" i="15"/>
  <c r="BU496" i="15"/>
  <c r="BU500" i="15"/>
  <c r="BU504" i="15"/>
  <c r="BU508" i="15"/>
  <c r="BU513" i="15"/>
  <c r="BU517" i="15"/>
  <c r="BU521" i="15"/>
  <c r="BU525" i="15"/>
  <c r="BU529" i="15"/>
  <c r="BU533" i="15"/>
  <c r="BU538" i="15"/>
  <c r="BU542" i="15"/>
  <c r="BU546" i="15"/>
  <c r="BU550" i="15"/>
  <c r="BU555" i="15"/>
  <c r="BU559" i="15"/>
  <c r="BU563" i="15"/>
  <c r="BU567" i="15"/>
  <c r="BU572" i="15"/>
  <c r="BU576" i="15"/>
  <c r="BU580" i="15"/>
  <c r="BU584" i="15"/>
  <c r="BU588" i="15"/>
  <c r="BU592" i="15"/>
  <c r="BU596" i="15"/>
  <c r="BU600" i="15"/>
  <c r="BU604" i="15"/>
  <c r="BU608" i="15"/>
  <c r="BU612" i="15"/>
  <c r="BU616" i="15"/>
  <c r="BU620" i="15"/>
  <c r="BU624" i="15"/>
  <c r="BU628" i="15"/>
  <c r="BU632" i="15"/>
  <c r="BU637" i="15"/>
  <c r="BU641" i="15"/>
  <c r="BU645" i="15"/>
  <c r="BU650" i="15"/>
  <c r="BU654" i="15"/>
  <c r="BU658" i="15"/>
  <c r="BU662" i="15"/>
  <c r="BU666" i="15"/>
  <c r="BU671" i="15"/>
  <c r="BU675" i="15"/>
  <c r="BU679" i="15"/>
  <c r="BU683" i="15"/>
  <c r="BU687" i="15"/>
  <c r="BU691" i="15"/>
  <c r="BU695" i="15"/>
  <c r="BU700" i="15"/>
  <c r="BU704" i="15"/>
  <c r="BU708" i="15"/>
  <c r="BU712" i="15"/>
  <c r="BU716" i="15"/>
  <c r="BU721" i="15"/>
  <c r="BU725" i="15"/>
  <c r="BU729" i="15"/>
  <c r="BU733" i="15"/>
  <c r="BU737" i="15"/>
  <c r="BU741" i="15"/>
  <c r="BU745" i="15"/>
  <c r="BU20" i="15"/>
  <c r="BU54" i="15"/>
  <c r="BU88" i="15"/>
  <c r="BU112" i="15"/>
  <c r="BU134" i="15"/>
  <c r="BU156" i="15"/>
  <c r="BU178" i="15"/>
  <c r="BU200" i="15"/>
  <c r="BU222" i="15"/>
  <c r="BU245" i="15"/>
  <c r="BU267" i="15"/>
  <c r="BU289" i="15"/>
  <c r="BU310" i="15"/>
  <c r="BU332" i="15"/>
  <c r="BU355" i="15"/>
  <c r="BU371" i="15"/>
  <c r="BU388" i="15"/>
  <c r="BU404" i="15"/>
  <c r="BU419" i="15"/>
  <c r="BU428" i="15"/>
  <c r="BU436" i="15"/>
  <c r="BU444" i="15"/>
  <c r="BU453" i="15"/>
  <c r="BU458" i="15"/>
  <c r="BU463" i="15"/>
  <c r="BU468" i="15"/>
  <c r="BU472" i="15"/>
  <c r="BU477" i="15"/>
  <c r="BU481" i="15"/>
  <c r="BU485" i="15"/>
  <c r="BU489" i="15"/>
  <c r="BU493" i="15"/>
  <c r="BU497" i="15"/>
  <c r="BU501" i="15"/>
  <c r="BU505" i="15"/>
  <c r="BU509" i="15"/>
  <c r="BU514" i="15"/>
  <c r="BU518" i="15"/>
  <c r="BU522" i="15"/>
  <c r="BU526" i="15"/>
  <c r="BU530" i="15"/>
  <c r="BU534" i="15"/>
  <c r="BU539" i="15"/>
  <c r="BU543" i="15"/>
  <c r="BU547" i="15"/>
  <c r="BU552" i="15"/>
  <c r="BU556" i="15"/>
  <c r="BU560" i="15"/>
  <c r="BU564" i="15"/>
  <c r="BU568" i="15"/>
  <c r="BU573" i="15"/>
  <c r="BU577" i="15"/>
  <c r="BU581" i="15"/>
  <c r="BU585" i="15"/>
  <c r="BU589" i="15"/>
  <c r="BU593" i="15"/>
  <c r="BU597" i="15"/>
  <c r="BU601" i="15"/>
  <c r="BU605" i="15"/>
  <c r="BU609" i="15"/>
  <c r="BU613" i="15"/>
  <c r="BU617" i="15"/>
  <c r="BU621" i="15"/>
  <c r="BU625" i="15"/>
  <c r="BU629" i="15"/>
  <c r="BU633" i="15"/>
  <c r="BU642" i="15"/>
  <c r="BU646" i="15"/>
  <c r="BU651" i="15"/>
  <c r="BU655" i="15"/>
  <c r="BU659" i="15"/>
  <c r="BU663" i="15"/>
  <c r="BU667" i="15"/>
  <c r="BU672" i="15"/>
  <c r="BU676" i="15"/>
  <c r="BU680" i="15"/>
  <c r="BU684" i="15"/>
  <c r="BU688" i="15"/>
  <c r="BU692" i="15"/>
  <c r="BU697" i="15"/>
  <c r="BU701" i="15"/>
  <c r="BU705" i="15"/>
  <c r="BU709" i="15"/>
  <c r="BU713" i="15"/>
  <c r="BU718" i="15"/>
  <c r="BU722" i="15"/>
  <c r="BU726" i="15"/>
  <c r="BU28" i="15"/>
  <c r="BU62" i="15"/>
  <c r="BU95" i="15"/>
  <c r="BU117" i="15"/>
  <c r="BU140" i="15"/>
  <c r="BU161" i="15"/>
  <c r="BU183" i="15"/>
  <c r="BU206" i="15"/>
  <c r="BU227" i="15"/>
  <c r="BU250" i="15"/>
  <c r="BU273" i="15"/>
  <c r="BU294" i="15"/>
  <c r="BU316" i="15"/>
  <c r="BU338" i="15"/>
  <c r="BU359" i="15"/>
  <c r="BU375" i="15"/>
  <c r="BU392" i="15"/>
  <c r="BU408" i="15"/>
  <c r="BU420" i="15"/>
  <c r="BU429" i="15"/>
  <c r="BU437" i="15"/>
  <c r="BU445" i="15"/>
  <c r="BU454" i="15"/>
  <c r="BU459" i="15"/>
  <c r="BU465" i="15"/>
  <c r="BU469" i="15"/>
  <c r="BU474" i="15"/>
  <c r="BU478" i="15"/>
  <c r="BU482" i="15"/>
  <c r="BU486" i="15"/>
  <c r="BU490" i="15"/>
  <c r="BU494" i="15"/>
  <c r="BU498" i="15"/>
  <c r="BU502" i="15"/>
  <c r="BU506" i="15"/>
  <c r="BU510" i="15"/>
  <c r="BU515" i="15"/>
  <c r="BU519" i="15"/>
  <c r="BU523" i="15"/>
  <c r="BU527" i="15"/>
  <c r="BU531" i="15"/>
  <c r="BU536" i="15"/>
  <c r="BU540" i="15"/>
  <c r="BU544" i="15"/>
  <c r="BU548" i="15"/>
  <c r="BU553" i="15"/>
  <c r="BU557" i="15"/>
  <c r="BU561" i="15"/>
  <c r="BU565" i="15"/>
  <c r="BU569" i="15"/>
  <c r="BU574" i="15"/>
  <c r="BU578" i="15"/>
  <c r="BU582" i="15"/>
  <c r="BU586" i="15"/>
  <c r="BU590" i="15"/>
  <c r="BU594" i="15"/>
  <c r="BU598" i="15"/>
  <c r="BU602" i="15"/>
  <c r="BU606" i="15"/>
  <c r="BU610" i="15"/>
  <c r="BU614" i="15"/>
  <c r="BU618" i="15"/>
  <c r="BU622" i="15"/>
  <c r="BU626" i="15"/>
  <c r="BU630" i="15"/>
  <c r="BU634" i="15"/>
  <c r="BU639" i="15"/>
  <c r="BU643" i="15"/>
  <c r="BU648" i="15"/>
  <c r="BU652" i="15"/>
  <c r="BU656" i="15"/>
  <c r="BU660" i="15"/>
  <c r="BU664" i="15"/>
  <c r="BU669" i="15"/>
  <c r="BU673" i="15"/>
  <c r="BU677" i="15"/>
  <c r="BU681" i="15"/>
  <c r="BU685" i="15"/>
  <c r="BU689" i="15"/>
  <c r="BU693" i="15"/>
  <c r="BU702" i="15"/>
  <c r="BU706" i="15"/>
  <c r="BU710" i="15"/>
  <c r="BU714" i="15"/>
  <c r="BU37" i="15"/>
  <c r="BU145" i="15"/>
  <c r="BU233" i="15"/>
  <c r="BU322" i="15"/>
  <c r="BU396" i="15"/>
  <c r="BU440" i="15"/>
  <c r="BU466" i="15"/>
  <c r="BU483" i="15"/>
  <c r="BU499" i="15"/>
  <c r="BU516" i="15"/>
  <c r="BU532" i="15"/>
  <c r="BU549" i="15"/>
  <c r="BU566" i="15"/>
  <c r="BU583" i="15"/>
  <c r="BU599" i="15"/>
  <c r="BU615" i="15"/>
  <c r="BU631" i="15"/>
  <c r="BU665" i="15"/>
  <c r="BU682" i="15"/>
  <c r="BU699" i="15"/>
  <c r="BU715" i="15"/>
  <c r="BU724" i="15"/>
  <c r="BU731" i="15"/>
  <c r="BU736" i="15"/>
  <c r="BU742" i="15"/>
  <c r="BU747" i="15"/>
  <c r="BU751" i="15"/>
  <c r="BU755" i="15"/>
  <c r="BU759" i="15"/>
  <c r="BU764" i="15"/>
  <c r="BU768" i="15"/>
  <c r="BU772" i="15"/>
  <c r="BU776" i="15"/>
  <c r="BU780" i="15"/>
  <c r="BU784" i="15"/>
  <c r="BU789" i="15"/>
  <c r="BU793" i="15"/>
  <c r="BU797" i="15"/>
  <c r="BU801" i="15"/>
  <c r="BU805" i="15"/>
  <c r="BU810" i="15"/>
  <c r="BU814" i="15"/>
  <c r="BU818" i="15"/>
  <c r="BU822" i="15"/>
  <c r="BU826" i="15"/>
  <c r="BU831" i="15"/>
  <c r="BU835" i="15"/>
  <c r="BU839" i="15"/>
  <c r="BU843" i="15"/>
  <c r="BU847" i="15"/>
  <c r="BU851" i="15"/>
  <c r="BU855" i="15"/>
  <c r="BU859" i="15"/>
  <c r="BU864" i="15"/>
  <c r="BU868" i="15"/>
  <c r="BU872" i="15"/>
  <c r="BU876" i="15"/>
  <c r="BU880" i="15"/>
  <c r="BU884" i="15"/>
  <c r="BU888" i="15"/>
  <c r="BU892" i="15"/>
  <c r="BU896" i="15"/>
  <c r="BU299" i="15"/>
  <c r="BU432" i="15"/>
  <c r="BU479" i="15"/>
  <c r="BU512" i="15"/>
  <c r="BU545" i="15"/>
  <c r="BU579" i="15"/>
  <c r="BU611" i="15"/>
  <c r="BU644" i="15"/>
  <c r="BU678" i="15"/>
  <c r="BU711" i="15"/>
  <c r="BU735" i="15"/>
  <c r="BU746" i="15"/>
  <c r="BU758" i="15"/>
  <c r="BU771" i="15"/>
  <c r="BU779" i="15"/>
  <c r="BU792" i="15"/>
  <c r="BU800" i="15"/>
  <c r="BU817" i="15"/>
  <c r="BU829" i="15"/>
  <c r="BU842" i="15"/>
  <c r="BU846" i="15"/>
  <c r="BU858" i="15"/>
  <c r="BU875" i="15"/>
  <c r="BU887" i="15"/>
  <c r="BU71" i="15"/>
  <c r="BU166" i="15"/>
  <c r="BU256" i="15"/>
  <c r="BU344" i="15"/>
  <c r="BU412" i="15"/>
  <c r="BU449" i="15"/>
  <c r="BU470" i="15"/>
  <c r="BU487" i="15"/>
  <c r="BU503" i="15"/>
  <c r="BU520" i="15"/>
  <c r="BU537" i="15"/>
  <c r="BU554" i="15"/>
  <c r="BU570" i="15"/>
  <c r="BU587" i="15"/>
  <c r="BU603" i="15"/>
  <c r="BU619" i="15"/>
  <c r="BU635" i="15"/>
  <c r="BU653" i="15"/>
  <c r="BU670" i="15"/>
  <c r="BU686" i="15"/>
  <c r="BU703" i="15"/>
  <c r="BU719" i="15"/>
  <c r="BU727" i="15"/>
  <c r="BU732" i="15"/>
  <c r="BU738" i="15"/>
  <c r="BU743" i="15"/>
  <c r="BU748" i="15"/>
  <c r="BU752" i="15"/>
  <c r="BU756" i="15"/>
  <c r="BU760" i="15"/>
  <c r="BU765" i="15"/>
  <c r="BU769" i="15"/>
  <c r="BU773" i="15"/>
  <c r="BU777" i="15"/>
  <c r="BU781" i="15"/>
  <c r="BU785" i="15"/>
  <c r="BU790" i="15"/>
  <c r="BU794" i="15"/>
  <c r="BU798" i="15"/>
  <c r="BU802" i="15"/>
  <c r="BU806" i="15"/>
  <c r="BU811" i="15"/>
  <c r="BU815" i="15"/>
  <c r="BU819" i="15"/>
  <c r="BU823" i="15"/>
  <c r="BU827" i="15"/>
  <c r="BU836" i="15"/>
  <c r="BU840" i="15"/>
  <c r="BU844" i="15"/>
  <c r="BU848" i="15"/>
  <c r="BU852" i="15"/>
  <c r="BU856" i="15"/>
  <c r="BU860" i="15"/>
  <c r="BU865" i="15"/>
  <c r="BU869" i="15"/>
  <c r="BU873" i="15"/>
  <c r="BU877" i="15"/>
  <c r="BU881" i="15"/>
  <c r="BU885" i="15"/>
  <c r="BU889" i="15"/>
  <c r="BU893" i="15"/>
  <c r="BU897" i="15"/>
  <c r="BU211" i="15"/>
  <c r="BU723" i="15"/>
  <c r="BU754" i="15"/>
  <c r="BU767" i="15"/>
  <c r="BU783" i="15"/>
  <c r="BU796" i="15"/>
  <c r="BU808" i="15"/>
  <c r="BU821" i="15"/>
  <c r="BU834" i="15"/>
  <c r="BU854" i="15"/>
  <c r="BU867" i="15"/>
  <c r="BU879" i="15"/>
  <c r="BU891" i="15"/>
  <c r="BU100" i="15"/>
  <c r="BU189" i="15"/>
  <c r="BU278" i="15"/>
  <c r="BU363" i="15"/>
  <c r="BU424" i="15"/>
  <c r="BU455" i="15"/>
  <c r="BU475" i="15"/>
  <c r="BU491" i="15"/>
  <c r="BU507" i="15"/>
  <c r="BU524" i="15"/>
  <c r="BU541" i="15"/>
  <c r="BU558" i="15"/>
  <c r="BU575" i="15"/>
  <c r="BU591" i="15"/>
  <c r="BU607" i="15"/>
  <c r="BU623" i="15"/>
  <c r="BU640" i="15"/>
  <c r="BU657" i="15"/>
  <c r="BU674" i="15"/>
  <c r="BU690" i="15"/>
  <c r="BU707" i="15"/>
  <c r="BU720" i="15"/>
  <c r="BU728" i="15"/>
  <c r="BU734" i="15"/>
  <c r="BU739" i="15"/>
  <c r="BU744" i="15"/>
  <c r="BU749" i="15"/>
  <c r="BU753" i="15"/>
  <c r="BU757" i="15"/>
  <c r="BU761" i="15"/>
  <c r="BU766" i="15"/>
  <c r="BU770" i="15"/>
  <c r="BU774" i="15"/>
  <c r="BU778" i="15"/>
  <c r="BU782" i="15"/>
  <c r="BU787" i="15"/>
  <c r="BU791" i="15"/>
  <c r="BU795" i="15"/>
  <c r="BU799" i="15"/>
  <c r="BU803" i="15"/>
  <c r="BU807" i="15"/>
  <c r="BU812" i="15"/>
  <c r="BU816" i="15"/>
  <c r="BU820" i="15"/>
  <c r="BU824" i="15"/>
  <c r="BU828" i="15"/>
  <c r="BU833" i="15"/>
  <c r="BU837" i="15"/>
  <c r="BU841" i="15"/>
  <c r="BU845" i="15"/>
  <c r="BU849" i="15"/>
  <c r="BU853" i="15"/>
  <c r="BU857" i="15"/>
  <c r="BU861" i="15"/>
  <c r="BU866" i="15"/>
  <c r="BU870" i="15"/>
  <c r="BU874" i="15"/>
  <c r="BU878" i="15"/>
  <c r="BU882" i="15"/>
  <c r="BU886" i="15"/>
  <c r="BU890" i="15"/>
  <c r="BU894" i="15"/>
  <c r="BU898" i="15"/>
  <c r="BU123" i="15"/>
  <c r="BU379" i="15"/>
  <c r="BU461" i="15"/>
  <c r="BU495" i="15"/>
  <c r="BU528" i="15"/>
  <c r="BU562" i="15"/>
  <c r="BU595" i="15"/>
  <c r="BU627" i="15"/>
  <c r="BU661" i="15"/>
  <c r="BU694" i="15"/>
  <c r="BU730" i="15"/>
  <c r="BU740" i="15"/>
  <c r="BU750" i="15"/>
  <c r="BU762" i="15"/>
  <c r="BU775" i="15"/>
  <c r="BU788" i="15"/>
  <c r="BU804" i="15"/>
  <c r="BU813" i="15"/>
  <c r="BU825" i="15"/>
  <c r="BU838" i="15"/>
  <c r="BU850" i="15"/>
  <c r="BU862" i="15"/>
  <c r="BU871" i="15"/>
  <c r="BU883" i="15"/>
  <c r="BU895" i="15"/>
  <c r="AE176" i="1"/>
  <c r="AJ176" i="1" s="1"/>
  <c r="AD176" i="1"/>
  <c r="R7" i="13"/>
  <c r="D37" i="13"/>
  <c r="D46" i="13"/>
  <c r="D45" i="13"/>
  <c r="D44" i="13"/>
  <c r="D43" i="13"/>
  <c r="D42" i="13"/>
  <c r="D41" i="13"/>
  <c r="CG68" i="15" l="1"/>
  <c r="CG9" i="15"/>
  <c r="CH9" i="15" s="1"/>
  <c r="CG6" i="15"/>
  <c r="CH6" i="15" s="1"/>
  <c r="CG8" i="15"/>
  <c r="CH8" i="15" s="1"/>
  <c r="CG37" i="15"/>
  <c r="CH37" i="15" s="1"/>
  <c r="CG46" i="15"/>
  <c r="CH46" i="15" s="1"/>
  <c r="CG70" i="15"/>
  <c r="CH70" i="15" s="1"/>
  <c r="CG397" i="15"/>
  <c r="CH397" i="15" s="1"/>
  <c r="CG12" i="15"/>
  <c r="CH12" i="15" s="1"/>
  <c r="CG28" i="15"/>
  <c r="CH28" i="15" s="1"/>
  <c r="CG48" i="15"/>
  <c r="CH48" i="15" s="1"/>
  <c r="CG64" i="15"/>
  <c r="CH64" i="15" s="1"/>
  <c r="CG82" i="15"/>
  <c r="CH82" i="15" s="1"/>
  <c r="CG100" i="15"/>
  <c r="CH100" i="15" s="1"/>
  <c r="CG118" i="15"/>
  <c r="CH118" i="15" s="1"/>
  <c r="CG136" i="15"/>
  <c r="CH136" i="15" s="1"/>
  <c r="CG152" i="15"/>
  <c r="CG169" i="15"/>
  <c r="CH169" i="15" s="1"/>
  <c r="CG187" i="15"/>
  <c r="CH187" i="15" s="1"/>
  <c r="CG205" i="15"/>
  <c r="CH205" i="15" s="1"/>
  <c r="CG221" i="15"/>
  <c r="CH221" i="15" s="1"/>
  <c r="CG239" i="15"/>
  <c r="CH239" i="15" s="1"/>
  <c r="CG257" i="15"/>
  <c r="CH257" i="15" s="1"/>
  <c r="CG276" i="15"/>
  <c r="CH276" i="15" s="1"/>
  <c r="CG296" i="15"/>
  <c r="CH296" i="15" s="1"/>
  <c r="CG312" i="15"/>
  <c r="CH312" i="15" s="1"/>
  <c r="CG331" i="15"/>
  <c r="CH331" i="15" s="1"/>
  <c r="CG349" i="15"/>
  <c r="CH349" i="15" s="1"/>
  <c r="CG365" i="15"/>
  <c r="CH365" i="15" s="1"/>
  <c r="CG381" i="15"/>
  <c r="CH381" i="15" s="1"/>
  <c r="CG25" i="15"/>
  <c r="CH25" i="15" s="1"/>
  <c r="CG44" i="15"/>
  <c r="CG61" i="15"/>
  <c r="CH61" i="15" s="1"/>
  <c r="CG79" i="15"/>
  <c r="CH79" i="15" s="1"/>
  <c r="CG97" i="15"/>
  <c r="CH97" i="15" s="1"/>
  <c r="CG115" i="15"/>
  <c r="CH115" i="15" s="1"/>
  <c r="CG133" i="15"/>
  <c r="CH133" i="15" s="1"/>
  <c r="CG149" i="15"/>
  <c r="CH149" i="15" s="1"/>
  <c r="CG166" i="15"/>
  <c r="CH166" i="15" s="1"/>
  <c r="CG184" i="15"/>
  <c r="CH184" i="15" s="1"/>
  <c r="CG202" i="15"/>
  <c r="CH202" i="15" s="1"/>
  <c r="CG218" i="15"/>
  <c r="CH218" i="15" s="1"/>
  <c r="CG236" i="15"/>
  <c r="CH236" i="15" s="1"/>
  <c r="CG254" i="15"/>
  <c r="CH254" i="15" s="1"/>
  <c r="CG272" i="15"/>
  <c r="CH272" i="15" s="1"/>
  <c r="CG293" i="15"/>
  <c r="CH293" i="15" s="1"/>
  <c r="CG309" i="15"/>
  <c r="CH309" i="15" s="1"/>
  <c r="CG328" i="15"/>
  <c r="CH328" i="15" s="1"/>
  <c r="CG346" i="15"/>
  <c r="CH346" i="15" s="1"/>
  <c r="CG362" i="15"/>
  <c r="CH362" i="15" s="1"/>
  <c r="CG378" i="15"/>
  <c r="CH378" i="15" s="1"/>
  <c r="CG22" i="15"/>
  <c r="CH22" i="15" s="1"/>
  <c r="CG40" i="15"/>
  <c r="CH40" i="15" s="1"/>
  <c r="CG58" i="15"/>
  <c r="CH58" i="15" s="1"/>
  <c r="CG76" i="15"/>
  <c r="CH76" i="15" s="1"/>
  <c r="CG94" i="15"/>
  <c r="CH94" i="15" s="1"/>
  <c r="CG112" i="15"/>
  <c r="CH112" i="15" s="1"/>
  <c r="CG128" i="15"/>
  <c r="CH128" i="15" s="1"/>
  <c r="CG146" i="15"/>
  <c r="CH146" i="15" s="1"/>
  <c r="CG163" i="15"/>
  <c r="CH163" i="15" s="1"/>
  <c r="CG181" i="15"/>
  <c r="CH181" i="15" s="1"/>
  <c r="CG197" i="15"/>
  <c r="CH197" i="15" s="1"/>
  <c r="CG215" i="15"/>
  <c r="CH215" i="15" s="1"/>
  <c r="CG233" i="15"/>
  <c r="CH233" i="15" s="1"/>
  <c r="CG251" i="15"/>
  <c r="CH251" i="15" s="1"/>
  <c r="CG269" i="15"/>
  <c r="CH269" i="15" s="1"/>
  <c r="CG290" i="15"/>
  <c r="CH290" i="15" s="1"/>
  <c r="CG306" i="15"/>
  <c r="CH306" i="15" s="1"/>
  <c r="CG325" i="15"/>
  <c r="CH325" i="15" s="1"/>
  <c r="CG343" i="15"/>
  <c r="CH343" i="15" s="1"/>
  <c r="CG359" i="15"/>
  <c r="CH359" i="15" s="1"/>
  <c r="CG375" i="15"/>
  <c r="CH375" i="15" s="1"/>
  <c r="CG55" i="15"/>
  <c r="CH55" i="15" s="1"/>
  <c r="CG125" i="15"/>
  <c r="CH125" i="15" s="1"/>
  <c r="CG194" i="15"/>
  <c r="CH194" i="15" s="1"/>
  <c r="CG266" i="15"/>
  <c r="CH266" i="15" s="1"/>
  <c r="CG338" i="15"/>
  <c r="CH338" i="15" s="1"/>
  <c r="CG389" i="15"/>
  <c r="CH389" i="15" s="1"/>
  <c r="CG405" i="15"/>
  <c r="CH405" i="15" s="1"/>
  <c r="CG421" i="15"/>
  <c r="CH421" i="15" s="1"/>
  <c r="CG439" i="15"/>
  <c r="CH439" i="15" s="1"/>
  <c r="CG457" i="15"/>
  <c r="CH457" i="15" s="1"/>
  <c r="CG474" i="15"/>
  <c r="CG491" i="15"/>
  <c r="CG508" i="15"/>
  <c r="CH508" i="15" s="1"/>
  <c r="CG526" i="15"/>
  <c r="CH526" i="15" s="1"/>
  <c r="CG544" i="15"/>
  <c r="CH544" i="15" s="1"/>
  <c r="CG562" i="15"/>
  <c r="CH562" i="15" s="1"/>
  <c r="CG580" i="15"/>
  <c r="CH580" i="15" s="1"/>
  <c r="CG596" i="15"/>
  <c r="CH596" i="15" s="1"/>
  <c r="CG613" i="15"/>
  <c r="CH613" i="15" s="1"/>
  <c r="CG629" i="15"/>
  <c r="CH629" i="15" s="1"/>
  <c r="CG648" i="15"/>
  <c r="CG665" i="15"/>
  <c r="CH665" i="15" s="1"/>
  <c r="CG683" i="15"/>
  <c r="CH683" i="15" s="1"/>
  <c r="CG23" i="15"/>
  <c r="CH23" i="15" s="1"/>
  <c r="CG95" i="15"/>
  <c r="CH95" i="15" s="1"/>
  <c r="CG164" i="15"/>
  <c r="CH164" i="15" s="1"/>
  <c r="CG234" i="15"/>
  <c r="CH234" i="15" s="1"/>
  <c r="CG307" i="15"/>
  <c r="CH307" i="15" s="1"/>
  <c r="CG376" i="15"/>
  <c r="CH376" i="15" s="1"/>
  <c r="CG398" i="15"/>
  <c r="CH398" i="15" s="1"/>
  <c r="CG414" i="15"/>
  <c r="CH414" i="15" s="1"/>
  <c r="CG432" i="15"/>
  <c r="CH432" i="15" s="1"/>
  <c r="CG450" i="15"/>
  <c r="CH450" i="15" s="1"/>
  <c r="CG466" i="15"/>
  <c r="CH466" i="15" s="1"/>
  <c r="CG484" i="15"/>
  <c r="CH484" i="15" s="1"/>
  <c r="CG501" i="15"/>
  <c r="CH501" i="15" s="1"/>
  <c r="CG519" i="15"/>
  <c r="CH519" i="15" s="1"/>
  <c r="CG536" i="15"/>
  <c r="CG555" i="15"/>
  <c r="CH555" i="15" s="1"/>
  <c r="CG572" i="15"/>
  <c r="CG589" i="15"/>
  <c r="CH589" i="15" s="1"/>
  <c r="CG606" i="15"/>
  <c r="CH606" i="15" s="1"/>
  <c r="CG622" i="15"/>
  <c r="CH622" i="15" s="1"/>
  <c r="CG640" i="15"/>
  <c r="CH640" i="15" s="1"/>
  <c r="CG658" i="15"/>
  <c r="CH658" i="15" s="1"/>
  <c r="CG63" i="15"/>
  <c r="CH63" i="15" s="1"/>
  <c r="CG135" i="15"/>
  <c r="CH135" i="15" s="1"/>
  <c r="CG204" i="15"/>
  <c r="CH204" i="15" s="1"/>
  <c r="CG274" i="15"/>
  <c r="CH274" i="15" s="1"/>
  <c r="CG348" i="15"/>
  <c r="CH348" i="15" s="1"/>
  <c r="CG391" i="15"/>
  <c r="CH391" i="15" s="1"/>
  <c r="CG407" i="15"/>
  <c r="CH407" i="15" s="1"/>
  <c r="CG424" i="15"/>
  <c r="CG441" i="15"/>
  <c r="CH441" i="15" s="1"/>
  <c r="CG459" i="15"/>
  <c r="CH459" i="15" s="1"/>
  <c r="CG477" i="15"/>
  <c r="CH477" i="15" s="1"/>
  <c r="CG494" i="15"/>
  <c r="CH494" i="15" s="1"/>
  <c r="CG510" i="15"/>
  <c r="CH510" i="15" s="1"/>
  <c r="CG528" i="15"/>
  <c r="CH528" i="15" s="1"/>
  <c r="CG546" i="15"/>
  <c r="CH546" i="15" s="1"/>
  <c r="CG564" i="15"/>
  <c r="CH564" i="15" s="1"/>
  <c r="CG582" i="15"/>
  <c r="CH582" i="15" s="1"/>
  <c r="CG598" i="15"/>
  <c r="CH598" i="15" s="1"/>
  <c r="CG615" i="15"/>
  <c r="CH615" i="15" s="1"/>
  <c r="CG631" i="15"/>
  <c r="CH631" i="15" s="1"/>
  <c r="CG651" i="15"/>
  <c r="CH651" i="15" s="1"/>
  <c r="CG667" i="15"/>
  <c r="CH667" i="15" s="1"/>
  <c r="CG685" i="15"/>
  <c r="CH685" i="15" s="1"/>
  <c r="CG121" i="15"/>
  <c r="CH121" i="15" s="1"/>
  <c r="CG387" i="15"/>
  <c r="CG456" i="15"/>
  <c r="CH456" i="15" s="1"/>
  <c r="CG525" i="15"/>
  <c r="CH525" i="15" s="1"/>
  <c r="CG595" i="15"/>
  <c r="CH595" i="15" s="1"/>
  <c r="CG662" i="15"/>
  <c r="CH662" i="15" s="1"/>
  <c r="CG697" i="15"/>
  <c r="CG714" i="15"/>
  <c r="CH714" i="15" s="1"/>
  <c r="CG732" i="15"/>
  <c r="CH732" i="15" s="1"/>
  <c r="CG749" i="15"/>
  <c r="CH749" i="15" s="1"/>
  <c r="CG767" i="15"/>
  <c r="CH767" i="15" s="1"/>
  <c r="CG783" i="15"/>
  <c r="CH783" i="15" s="1"/>
  <c r="CG801" i="15"/>
  <c r="CH801" i="15" s="1"/>
  <c r="CG819" i="15"/>
  <c r="CH819" i="15" s="1"/>
  <c r="CG279" i="15"/>
  <c r="CH279" i="15" s="1"/>
  <c r="CG426" i="15"/>
  <c r="CH426" i="15" s="1"/>
  <c r="CG495" i="15"/>
  <c r="CH495" i="15" s="1"/>
  <c r="CG565" i="15"/>
  <c r="CH565" i="15" s="1"/>
  <c r="CG632" i="15"/>
  <c r="CH632" i="15" s="1"/>
  <c r="CG682" i="15"/>
  <c r="CH682" i="15" s="1"/>
  <c r="CG707" i="15"/>
  <c r="CH707" i="15" s="1"/>
  <c r="CG725" i="15"/>
  <c r="CH725" i="15" s="1"/>
  <c r="CG741" i="15"/>
  <c r="CH741" i="15" s="1"/>
  <c r="CG758" i="15"/>
  <c r="CH758" i="15" s="1"/>
  <c r="CG776" i="15"/>
  <c r="CH776" i="15" s="1"/>
  <c r="CG794" i="15"/>
  <c r="CH794" i="15" s="1"/>
  <c r="CG812" i="15"/>
  <c r="CH812" i="15" s="1"/>
  <c r="CG828" i="15"/>
  <c r="CH828" i="15" s="1"/>
  <c r="CG846" i="15"/>
  <c r="CH846" i="15" s="1"/>
  <c r="CG862" i="15"/>
  <c r="CH862" i="15" s="1"/>
  <c r="CG880" i="15"/>
  <c r="CH880" i="15" s="1"/>
  <c r="CG896" i="15"/>
  <c r="CH896" i="15" s="1"/>
  <c r="CG416" i="15"/>
  <c r="CH416" i="15" s="1"/>
  <c r="CG575" i="15"/>
  <c r="CH575" i="15" s="1"/>
  <c r="CG686" i="15"/>
  <c r="CH686" i="15" s="1"/>
  <c r="CG727" i="15"/>
  <c r="CH727" i="15" s="1"/>
  <c r="CG760" i="15"/>
  <c r="CH760" i="15" s="1"/>
  <c r="CG796" i="15"/>
  <c r="CH796" i="15" s="1"/>
  <c r="CG16" i="15"/>
  <c r="CH16" i="15" s="1"/>
  <c r="CG32" i="15"/>
  <c r="CH32" i="15" s="1"/>
  <c r="CG52" i="15"/>
  <c r="CH52" i="15" s="1"/>
  <c r="CG87" i="15"/>
  <c r="CG106" i="15"/>
  <c r="CH106" i="15" s="1"/>
  <c r="CG122" i="15"/>
  <c r="CH122" i="15" s="1"/>
  <c r="CG140" i="15"/>
  <c r="CH140" i="15" s="1"/>
  <c r="CG157" i="15"/>
  <c r="CH157" i="15" s="1"/>
  <c r="CG173" i="15"/>
  <c r="CH173" i="15" s="1"/>
  <c r="CG191" i="15"/>
  <c r="CH191" i="15" s="1"/>
  <c r="CG209" i="15"/>
  <c r="CH209" i="15" s="1"/>
  <c r="CG225" i="15"/>
  <c r="CH225" i="15" s="1"/>
  <c r="CG245" i="15"/>
  <c r="CH245" i="15" s="1"/>
  <c r="CG261" i="15"/>
  <c r="CH261" i="15" s="1"/>
  <c r="CG280" i="15"/>
  <c r="CH280" i="15" s="1"/>
  <c r="CG300" i="15"/>
  <c r="CH300" i="15" s="1"/>
  <c r="CG319" i="15"/>
  <c r="CH319" i="15" s="1"/>
  <c r="CG335" i="15"/>
  <c r="CH335" i="15" s="1"/>
  <c r="CG353" i="15"/>
  <c r="CH353" i="15" s="1"/>
  <c r="CG369" i="15"/>
  <c r="CH369" i="15" s="1"/>
  <c r="CG13" i="15"/>
  <c r="CH13" i="15" s="1"/>
  <c r="CG29" i="15"/>
  <c r="CH29" i="15" s="1"/>
  <c r="CG49" i="15"/>
  <c r="CH49" i="15" s="1"/>
  <c r="CG65" i="15"/>
  <c r="CH65" i="15" s="1"/>
  <c r="CG83" i="15"/>
  <c r="CH83" i="15" s="1"/>
  <c r="CG101" i="15"/>
  <c r="CH101" i="15" s="1"/>
  <c r="CG119" i="15"/>
  <c r="CH119" i="15" s="1"/>
  <c r="CG137" i="15"/>
  <c r="CH137" i="15" s="1"/>
  <c r="CG154" i="15"/>
  <c r="CH154" i="15" s="1"/>
  <c r="CG170" i="15"/>
  <c r="CH170" i="15" s="1"/>
  <c r="CG188" i="15"/>
  <c r="CH188" i="15" s="1"/>
  <c r="CG206" i="15"/>
  <c r="CH206" i="15" s="1"/>
  <c r="CG222" i="15"/>
  <c r="CH222" i="15" s="1"/>
  <c r="CG240" i="15"/>
  <c r="CH240" i="15" s="1"/>
  <c r="CG258" i="15"/>
  <c r="CH258" i="15" s="1"/>
  <c r="CG277" i="15"/>
  <c r="CH277" i="15" s="1"/>
  <c r="CG297" i="15"/>
  <c r="CH297" i="15" s="1"/>
  <c r="CG316" i="15"/>
  <c r="CH316" i="15" s="1"/>
  <c r="CG332" i="15"/>
  <c r="CH332" i="15" s="1"/>
  <c r="CG350" i="15"/>
  <c r="CH350" i="15" s="1"/>
  <c r="CG366" i="15"/>
  <c r="CH366" i="15" s="1"/>
  <c r="CG275" i="15"/>
  <c r="CH275" i="15" s="1"/>
  <c r="CG26" i="15"/>
  <c r="CH26" i="15" s="1"/>
  <c r="CG62" i="15"/>
  <c r="CH62" i="15" s="1"/>
  <c r="CG80" i="15"/>
  <c r="CH80" i="15" s="1"/>
  <c r="CG98" i="15"/>
  <c r="CH98" i="15" s="1"/>
  <c r="CG116" i="15"/>
  <c r="CH116" i="15" s="1"/>
  <c r="CG134" i="15"/>
  <c r="CH134" i="15" s="1"/>
  <c r="CG167" i="15"/>
  <c r="CH167" i="15" s="1"/>
  <c r="CG185" i="15"/>
  <c r="CH185" i="15" s="1"/>
  <c r="CG203" i="15"/>
  <c r="CH203" i="15" s="1"/>
  <c r="CG219" i="15"/>
  <c r="CH219" i="15" s="1"/>
  <c r="CG237" i="15"/>
  <c r="CH237" i="15" s="1"/>
  <c r="CG255" i="15"/>
  <c r="CH255" i="15" s="1"/>
  <c r="CG273" i="15"/>
  <c r="CH273" i="15" s="1"/>
  <c r="CG294" i="15"/>
  <c r="CH294" i="15" s="1"/>
  <c r="CG310" i="15"/>
  <c r="CH310" i="15" s="1"/>
  <c r="CG329" i="15"/>
  <c r="CH329" i="15" s="1"/>
  <c r="CG347" i="15"/>
  <c r="CH347" i="15" s="1"/>
  <c r="CG363" i="15"/>
  <c r="CH363" i="15" s="1"/>
  <c r="CG379" i="15"/>
  <c r="CH379" i="15" s="1"/>
  <c r="CG73" i="15"/>
  <c r="CH73" i="15" s="1"/>
  <c r="CG143" i="15"/>
  <c r="CH143" i="15" s="1"/>
  <c r="CG212" i="15"/>
  <c r="CH212" i="15" s="1"/>
  <c r="CG287" i="15"/>
  <c r="CH287" i="15" s="1"/>
  <c r="CG356" i="15"/>
  <c r="CH356" i="15" s="1"/>
  <c r="CG393" i="15"/>
  <c r="CH393" i="15" s="1"/>
  <c r="CG409" i="15"/>
  <c r="CH409" i="15" s="1"/>
  <c r="CG427" i="15"/>
  <c r="CH427" i="15" s="1"/>
  <c r="CG443" i="15"/>
  <c r="CH443" i="15" s="1"/>
  <c r="CG461" i="15"/>
  <c r="CH461" i="15" s="1"/>
  <c r="CG479" i="15"/>
  <c r="CH479" i="15" s="1"/>
  <c r="CG496" i="15"/>
  <c r="CH496" i="15" s="1"/>
  <c r="CG514" i="15"/>
  <c r="CH514" i="15" s="1"/>
  <c r="CG530" i="15"/>
  <c r="CH530" i="15" s="1"/>
  <c r="CG548" i="15"/>
  <c r="CH548" i="15" s="1"/>
  <c r="CG566" i="15"/>
  <c r="CH566" i="15" s="1"/>
  <c r="CG584" i="15"/>
  <c r="CH584" i="15" s="1"/>
  <c r="CG600" i="15"/>
  <c r="CH600" i="15" s="1"/>
  <c r="CG617" i="15"/>
  <c r="CH617" i="15" s="1"/>
  <c r="CG633" i="15"/>
  <c r="CH633" i="15" s="1"/>
  <c r="CG653" i="15"/>
  <c r="CH653" i="15" s="1"/>
  <c r="CG671" i="15"/>
  <c r="CH671" i="15" s="1"/>
  <c r="CG687" i="15"/>
  <c r="CH687" i="15" s="1"/>
  <c r="CG41" i="15"/>
  <c r="CH41" i="15" s="1"/>
  <c r="CG113" i="15"/>
  <c r="CH113" i="15" s="1"/>
  <c r="CG182" i="15"/>
  <c r="CH182" i="15" s="1"/>
  <c r="CG252" i="15"/>
  <c r="CH252" i="15" s="1"/>
  <c r="CG326" i="15"/>
  <c r="CH326" i="15" s="1"/>
  <c r="CG384" i="15"/>
  <c r="CH384" i="15" s="1"/>
  <c r="CG402" i="15"/>
  <c r="CH402" i="15" s="1"/>
  <c r="CG418" i="15"/>
  <c r="CH418" i="15" s="1"/>
  <c r="CG436" i="15"/>
  <c r="CH436" i="15" s="1"/>
  <c r="CG454" i="15"/>
  <c r="CH454" i="15" s="1"/>
  <c r="CG470" i="15"/>
  <c r="CH470" i="15" s="1"/>
  <c r="CG488" i="15"/>
  <c r="CH488" i="15" s="1"/>
  <c r="CG505" i="15"/>
  <c r="CH505" i="15" s="1"/>
  <c r="CG523" i="15"/>
  <c r="CH523" i="15" s="1"/>
  <c r="CG541" i="15"/>
  <c r="CH541" i="15" s="1"/>
  <c r="CG559" i="15"/>
  <c r="CH559" i="15" s="1"/>
  <c r="CG577" i="15"/>
  <c r="CH577" i="15" s="1"/>
  <c r="CG593" i="15"/>
  <c r="CH593" i="15" s="1"/>
  <c r="CG610" i="15"/>
  <c r="CH610" i="15" s="1"/>
  <c r="CG626" i="15"/>
  <c r="CH626" i="15" s="1"/>
  <c r="CG644" i="15"/>
  <c r="CH644" i="15" s="1"/>
  <c r="CG11" i="15"/>
  <c r="CH11" i="15" s="1"/>
  <c r="CG81" i="15"/>
  <c r="CH81" i="15" s="1"/>
  <c r="CG151" i="15"/>
  <c r="CG220" i="15"/>
  <c r="CH220" i="15" s="1"/>
  <c r="CG295" i="15"/>
  <c r="CH295" i="15" s="1"/>
  <c r="CG364" i="15"/>
  <c r="CH364" i="15" s="1"/>
  <c r="CG411" i="15"/>
  <c r="CH411" i="15" s="1"/>
  <c r="CG429" i="15"/>
  <c r="CH429" i="15" s="1"/>
  <c r="CG445" i="15"/>
  <c r="CH445" i="15" s="1"/>
  <c r="CG463" i="15"/>
  <c r="CH463" i="15" s="1"/>
  <c r="CG481" i="15"/>
  <c r="CH481" i="15" s="1"/>
  <c r="CG498" i="15"/>
  <c r="CH498" i="15" s="1"/>
  <c r="CG516" i="15"/>
  <c r="CH516" i="15" s="1"/>
  <c r="CG532" i="15"/>
  <c r="CH532" i="15" s="1"/>
  <c r="CG550" i="15"/>
  <c r="CH550" i="15" s="1"/>
  <c r="CG568" i="15"/>
  <c r="CH568" i="15" s="1"/>
  <c r="CG586" i="15"/>
  <c r="CH586" i="15" s="1"/>
  <c r="CG602" i="15"/>
  <c r="CG619" i="15"/>
  <c r="CH619" i="15" s="1"/>
  <c r="CG635" i="15"/>
  <c r="CH635" i="15" s="1"/>
  <c r="CG655" i="15"/>
  <c r="CH655" i="15" s="1"/>
  <c r="CG673" i="15"/>
  <c r="CH673" i="15" s="1"/>
  <c r="CG689" i="15"/>
  <c r="CH689" i="15" s="1"/>
  <c r="CG190" i="15"/>
  <c r="CH190" i="15" s="1"/>
  <c r="CG404" i="15"/>
  <c r="CH404" i="15" s="1"/>
  <c r="CG472" i="15"/>
  <c r="CH472" i="15" s="1"/>
  <c r="CG543" i="15"/>
  <c r="CH543" i="15" s="1"/>
  <c r="CG612" i="15"/>
  <c r="CH612" i="15" s="1"/>
  <c r="CG672" i="15"/>
  <c r="CH672" i="15" s="1"/>
  <c r="CG702" i="15"/>
  <c r="CH702" i="15" s="1"/>
  <c r="CG720" i="15"/>
  <c r="CH720" i="15" s="1"/>
  <c r="CG736" i="15"/>
  <c r="CH736" i="15" s="1"/>
  <c r="CG753" i="15"/>
  <c r="CH753" i="15" s="1"/>
  <c r="CG771" i="15"/>
  <c r="CH771" i="15" s="1"/>
  <c r="CG789" i="15"/>
  <c r="CH789" i="15" s="1"/>
  <c r="CG805" i="15"/>
  <c r="CH805" i="15" s="1"/>
  <c r="CG352" i="15"/>
  <c r="CH352" i="15" s="1"/>
  <c r="CG442" i="15"/>
  <c r="CH442" i="15" s="1"/>
  <c r="CG512" i="15"/>
  <c r="CG583" i="15"/>
  <c r="CH583" i="15" s="1"/>
  <c r="CG652" i="15"/>
  <c r="CH652" i="15" s="1"/>
  <c r="CG690" i="15"/>
  <c r="CH690" i="15" s="1"/>
  <c r="CG711" i="15"/>
  <c r="CH711" i="15" s="1"/>
  <c r="CG729" i="15"/>
  <c r="CH729" i="15" s="1"/>
  <c r="CG745" i="15"/>
  <c r="CG762" i="15"/>
  <c r="CH762" i="15" s="1"/>
  <c r="CG780" i="15"/>
  <c r="CH780" i="15" s="1"/>
  <c r="CG798" i="15"/>
  <c r="CH798" i="15" s="1"/>
  <c r="CG816" i="15"/>
  <c r="CH816" i="15" s="1"/>
  <c r="CG834" i="15"/>
  <c r="CH834" i="15" s="1"/>
  <c r="CG850" i="15"/>
  <c r="CH850" i="15" s="1"/>
  <c r="CG868" i="15"/>
  <c r="CH868" i="15" s="1"/>
  <c r="CG884" i="15"/>
  <c r="CH884" i="15" s="1"/>
  <c r="CG105" i="15"/>
  <c r="CH105" i="15" s="1"/>
  <c r="CG468" i="15"/>
  <c r="CH468" i="15" s="1"/>
  <c r="CG608" i="15"/>
  <c r="CH608" i="15" s="1"/>
  <c r="CG701" i="15"/>
  <c r="CH701" i="15" s="1"/>
  <c r="CG735" i="15"/>
  <c r="CH735" i="15" s="1"/>
  <c r="CG770" i="15"/>
  <c r="CH770" i="15" s="1"/>
  <c r="CG804" i="15"/>
  <c r="CH804" i="15" s="1"/>
  <c r="CG840" i="15"/>
  <c r="CH840" i="15" s="1"/>
  <c r="CG20" i="15"/>
  <c r="CH20" i="15" s="1"/>
  <c r="CG56" i="15"/>
  <c r="CH56" i="15" s="1"/>
  <c r="CG92" i="15"/>
  <c r="CH92" i="15" s="1"/>
  <c r="CG126" i="15"/>
  <c r="CH126" i="15" s="1"/>
  <c r="CG161" i="15"/>
  <c r="CH161" i="15" s="1"/>
  <c r="CG195" i="15"/>
  <c r="CH195" i="15" s="1"/>
  <c r="CG231" i="15"/>
  <c r="CH231" i="15" s="1"/>
  <c r="CG267" i="15"/>
  <c r="CH267" i="15" s="1"/>
  <c r="CG304" i="15"/>
  <c r="CH304" i="15" s="1"/>
  <c r="CG340" i="15"/>
  <c r="CG373" i="15"/>
  <c r="CH373" i="15" s="1"/>
  <c r="CG33" i="15"/>
  <c r="CH33" i="15" s="1"/>
  <c r="CG71" i="15"/>
  <c r="CH71" i="15" s="1"/>
  <c r="CG107" i="15"/>
  <c r="CH107" i="15" s="1"/>
  <c r="CG141" i="15"/>
  <c r="CH141" i="15" s="1"/>
  <c r="CG174" i="15"/>
  <c r="CH174" i="15" s="1"/>
  <c r="CG210" i="15"/>
  <c r="CH210" i="15" s="1"/>
  <c r="CG246" i="15"/>
  <c r="CH246" i="15" s="1"/>
  <c r="CG281" i="15"/>
  <c r="CH281" i="15" s="1"/>
  <c r="CG320" i="15"/>
  <c r="CH320" i="15" s="1"/>
  <c r="CG354" i="15"/>
  <c r="CH354" i="15" s="1"/>
  <c r="CG14" i="15"/>
  <c r="CH14" i="15" s="1"/>
  <c r="CG50" i="15"/>
  <c r="CH50" i="15" s="1"/>
  <c r="CG84" i="15"/>
  <c r="CH84" i="15" s="1"/>
  <c r="CG120" i="15"/>
  <c r="CH120" i="15" s="1"/>
  <c r="CG155" i="15"/>
  <c r="CH155" i="15" s="1"/>
  <c r="CG189" i="15"/>
  <c r="CH189" i="15" s="1"/>
  <c r="CG223" i="15"/>
  <c r="CH223" i="15" s="1"/>
  <c r="CG259" i="15"/>
  <c r="CH259" i="15" s="1"/>
  <c r="CG298" i="15"/>
  <c r="CH298" i="15" s="1"/>
  <c r="CG333" i="15"/>
  <c r="CH333" i="15" s="1"/>
  <c r="CG367" i="15"/>
  <c r="CH367" i="15" s="1"/>
  <c r="CG91" i="15"/>
  <c r="CH91" i="15" s="1"/>
  <c r="CG229" i="15"/>
  <c r="CG372" i="15"/>
  <c r="CH372" i="15" s="1"/>
  <c r="CG413" i="15"/>
  <c r="CH413" i="15" s="1"/>
  <c r="CG448" i="15"/>
  <c r="CG483" i="15"/>
  <c r="CH483" i="15" s="1"/>
  <c r="CG518" i="15"/>
  <c r="CH518" i="15" s="1"/>
  <c r="CG554" i="15"/>
  <c r="CH554" i="15" s="1"/>
  <c r="CG588" i="15"/>
  <c r="CH588" i="15" s="1"/>
  <c r="CG621" i="15"/>
  <c r="CH621" i="15" s="1"/>
  <c r="CG657" i="15"/>
  <c r="CH657" i="15" s="1"/>
  <c r="CG691" i="15"/>
  <c r="CH691" i="15" s="1"/>
  <c r="CG129" i="15"/>
  <c r="CH129" i="15" s="1"/>
  <c r="CG270" i="15"/>
  <c r="CH270" i="15" s="1"/>
  <c r="CG390" i="15"/>
  <c r="CH390" i="15" s="1"/>
  <c r="CG422" i="15"/>
  <c r="CH422" i="15" s="1"/>
  <c r="CG458" i="15"/>
  <c r="CH458" i="15" s="1"/>
  <c r="CG492" i="15"/>
  <c r="CG527" i="15"/>
  <c r="CH527" i="15" s="1"/>
  <c r="CG563" i="15"/>
  <c r="CH563" i="15" s="1"/>
  <c r="CG597" i="15"/>
  <c r="CH597" i="15" s="1"/>
  <c r="CG630" i="15"/>
  <c r="CH630" i="15" s="1"/>
  <c r="CG27" i="15"/>
  <c r="CH27" i="15" s="1"/>
  <c r="CG168" i="15"/>
  <c r="CH168" i="15" s="1"/>
  <c r="CG311" i="15"/>
  <c r="CH311" i="15" s="1"/>
  <c r="CG399" i="15"/>
  <c r="CH399" i="15" s="1"/>
  <c r="CG433" i="15"/>
  <c r="CH433" i="15" s="1"/>
  <c r="CG467" i="15"/>
  <c r="CH467" i="15" s="1"/>
  <c r="CG502" i="15"/>
  <c r="CH502" i="15" s="1"/>
  <c r="CG538" i="15"/>
  <c r="CH538" i="15" s="1"/>
  <c r="CG574" i="15"/>
  <c r="CH574" i="15" s="1"/>
  <c r="CG607" i="15"/>
  <c r="CH607" i="15" s="1"/>
  <c r="CG641" i="15"/>
  <c r="CH641" i="15" s="1"/>
  <c r="CG677" i="15"/>
  <c r="CH677" i="15" s="1"/>
  <c r="CG260" i="15"/>
  <c r="CH260" i="15" s="1"/>
  <c r="CG490" i="15"/>
  <c r="CH490" i="15" s="1"/>
  <c r="CG628" i="15"/>
  <c r="CH628" i="15" s="1"/>
  <c r="CG706" i="15"/>
  <c r="CH706" i="15" s="1"/>
  <c r="CG740" i="15"/>
  <c r="CH740" i="15" s="1"/>
  <c r="CG775" i="15"/>
  <c r="CH775" i="15" s="1"/>
  <c r="CG810" i="15"/>
  <c r="CG392" i="15"/>
  <c r="CH392" i="15" s="1"/>
  <c r="CG529" i="15"/>
  <c r="CH529" i="15" s="1"/>
  <c r="CG664" i="15"/>
  <c r="CH664" i="15" s="1"/>
  <c r="CG715" i="15"/>
  <c r="CH715" i="15" s="1"/>
  <c r="CG750" i="15"/>
  <c r="CH750" i="15" s="1"/>
  <c r="CG784" i="15"/>
  <c r="CH784" i="15" s="1"/>
  <c r="CG820" i="15"/>
  <c r="CH820" i="15" s="1"/>
  <c r="CG854" i="15"/>
  <c r="CH854" i="15" s="1"/>
  <c r="CG888" i="15"/>
  <c r="CH888" i="15" s="1"/>
  <c r="CG503" i="15"/>
  <c r="CH503" i="15" s="1"/>
  <c r="CG709" i="15"/>
  <c r="CH709" i="15" s="1"/>
  <c r="CG778" i="15"/>
  <c r="CH778" i="15" s="1"/>
  <c r="CG831" i="15"/>
  <c r="CG874" i="15"/>
  <c r="CH874" i="15" s="1"/>
  <c r="CG827" i="15"/>
  <c r="CH827" i="15" s="1"/>
  <c r="CG857" i="15"/>
  <c r="CH857" i="15" s="1"/>
  <c r="CG891" i="15"/>
  <c r="CH891" i="15" s="1"/>
  <c r="CG224" i="15"/>
  <c r="CH224" i="15" s="1"/>
  <c r="CG412" i="15"/>
  <c r="CH412" i="15" s="1"/>
  <c r="CG482" i="15"/>
  <c r="CH482" i="15" s="1"/>
  <c r="CG552" i="15"/>
  <c r="CG620" i="15"/>
  <c r="CH620" i="15" s="1"/>
  <c r="CG676" i="15"/>
  <c r="CH676" i="15" s="1"/>
  <c r="CG704" i="15"/>
  <c r="CH704" i="15" s="1"/>
  <c r="CG722" i="15"/>
  <c r="CH722" i="15" s="1"/>
  <c r="CG738" i="15"/>
  <c r="CH738" i="15" s="1"/>
  <c r="CG755" i="15"/>
  <c r="CH755" i="15" s="1"/>
  <c r="CG773" i="15"/>
  <c r="CH773" i="15" s="1"/>
  <c r="CG791" i="15"/>
  <c r="CH791" i="15" s="1"/>
  <c r="CG807" i="15"/>
  <c r="CH807" i="15" s="1"/>
  <c r="CG825" i="15"/>
  <c r="CH825" i="15" s="1"/>
  <c r="CG843" i="15"/>
  <c r="CH843" i="15" s="1"/>
  <c r="CG859" i="15"/>
  <c r="CH859" i="15" s="1"/>
  <c r="CG877" i="15"/>
  <c r="CH877" i="15" s="1"/>
  <c r="CG893" i="15"/>
  <c r="CH893" i="15" s="1"/>
  <c r="CG318" i="15"/>
  <c r="CH318" i="15" s="1"/>
  <c r="CG486" i="15"/>
  <c r="CH486" i="15" s="1"/>
  <c r="CG624" i="15"/>
  <c r="CH624" i="15" s="1"/>
  <c r="CG705" i="15"/>
  <c r="CH705" i="15" s="1"/>
  <c r="CG739" i="15"/>
  <c r="CH739" i="15" s="1"/>
  <c r="CG774" i="15"/>
  <c r="CH774" i="15" s="1"/>
  <c r="CG808" i="15"/>
  <c r="CH808" i="15" s="1"/>
  <c r="CG844" i="15"/>
  <c r="CH844" i="15" s="1"/>
  <c r="CG878" i="15"/>
  <c r="CH878" i="15" s="1"/>
  <c r="CG837" i="15"/>
  <c r="CH837" i="15" s="1"/>
  <c r="CG871" i="15"/>
  <c r="CH871" i="15" s="1"/>
  <c r="CG114" i="15"/>
  <c r="CH114" i="15" s="1"/>
  <c r="CG217" i="15"/>
  <c r="CH217" i="15" s="1"/>
  <c r="CG361" i="15"/>
  <c r="CH361" i="15" s="1"/>
  <c r="CG93" i="15"/>
  <c r="CH93" i="15" s="1"/>
  <c r="CG162" i="15"/>
  <c r="CH162" i="15" s="1"/>
  <c r="CG305" i="15"/>
  <c r="CH305" i="15" s="1"/>
  <c r="CG35" i="15"/>
  <c r="CG108" i="15"/>
  <c r="CH108" i="15" s="1"/>
  <c r="CG211" i="15"/>
  <c r="CH211" i="15" s="1"/>
  <c r="CG321" i="15"/>
  <c r="CH321" i="15" s="1"/>
  <c r="CG178" i="15"/>
  <c r="CH178" i="15" s="1"/>
  <c r="CG435" i="15"/>
  <c r="CH435" i="15" s="1"/>
  <c r="CG540" i="15"/>
  <c r="CH540" i="15" s="1"/>
  <c r="CG679" i="15"/>
  <c r="CH679" i="15" s="1"/>
  <c r="CG360" i="15"/>
  <c r="CH360" i="15" s="1"/>
  <c r="CG480" i="15"/>
  <c r="CH480" i="15" s="1"/>
  <c r="CG585" i="15"/>
  <c r="CH585" i="15" s="1"/>
  <c r="CG117" i="15"/>
  <c r="CH117" i="15" s="1"/>
  <c r="CG385" i="15"/>
  <c r="CH385" i="15" s="1"/>
  <c r="CG489" i="15"/>
  <c r="CH489" i="15" s="1"/>
  <c r="CG594" i="15"/>
  <c r="CH594" i="15" s="1"/>
  <c r="CG51" i="15"/>
  <c r="CH51" i="15" s="1"/>
  <c r="CG579" i="15"/>
  <c r="CH579" i="15" s="1"/>
  <c r="CG761" i="15"/>
  <c r="CH761" i="15" s="1"/>
  <c r="CG478" i="15"/>
  <c r="CH478" i="15" s="1"/>
  <c r="CG737" i="15"/>
  <c r="CH737" i="15" s="1"/>
  <c r="CG842" i="15"/>
  <c r="CH842" i="15" s="1"/>
  <c r="CG669" i="15"/>
  <c r="CG866" i="15"/>
  <c r="CH866" i="15" s="1"/>
  <c r="CG849" i="15"/>
  <c r="CH849" i="15" s="1"/>
  <c r="CG395" i="15"/>
  <c r="CH395" i="15" s="1"/>
  <c r="CG603" i="15"/>
  <c r="CG716" i="15"/>
  <c r="CH716" i="15" s="1"/>
  <c r="CG769" i="15"/>
  <c r="CH769" i="15" s="1"/>
  <c r="CG803" i="15"/>
  <c r="CH803" i="15" s="1"/>
  <c r="CG839" i="15"/>
  <c r="CH839" i="15" s="1"/>
  <c r="CG889" i="15"/>
  <c r="CH889" i="15" s="1"/>
  <c r="CG731" i="15"/>
  <c r="CH731" i="15" s="1"/>
  <c r="CG870" i="15"/>
  <c r="CH870" i="15" s="1"/>
  <c r="CG861" i="15"/>
  <c r="CH861" i="15" s="1"/>
  <c r="CG24" i="15"/>
  <c r="CH24" i="15" s="1"/>
  <c r="CG60" i="15"/>
  <c r="CH60" i="15" s="1"/>
  <c r="CG96" i="15"/>
  <c r="CH96" i="15" s="1"/>
  <c r="CG131" i="15"/>
  <c r="CG165" i="15"/>
  <c r="CH165" i="15" s="1"/>
  <c r="CG201" i="15"/>
  <c r="CH201" i="15" s="1"/>
  <c r="CG235" i="15"/>
  <c r="CH235" i="15" s="1"/>
  <c r="CG271" i="15"/>
  <c r="CH271" i="15" s="1"/>
  <c r="CG308" i="15"/>
  <c r="CH308" i="15" s="1"/>
  <c r="CG345" i="15"/>
  <c r="CH345" i="15" s="1"/>
  <c r="CG377" i="15"/>
  <c r="CH377" i="15" s="1"/>
  <c r="CG39" i="15"/>
  <c r="CH39" i="15" s="1"/>
  <c r="CG75" i="15"/>
  <c r="CH75" i="15" s="1"/>
  <c r="CG111" i="15"/>
  <c r="CH111" i="15" s="1"/>
  <c r="CG145" i="15"/>
  <c r="CH145" i="15" s="1"/>
  <c r="CG180" i="15"/>
  <c r="CH180" i="15" s="1"/>
  <c r="CG214" i="15"/>
  <c r="CH214" i="15" s="1"/>
  <c r="CG250" i="15"/>
  <c r="CH250" i="15" s="1"/>
  <c r="CG289" i="15"/>
  <c r="CH289" i="15" s="1"/>
  <c r="CG324" i="15"/>
  <c r="CH324" i="15" s="1"/>
  <c r="CG358" i="15"/>
  <c r="CH358" i="15" s="1"/>
  <c r="CG18" i="15"/>
  <c r="CH18" i="15" s="1"/>
  <c r="CG54" i="15"/>
  <c r="CH54" i="15" s="1"/>
  <c r="CG90" i="15"/>
  <c r="CH90" i="15" s="1"/>
  <c r="CG124" i="15"/>
  <c r="CH124" i="15" s="1"/>
  <c r="CG159" i="15"/>
  <c r="CH159" i="15" s="1"/>
  <c r="CG193" i="15"/>
  <c r="CH193" i="15" s="1"/>
  <c r="CG227" i="15"/>
  <c r="CH227" i="15" s="1"/>
  <c r="CG265" i="15"/>
  <c r="CH265" i="15" s="1"/>
  <c r="CG302" i="15"/>
  <c r="CH302" i="15" s="1"/>
  <c r="CG337" i="15"/>
  <c r="CH337" i="15" s="1"/>
  <c r="CG371" i="15"/>
  <c r="CH371" i="15" s="1"/>
  <c r="CG109" i="15"/>
  <c r="CH109" i="15" s="1"/>
  <c r="CG248" i="15"/>
  <c r="CH248" i="15" s="1"/>
  <c r="CG383" i="15"/>
  <c r="CH383" i="15" s="1"/>
  <c r="CG417" i="15"/>
  <c r="CH417" i="15" s="1"/>
  <c r="CG453" i="15"/>
  <c r="CH453" i="15" s="1"/>
  <c r="CG487" i="15"/>
  <c r="CH487" i="15" s="1"/>
  <c r="CG522" i="15"/>
  <c r="CH522" i="15" s="1"/>
  <c r="CG558" i="15"/>
  <c r="CH558" i="15" s="1"/>
  <c r="CG592" i="15"/>
  <c r="CH592" i="15" s="1"/>
  <c r="CG625" i="15"/>
  <c r="CH625" i="15" s="1"/>
  <c r="CG661" i="15"/>
  <c r="CH661" i="15" s="1"/>
  <c r="CG695" i="15"/>
  <c r="CH695" i="15" s="1"/>
  <c r="CG147" i="15"/>
  <c r="CH147" i="15" s="1"/>
  <c r="CG291" i="15"/>
  <c r="CH291" i="15" s="1"/>
  <c r="CG394" i="15"/>
  <c r="CH394" i="15" s="1"/>
  <c r="CG428" i="15"/>
  <c r="CH428" i="15" s="1"/>
  <c r="CG462" i="15"/>
  <c r="CH462" i="15" s="1"/>
  <c r="CG497" i="15"/>
  <c r="CH497" i="15" s="1"/>
  <c r="CG531" i="15"/>
  <c r="CH531" i="15" s="1"/>
  <c r="CG567" i="15"/>
  <c r="CH567" i="15" s="1"/>
  <c r="CG601" i="15"/>
  <c r="CH601" i="15" s="1"/>
  <c r="CG634" i="15"/>
  <c r="CH634" i="15" s="1"/>
  <c r="CG47" i="15"/>
  <c r="CH47" i="15" s="1"/>
  <c r="CG186" i="15"/>
  <c r="CH186" i="15" s="1"/>
  <c r="CG330" i="15"/>
  <c r="CH330" i="15" s="1"/>
  <c r="CG403" i="15"/>
  <c r="CH403" i="15" s="1"/>
  <c r="CG437" i="15"/>
  <c r="CH437" i="15" s="1"/>
  <c r="CG471" i="15"/>
  <c r="CH471" i="15" s="1"/>
  <c r="CG506" i="15"/>
  <c r="CH506" i="15" s="1"/>
  <c r="CG542" i="15"/>
  <c r="CH542" i="15" s="1"/>
  <c r="CG578" i="15"/>
  <c r="CH578" i="15" s="1"/>
  <c r="CG611" i="15"/>
  <c r="CH611" i="15" s="1"/>
  <c r="CG645" i="15"/>
  <c r="CH645" i="15" s="1"/>
  <c r="CG681" i="15"/>
  <c r="CH681" i="15" s="1"/>
  <c r="CG334" i="15"/>
  <c r="CH334" i="15" s="1"/>
  <c r="CG507" i="15"/>
  <c r="CH507" i="15" s="1"/>
  <c r="CG646" i="15"/>
  <c r="CH646" i="15" s="1"/>
  <c r="CG710" i="15"/>
  <c r="CH710" i="15" s="1"/>
  <c r="CG744" i="15"/>
  <c r="CG779" i="15"/>
  <c r="CH779" i="15" s="1"/>
  <c r="CG815" i="15"/>
  <c r="CH815" i="15" s="1"/>
  <c r="CG408" i="15"/>
  <c r="CH408" i="15" s="1"/>
  <c r="CG547" i="15"/>
  <c r="CH547" i="15" s="1"/>
  <c r="CG674" i="15"/>
  <c r="CH674" i="15" s="1"/>
  <c r="CG721" i="15"/>
  <c r="CH721" i="15" s="1"/>
  <c r="CG754" i="15"/>
  <c r="CH754" i="15" s="1"/>
  <c r="CG790" i="15"/>
  <c r="CH790" i="15" s="1"/>
  <c r="CG824" i="15"/>
  <c r="CH824" i="15" s="1"/>
  <c r="CG858" i="15"/>
  <c r="CH858" i="15" s="1"/>
  <c r="CG892" i="15"/>
  <c r="CH892" i="15" s="1"/>
  <c r="CG539" i="15"/>
  <c r="CH539" i="15" s="1"/>
  <c r="CG718" i="15"/>
  <c r="CG787" i="15"/>
  <c r="CG848" i="15"/>
  <c r="CH848" i="15" s="1"/>
  <c r="CG882" i="15"/>
  <c r="CH882" i="15" s="1"/>
  <c r="CG833" i="15"/>
  <c r="CH833" i="15" s="1"/>
  <c r="CG867" i="15"/>
  <c r="CH867" i="15" s="1"/>
  <c r="CG15" i="15"/>
  <c r="CH15" i="15" s="1"/>
  <c r="CG299" i="15"/>
  <c r="CH299" i="15" s="1"/>
  <c r="CG430" i="15"/>
  <c r="CH430" i="15" s="1"/>
  <c r="CG499" i="15"/>
  <c r="CH499" i="15" s="1"/>
  <c r="CG569" i="15"/>
  <c r="CH569" i="15" s="1"/>
  <c r="CG637" i="15"/>
  <c r="CG684" i="15"/>
  <c r="CH684" i="15" s="1"/>
  <c r="CG708" i="15"/>
  <c r="CH708" i="15" s="1"/>
  <c r="CG726" i="15"/>
  <c r="CH726" i="15" s="1"/>
  <c r="CG742" i="15"/>
  <c r="CH742" i="15" s="1"/>
  <c r="CG759" i="15"/>
  <c r="CH759" i="15" s="1"/>
  <c r="CG777" i="15"/>
  <c r="CH777" i="15" s="1"/>
  <c r="CG795" i="15"/>
  <c r="CH795" i="15" s="1"/>
  <c r="CG813" i="15"/>
  <c r="CH813" i="15" s="1"/>
  <c r="CG829" i="15"/>
  <c r="CH829" i="15" s="1"/>
  <c r="CG847" i="15"/>
  <c r="CH847" i="15" s="1"/>
  <c r="CG864" i="15"/>
  <c r="CG881" i="15"/>
  <c r="CH881" i="15" s="1"/>
  <c r="CG897" i="15"/>
  <c r="CH897" i="15" s="1"/>
  <c r="CG400" i="15"/>
  <c r="CH400" i="15" s="1"/>
  <c r="CG521" i="15"/>
  <c r="CH521" i="15" s="1"/>
  <c r="CG660" i="15"/>
  <c r="CH660" i="15" s="1"/>
  <c r="CG713" i="15"/>
  <c r="CH713" i="15" s="1"/>
  <c r="CG748" i="15"/>
  <c r="CH748" i="15" s="1"/>
  <c r="CG782" i="15"/>
  <c r="CH782" i="15" s="1"/>
  <c r="CG818" i="15"/>
  <c r="CH818" i="15" s="1"/>
  <c r="CG852" i="15"/>
  <c r="CH852" i="15" s="1"/>
  <c r="CG886" i="15"/>
  <c r="CH886" i="15" s="1"/>
  <c r="CG845" i="15"/>
  <c r="CH845" i="15" s="1"/>
  <c r="CG879" i="15"/>
  <c r="CH879" i="15" s="1"/>
  <c r="CG183" i="15"/>
  <c r="CH183" i="15" s="1"/>
  <c r="CG253" i="15"/>
  <c r="CH253" i="15" s="1"/>
  <c r="CG327" i="15"/>
  <c r="CH327" i="15" s="1"/>
  <c r="CG57" i="15"/>
  <c r="CH57" i="15" s="1"/>
  <c r="CG196" i="15"/>
  <c r="CH196" i="15" s="1"/>
  <c r="CG268" i="15"/>
  <c r="CH268" i="15" s="1"/>
  <c r="CG342" i="15"/>
  <c r="CH342" i="15" s="1"/>
  <c r="CG72" i="15"/>
  <c r="CH72" i="15" s="1"/>
  <c r="CG176" i="15"/>
  <c r="CG247" i="15"/>
  <c r="CH247" i="15" s="1"/>
  <c r="CG355" i="15"/>
  <c r="CH355" i="15" s="1"/>
  <c r="CG322" i="15"/>
  <c r="CH322" i="15" s="1"/>
  <c r="CG469" i="15"/>
  <c r="CH469" i="15" s="1"/>
  <c r="CG576" i="15"/>
  <c r="CH576" i="15" s="1"/>
  <c r="CG643" i="15"/>
  <c r="CH643" i="15" s="1"/>
  <c r="CG216" i="15"/>
  <c r="CH216" i="15" s="1"/>
  <c r="CG410" i="15"/>
  <c r="CH410" i="15" s="1"/>
  <c r="CG515" i="15"/>
  <c r="CH515" i="15" s="1"/>
  <c r="CG618" i="15"/>
  <c r="CH618" i="15" s="1"/>
  <c r="CG256" i="15"/>
  <c r="CH256" i="15" s="1"/>
  <c r="CG455" i="15"/>
  <c r="CH455" i="15" s="1"/>
  <c r="CG560" i="15"/>
  <c r="CH560" i="15" s="1"/>
  <c r="CG627" i="15"/>
  <c r="CH627" i="15" s="1"/>
  <c r="CG438" i="15"/>
  <c r="CH438" i="15" s="1"/>
  <c r="CG728" i="15"/>
  <c r="CH728" i="15" s="1"/>
  <c r="CG208" i="15"/>
  <c r="CH208" i="15" s="1"/>
  <c r="CG703" i="15"/>
  <c r="CH703" i="15" s="1"/>
  <c r="CG806" i="15"/>
  <c r="CH806" i="15" s="1"/>
  <c r="CG382" i="15"/>
  <c r="CH382" i="15" s="1"/>
  <c r="CG752" i="15"/>
  <c r="CH752" i="15" s="1"/>
  <c r="CG898" i="15"/>
  <c r="CH898" i="15" s="1"/>
  <c r="CG156" i="15"/>
  <c r="CH156" i="15" s="1"/>
  <c r="CG533" i="15"/>
  <c r="CH533" i="15" s="1"/>
  <c r="CG700" i="15"/>
  <c r="CH700" i="15" s="1"/>
  <c r="CG751" i="15"/>
  <c r="CH751" i="15" s="1"/>
  <c r="CG821" i="15"/>
  <c r="CH821" i="15" s="1"/>
  <c r="CG873" i="15"/>
  <c r="CH873" i="15" s="1"/>
  <c r="CG172" i="15"/>
  <c r="CH172" i="15" s="1"/>
  <c r="CG591" i="15"/>
  <c r="CH591" i="15" s="1"/>
  <c r="CG766" i="15"/>
  <c r="CH766" i="15" s="1"/>
  <c r="CG836" i="15"/>
  <c r="CH836" i="15" s="1"/>
  <c r="CG895" i="15"/>
  <c r="CH895" i="15" s="1"/>
  <c r="CG38" i="15"/>
  <c r="CH38" i="15" s="1"/>
  <c r="CG74" i="15"/>
  <c r="CH74" i="15" s="1"/>
  <c r="CG110" i="15"/>
  <c r="CH110" i="15" s="1"/>
  <c r="CG144" i="15"/>
  <c r="CH144" i="15" s="1"/>
  <c r="CG179" i="15"/>
  <c r="CH179" i="15" s="1"/>
  <c r="CG213" i="15"/>
  <c r="CH213" i="15" s="1"/>
  <c r="CG249" i="15"/>
  <c r="CH249" i="15" s="1"/>
  <c r="CG288" i="15"/>
  <c r="CH288" i="15" s="1"/>
  <c r="CG323" i="15"/>
  <c r="CH323" i="15" s="1"/>
  <c r="CG357" i="15"/>
  <c r="CH357" i="15" s="1"/>
  <c r="CG17" i="15"/>
  <c r="CH17" i="15" s="1"/>
  <c r="CG53" i="15"/>
  <c r="CH53" i="15" s="1"/>
  <c r="CG89" i="15"/>
  <c r="CH89" i="15" s="1"/>
  <c r="CG123" i="15"/>
  <c r="CH123" i="15" s="1"/>
  <c r="CG158" i="15"/>
  <c r="CH158" i="15" s="1"/>
  <c r="CG192" i="15"/>
  <c r="CH192" i="15" s="1"/>
  <c r="CG226" i="15"/>
  <c r="CH226" i="15" s="1"/>
  <c r="CG263" i="15"/>
  <c r="CG301" i="15"/>
  <c r="CH301" i="15" s="1"/>
  <c r="CG336" i="15"/>
  <c r="CH336" i="15" s="1"/>
  <c r="CG370" i="15"/>
  <c r="CH370" i="15" s="1"/>
  <c r="CG30" i="15"/>
  <c r="CH30" i="15" s="1"/>
  <c r="CG66" i="15"/>
  <c r="CH66" i="15" s="1"/>
  <c r="CG103" i="15"/>
  <c r="CG138" i="15"/>
  <c r="CH138" i="15" s="1"/>
  <c r="CG171" i="15"/>
  <c r="CH171" i="15" s="1"/>
  <c r="CG207" i="15"/>
  <c r="CH207" i="15" s="1"/>
  <c r="CG241" i="15"/>
  <c r="CH241" i="15" s="1"/>
  <c r="CG278" i="15"/>
  <c r="CH278" i="15" s="1"/>
  <c r="CG317" i="15"/>
  <c r="CH317" i="15" s="1"/>
  <c r="CG351" i="15"/>
  <c r="CH351" i="15" s="1"/>
  <c r="CG19" i="15"/>
  <c r="CH19" i="15" s="1"/>
  <c r="CG160" i="15"/>
  <c r="CH160" i="15" s="1"/>
  <c r="CG303" i="15"/>
  <c r="CH303" i="15" s="1"/>
  <c r="CG396" i="15"/>
  <c r="CH396" i="15" s="1"/>
  <c r="CG431" i="15"/>
  <c r="CH431" i="15" s="1"/>
  <c r="CG465" i="15"/>
  <c r="CH465" i="15" s="1"/>
  <c r="CG500" i="15"/>
  <c r="CH500" i="15" s="1"/>
  <c r="CG534" i="15"/>
  <c r="CH534" i="15" s="1"/>
  <c r="CG570" i="15"/>
  <c r="CH570" i="15" s="1"/>
  <c r="CG605" i="15"/>
  <c r="CH605" i="15" s="1"/>
  <c r="CG639" i="15"/>
  <c r="CH639" i="15" s="1"/>
  <c r="CG675" i="15"/>
  <c r="CH675" i="15" s="1"/>
  <c r="CG59" i="15"/>
  <c r="CH59" i="15" s="1"/>
  <c r="CG199" i="15"/>
  <c r="CG344" i="15"/>
  <c r="CH344" i="15" s="1"/>
  <c r="CG406" i="15"/>
  <c r="CH406" i="15" s="1"/>
  <c r="CG440" i="15"/>
  <c r="CH440" i="15" s="1"/>
  <c r="CG476" i="15"/>
  <c r="CH476" i="15" s="1"/>
  <c r="CG509" i="15"/>
  <c r="CH509" i="15" s="1"/>
  <c r="CG545" i="15"/>
  <c r="CH545" i="15" s="1"/>
  <c r="CG581" i="15"/>
  <c r="CH581" i="15" s="1"/>
  <c r="CG614" i="15"/>
  <c r="CH614" i="15" s="1"/>
  <c r="CG650" i="15"/>
  <c r="CH650" i="15" s="1"/>
  <c r="CG99" i="15"/>
  <c r="CH99" i="15" s="1"/>
  <c r="CG238" i="15"/>
  <c r="CH238" i="15" s="1"/>
  <c r="CG380" i="15"/>
  <c r="CH380" i="15" s="1"/>
  <c r="CG415" i="15"/>
  <c r="CH415" i="15" s="1"/>
  <c r="CG451" i="15"/>
  <c r="CH451" i="15" s="1"/>
  <c r="CG485" i="15"/>
  <c r="CH485" i="15" s="1"/>
  <c r="CG520" i="15"/>
  <c r="CH520" i="15" s="1"/>
  <c r="CG556" i="15"/>
  <c r="CH556" i="15" s="1"/>
  <c r="CG590" i="15"/>
  <c r="CH590" i="15" s="1"/>
  <c r="CG623" i="15"/>
  <c r="CH623" i="15" s="1"/>
  <c r="CG659" i="15"/>
  <c r="CH659" i="15" s="1"/>
  <c r="CG693" i="15"/>
  <c r="CH693" i="15" s="1"/>
  <c r="CG420" i="15"/>
  <c r="CH420" i="15" s="1"/>
  <c r="CG561" i="15"/>
  <c r="CH561" i="15" s="1"/>
  <c r="CG680" i="15"/>
  <c r="CH680" i="15" s="1"/>
  <c r="CG724" i="15"/>
  <c r="CH724" i="15" s="1"/>
  <c r="CG757" i="15"/>
  <c r="CH757" i="15" s="1"/>
  <c r="CG793" i="15"/>
  <c r="CH793" i="15" s="1"/>
  <c r="CG139" i="15"/>
  <c r="CH139" i="15" s="1"/>
  <c r="CG460" i="15"/>
  <c r="CH460" i="15" s="1"/>
  <c r="CG599" i="15"/>
  <c r="CH599" i="15" s="1"/>
  <c r="CG699" i="15"/>
  <c r="CH699" i="15" s="1"/>
  <c r="CG733" i="15"/>
  <c r="CH733" i="15" s="1"/>
  <c r="CG768" i="15"/>
  <c r="CH768" i="15" s="1"/>
  <c r="CG802" i="15"/>
  <c r="CH802" i="15" s="1"/>
  <c r="CG838" i="15"/>
  <c r="CH838" i="15" s="1"/>
  <c r="CG872" i="15"/>
  <c r="CH872" i="15" s="1"/>
  <c r="CG243" i="15"/>
  <c r="CG642" i="15"/>
  <c r="CH642" i="15" s="1"/>
  <c r="CG814" i="15"/>
  <c r="CH814" i="15" s="1"/>
  <c r="CG856" i="15"/>
  <c r="CH856" i="15" s="1"/>
  <c r="CG890" i="15"/>
  <c r="CH890" i="15" s="1"/>
  <c r="CG841" i="15"/>
  <c r="CH841" i="15" s="1"/>
  <c r="CG875" i="15"/>
  <c r="CH875" i="15" s="1"/>
  <c r="CG85" i="15"/>
  <c r="CH85" i="15" s="1"/>
  <c r="CG368" i="15"/>
  <c r="CH368" i="15" s="1"/>
  <c r="CG446" i="15"/>
  <c r="CH446" i="15" s="1"/>
  <c r="CG517" i="15"/>
  <c r="CH517" i="15" s="1"/>
  <c r="CG587" i="15"/>
  <c r="CH587" i="15" s="1"/>
  <c r="CG656" i="15"/>
  <c r="CH656" i="15" s="1"/>
  <c r="CG692" i="15"/>
  <c r="CH692" i="15" s="1"/>
  <c r="CG712" i="15"/>
  <c r="CH712" i="15" s="1"/>
  <c r="CG730" i="15"/>
  <c r="CH730" i="15" s="1"/>
  <c r="CG747" i="15"/>
  <c r="CH747" i="15" s="1"/>
  <c r="CG764" i="15"/>
  <c r="CG781" i="15"/>
  <c r="CH781" i="15" s="1"/>
  <c r="CG799" i="15"/>
  <c r="CH799" i="15" s="1"/>
  <c r="CG817" i="15"/>
  <c r="CH817" i="15" s="1"/>
  <c r="CG835" i="15"/>
  <c r="CH835" i="15" s="1"/>
  <c r="CG851" i="15"/>
  <c r="CH851" i="15" s="1"/>
  <c r="CG869" i="15"/>
  <c r="CH869" i="15" s="1"/>
  <c r="CG885" i="15"/>
  <c r="CH885" i="15" s="1"/>
  <c r="CG31" i="15"/>
  <c r="CH31" i="15" s="1"/>
  <c r="CG434" i="15"/>
  <c r="CH434" i="15" s="1"/>
  <c r="CG557" i="15"/>
  <c r="CH557" i="15" s="1"/>
  <c r="CG678" i="15"/>
  <c r="CH678" i="15" s="1"/>
  <c r="CG723" i="15"/>
  <c r="CH723" i="15" s="1"/>
  <c r="CG756" i="15"/>
  <c r="CH756" i="15" s="1"/>
  <c r="CG792" i="15"/>
  <c r="CH792" i="15" s="1"/>
  <c r="CG826" i="15"/>
  <c r="CH826" i="15" s="1"/>
  <c r="CG860" i="15"/>
  <c r="CH860" i="15" s="1"/>
  <c r="CG894" i="15"/>
  <c r="CH894" i="15" s="1"/>
  <c r="CG853" i="15"/>
  <c r="CH853" i="15" s="1"/>
  <c r="CG887" i="15"/>
  <c r="CH887" i="15" s="1"/>
  <c r="CG148" i="15"/>
  <c r="CH148" i="15" s="1"/>
  <c r="CG292" i="15"/>
  <c r="CH292" i="15" s="1"/>
  <c r="CG21" i="15"/>
  <c r="CH21" i="15" s="1"/>
  <c r="CG127" i="15"/>
  <c r="CH127" i="15" s="1"/>
  <c r="CG232" i="15"/>
  <c r="CH232" i="15" s="1"/>
  <c r="CG374" i="15"/>
  <c r="CH374" i="15" s="1"/>
  <c r="CG142" i="15"/>
  <c r="CH142" i="15" s="1"/>
  <c r="CG286" i="15"/>
  <c r="CH286" i="15" s="1"/>
  <c r="CG401" i="15"/>
  <c r="CH401" i="15" s="1"/>
  <c r="CG504" i="15"/>
  <c r="CH504" i="15" s="1"/>
  <c r="CG609" i="15"/>
  <c r="CH609" i="15" s="1"/>
  <c r="CG77" i="15"/>
  <c r="CH77" i="15" s="1"/>
  <c r="CG444" i="15"/>
  <c r="CH444" i="15" s="1"/>
  <c r="CG549" i="15"/>
  <c r="CH549" i="15" s="1"/>
  <c r="CG654" i="15"/>
  <c r="CH654" i="15" s="1"/>
  <c r="CG419" i="15"/>
  <c r="CH419" i="15" s="1"/>
  <c r="CG524" i="15"/>
  <c r="CH524" i="15" s="1"/>
  <c r="CG663" i="15"/>
  <c r="CH663" i="15" s="1"/>
  <c r="CG688" i="15"/>
  <c r="CH688" i="15" s="1"/>
  <c r="CG797" i="15"/>
  <c r="CH797" i="15" s="1"/>
  <c r="CG616" i="15"/>
  <c r="CH616" i="15" s="1"/>
  <c r="CG772" i="15"/>
  <c r="CH772" i="15" s="1"/>
  <c r="CG876" i="15"/>
  <c r="CH876" i="15" s="1"/>
  <c r="CG822" i="15"/>
  <c r="CH822" i="15" s="1"/>
  <c r="CG883" i="15"/>
  <c r="CH883" i="15" s="1"/>
  <c r="CG464" i="15"/>
  <c r="CH464" i="15" s="1"/>
  <c r="CG666" i="15"/>
  <c r="CH666" i="15" s="1"/>
  <c r="CG734" i="15"/>
  <c r="CH734" i="15" s="1"/>
  <c r="CG785" i="15"/>
  <c r="CH785" i="15" s="1"/>
  <c r="CG855" i="15"/>
  <c r="CH855" i="15" s="1"/>
  <c r="CG452" i="15"/>
  <c r="CH452" i="15" s="1"/>
  <c r="CG694" i="15"/>
  <c r="CH694" i="15" s="1"/>
  <c r="CG800" i="15"/>
  <c r="CH800" i="15" s="1"/>
  <c r="CG823" i="15"/>
  <c r="CH823" i="15" s="1"/>
  <c r="CG42" i="15"/>
  <c r="CH42" i="15" s="1"/>
  <c r="CG78" i="15"/>
  <c r="CH78" i="15" s="1"/>
  <c r="H2" i="7"/>
  <c r="G11" i="3"/>
  <c r="G14" i="3"/>
  <c r="G25" i="3"/>
  <c r="G27" i="3"/>
  <c r="G28" i="3"/>
  <c r="G29" i="3"/>
  <c r="G35" i="3"/>
  <c r="G36" i="3"/>
  <c r="G37" i="3"/>
  <c r="G38" i="3"/>
  <c r="G39" i="3"/>
  <c r="G40" i="3"/>
  <c r="G41" i="3"/>
  <c r="G44" i="3"/>
  <c r="G45" i="3"/>
  <c r="G48" i="3"/>
  <c r="G49" i="3"/>
  <c r="G50" i="3"/>
  <c r="G51" i="3"/>
  <c r="G52" i="3"/>
  <c r="G53" i="3"/>
  <c r="G54" i="3"/>
  <c r="G55" i="3"/>
  <c r="G56" i="3"/>
  <c r="G59" i="3"/>
  <c r="G60" i="3"/>
  <c r="G61" i="3"/>
  <c r="G62" i="3"/>
  <c r="G63" i="3"/>
  <c r="G64" i="3"/>
  <c r="G65" i="3"/>
  <c r="G66" i="3"/>
  <c r="G67" i="3"/>
  <c r="G68" i="3"/>
  <c r="G69" i="3"/>
  <c r="G70" i="3"/>
  <c r="M6" i="13"/>
  <c r="AE5" i="1"/>
  <c r="D4" i="3"/>
  <c r="CH229" i="15" l="1"/>
  <c r="CH176" i="15"/>
  <c r="CH199" i="15"/>
  <c r="CH263" i="15"/>
  <c r="CH424" i="15"/>
  <c r="CH243" i="15"/>
  <c r="CH474" i="15"/>
  <c r="CH448" i="15"/>
  <c r="CH512" i="15"/>
  <c r="CH492" i="15"/>
  <c r="CH536" i="15"/>
  <c r="CH552" i="15"/>
  <c r="CH572" i="15"/>
  <c r="CH648" i="15"/>
  <c r="CH637" i="15"/>
  <c r="CH603" i="15"/>
  <c r="CH669" i="15"/>
  <c r="CH697" i="15"/>
  <c r="CH718" i="15"/>
  <c r="CH745" i="15"/>
  <c r="CH764" i="15"/>
  <c r="CH787" i="15"/>
  <c r="CH810" i="15"/>
  <c r="CH831" i="15"/>
  <c r="CH387" i="15"/>
  <c r="CH864" i="15"/>
  <c r="CH340" i="15"/>
  <c r="CH314" i="15"/>
  <c r="CH284" i="15"/>
  <c r="CH152" i="15"/>
  <c r="CH35" i="15"/>
  <c r="CH87" i="15"/>
  <c r="CH68" i="15"/>
  <c r="CH103" i="15"/>
  <c r="CH44" i="15"/>
  <c r="CH131" i="15"/>
  <c r="Z142" i="1"/>
  <c r="AF142" i="1" s="1"/>
  <c r="AB142" i="1"/>
  <c r="AH142" i="1" s="1"/>
  <c r="AA142" i="1"/>
  <c r="AG142" i="1" s="1"/>
  <c r="Y142" i="1"/>
  <c r="N142" i="1"/>
  <c r="AC142" i="1"/>
  <c r="AI142" i="1" s="1"/>
  <c r="Z219" i="1"/>
  <c r="AF219" i="1" s="1"/>
  <c r="N219" i="1"/>
  <c r="AC219" i="1"/>
  <c r="AI219" i="1" s="1"/>
  <c r="Y219" i="1"/>
  <c r="AB219" i="1"/>
  <c r="AH219" i="1" s="1"/>
  <c r="AA219" i="1"/>
  <c r="AG219" i="1" s="1"/>
  <c r="Z209" i="1"/>
  <c r="AF209" i="1" s="1"/>
  <c r="AB209" i="1"/>
  <c r="AH209" i="1" s="1"/>
  <c r="AA209" i="1"/>
  <c r="AG209" i="1" s="1"/>
  <c r="AC209" i="1"/>
  <c r="AI209" i="1" s="1"/>
  <c r="Y209" i="1"/>
  <c r="N209" i="1"/>
  <c r="AA217" i="1"/>
  <c r="AG217" i="1" s="1"/>
  <c r="N217" i="1"/>
  <c r="Y217" i="1"/>
  <c r="Z217" i="1"/>
  <c r="AF217" i="1" s="1"/>
  <c r="AC217" i="1"/>
  <c r="AI217" i="1" s="1"/>
  <c r="AB217" i="1"/>
  <c r="AH217" i="1" s="1"/>
  <c r="AA207" i="1"/>
  <c r="AG207" i="1" s="1"/>
  <c r="N207" i="1"/>
  <c r="AB207" i="1"/>
  <c r="AH207" i="1" s="1"/>
  <c r="Z207" i="1"/>
  <c r="AF207" i="1" s="1"/>
  <c r="AC207" i="1"/>
  <c r="AI207" i="1" s="1"/>
  <c r="Y207" i="1"/>
  <c r="Z198" i="1"/>
  <c r="AF198" i="1" s="1"/>
  <c r="AB192" i="1"/>
  <c r="AH192" i="1" s="1"/>
  <c r="AA198" i="1"/>
  <c r="AG198" i="1" s="1"/>
  <c r="Y192" i="1"/>
  <c r="AC198" i="1"/>
  <c r="AI198" i="1" s="1"/>
  <c r="Y198" i="1"/>
  <c r="AA192" i="1"/>
  <c r="AG192" i="1" s="1"/>
  <c r="N192" i="1"/>
  <c r="AB198" i="1"/>
  <c r="AH198" i="1" s="1"/>
  <c r="Z192" i="1"/>
  <c r="AF192" i="1" s="1"/>
  <c r="N198" i="1"/>
  <c r="AC192" i="1"/>
  <c r="AI192" i="1" s="1"/>
  <c r="AB214" i="1"/>
  <c r="AH214" i="1" s="1"/>
  <c r="AC214" i="1"/>
  <c r="AI214" i="1" s="1"/>
  <c r="AA214" i="1"/>
  <c r="AG214" i="1" s="1"/>
  <c r="N214" i="1"/>
  <c r="Z214" i="1"/>
  <c r="AF214" i="1" s="1"/>
  <c r="Y214" i="1"/>
  <c r="AA196" i="1"/>
  <c r="AG196" i="1" s="1"/>
  <c r="N196" i="1"/>
  <c r="AC190" i="1"/>
  <c r="AI190" i="1" s="1"/>
  <c r="Y190" i="1"/>
  <c r="Y196" i="1"/>
  <c r="N190" i="1"/>
  <c r="Z196" i="1"/>
  <c r="AF196" i="1" s="1"/>
  <c r="AB190" i="1"/>
  <c r="AH190" i="1" s="1"/>
  <c r="AC196" i="1"/>
  <c r="AI196" i="1" s="1"/>
  <c r="AA190" i="1"/>
  <c r="AG190" i="1" s="1"/>
  <c r="AB196" i="1"/>
  <c r="AH196" i="1" s="1"/>
  <c r="Z190" i="1"/>
  <c r="AF190" i="1" s="1"/>
  <c r="AB204" i="1"/>
  <c r="AH204" i="1" s="1"/>
  <c r="AC204" i="1"/>
  <c r="AI204" i="1" s="1"/>
  <c r="AA204" i="1"/>
  <c r="AG204" i="1" s="1"/>
  <c r="N204" i="1"/>
  <c r="Z204" i="1"/>
  <c r="AF204" i="1" s="1"/>
  <c r="Y204" i="1"/>
  <c r="AC202" i="1"/>
  <c r="AI202" i="1" s="1"/>
  <c r="Y202" i="1"/>
  <c r="AB202" i="1"/>
  <c r="AH202" i="1" s="1"/>
  <c r="AA202" i="1"/>
  <c r="AG202" i="1" s="1"/>
  <c r="N202" i="1"/>
  <c r="Z202" i="1"/>
  <c r="AF202" i="1" s="1"/>
  <c r="AC212" i="1"/>
  <c r="AI212" i="1" s="1"/>
  <c r="Y212" i="1"/>
  <c r="AA212" i="1"/>
  <c r="AG212" i="1" s="1"/>
  <c r="Z212" i="1"/>
  <c r="AF212" i="1" s="1"/>
  <c r="AB212" i="1"/>
  <c r="AH212" i="1" s="1"/>
  <c r="N212" i="1"/>
  <c r="AB175" i="1"/>
  <c r="AH175" i="1" s="1"/>
  <c r="AA175" i="1"/>
  <c r="AG175" i="1" s="1"/>
  <c r="N175" i="1"/>
  <c r="Z175" i="1"/>
  <c r="AF175" i="1" s="1"/>
  <c r="AC175" i="1"/>
  <c r="AI175" i="1" s="1"/>
  <c r="Y175" i="1"/>
  <c r="Z17" i="1"/>
  <c r="AF17" i="1" s="1"/>
  <c r="AC17" i="1"/>
  <c r="AI17" i="1" s="1"/>
  <c r="Y17" i="1"/>
  <c r="AA17" i="1"/>
  <c r="AG17" i="1" s="1"/>
  <c r="N17" i="1"/>
  <c r="AB17" i="1"/>
  <c r="AH17" i="1" s="1"/>
  <c r="AC140" i="1"/>
  <c r="AI140" i="1" s="1"/>
  <c r="Y140" i="1"/>
  <c r="Z140" i="1"/>
  <c r="AF140" i="1" s="1"/>
  <c r="AB140" i="1"/>
  <c r="AH140" i="1" s="1"/>
  <c r="AA140" i="1"/>
  <c r="AG140" i="1" s="1"/>
  <c r="N140" i="1"/>
  <c r="C8" i="1"/>
  <c r="D9" i="1"/>
  <c r="M9" i="1"/>
  <c r="N9" i="1"/>
  <c r="X9" i="1"/>
  <c r="CH151" i="15" l="1"/>
  <c r="CH283" i="15"/>
  <c r="CH491" i="15"/>
  <c r="CH602" i="15"/>
  <c r="CH744" i="15"/>
  <c r="AE142" i="1"/>
  <c r="AJ142" i="1" s="1"/>
  <c r="AD142" i="1"/>
  <c r="AE212" i="1"/>
  <c r="AJ212" i="1" s="1"/>
  <c r="AD212" i="1"/>
  <c r="AE204" i="1"/>
  <c r="AJ204" i="1" s="1"/>
  <c r="AD204" i="1"/>
  <c r="AE207" i="1"/>
  <c r="AJ207" i="1" s="1"/>
  <c r="AD207" i="1"/>
  <c r="AE219" i="1"/>
  <c r="AJ219" i="1" s="1"/>
  <c r="AD219" i="1"/>
  <c r="AE196" i="1"/>
  <c r="AJ196" i="1" s="1"/>
  <c r="AD196" i="1"/>
  <c r="AE217" i="1"/>
  <c r="AJ217" i="1" s="1"/>
  <c r="AD217" i="1"/>
  <c r="AE209" i="1"/>
  <c r="AJ209" i="1" s="1"/>
  <c r="AD209" i="1"/>
  <c r="AE202" i="1"/>
  <c r="AJ202" i="1" s="1"/>
  <c r="AD202" i="1"/>
  <c r="AE190" i="1"/>
  <c r="AJ190" i="1" s="1"/>
  <c r="AD190" i="1"/>
  <c r="AE214" i="1"/>
  <c r="AJ214" i="1" s="1"/>
  <c r="AD214" i="1"/>
  <c r="AE198" i="1"/>
  <c r="AJ198" i="1" s="1"/>
  <c r="AD198" i="1"/>
  <c r="AE192" i="1"/>
  <c r="AJ192" i="1" s="1"/>
  <c r="AD192" i="1"/>
  <c r="AE175" i="1"/>
  <c r="AJ175" i="1" s="1"/>
  <c r="AD175" i="1"/>
  <c r="AE17" i="1"/>
  <c r="AJ17" i="1" s="1"/>
  <c r="AD17" i="1"/>
  <c r="AE140" i="1"/>
  <c r="AJ140" i="1" s="1"/>
  <c r="AD140" i="1"/>
  <c r="C9" i="1"/>
  <c r="E9" i="1"/>
  <c r="F9" i="1" s="1"/>
  <c r="G9" i="1" s="1"/>
  <c r="CE68" i="15" l="1"/>
  <c r="CE9" i="15"/>
  <c r="CF9" i="15" s="1"/>
  <c r="CE6" i="15"/>
  <c r="CF6" i="15" s="1"/>
  <c r="CI6" i="15" s="1"/>
  <c r="CE10" i="15"/>
  <c r="CE8" i="15"/>
  <c r="CF8" i="15" s="1"/>
  <c r="CE7" i="15"/>
  <c r="CE70" i="15"/>
  <c r="CF70" i="15" s="1"/>
  <c r="CE46" i="15"/>
  <c r="CF46" i="15" s="1"/>
  <c r="CE37" i="15"/>
  <c r="CF37" i="15" s="1"/>
  <c r="CE657" i="15"/>
  <c r="CF657" i="15" s="1"/>
  <c r="CI657" i="15" s="1"/>
  <c r="CE397" i="15"/>
  <c r="CF397" i="15" s="1"/>
  <c r="CI397" i="15" s="1"/>
  <c r="CE12" i="15"/>
  <c r="CE16" i="15"/>
  <c r="CE20" i="15"/>
  <c r="CE24" i="15"/>
  <c r="CE28" i="15"/>
  <c r="CE32" i="15"/>
  <c r="CE38" i="15"/>
  <c r="CE42" i="15"/>
  <c r="CE48" i="15"/>
  <c r="CE52" i="15"/>
  <c r="CE56" i="15"/>
  <c r="CE60" i="15"/>
  <c r="CE64" i="15"/>
  <c r="CE74" i="15"/>
  <c r="CE78" i="15"/>
  <c r="CE82" i="15"/>
  <c r="CE87" i="15"/>
  <c r="CE92" i="15"/>
  <c r="CE96" i="15"/>
  <c r="CE100" i="15"/>
  <c r="CE106" i="15"/>
  <c r="CE110" i="15"/>
  <c r="CE114" i="15"/>
  <c r="CE118" i="15"/>
  <c r="CE122" i="15"/>
  <c r="CE126" i="15"/>
  <c r="CE131" i="15"/>
  <c r="CE136" i="15"/>
  <c r="CE140" i="15"/>
  <c r="CE144" i="15"/>
  <c r="CE148" i="15"/>
  <c r="CE152" i="15"/>
  <c r="CE157" i="15"/>
  <c r="CE161" i="15"/>
  <c r="CE165" i="15"/>
  <c r="CE169" i="15"/>
  <c r="CE173" i="15"/>
  <c r="CE179" i="15"/>
  <c r="CE183" i="15"/>
  <c r="CE187" i="15"/>
  <c r="CE191" i="15"/>
  <c r="CE195" i="15"/>
  <c r="CE201" i="15"/>
  <c r="CE205" i="15"/>
  <c r="CE209" i="15"/>
  <c r="CE213" i="15"/>
  <c r="CE217" i="15"/>
  <c r="CE221" i="15"/>
  <c r="CE225" i="15"/>
  <c r="CE231" i="15"/>
  <c r="CE235" i="15"/>
  <c r="CE239" i="15"/>
  <c r="CE13" i="15"/>
  <c r="CE17" i="15"/>
  <c r="CE21" i="15"/>
  <c r="CE25" i="15"/>
  <c r="CE29" i="15"/>
  <c r="CE33" i="15"/>
  <c r="CE39" i="15"/>
  <c r="CE44" i="15"/>
  <c r="CE49" i="15"/>
  <c r="CE53" i="15"/>
  <c r="CE57" i="15"/>
  <c r="CE61" i="15"/>
  <c r="CE65" i="15"/>
  <c r="CE71" i="15"/>
  <c r="CE75" i="15"/>
  <c r="CE79" i="15"/>
  <c r="CE83" i="15"/>
  <c r="CE89" i="15"/>
  <c r="CE93" i="15"/>
  <c r="CE97" i="15"/>
  <c r="CE101" i="15"/>
  <c r="CE107" i="15"/>
  <c r="CE111" i="15"/>
  <c r="CE115" i="15"/>
  <c r="CE119" i="15"/>
  <c r="CE123" i="15"/>
  <c r="CE127" i="15"/>
  <c r="CE133" i="15"/>
  <c r="CE137" i="15"/>
  <c r="CE141" i="15"/>
  <c r="CE145" i="15"/>
  <c r="CE149" i="15"/>
  <c r="CE154" i="15"/>
  <c r="CE158" i="15"/>
  <c r="CE162" i="15"/>
  <c r="CE166" i="15"/>
  <c r="CE170" i="15"/>
  <c r="CE174" i="15"/>
  <c r="CE180" i="15"/>
  <c r="CE184" i="15"/>
  <c r="CE188" i="15"/>
  <c r="CE192" i="15"/>
  <c r="CE196" i="15"/>
  <c r="CE202" i="15"/>
  <c r="CE206" i="15"/>
  <c r="CE14" i="15"/>
  <c r="CE18" i="15"/>
  <c r="CE22" i="15"/>
  <c r="CE26" i="15"/>
  <c r="CE30" i="15"/>
  <c r="CE35" i="15"/>
  <c r="CE40" i="15"/>
  <c r="CE50" i="15"/>
  <c r="CE54" i="15"/>
  <c r="CE58" i="15"/>
  <c r="CE62" i="15"/>
  <c r="CE66" i="15"/>
  <c r="CE72" i="15"/>
  <c r="CE76" i="15"/>
  <c r="CE80" i="15"/>
  <c r="CE84" i="15"/>
  <c r="CE90" i="15"/>
  <c r="CE94" i="15"/>
  <c r="CE98" i="15"/>
  <c r="CE103" i="15"/>
  <c r="CE108" i="15"/>
  <c r="CE112" i="15"/>
  <c r="CE116" i="15"/>
  <c r="CE120" i="15"/>
  <c r="CE124" i="15"/>
  <c r="CE128" i="15"/>
  <c r="CE134" i="15"/>
  <c r="CE138" i="15"/>
  <c r="CE142" i="15"/>
  <c r="CE146" i="15"/>
  <c r="CE150" i="15"/>
  <c r="CE155" i="15"/>
  <c r="CE159" i="15"/>
  <c r="CE15" i="15"/>
  <c r="CE31" i="15"/>
  <c r="CE51" i="15"/>
  <c r="CE85" i="15"/>
  <c r="CE105" i="15"/>
  <c r="CE121" i="15"/>
  <c r="CE139" i="15"/>
  <c r="CE156" i="15"/>
  <c r="CE167" i="15"/>
  <c r="CE176" i="15"/>
  <c r="CE185" i="15"/>
  <c r="CE193" i="15"/>
  <c r="CE203" i="15"/>
  <c r="CE210" i="15"/>
  <c r="CE215" i="15"/>
  <c r="CE220" i="15"/>
  <c r="CE226" i="15"/>
  <c r="CE233" i="15"/>
  <c r="CE238" i="15"/>
  <c r="CE245" i="15"/>
  <c r="CE249" i="15"/>
  <c r="CE253" i="15"/>
  <c r="CE257" i="15"/>
  <c r="CE261" i="15"/>
  <c r="CE267" i="15"/>
  <c r="CE271" i="15"/>
  <c r="CE275" i="15"/>
  <c r="CE279" i="15"/>
  <c r="CE288" i="15"/>
  <c r="CE292" i="15"/>
  <c r="CE296" i="15"/>
  <c r="CE300" i="15"/>
  <c r="CE304" i="15"/>
  <c r="CE308" i="15"/>
  <c r="CE312" i="15"/>
  <c r="CE318" i="15"/>
  <c r="CE322" i="15"/>
  <c r="CE326" i="15"/>
  <c r="CE330" i="15"/>
  <c r="CE334" i="15"/>
  <c r="CE338" i="15"/>
  <c r="CE344" i="15"/>
  <c r="CE348" i="15"/>
  <c r="CE352" i="15"/>
  <c r="CE356" i="15"/>
  <c r="CE360" i="15"/>
  <c r="CE364" i="15"/>
  <c r="CE368" i="15"/>
  <c r="CE372" i="15"/>
  <c r="CE376" i="15"/>
  <c r="CE380" i="15"/>
  <c r="CE384" i="15"/>
  <c r="CE390" i="15"/>
  <c r="CE394" i="15"/>
  <c r="CE398" i="15"/>
  <c r="CE402" i="15"/>
  <c r="CE406" i="15"/>
  <c r="CE410" i="15"/>
  <c r="CE414" i="15"/>
  <c r="CE418" i="15"/>
  <c r="CE422" i="15"/>
  <c r="CE428" i="15"/>
  <c r="CE432" i="15"/>
  <c r="CE436" i="15"/>
  <c r="CE440" i="15"/>
  <c r="CE444" i="15"/>
  <c r="CE450" i="15"/>
  <c r="CE454" i="15"/>
  <c r="CE458" i="15"/>
  <c r="CE462" i="15"/>
  <c r="CE466" i="15"/>
  <c r="CE470" i="15"/>
  <c r="CE476" i="15"/>
  <c r="CE480" i="15"/>
  <c r="CE484" i="15"/>
  <c r="CE488" i="15"/>
  <c r="CE492" i="15"/>
  <c r="CE497" i="15"/>
  <c r="CE501" i="15"/>
  <c r="CE505" i="15"/>
  <c r="CE509" i="15"/>
  <c r="CE515" i="15"/>
  <c r="CE519" i="15"/>
  <c r="CE523" i="15"/>
  <c r="CE527" i="15"/>
  <c r="CE531" i="15"/>
  <c r="CE536" i="15"/>
  <c r="CE541" i="15"/>
  <c r="CE545" i="15"/>
  <c r="CE549" i="15"/>
  <c r="CE555" i="15"/>
  <c r="CE559" i="15"/>
  <c r="CE563" i="15"/>
  <c r="CE567" i="15"/>
  <c r="CE572" i="15"/>
  <c r="CE577" i="15"/>
  <c r="CE581" i="15"/>
  <c r="CE585" i="15"/>
  <c r="CE589" i="15"/>
  <c r="CE593" i="15"/>
  <c r="CE597" i="15"/>
  <c r="CE601" i="15"/>
  <c r="CE606" i="15"/>
  <c r="CE610" i="15"/>
  <c r="CE614" i="15"/>
  <c r="CE618" i="15"/>
  <c r="CE622" i="15"/>
  <c r="CE626" i="15"/>
  <c r="CE630" i="15"/>
  <c r="CE634" i="15"/>
  <c r="CE640" i="15"/>
  <c r="CE644" i="15"/>
  <c r="CE650" i="15"/>
  <c r="CE654" i="15"/>
  <c r="CE662" i="15"/>
  <c r="CE666" i="15"/>
  <c r="CE672" i="15"/>
  <c r="CE676" i="15"/>
  <c r="CE680" i="15"/>
  <c r="CE684" i="15"/>
  <c r="CE688" i="15"/>
  <c r="CE692" i="15"/>
  <c r="CE697" i="15"/>
  <c r="CE702" i="15"/>
  <c r="CE706" i="15"/>
  <c r="CE710" i="15"/>
  <c r="CE714" i="15"/>
  <c r="CE720" i="15"/>
  <c r="CE724" i="15"/>
  <c r="CE728" i="15"/>
  <c r="CE732" i="15"/>
  <c r="CE736" i="15"/>
  <c r="CE740" i="15"/>
  <c r="CE744" i="15"/>
  <c r="CE749" i="15"/>
  <c r="CE753" i="15"/>
  <c r="CE757" i="15"/>
  <c r="CE761" i="15"/>
  <c r="CE767" i="15"/>
  <c r="CE19" i="15"/>
  <c r="CE55" i="15"/>
  <c r="CE73" i="15"/>
  <c r="CE91" i="15"/>
  <c r="CE109" i="15"/>
  <c r="CE125" i="15"/>
  <c r="CE143" i="15"/>
  <c r="CE160" i="15"/>
  <c r="CE168" i="15"/>
  <c r="CE178" i="15"/>
  <c r="CE186" i="15"/>
  <c r="CE194" i="15"/>
  <c r="CE204" i="15"/>
  <c r="CE211" i="15"/>
  <c r="CE216" i="15"/>
  <c r="CE222" i="15"/>
  <c r="CE227" i="15"/>
  <c r="CE234" i="15"/>
  <c r="CE240" i="15"/>
  <c r="CE246" i="15"/>
  <c r="CE250" i="15"/>
  <c r="CE254" i="15"/>
  <c r="CE258" i="15"/>
  <c r="CE263" i="15"/>
  <c r="CE268" i="15"/>
  <c r="CE272" i="15"/>
  <c r="CE276" i="15"/>
  <c r="CE280" i="15"/>
  <c r="CE289" i="15"/>
  <c r="CE293" i="15"/>
  <c r="CE297" i="15"/>
  <c r="CE301" i="15"/>
  <c r="CE305" i="15"/>
  <c r="CE309" i="15"/>
  <c r="CE319" i="15"/>
  <c r="CE323" i="15"/>
  <c r="CE327" i="15"/>
  <c r="CE331" i="15"/>
  <c r="CE335" i="15"/>
  <c r="CE340" i="15"/>
  <c r="CE345" i="15"/>
  <c r="CE349" i="15"/>
  <c r="CE353" i="15"/>
  <c r="CE357" i="15"/>
  <c r="CE361" i="15"/>
  <c r="CE365" i="15"/>
  <c r="CE369" i="15"/>
  <c r="CE373" i="15"/>
  <c r="CE377" i="15"/>
  <c r="CE381" i="15"/>
  <c r="CE385" i="15"/>
  <c r="CE391" i="15"/>
  <c r="CE399" i="15"/>
  <c r="CE403" i="15"/>
  <c r="CE407" i="15"/>
  <c r="CE411" i="15"/>
  <c r="CE415" i="15"/>
  <c r="CE419" i="15"/>
  <c r="CE424" i="15"/>
  <c r="CE429" i="15"/>
  <c r="CE433" i="15"/>
  <c r="CE437" i="15"/>
  <c r="CE441" i="15"/>
  <c r="CE445" i="15"/>
  <c r="CE451" i="15"/>
  <c r="CE455" i="15"/>
  <c r="CE459" i="15"/>
  <c r="CE463" i="15"/>
  <c r="CE467" i="15"/>
  <c r="CE471" i="15"/>
  <c r="CE477" i="15"/>
  <c r="CE481" i="15"/>
  <c r="CE485" i="15"/>
  <c r="CE489" i="15"/>
  <c r="CE494" i="15"/>
  <c r="CE498" i="15"/>
  <c r="CE502" i="15"/>
  <c r="CE506" i="15"/>
  <c r="CE510" i="15"/>
  <c r="CE516" i="15"/>
  <c r="CE520" i="15"/>
  <c r="CE524" i="15"/>
  <c r="CE528" i="15"/>
  <c r="CE532" i="15"/>
  <c r="CE538" i="15"/>
  <c r="CE542" i="15"/>
  <c r="CE546" i="15"/>
  <c r="CE550" i="15"/>
  <c r="CE556" i="15"/>
  <c r="CE560" i="15"/>
  <c r="CE564" i="15"/>
  <c r="CE568" i="15"/>
  <c r="CE574" i="15"/>
  <c r="CE578" i="15"/>
  <c r="CE582" i="15"/>
  <c r="CE586" i="15"/>
  <c r="CE590" i="15"/>
  <c r="CE594" i="15"/>
  <c r="CE598" i="15"/>
  <c r="CE602" i="15"/>
  <c r="CE607" i="15"/>
  <c r="CE611" i="15"/>
  <c r="CE615" i="15"/>
  <c r="CE619" i="15"/>
  <c r="CE623" i="15"/>
  <c r="CE627" i="15"/>
  <c r="CE631" i="15"/>
  <c r="CE635" i="15"/>
  <c r="CE641" i="15"/>
  <c r="CE645" i="15"/>
  <c r="CE651" i="15"/>
  <c r="CE655" i="15"/>
  <c r="CE659" i="15"/>
  <c r="CE663" i="15"/>
  <c r="CE667" i="15"/>
  <c r="CE673" i="15"/>
  <c r="CE677" i="15"/>
  <c r="CE681" i="15"/>
  <c r="CE685" i="15"/>
  <c r="CE689" i="15"/>
  <c r="CE693" i="15"/>
  <c r="CE699" i="15"/>
  <c r="CE703" i="15"/>
  <c r="CE707" i="15"/>
  <c r="CE711" i="15"/>
  <c r="CE715" i="15"/>
  <c r="CE721" i="15"/>
  <c r="CE725" i="15"/>
  <c r="CE729" i="15"/>
  <c r="CE733" i="15"/>
  <c r="CE737" i="15"/>
  <c r="CE741" i="15"/>
  <c r="CE745" i="15"/>
  <c r="CE750" i="15"/>
  <c r="CE754" i="15"/>
  <c r="CE758" i="15"/>
  <c r="CE23" i="15"/>
  <c r="CE41" i="15"/>
  <c r="CE59" i="15"/>
  <c r="CE77" i="15"/>
  <c r="CE95" i="15"/>
  <c r="CE113" i="15"/>
  <c r="CE129" i="15"/>
  <c r="CE147" i="15"/>
  <c r="CE163" i="15"/>
  <c r="CE171" i="15"/>
  <c r="CE181" i="15"/>
  <c r="CE189" i="15"/>
  <c r="CE197" i="15"/>
  <c r="CE207" i="15"/>
  <c r="CE212" i="15"/>
  <c r="CE218" i="15"/>
  <c r="CE223" i="15"/>
  <c r="CE229" i="15"/>
  <c r="CE236" i="15"/>
  <c r="CE241" i="15"/>
  <c r="CE247" i="15"/>
  <c r="CE251" i="15"/>
  <c r="CE255" i="15"/>
  <c r="CE259" i="15"/>
  <c r="CE265" i="15"/>
  <c r="CE269" i="15"/>
  <c r="CE273" i="15"/>
  <c r="CE277" i="15"/>
  <c r="CE281" i="15"/>
  <c r="CE286" i="15"/>
  <c r="CE290" i="15"/>
  <c r="CE294" i="15"/>
  <c r="CE298" i="15"/>
  <c r="CE302" i="15"/>
  <c r="CE306" i="15"/>
  <c r="CE310" i="15"/>
  <c r="CE316" i="15"/>
  <c r="CF316" i="15" s="1"/>
  <c r="CE320" i="15"/>
  <c r="CE324" i="15"/>
  <c r="CE328" i="15"/>
  <c r="CE332" i="15"/>
  <c r="CE336" i="15"/>
  <c r="CE342" i="15"/>
  <c r="CE346" i="15"/>
  <c r="CE350" i="15"/>
  <c r="CE354" i="15"/>
  <c r="CE358" i="15"/>
  <c r="CE362" i="15"/>
  <c r="CE366" i="15"/>
  <c r="CE370" i="15"/>
  <c r="CE374" i="15"/>
  <c r="CE378" i="15"/>
  <c r="CE382" i="15"/>
  <c r="CE387" i="15"/>
  <c r="CE392" i="15"/>
  <c r="CE395" i="15"/>
  <c r="CE400" i="15"/>
  <c r="CE404" i="15"/>
  <c r="CE408" i="15"/>
  <c r="CE412" i="15"/>
  <c r="CE416" i="15"/>
  <c r="CE420" i="15"/>
  <c r="CE426" i="15"/>
  <c r="CE430" i="15"/>
  <c r="CE434" i="15"/>
  <c r="CE438" i="15"/>
  <c r="CE442" i="15"/>
  <c r="CE446" i="15"/>
  <c r="CE452" i="15"/>
  <c r="CE456" i="15"/>
  <c r="CE460" i="15"/>
  <c r="CE464" i="15"/>
  <c r="CE468" i="15"/>
  <c r="CE472" i="15"/>
  <c r="CE478" i="15"/>
  <c r="CE482" i="15"/>
  <c r="CE486" i="15"/>
  <c r="CE490" i="15"/>
  <c r="CE495" i="15"/>
  <c r="CE499" i="15"/>
  <c r="CE503" i="15"/>
  <c r="CE507" i="15"/>
  <c r="CE512" i="15"/>
  <c r="CE517" i="15"/>
  <c r="CE521" i="15"/>
  <c r="CE525" i="15"/>
  <c r="CE529" i="15"/>
  <c r="CE533" i="15"/>
  <c r="CE539" i="15"/>
  <c r="CE543" i="15"/>
  <c r="CE547" i="15"/>
  <c r="CE552" i="15"/>
  <c r="CE557" i="15"/>
  <c r="CE561" i="15"/>
  <c r="CE565" i="15"/>
  <c r="CE569" i="15"/>
  <c r="CE575" i="15"/>
  <c r="CE579" i="15"/>
  <c r="CE583" i="15"/>
  <c r="CE587" i="15"/>
  <c r="CE591" i="15"/>
  <c r="CE595" i="15"/>
  <c r="CE599" i="15"/>
  <c r="CE603" i="15"/>
  <c r="CE608" i="15"/>
  <c r="CE612" i="15"/>
  <c r="CE616" i="15"/>
  <c r="CE620" i="15"/>
  <c r="CE624" i="15"/>
  <c r="CE628" i="15"/>
  <c r="CE632" i="15"/>
  <c r="CE637" i="15"/>
  <c r="CE642" i="15"/>
  <c r="CE646" i="15"/>
  <c r="CE652" i="15"/>
  <c r="CE656" i="15"/>
  <c r="CE660" i="15"/>
  <c r="CE664" i="15"/>
  <c r="CE669" i="15"/>
  <c r="CE674" i="15"/>
  <c r="CE678" i="15"/>
  <c r="CE682" i="15"/>
  <c r="CE686" i="15"/>
  <c r="CE690" i="15"/>
  <c r="CE694" i="15"/>
  <c r="CE700" i="15"/>
  <c r="CE704" i="15"/>
  <c r="CE708" i="15"/>
  <c r="CE712" i="15"/>
  <c r="CE716" i="15"/>
  <c r="CE722" i="15"/>
  <c r="CE726" i="15"/>
  <c r="CE730" i="15"/>
  <c r="CE734" i="15"/>
  <c r="CE738" i="15"/>
  <c r="CE742" i="15"/>
  <c r="CE747" i="15"/>
  <c r="CE751" i="15"/>
  <c r="CE755" i="15"/>
  <c r="CE759" i="15"/>
  <c r="CE27" i="15"/>
  <c r="CE99" i="15"/>
  <c r="CE164" i="15"/>
  <c r="CE199" i="15"/>
  <c r="CE224" i="15"/>
  <c r="CE248" i="15"/>
  <c r="CE266" i="15"/>
  <c r="CE299" i="15"/>
  <c r="CE317" i="15"/>
  <c r="CE333" i="15"/>
  <c r="CE351" i="15"/>
  <c r="CE367" i="15"/>
  <c r="CE383" i="15"/>
  <c r="CE401" i="15"/>
  <c r="CE417" i="15"/>
  <c r="CE435" i="15"/>
  <c r="CE453" i="15"/>
  <c r="CE469" i="15"/>
  <c r="CE487" i="15"/>
  <c r="CE504" i="15"/>
  <c r="CE522" i="15"/>
  <c r="CE540" i="15"/>
  <c r="CE558" i="15"/>
  <c r="CE576" i="15"/>
  <c r="CE592" i="15"/>
  <c r="CE609" i="15"/>
  <c r="CE625" i="15"/>
  <c r="CE643" i="15"/>
  <c r="CE661" i="15"/>
  <c r="CE679" i="15"/>
  <c r="CE695" i="15"/>
  <c r="CE713" i="15"/>
  <c r="CE731" i="15"/>
  <c r="CE748" i="15"/>
  <c r="CE762" i="15"/>
  <c r="CE769" i="15"/>
  <c r="CE773" i="15"/>
  <c r="CE777" i="15"/>
  <c r="CE781" i="15"/>
  <c r="CE785" i="15"/>
  <c r="CE791" i="15"/>
  <c r="CE795" i="15"/>
  <c r="CE799" i="15"/>
  <c r="CE803" i="15"/>
  <c r="CE807" i="15"/>
  <c r="CE813" i="15"/>
  <c r="CE817" i="15"/>
  <c r="CE821" i="15"/>
  <c r="CE825" i="15"/>
  <c r="CE829" i="15"/>
  <c r="CE835" i="15"/>
  <c r="CE839" i="15"/>
  <c r="CE843" i="15"/>
  <c r="CE847" i="15"/>
  <c r="CE851" i="15"/>
  <c r="CE855" i="15"/>
  <c r="CE859" i="15"/>
  <c r="CE864" i="15"/>
  <c r="CE869" i="15"/>
  <c r="CE873" i="15"/>
  <c r="CE877" i="15"/>
  <c r="CE881" i="15"/>
  <c r="CE885" i="15"/>
  <c r="CE889" i="15"/>
  <c r="CE893" i="15"/>
  <c r="CE897" i="15"/>
  <c r="CE47" i="15"/>
  <c r="CE117" i="15"/>
  <c r="CE172" i="15"/>
  <c r="CE208" i="15"/>
  <c r="CE232" i="15"/>
  <c r="CE252" i="15"/>
  <c r="CE270" i="15"/>
  <c r="CE287" i="15"/>
  <c r="CE303" i="15"/>
  <c r="CE321" i="15"/>
  <c r="CE337" i="15"/>
  <c r="CE355" i="15"/>
  <c r="CE371" i="15"/>
  <c r="CE389" i="15"/>
  <c r="CE405" i="15"/>
  <c r="CE421" i="15"/>
  <c r="CE439" i="15"/>
  <c r="CE457" i="15"/>
  <c r="CE474" i="15"/>
  <c r="CE491" i="15"/>
  <c r="CE508" i="15"/>
  <c r="CE526" i="15"/>
  <c r="CE544" i="15"/>
  <c r="CE562" i="15"/>
  <c r="CE580" i="15"/>
  <c r="CE596" i="15"/>
  <c r="CE613" i="15"/>
  <c r="CE629" i="15"/>
  <c r="CE648" i="15"/>
  <c r="CE665" i="15"/>
  <c r="CE683" i="15"/>
  <c r="CE701" i="15"/>
  <c r="CE718" i="15"/>
  <c r="CE735" i="15"/>
  <c r="CE752" i="15"/>
  <c r="CE764" i="15"/>
  <c r="CE770" i="15"/>
  <c r="CE774" i="15"/>
  <c r="CE778" i="15"/>
  <c r="CE782" i="15"/>
  <c r="CE787" i="15"/>
  <c r="CE792" i="15"/>
  <c r="CE796" i="15"/>
  <c r="CE800" i="15"/>
  <c r="CE804" i="15"/>
  <c r="CE808" i="15"/>
  <c r="CE814" i="15"/>
  <c r="CE818" i="15"/>
  <c r="CE822" i="15"/>
  <c r="CE826" i="15"/>
  <c r="CE831" i="15"/>
  <c r="CE836" i="15"/>
  <c r="CE840" i="15"/>
  <c r="CE844" i="15"/>
  <c r="CE848" i="15"/>
  <c r="CE852" i="15"/>
  <c r="CE856" i="15"/>
  <c r="CE860" i="15"/>
  <c r="CE866" i="15"/>
  <c r="CE870" i="15"/>
  <c r="CE874" i="15"/>
  <c r="CE878" i="15"/>
  <c r="CE882" i="15"/>
  <c r="CE886" i="15"/>
  <c r="CE890" i="15"/>
  <c r="CE894" i="15"/>
  <c r="CE898" i="15"/>
  <c r="CE63" i="15"/>
  <c r="CE135" i="15"/>
  <c r="CE182" i="15"/>
  <c r="CE214" i="15"/>
  <c r="CE237" i="15"/>
  <c r="CE256" i="15"/>
  <c r="CE274" i="15"/>
  <c r="CE291" i="15"/>
  <c r="CE307" i="15"/>
  <c r="CE325" i="15"/>
  <c r="CE343" i="15"/>
  <c r="CE359" i="15"/>
  <c r="CE375" i="15"/>
  <c r="CE393" i="15"/>
  <c r="CE409" i="15"/>
  <c r="CE427" i="15"/>
  <c r="CE443" i="15"/>
  <c r="CE461" i="15"/>
  <c r="CE479" i="15"/>
  <c r="CE496" i="15"/>
  <c r="CE514" i="15"/>
  <c r="CE530" i="15"/>
  <c r="CE548" i="15"/>
  <c r="CE566" i="15"/>
  <c r="CE584" i="15"/>
  <c r="CE600" i="15"/>
  <c r="CE617" i="15"/>
  <c r="CE633" i="15"/>
  <c r="CE653" i="15"/>
  <c r="CE671" i="15"/>
  <c r="CE687" i="15"/>
  <c r="CE705" i="15"/>
  <c r="CE723" i="15"/>
  <c r="CE739" i="15"/>
  <c r="CE756" i="15"/>
  <c r="CE766" i="15"/>
  <c r="CE771" i="15"/>
  <c r="CE775" i="15"/>
  <c r="CE779" i="15"/>
  <c r="CE783" i="15"/>
  <c r="CE789" i="15"/>
  <c r="CE793" i="15"/>
  <c r="CE797" i="15"/>
  <c r="CE801" i="15"/>
  <c r="CE805" i="15"/>
  <c r="CE810" i="15"/>
  <c r="CE815" i="15"/>
  <c r="CE819" i="15"/>
  <c r="CE823" i="15"/>
  <c r="CE827" i="15"/>
  <c r="CE833" i="15"/>
  <c r="CE837" i="15"/>
  <c r="CE841" i="15"/>
  <c r="CE845" i="15"/>
  <c r="CE849" i="15"/>
  <c r="CE853" i="15"/>
  <c r="CE857" i="15"/>
  <c r="CE861" i="15"/>
  <c r="CE867" i="15"/>
  <c r="CE871" i="15"/>
  <c r="CE875" i="15"/>
  <c r="CE879" i="15"/>
  <c r="CE883" i="15"/>
  <c r="CE887" i="15"/>
  <c r="CE891" i="15"/>
  <c r="CE895" i="15"/>
  <c r="CE190" i="15"/>
  <c r="CE278" i="15"/>
  <c r="CE347" i="15"/>
  <c r="CE413" i="15"/>
  <c r="CE483" i="15"/>
  <c r="CE554" i="15"/>
  <c r="CE621" i="15"/>
  <c r="CE691" i="15"/>
  <c r="CE760" i="15"/>
  <c r="CE780" i="15"/>
  <c r="CE798" i="15"/>
  <c r="CE816" i="15"/>
  <c r="CE834" i="15"/>
  <c r="CE850" i="15"/>
  <c r="CE868" i="15"/>
  <c r="CE884" i="15"/>
  <c r="CE151" i="15"/>
  <c r="CE396" i="15"/>
  <c r="CE605" i="15"/>
  <c r="CE776" i="15"/>
  <c r="CE828" i="15"/>
  <c r="CE896" i="15"/>
  <c r="CE11" i="15"/>
  <c r="CF11" i="15" s="1"/>
  <c r="CE219" i="15"/>
  <c r="CE295" i="15"/>
  <c r="CE363" i="15"/>
  <c r="CE431" i="15"/>
  <c r="CE500" i="15"/>
  <c r="CE570" i="15"/>
  <c r="CE639" i="15"/>
  <c r="CE709" i="15"/>
  <c r="CE768" i="15"/>
  <c r="CE784" i="15"/>
  <c r="CE802" i="15"/>
  <c r="CE820" i="15"/>
  <c r="CE838" i="15"/>
  <c r="CE854" i="15"/>
  <c r="CE872" i="15"/>
  <c r="CE888" i="15"/>
  <c r="CE260" i="15"/>
  <c r="CE465" i="15"/>
  <c r="CE743" i="15"/>
  <c r="CE812" i="15"/>
  <c r="CE862" i="15"/>
  <c r="CE81" i="15"/>
  <c r="CE243" i="15"/>
  <c r="CE311" i="15"/>
  <c r="CE379" i="15"/>
  <c r="CE448" i="15"/>
  <c r="CE518" i="15"/>
  <c r="CE588" i="15"/>
  <c r="CE658" i="15"/>
  <c r="CE727" i="15"/>
  <c r="CE772" i="15"/>
  <c r="CE790" i="15"/>
  <c r="CE806" i="15"/>
  <c r="CE824" i="15"/>
  <c r="CE842" i="15"/>
  <c r="CE858" i="15"/>
  <c r="CE876" i="15"/>
  <c r="CE892" i="15"/>
  <c r="CE329" i="15"/>
  <c r="CE534" i="15"/>
  <c r="CE675" i="15"/>
  <c r="CE794" i="15"/>
  <c r="CE846" i="15"/>
  <c r="CE880" i="15"/>
  <c r="F41" i="13"/>
  <c r="H9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CI37" i="15" l="1"/>
  <c r="CI46" i="15"/>
  <c r="CI70" i="15"/>
  <c r="CF829" i="15"/>
  <c r="CI829" i="15" s="1"/>
  <c r="CF795" i="15"/>
  <c r="CI795" i="15" s="1"/>
  <c r="CF748" i="15"/>
  <c r="CI748" i="15" s="1"/>
  <c r="CF540" i="15"/>
  <c r="CI540" i="15" s="1"/>
  <c r="CF401" i="15"/>
  <c r="CI401" i="15" s="1"/>
  <c r="CF248" i="15"/>
  <c r="CI248" i="15" s="1"/>
  <c r="CF751" i="15"/>
  <c r="CI751" i="15" s="1"/>
  <c r="CF716" i="15"/>
  <c r="CI716" i="15" s="1"/>
  <c r="CF682" i="15"/>
  <c r="CI682" i="15" s="1"/>
  <c r="CF646" i="15"/>
  <c r="CI646" i="15" s="1"/>
  <c r="CF612" i="15"/>
  <c r="CI612" i="15" s="1"/>
  <c r="CF579" i="15"/>
  <c r="CI579" i="15" s="1"/>
  <c r="CF543" i="15"/>
  <c r="CI543" i="15" s="1"/>
  <c r="CF507" i="15"/>
  <c r="CI507" i="15" s="1"/>
  <c r="CF472" i="15"/>
  <c r="CI472" i="15" s="1"/>
  <c r="CF456" i="15"/>
  <c r="CI456" i="15" s="1"/>
  <c r="CF420" i="15"/>
  <c r="CI420" i="15" s="1"/>
  <c r="CF354" i="15"/>
  <c r="CI354" i="15" s="1"/>
  <c r="CF320" i="15"/>
  <c r="CI320" i="15" s="1"/>
  <c r="CF286" i="15"/>
  <c r="CF251" i="15"/>
  <c r="CI251" i="15" s="1"/>
  <c r="CF207" i="15"/>
  <c r="CI207" i="15" s="1"/>
  <c r="CF113" i="15"/>
  <c r="CI113" i="15" s="1"/>
  <c r="CF750" i="15"/>
  <c r="CI750" i="15" s="1"/>
  <c r="CF715" i="15"/>
  <c r="CI715" i="15" s="1"/>
  <c r="CF681" i="15"/>
  <c r="CI681" i="15" s="1"/>
  <c r="CF645" i="15"/>
  <c r="CI645" i="15" s="1"/>
  <c r="CF611" i="15"/>
  <c r="CI611" i="15" s="1"/>
  <c r="CF578" i="15"/>
  <c r="CI578" i="15" s="1"/>
  <c r="CF524" i="15"/>
  <c r="CI524" i="15" s="1"/>
  <c r="CF506" i="15"/>
  <c r="CI506" i="15" s="1"/>
  <c r="CF471" i="15"/>
  <c r="CI471" i="15" s="1"/>
  <c r="CF437" i="15"/>
  <c r="CI437" i="15" s="1"/>
  <c r="CF403" i="15"/>
  <c r="CI403" i="15" s="1"/>
  <c r="CF369" i="15"/>
  <c r="CI369" i="15" s="1"/>
  <c r="CF335" i="15"/>
  <c r="CI335" i="15" s="1"/>
  <c r="CF297" i="15"/>
  <c r="CI297" i="15" s="1"/>
  <c r="CF258" i="15"/>
  <c r="CI258" i="15" s="1"/>
  <c r="CF186" i="15"/>
  <c r="CI186" i="15" s="1"/>
  <c r="CF73" i="15"/>
  <c r="CI73" i="15" s="1"/>
  <c r="CF767" i="15"/>
  <c r="CI767" i="15" s="1"/>
  <c r="CF732" i="15"/>
  <c r="CI732" i="15" s="1"/>
  <c r="CF662" i="15"/>
  <c r="CI662" i="15" s="1"/>
  <c r="CF622" i="15"/>
  <c r="CI622" i="15" s="1"/>
  <c r="CF589" i="15"/>
  <c r="CI589" i="15" s="1"/>
  <c r="CF555" i="15"/>
  <c r="CI555" i="15" s="1"/>
  <c r="CF519" i="15"/>
  <c r="CI519" i="15" s="1"/>
  <c r="CF484" i="15"/>
  <c r="CI484" i="15" s="1"/>
  <c r="CF466" i="15"/>
  <c r="CI466" i="15" s="1"/>
  <c r="CF450" i="15"/>
  <c r="CF432" i="15"/>
  <c r="CI432" i="15" s="1"/>
  <c r="CF398" i="15"/>
  <c r="CI398" i="15" s="1"/>
  <c r="CF380" i="15"/>
  <c r="CI380" i="15" s="1"/>
  <c r="CF364" i="15"/>
  <c r="CI364" i="15" s="1"/>
  <c r="CF348" i="15"/>
  <c r="CI348" i="15" s="1"/>
  <c r="CF330" i="15"/>
  <c r="CI330" i="15" s="1"/>
  <c r="CF312" i="15"/>
  <c r="CI312" i="15" s="1"/>
  <c r="CF296" i="15"/>
  <c r="CI296" i="15" s="1"/>
  <c r="CF275" i="15"/>
  <c r="CI275" i="15" s="1"/>
  <c r="CF257" i="15"/>
  <c r="CI257" i="15" s="1"/>
  <c r="CF238" i="15"/>
  <c r="CI238" i="15" s="1"/>
  <c r="CF215" i="15"/>
  <c r="CI215" i="15" s="1"/>
  <c r="CF185" i="15"/>
  <c r="CI185" i="15" s="1"/>
  <c r="CF139" i="15"/>
  <c r="CI139" i="15" s="1"/>
  <c r="CF159" i="15"/>
  <c r="CI159" i="15" s="1"/>
  <c r="CF142" i="15"/>
  <c r="CI142" i="15" s="1"/>
  <c r="CF124" i="15"/>
  <c r="CI124" i="15" s="1"/>
  <c r="CF108" i="15"/>
  <c r="CI108" i="15" s="1"/>
  <c r="CF90" i="15"/>
  <c r="CI90" i="15" s="1"/>
  <c r="CF72" i="15"/>
  <c r="CI72" i="15" s="1"/>
  <c r="CF54" i="15"/>
  <c r="CI54" i="15" s="1"/>
  <c r="CF18" i="15"/>
  <c r="CI18" i="15" s="1"/>
  <c r="CF202" i="15"/>
  <c r="CI202" i="15" s="1"/>
  <c r="CF184" i="15"/>
  <c r="CI184" i="15" s="1"/>
  <c r="CF166" i="15"/>
  <c r="CI166" i="15" s="1"/>
  <c r="CF149" i="15"/>
  <c r="CI149" i="15" s="1"/>
  <c r="CF133" i="15"/>
  <c r="CF115" i="15"/>
  <c r="CI115" i="15" s="1"/>
  <c r="CF97" i="15"/>
  <c r="CI97" i="15" s="1"/>
  <c r="CF79" i="15"/>
  <c r="CI79" i="15" s="1"/>
  <c r="CF61" i="15"/>
  <c r="CI61" i="15" s="1"/>
  <c r="CF25" i="15"/>
  <c r="CI25" i="15" s="1"/>
  <c r="CF225" i="15"/>
  <c r="CI225" i="15" s="1"/>
  <c r="CF209" i="15"/>
  <c r="CI209" i="15" s="1"/>
  <c r="CF191" i="15"/>
  <c r="CI191" i="15" s="1"/>
  <c r="CF173" i="15"/>
  <c r="CI173" i="15" s="1"/>
  <c r="CF157" i="15"/>
  <c r="CI157" i="15" s="1"/>
  <c r="CF140" i="15"/>
  <c r="CI140" i="15" s="1"/>
  <c r="CF122" i="15"/>
  <c r="CI122" i="15" s="1"/>
  <c r="CF106" i="15"/>
  <c r="CI106" i="15" s="1"/>
  <c r="CF52" i="15"/>
  <c r="CI52" i="15" s="1"/>
  <c r="CF16" i="15"/>
  <c r="CI16" i="15" s="1"/>
  <c r="CF846" i="15"/>
  <c r="CI846" i="15" s="1"/>
  <c r="CF329" i="15"/>
  <c r="CI329" i="15" s="1"/>
  <c r="CF842" i="15"/>
  <c r="CI842" i="15" s="1"/>
  <c r="CF772" i="15"/>
  <c r="CI772" i="15" s="1"/>
  <c r="CF518" i="15"/>
  <c r="CI518" i="15" s="1"/>
  <c r="CF872" i="15"/>
  <c r="CI872" i="15" s="1"/>
  <c r="CF802" i="15"/>
  <c r="CI802" i="15" s="1"/>
  <c r="CF639" i="15"/>
  <c r="CF363" i="15"/>
  <c r="CI363" i="15" s="1"/>
  <c r="CF896" i="15"/>
  <c r="CI896" i="15" s="1"/>
  <c r="CF396" i="15"/>
  <c r="CI396" i="15" s="1"/>
  <c r="CF850" i="15"/>
  <c r="CI850" i="15" s="1"/>
  <c r="CF780" i="15"/>
  <c r="CI780" i="15" s="1"/>
  <c r="CF554" i="15"/>
  <c r="CF278" i="15"/>
  <c r="CI278" i="15" s="1"/>
  <c r="CF887" i="15"/>
  <c r="CI887" i="15" s="1"/>
  <c r="CF871" i="15"/>
  <c r="CI871" i="15" s="1"/>
  <c r="CF853" i="15"/>
  <c r="CI853" i="15" s="1"/>
  <c r="CF837" i="15"/>
  <c r="CI837" i="15" s="1"/>
  <c r="CF819" i="15"/>
  <c r="CI819" i="15" s="1"/>
  <c r="CF801" i="15"/>
  <c r="CI801" i="15" s="1"/>
  <c r="CF783" i="15"/>
  <c r="CI783" i="15" s="1"/>
  <c r="CF766" i="15"/>
  <c r="CF705" i="15"/>
  <c r="CI705" i="15" s="1"/>
  <c r="CF633" i="15"/>
  <c r="CI633" i="15" s="1"/>
  <c r="CF566" i="15"/>
  <c r="CI566" i="15" s="1"/>
  <c r="CF496" i="15"/>
  <c r="CI496" i="15" s="1"/>
  <c r="CF427" i="15"/>
  <c r="CI427" i="15" s="1"/>
  <c r="CF359" i="15"/>
  <c r="CI359" i="15" s="1"/>
  <c r="CF291" i="15"/>
  <c r="CI291" i="15" s="1"/>
  <c r="CF214" i="15"/>
  <c r="CI214" i="15" s="1"/>
  <c r="CF898" i="15"/>
  <c r="CI898" i="15" s="1"/>
  <c r="CF882" i="15"/>
  <c r="CI882" i="15" s="1"/>
  <c r="CF866" i="15"/>
  <c r="CF848" i="15"/>
  <c r="CI848" i="15" s="1"/>
  <c r="CF814" i="15"/>
  <c r="CI814" i="15" s="1"/>
  <c r="CF796" i="15"/>
  <c r="CI796" i="15" s="1"/>
  <c r="CF778" i="15"/>
  <c r="CI778" i="15" s="1"/>
  <c r="CF752" i="15"/>
  <c r="CI752" i="15" s="1"/>
  <c r="CF683" i="15"/>
  <c r="CI683" i="15" s="1"/>
  <c r="CF613" i="15"/>
  <c r="CI613" i="15" s="1"/>
  <c r="CF544" i="15"/>
  <c r="CI544" i="15" s="1"/>
  <c r="CF405" i="15"/>
  <c r="CI405" i="15" s="1"/>
  <c r="CF337" i="15"/>
  <c r="CI337" i="15" s="1"/>
  <c r="CF270" i="15"/>
  <c r="CI270" i="15" s="1"/>
  <c r="CF172" i="15"/>
  <c r="CI172" i="15" s="1"/>
  <c r="CF893" i="15"/>
  <c r="CI893" i="15" s="1"/>
  <c r="CF877" i="15"/>
  <c r="CI877" i="15" s="1"/>
  <c r="CF859" i="15"/>
  <c r="CI859" i="15" s="1"/>
  <c r="CF843" i="15"/>
  <c r="CI843" i="15" s="1"/>
  <c r="CF825" i="15"/>
  <c r="CI825" i="15" s="1"/>
  <c r="CF807" i="15"/>
  <c r="CI807" i="15" s="1"/>
  <c r="CF791" i="15"/>
  <c r="CI791" i="15" s="1"/>
  <c r="CF773" i="15"/>
  <c r="CI773" i="15" s="1"/>
  <c r="CF731" i="15"/>
  <c r="CI731" i="15" s="1"/>
  <c r="CF661" i="15"/>
  <c r="CI661" i="15" s="1"/>
  <c r="CF592" i="15"/>
  <c r="CI592" i="15" s="1"/>
  <c r="CF522" i="15"/>
  <c r="CI522" i="15" s="1"/>
  <c r="CF453" i="15"/>
  <c r="CI453" i="15" s="1"/>
  <c r="CF383" i="15"/>
  <c r="CI383" i="15" s="1"/>
  <c r="CF317" i="15"/>
  <c r="CI317" i="15" s="1"/>
  <c r="CF224" i="15"/>
  <c r="CI224" i="15" s="1"/>
  <c r="CF27" i="15"/>
  <c r="CI27" i="15" s="1"/>
  <c r="CF747" i="15"/>
  <c r="CF730" i="15"/>
  <c r="CI730" i="15" s="1"/>
  <c r="CF712" i="15"/>
  <c r="CI712" i="15" s="1"/>
  <c r="CF694" i="15"/>
  <c r="CI694" i="15" s="1"/>
  <c r="CF678" i="15"/>
  <c r="CI678" i="15" s="1"/>
  <c r="CF660" i="15"/>
  <c r="CI660" i="15" s="1"/>
  <c r="CF642" i="15"/>
  <c r="CI642" i="15" s="1"/>
  <c r="CF624" i="15"/>
  <c r="CI624" i="15" s="1"/>
  <c r="CF608" i="15"/>
  <c r="CI608" i="15" s="1"/>
  <c r="CF591" i="15"/>
  <c r="CI591" i="15" s="1"/>
  <c r="CF575" i="15"/>
  <c r="CI575" i="15" s="1"/>
  <c r="CF557" i="15"/>
  <c r="CI557" i="15" s="1"/>
  <c r="CF539" i="15"/>
  <c r="CI539" i="15" s="1"/>
  <c r="CF521" i="15"/>
  <c r="CI521" i="15" s="1"/>
  <c r="CF503" i="15"/>
  <c r="CI503" i="15" s="1"/>
  <c r="CF486" i="15"/>
  <c r="CI486" i="15" s="1"/>
  <c r="CF468" i="15"/>
  <c r="CI468" i="15" s="1"/>
  <c r="CF452" i="15"/>
  <c r="CI452" i="15" s="1"/>
  <c r="CF434" i="15"/>
  <c r="CI434" i="15" s="1"/>
  <c r="CF416" i="15"/>
  <c r="CI416" i="15" s="1"/>
  <c r="CF400" i="15"/>
  <c r="CI400" i="15" s="1"/>
  <c r="CF382" i="15"/>
  <c r="CI382" i="15" s="1"/>
  <c r="CF366" i="15"/>
  <c r="CI366" i="15" s="1"/>
  <c r="CF350" i="15"/>
  <c r="CI350" i="15" s="1"/>
  <c r="CF332" i="15"/>
  <c r="CI332" i="15" s="1"/>
  <c r="CF298" i="15"/>
  <c r="CI298" i="15" s="1"/>
  <c r="CF281" i="15"/>
  <c r="CI281" i="15" s="1"/>
  <c r="CF265" i="15"/>
  <c r="CF247" i="15"/>
  <c r="CI247" i="15" s="1"/>
  <c r="CF223" i="15"/>
  <c r="CI223" i="15" s="1"/>
  <c r="CF197" i="15"/>
  <c r="CI197" i="15" s="1"/>
  <c r="CF163" i="15"/>
  <c r="CI163" i="15" s="1"/>
  <c r="CF95" i="15"/>
  <c r="CI95" i="15" s="1"/>
  <c r="CF23" i="15"/>
  <c r="CI23" i="15" s="1"/>
  <c r="CF729" i="15"/>
  <c r="CI729" i="15" s="1"/>
  <c r="CF711" i="15"/>
  <c r="CI711" i="15" s="1"/>
  <c r="CF693" i="15"/>
  <c r="CI693" i="15" s="1"/>
  <c r="CF677" i="15"/>
  <c r="CI677" i="15" s="1"/>
  <c r="CF659" i="15"/>
  <c r="CI659" i="15" s="1"/>
  <c r="CF641" i="15"/>
  <c r="CI641" i="15" s="1"/>
  <c r="CF623" i="15"/>
  <c r="CI623" i="15" s="1"/>
  <c r="CF607" i="15"/>
  <c r="CI607" i="15" s="1"/>
  <c r="CF590" i="15"/>
  <c r="CI590" i="15" s="1"/>
  <c r="CF574" i="15"/>
  <c r="CF556" i="15"/>
  <c r="CI556" i="15" s="1"/>
  <c r="CF538" i="15"/>
  <c r="CF520" i="15"/>
  <c r="CI520" i="15" s="1"/>
  <c r="CF502" i="15"/>
  <c r="CI502" i="15" s="1"/>
  <c r="CF485" i="15"/>
  <c r="CI485" i="15" s="1"/>
  <c r="CF467" i="15"/>
  <c r="CI467" i="15" s="1"/>
  <c r="CF451" i="15"/>
  <c r="CI451" i="15" s="1"/>
  <c r="CF433" i="15"/>
  <c r="CI433" i="15" s="1"/>
  <c r="CF415" i="15"/>
  <c r="CI415" i="15" s="1"/>
  <c r="CF399" i="15"/>
  <c r="CI399" i="15" s="1"/>
  <c r="CF381" i="15"/>
  <c r="CI381" i="15" s="1"/>
  <c r="CF365" i="15"/>
  <c r="CI365" i="15" s="1"/>
  <c r="CF349" i="15"/>
  <c r="CI349" i="15" s="1"/>
  <c r="CF331" i="15"/>
  <c r="CI331" i="15" s="1"/>
  <c r="CF309" i="15"/>
  <c r="CI309" i="15" s="1"/>
  <c r="CF293" i="15"/>
  <c r="CI293" i="15" s="1"/>
  <c r="CF272" i="15"/>
  <c r="CI272" i="15" s="1"/>
  <c r="CF254" i="15"/>
  <c r="CI254" i="15" s="1"/>
  <c r="CF234" i="15"/>
  <c r="CI234" i="15" s="1"/>
  <c r="CF211" i="15"/>
  <c r="CI211" i="15" s="1"/>
  <c r="CF178" i="15"/>
  <c r="CF125" i="15"/>
  <c r="CI125" i="15" s="1"/>
  <c r="CF55" i="15"/>
  <c r="CI55" i="15" s="1"/>
  <c r="CF761" i="15"/>
  <c r="CI761" i="15" s="1"/>
  <c r="CF728" i="15"/>
  <c r="CI728" i="15" s="1"/>
  <c r="CF710" i="15"/>
  <c r="CI710" i="15" s="1"/>
  <c r="CF692" i="15"/>
  <c r="CI692" i="15" s="1"/>
  <c r="CF676" i="15"/>
  <c r="CI676" i="15" s="1"/>
  <c r="CF654" i="15"/>
  <c r="CI654" i="15" s="1"/>
  <c r="CF634" i="15"/>
  <c r="CI634" i="15" s="1"/>
  <c r="CF618" i="15"/>
  <c r="CI618" i="15" s="1"/>
  <c r="CF601" i="15"/>
  <c r="CI601" i="15" s="1"/>
  <c r="CF585" i="15"/>
  <c r="CI585" i="15" s="1"/>
  <c r="CF567" i="15"/>
  <c r="CI567" i="15" s="1"/>
  <c r="CF549" i="15"/>
  <c r="CI549" i="15" s="1"/>
  <c r="CF531" i="15"/>
  <c r="CI531" i="15" s="1"/>
  <c r="CF515" i="15"/>
  <c r="CI515" i="15" s="1"/>
  <c r="CF497" i="15"/>
  <c r="CI497" i="15" s="1"/>
  <c r="CF480" i="15"/>
  <c r="CI480" i="15" s="1"/>
  <c r="CF462" i="15"/>
  <c r="CI462" i="15" s="1"/>
  <c r="CF444" i="15"/>
  <c r="CI444" i="15" s="1"/>
  <c r="CF428" i="15"/>
  <c r="CI428" i="15" s="1"/>
  <c r="CF410" i="15"/>
  <c r="CI410" i="15" s="1"/>
  <c r="CF394" i="15"/>
  <c r="CI394" i="15" s="1"/>
  <c r="CF376" i="15"/>
  <c r="CI376" i="15" s="1"/>
  <c r="CF360" i="15"/>
  <c r="CI360" i="15" s="1"/>
  <c r="CF344" i="15"/>
  <c r="CI344" i="15" s="1"/>
  <c r="CF326" i="15"/>
  <c r="CI326" i="15" s="1"/>
  <c r="CF308" i="15"/>
  <c r="CI308" i="15" s="1"/>
  <c r="CF292" i="15"/>
  <c r="CI292" i="15" s="1"/>
  <c r="CF271" i="15"/>
  <c r="CI271" i="15" s="1"/>
  <c r="CF253" i="15"/>
  <c r="CI253" i="15" s="1"/>
  <c r="CF233" i="15"/>
  <c r="CI233" i="15" s="1"/>
  <c r="CF210" i="15"/>
  <c r="CI210" i="15" s="1"/>
  <c r="CF121" i="15"/>
  <c r="CI121" i="15" s="1"/>
  <c r="CF51" i="15"/>
  <c r="CI51" i="15" s="1"/>
  <c r="CF155" i="15"/>
  <c r="CI155" i="15" s="1"/>
  <c r="CF138" i="15"/>
  <c r="CI138" i="15" s="1"/>
  <c r="CF120" i="15"/>
  <c r="CI120" i="15" s="1"/>
  <c r="CF84" i="15"/>
  <c r="CI84" i="15" s="1"/>
  <c r="CF66" i="15"/>
  <c r="CI66" i="15" s="1"/>
  <c r="CF50" i="15"/>
  <c r="CI50" i="15" s="1"/>
  <c r="CF30" i="15"/>
  <c r="CI30" i="15" s="1"/>
  <c r="CF14" i="15"/>
  <c r="CI14" i="15" s="1"/>
  <c r="CF196" i="15"/>
  <c r="CI196" i="15" s="1"/>
  <c r="CF180" i="15"/>
  <c r="CI180" i="15" s="1"/>
  <c r="CF162" i="15"/>
  <c r="CI162" i="15" s="1"/>
  <c r="CF145" i="15"/>
  <c r="CI145" i="15" s="1"/>
  <c r="CF127" i="15"/>
  <c r="CI127" i="15" s="1"/>
  <c r="CF111" i="15"/>
  <c r="CI111" i="15" s="1"/>
  <c r="CF93" i="15"/>
  <c r="CI93" i="15" s="1"/>
  <c r="CF75" i="15"/>
  <c r="CI75" i="15" s="1"/>
  <c r="CF57" i="15"/>
  <c r="CI57" i="15" s="1"/>
  <c r="CF39" i="15"/>
  <c r="CI39" i="15" s="1"/>
  <c r="CF21" i="15"/>
  <c r="CI21" i="15" s="1"/>
  <c r="CF239" i="15"/>
  <c r="CI239" i="15" s="1"/>
  <c r="CF221" i="15"/>
  <c r="CI221" i="15" s="1"/>
  <c r="CF205" i="15"/>
  <c r="CI205" i="15" s="1"/>
  <c r="CF187" i="15"/>
  <c r="CI187" i="15" s="1"/>
  <c r="CF169" i="15"/>
  <c r="CI169" i="15" s="1"/>
  <c r="CF136" i="15"/>
  <c r="CI136" i="15" s="1"/>
  <c r="CF118" i="15"/>
  <c r="CI118" i="15" s="1"/>
  <c r="CF100" i="15"/>
  <c r="CI100" i="15" s="1"/>
  <c r="CF82" i="15"/>
  <c r="CI82" i="15" s="1"/>
  <c r="CF64" i="15"/>
  <c r="CI64" i="15" s="1"/>
  <c r="CF48" i="15"/>
  <c r="CI48" i="15" s="1"/>
  <c r="CF28" i="15"/>
  <c r="CI28" i="15" s="1"/>
  <c r="CF12" i="15"/>
  <c r="CI12" i="15" s="1"/>
  <c r="CF794" i="15"/>
  <c r="CI794" i="15" s="1"/>
  <c r="CF892" i="15"/>
  <c r="CI892" i="15" s="1"/>
  <c r="CF824" i="15"/>
  <c r="CI824" i="15" s="1"/>
  <c r="CF727" i="15"/>
  <c r="CI727" i="15" s="1"/>
  <c r="CF81" i="15"/>
  <c r="CI81" i="15" s="1"/>
  <c r="CF465" i="15"/>
  <c r="CI465" i="15" s="1"/>
  <c r="CF854" i="15"/>
  <c r="CI854" i="15" s="1"/>
  <c r="CF784" i="15"/>
  <c r="CI784" i="15" s="1"/>
  <c r="CF570" i="15"/>
  <c r="CI570" i="15" s="1"/>
  <c r="CF295" i="15"/>
  <c r="CI295" i="15" s="1"/>
  <c r="CF828" i="15"/>
  <c r="CI828" i="15" s="1"/>
  <c r="CF834" i="15"/>
  <c r="CI834" i="15" s="1"/>
  <c r="CF760" i="15"/>
  <c r="CI760" i="15" s="1"/>
  <c r="CF483" i="15"/>
  <c r="CI483" i="15" s="1"/>
  <c r="CF190" i="15"/>
  <c r="CI190" i="15" s="1"/>
  <c r="CF883" i="15"/>
  <c r="CI883" i="15" s="1"/>
  <c r="CF867" i="15"/>
  <c r="CI867" i="15" s="1"/>
  <c r="CF849" i="15"/>
  <c r="CI849" i="15" s="1"/>
  <c r="CF833" i="15"/>
  <c r="CF815" i="15"/>
  <c r="CI815" i="15" s="1"/>
  <c r="CF797" i="15"/>
  <c r="CI797" i="15" s="1"/>
  <c r="CF779" i="15"/>
  <c r="CI779" i="15" s="1"/>
  <c r="CF756" i="15"/>
  <c r="CI756" i="15" s="1"/>
  <c r="CF687" i="15"/>
  <c r="CI687" i="15" s="1"/>
  <c r="CF617" i="15"/>
  <c r="CI617" i="15" s="1"/>
  <c r="CF548" i="15"/>
  <c r="CI548" i="15" s="1"/>
  <c r="CF479" i="15"/>
  <c r="CI479" i="15" s="1"/>
  <c r="CF409" i="15"/>
  <c r="CI409" i="15" s="1"/>
  <c r="CF343" i="15"/>
  <c r="CI343" i="15" s="1"/>
  <c r="CF274" i="15"/>
  <c r="CI274" i="15" s="1"/>
  <c r="CF182" i="15"/>
  <c r="CI182" i="15" s="1"/>
  <c r="CF894" i="15"/>
  <c r="CI894" i="15" s="1"/>
  <c r="CF878" i="15"/>
  <c r="CI878" i="15" s="1"/>
  <c r="CF860" i="15"/>
  <c r="CI860" i="15" s="1"/>
  <c r="CF844" i="15"/>
  <c r="CI844" i="15" s="1"/>
  <c r="CF826" i="15"/>
  <c r="CI826" i="15" s="1"/>
  <c r="CF808" i="15"/>
  <c r="CI808" i="15" s="1"/>
  <c r="CF792" i="15"/>
  <c r="CI792" i="15" s="1"/>
  <c r="CF774" i="15"/>
  <c r="CI774" i="15" s="1"/>
  <c r="CF735" i="15"/>
  <c r="CI735" i="15" s="1"/>
  <c r="CF665" i="15"/>
  <c r="CI665" i="15" s="1"/>
  <c r="CF596" i="15"/>
  <c r="CI596" i="15" s="1"/>
  <c r="CF526" i="15"/>
  <c r="CI526" i="15" s="1"/>
  <c r="CF457" i="15"/>
  <c r="CI457" i="15" s="1"/>
  <c r="CF389" i="15"/>
  <c r="CF321" i="15"/>
  <c r="CI321" i="15" s="1"/>
  <c r="CF252" i="15"/>
  <c r="CI252" i="15" s="1"/>
  <c r="CF117" i="15"/>
  <c r="CI117" i="15" s="1"/>
  <c r="CF889" i="15"/>
  <c r="CI889" i="15" s="1"/>
  <c r="CF873" i="15"/>
  <c r="CI873" i="15" s="1"/>
  <c r="CF855" i="15"/>
  <c r="CI855" i="15" s="1"/>
  <c r="CF839" i="15"/>
  <c r="CI839" i="15" s="1"/>
  <c r="CF821" i="15"/>
  <c r="CI821" i="15" s="1"/>
  <c r="CF803" i="15"/>
  <c r="CI803" i="15" s="1"/>
  <c r="CF785" i="15"/>
  <c r="CI785" i="15" s="1"/>
  <c r="CF769" i="15"/>
  <c r="CI769" i="15" s="1"/>
  <c r="CF713" i="15"/>
  <c r="CI713" i="15" s="1"/>
  <c r="CF643" i="15"/>
  <c r="CI643" i="15" s="1"/>
  <c r="CF576" i="15"/>
  <c r="CI576" i="15" s="1"/>
  <c r="CF504" i="15"/>
  <c r="CI504" i="15" s="1"/>
  <c r="CF435" i="15"/>
  <c r="CI435" i="15" s="1"/>
  <c r="CF367" i="15"/>
  <c r="CI367" i="15" s="1"/>
  <c r="CF299" i="15"/>
  <c r="CI299" i="15" s="1"/>
  <c r="CF759" i="15"/>
  <c r="CI759" i="15" s="1"/>
  <c r="CF742" i="15"/>
  <c r="CI742" i="15" s="1"/>
  <c r="CF726" i="15"/>
  <c r="CI726" i="15" s="1"/>
  <c r="CF708" i="15"/>
  <c r="CI708" i="15" s="1"/>
  <c r="CF690" i="15"/>
  <c r="CI690" i="15" s="1"/>
  <c r="CF674" i="15"/>
  <c r="CI674" i="15" s="1"/>
  <c r="CF656" i="15"/>
  <c r="CI656" i="15" s="1"/>
  <c r="CF620" i="15"/>
  <c r="CI620" i="15" s="1"/>
  <c r="CF587" i="15"/>
  <c r="CI587" i="15" s="1"/>
  <c r="CF569" i="15"/>
  <c r="CI569" i="15" s="1"/>
  <c r="CF533" i="15"/>
  <c r="CI533" i="15" s="1"/>
  <c r="CF517" i="15"/>
  <c r="CI517" i="15" s="1"/>
  <c r="CF499" i="15"/>
  <c r="CI499" i="15" s="1"/>
  <c r="CF482" i="15"/>
  <c r="CI482" i="15" s="1"/>
  <c r="CF464" i="15"/>
  <c r="CI464" i="15" s="1"/>
  <c r="CF446" i="15"/>
  <c r="CI446" i="15" s="1"/>
  <c r="CF430" i="15"/>
  <c r="CI430" i="15" s="1"/>
  <c r="CF412" i="15"/>
  <c r="CI412" i="15" s="1"/>
  <c r="CF395" i="15"/>
  <c r="CI395" i="15" s="1"/>
  <c r="CF378" i="15"/>
  <c r="CI378" i="15" s="1"/>
  <c r="CF362" i="15"/>
  <c r="CI362" i="15" s="1"/>
  <c r="CF346" i="15"/>
  <c r="CI346" i="15" s="1"/>
  <c r="CF328" i="15"/>
  <c r="CI328" i="15" s="1"/>
  <c r="CF310" i="15"/>
  <c r="CI310" i="15" s="1"/>
  <c r="CF294" i="15"/>
  <c r="CI294" i="15" s="1"/>
  <c r="CF277" i="15"/>
  <c r="CI277" i="15" s="1"/>
  <c r="CF259" i="15"/>
  <c r="CI259" i="15" s="1"/>
  <c r="CF241" i="15"/>
  <c r="CI241" i="15" s="1"/>
  <c r="CF218" i="15"/>
  <c r="CI218" i="15" s="1"/>
  <c r="CF189" i="15"/>
  <c r="CI189" i="15" s="1"/>
  <c r="CF147" i="15"/>
  <c r="CI147" i="15" s="1"/>
  <c r="CF77" i="15"/>
  <c r="CI77" i="15" s="1"/>
  <c r="CF758" i="15"/>
  <c r="CI758" i="15" s="1"/>
  <c r="CF741" i="15"/>
  <c r="CI741" i="15" s="1"/>
  <c r="CF725" i="15"/>
  <c r="CI725" i="15" s="1"/>
  <c r="CF707" i="15"/>
  <c r="CI707" i="15" s="1"/>
  <c r="CF689" i="15"/>
  <c r="CI689" i="15" s="1"/>
  <c r="CF673" i="15"/>
  <c r="CI673" i="15" s="1"/>
  <c r="CF655" i="15"/>
  <c r="CI655" i="15" s="1"/>
  <c r="CF635" i="15"/>
  <c r="CI635" i="15" s="1"/>
  <c r="CF619" i="15"/>
  <c r="CI619" i="15" s="1"/>
  <c r="CF586" i="15"/>
  <c r="CI586" i="15" s="1"/>
  <c r="CF568" i="15"/>
  <c r="CI568" i="15" s="1"/>
  <c r="CF550" i="15"/>
  <c r="CI550" i="15" s="1"/>
  <c r="CF532" i="15"/>
  <c r="CI532" i="15" s="1"/>
  <c r="CF516" i="15"/>
  <c r="CI516" i="15" s="1"/>
  <c r="CF498" i="15"/>
  <c r="CI498" i="15" s="1"/>
  <c r="CF481" i="15"/>
  <c r="CI481" i="15" s="1"/>
  <c r="CF463" i="15"/>
  <c r="CI463" i="15" s="1"/>
  <c r="CF445" i="15"/>
  <c r="CI445" i="15" s="1"/>
  <c r="CF429" i="15"/>
  <c r="CI429" i="15" s="1"/>
  <c r="CF411" i="15"/>
  <c r="CI411" i="15" s="1"/>
  <c r="CF377" i="15"/>
  <c r="CI377" i="15" s="1"/>
  <c r="CF361" i="15"/>
  <c r="CI361" i="15" s="1"/>
  <c r="CF345" i="15"/>
  <c r="CI345" i="15" s="1"/>
  <c r="CF327" i="15"/>
  <c r="CI327" i="15" s="1"/>
  <c r="CF305" i="15"/>
  <c r="CI305" i="15" s="1"/>
  <c r="CF289" i="15"/>
  <c r="CI289" i="15" s="1"/>
  <c r="CF268" i="15"/>
  <c r="CI268" i="15" s="1"/>
  <c r="CF250" i="15"/>
  <c r="CI250" i="15" s="1"/>
  <c r="CF227" i="15"/>
  <c r="CI227" i="15" s="1"/>
  <c r="CF204" i="15"/>
  <c r="CI204" i="15" s="1"/>
  <c r="CF168" i="15"/>
  <c r="CI168" i="15" s="1"/>
  <c r="CF109" i="15"/>
  <c r="CI109" i="15" s="1"/>
  <c r="CF757" i="15"/>
  <c r="CI757" i="15" s="1"/>
  <c r="CF740" i="15"/>
  <c r="CI740" i="15" s="1"/>
  <c r="CF724" i="15"/>
  <c r="CI724" i="15" s="1"/>
  <c r="CF706" i="15"/>
  <c r="CI706" i="15" s="1"/>
  <c r="CF688" i="15"/>
  <c r="CI688" i="15" s="1"/>
  <c r="CF672" i="15"/>
  <c r="CI672" i="15" s="1"/>
  <c r="CF650" i="15"/>
  <c r="CF630" i="15"/>
  <c r="CI630" i="15" s="1"/>
  <c r="CF614" i="15"/>
  <c r="CI614" i="15" s="1"/>
  <c r="CF597" i="15"/>
  <c r="CI597" i="15" s="1"/>
  <c r="CF581" i="15"/>
  <c r="CI581" i="15" s="1"/>
  <c r="CF563" i="15"/>
  <c r="CI563" i="15" s="1"/>
  <c r="CF545" i="15"/>
  <c r="CI545" i="15" s="1"/>
  <c r="CF527" i="15"/>
  <c r="CI527" i="15" s="1"/>
  <c r="CF509" i="15"/>
  <c r="CI509" i="15" s="1"/>
  <c r="CF476" i="15"/>
  <c r="CF458" i="15"/>
  <c r="CI458" i="15" s="1"/>
  <c r="CF440" i="15"/>
  <c r="CI440" i="15" s="1"/>
  <c r="CF422" i="15"/>
  <c r="CI422" i="15" s="1"/>
  <c r="CF406" i="15"/>
  <c r="CI406" i="15" s="1"/>
  <c r="CF390" i="15"/>
  <c r="CI390" i="15" s="1"/>
  <c r="CF372" i="15"/>
  <c r="CI372" i="15" s="1"/>
  <c r="CF356" i="15"/>
  <c r="CI356" i="15" s="1"/>
  <c r="CF338" i="15"/>
  <c r="CI338" i="15" s="1"/>
  <c r="CF322" i="15"/>
  <c r="CI322" i="15" s="1"/>
  <c r="CF304" i="15"/>
  <c r="CI304" i="15" s="1"/>
  <c r="CF288" i="15"/>
  <c r="CI288" i="15" s="1"/>
  <c r="CF267" i="15"/>
  <c r="CI267" i="15" s="1"/>
  <c r="CF249" i="15"/>
  <c r="CI249" i="15" s="1"/>
  <c r="CF226" i="15"/>
  <c r="CI226" i="15" s="1"/>
  <c r="CF203" i="15"/>
  <c r="CI203" i="15" s="1"/>
  <c r="CF167" i="15"/>
  <c r="CI167" i="15" s="1"/>
  <c r="CF105" i="15"/>
  <c r="CF31" i="15"/>
  <c r="CI31" i="15" s="1"/>
  <c r="CF134" i="15"/>
  <c r="CI134" i="15" s="1"/>
  <c r="CF116" i="15"/>
  <c r="CI116" i="15" s="1"/>
  <c r="CF98" i="15"/>
  <c r="CI98" i="15" s="1"/>
  <c r="CF80" i="15"/>
  <c r="CI80" i="15" s="1"/>
  <c r="CF62" i="15"/>
  <c r="CI62" i="15" s="1"/>
  <c r="CF26" i="15"/>
  <c r="CI26" i="15" s="1"/>
  <c r="CF192" i="15"/>
  <c r="CI192" i="15" s="1"/>
  <c r="CF174" i="15"/>
  <c r="CI174" i="15" s="1"/>
  <c r="CF158" i="15"/>
  <c r="CI158" i="15" s="1"/>
  <c r="CF141" i="15"/>
  <c r="CI141" i="15" s="1"/>
  <c r="CF123" i="15"/>
  <c r="CI123" i="15" s="1"/>
  <c r="CF107" i="15"/>
  <c r="CI107" i="15" s="1"/>
  <c r="CF89" i="15"/>
  <c r="CF71" i="15"/>
  <c r="CI71" i="15" s="1"/>
  <c r="CF53" i="15"/>
  <c r="CI53" i="15" s="1"/>
  <c r="CF33" i="15"/>
  <c r="CI33" i="15" s="1"/>
  <c r="CF17" i="15"/>
  <c r="CI17" i="15" s="1"/>
  <c r="CF235" i="15"/>
  <c r="CI235" i="15" s="1"/>
  <c r="CF217" i="15"/>
  <c r="CI217" i="15" s="1"/>
  <c r="CF201" i="15"/>
  <c r="CF183" i="15"/>
  <c r="CI183" i="15" s="1"/>
  <c r="CF165" i="15"/>
  <c r="CI165" i="15" s="1"/>
  <c r="CF148" i="15"/>
  <c r="CI148" i="15" s="1"/>
  <c r="CF114" i="15"/>
  <c r="CI114" i="15" s="1"/>
  <c r="CF96" i="15"/>
  <c r="CI96" i="15" s="1"/>
  <c r="CF78" i="15"/>
  <c r="CI78" i="15" s="1"/>
  <c r="CF60" i="15"/>
  <c r="CI60" i="15" s="1"/>
  <c r="CF42" i="15"/>
  <c r="CI42" i="15" s="1"/>
  <c r="CF24" i="15"/>
  <c r="CI24" i="15" s="1"/>
  <c r="CF880" i="15"/>
  <c r="CI880" i="15" s="1"/>
  <c r="CF534" i="15"/>
  <c r="CI534" i="15" s="1"/>
  <c r="CF858" i="15"/>
  <c r="CI858" i="15" s="1"/>
  <c r="CF790" i="15"/>
  <c r="CI790" i="15" s="1"/>
  <c r="CF588" i="15"/>
  <c r="CI588" i="15" s="1"/>
  <c r="CF311" i="15"/>
  <c r="CI311" i="15" s="1"/>
  <c r="CF812" i="15"/>
  <c r="CF888" i="15"/>
  <c r="CI888" i="15" s="1"/>
  <c r="CF820" i="15"/>
  <c r="CI820" i="15" s="1"/>
  <c r="CF709" i="15"/>
  <c r="CI709" i="15" s="1"/>
  <c r="CF431" i="15"/>
  <c r="CI431" i="15" s="1"/>
  <c r="CF605" i="15"/>
  <c r="CF868" i="15"/>
  <c r="CI868" i="15" s="1"/>
  <c r="CF798" i="15"/>
  <c r="CI798" i="15" s="1"/>
  <c r="CF621" i="15"/>
  <c r="CI621" i="15" s="1"/>
  <c r="CF347" i="15"/>
  <c r="CI347" i="15" s="1"/>
  <c r="CF891" i="15"/>
  <c r="CI891" i="15" s="1"/>
  <c r="CF875" i="15"/>
  <c r="CI875" i="15" s="1"/>
  <c r="CF857" i="15"/>
  <c r="CI857" i="15" s="1"/>
  <c r="CF841" i="15"/>
  <c r="CI841" i="15" s="1"/>
  <c r="CF823" i="15"/>
  <c r="CI823" i="15" s="1"/>
  <c r="CF805" i="15"/>
  <c r="CI805" i="15" s="1"/>
  <c r="CF789" i="15"/>
  <c r="CF771" i="15"/>
  <c r="CI771" i="15" s="1"/>
  <c r="CF723" i="15"/>
  <c r="CI723" i="15" s="1"/>
  <c r="CF653" i="15"/>
  <c r="CI653" i="15" s="1"/>
  <c r="CF584" i="15"/>
  <c r="CI584" i="15" s="1"/>
  <c r="CF514" i="15"/>
  <c r="CF443" i="15"/>
  <c r="CI443" i="15" s="1"/>
  <c r="CF375" i="15"/>
  <c r="CI375" i="15" s="1"/>
  <c r="CF307" i="15"/>
  <c r="CI307" i="15" s="1"/>
  <c r="CF237" i="15"/>
  <c r="CI237" i="15" s="1"/>
  <c r="CF63" i="15"/>
  <c r="CI63" i="15" s="1"/>
  <c r="CF886" i="15"/>
  <c r="CI886" i="15" s="1"/>
  <c r="CF870" i="15"/>
  <c r="CI870" i="15" s="1"/>
  <c r="CF852" i="15"/>
  <c r="CI852" i="15" s="1"/>
  <c r="CF836" i="15"/>
  <c r="CI836" i="15" s="1"/>
  <c r="CF818" i="15"/>
  <c r="CI818" i="15" s="1"/>
  <c r="CF800" i="15"/>
  <c r="CI800" i="15" s="1"/>
  <c r="CF782" i="15"/>
  <c r="CI782" i="15" s="1"/>
  <c r="CF701" i="15"/>
  <c r="CI701" i="15" s="1"/>
  <c r="CF629" i="15"/>
  <c r="CI629" i="15" s="1"/>
  <c r="CF562" i="15"/>
  <c r="CI562" i="15" s="1"/>
  <c r="CF421" i="15"/>
  <c r="CI421" i="15" s="1"/>
  <c r="CF355" i="15"/>
  <c r="CI355" i="15" s="1"/>
  <c r="CF287" i="15"/>
  <c r="CI287" i="15" s="1"/>
  <c r="CF208" i="15"/>
  <c r="CI208" i="15" s="1"/>
  <c r="CF897" i="15"/>
  <c r="CI897" i="15" s="1"/>
  <c r="CF881" i="15"/>
  <c r="CI881" i="15" s="1"/>
  <c r="CF847" i="15"/>
  <c r="CI847" i="15" s="1"/>
  <c r="CF813" i="15"/>
  <c r="CI813" i="15" s="1"/>
  <c r="CF777" i="15"/>
  <c r="CI777" i="15" s="1"/>
  <c r="CF679" i="15"/>
  <c r="CI679" i="15" s="1"/>
  <c r="CF609" i="15"/>
  <c r="CI609" i="15" s="1"/>
  <c r="CF469" i="15"/>
  <c r="CI469" i="15" s="1"/>
  <c r="CF333" i="15"/>
  <c r="CI333" i="15" s="1"/>
  <c r="CF99" i="15"/>
  <c r="CI99" i="15" s="1"/>
  <c r="CF734" i="15"/>
  <c r="CI734" i="15" s="1"/>
  <c r="CF700" i="15"/>
  <c r="CI700" i="15" s="1"/>
  <c r="CF664" i="15"/>
  <c r="CI664" i="15" s="1"/>
  <c r="CF628" i="15"/>
  <c r="CI628" i="15" s="1"/>
  <c r="CF595" i="15"/>
  <c r="CI595" i="15" s="1"/>
  <c r="CF561" i="15"/>
  <c r="CI561" i="15" s="1"/>
  <c r="CF525" i="15"/>
  <c r="CI525" i="15" s="1"/>
  <c r="CF490" i="15"/>
  <c r="CI490" i="15" s="1"/>
  <c r="CF438" i="15"/>
  <c r="CI438" i="15" s="1"/>
  <c r="CF404" i="15"/>
  <c r="CI404" i="15" s="1"/>
  <c r="CF370" i="15"/>
  <c r="CI370" i="15" s="1"/>
  <c r="CF336" i="15"/>
  <c r="CI336" i="15" s="1"/>
  <c r="CF302" i="15"/>
  <c r="CI302" i="15" s="1"/>
  <c r="CF269" i="15"/>
  <c r="CI269" i="15" s="1"/>
  <c r="CF171" i="15"/>
  <c r="CI171" i="15" s="1"/>
  <c r="CF41" i="15"/>
  <c r="CI41" i="15" s="1"/>
  <c r="CF733" i="15"/>
  <c r="CI733" i="15" s="1"/>
  <c r="CF699" i="15"/>
  <c r="CF663" i="15"/>
  <c r="CI663" i="15" s="1"/>
  <c r="CF627" i="15"/>
  <c r="CI627" i="15" s="1"/>
  <c r="CF594" i="15"/>
  <c r="CI594" i="15" s="1"/>
  <c r="CF560" i="15"/>
  <c r="CI560" i="15" s="1"/>
  <c r="CF542" i="15"/>
  <c r="CI542" i="15" s="1"/>
  <c r="CF489" i="15"/>
  <c r="CI489" i="15" s="1"/>
  <c r="CF455" i="15"/>
  <c r="CI455" i="15" s="1"/>
  <c r="CF419" i="15"/>
  <c r="CI419" i="15" s="1"/>
  <c r="CF385" i="15"/>
  <c r="CI385" i="15" s="1"/>
  <c r="CF353" i="15"/>
  <c r="CI353" i="15" s="1"/>
  <c r="CF319" i="15"/>
  <c r="CI319" i="15" s="1"/>
  <c r="CF276" i="15"/>
  <c r="CI276" i="15" s="1"/>
  <c r="CF240" i="15"/>
  <c r="CI240" i="15" s="1"/>
  <c r="CF216" i="15"/>
  <c r="CI216" i="15" s="1"/>
  <c r="CF143" i="15"/>
  <c r="CI143" i="15" s="1"/>
  <c r="CF749" i="15"/>
  <c r="CI749" i="15" s="1"/>
  <c r="CF714" i="15"/>
  <c r="CI714" i="15" s="1"/>
  <c r="CF680" i="15"/>
  <c r="CI680" i="15" s="1"/>
  <c r="CF640" i="15"/>
  <c r="CI640" i="15" s="1"/>
  <c r="CF606" i="15"/>
  <c r="CI606" i="15" s="1"/>
  <c r="CF501" i="15"/>
  <c r="CI501" i="15" s="1"/>
  <c r="CF414" i="15"/>
  <c r="CI414" i="15" s="1"/>
  <c r="CF32" i="15"/>
  <c r="CI32" i="15" s="1"/>
  <c r="CF675" i="15"/>
  <c r="CI675" i="15" s="1"/>
  <c r="CF876" i="15"/>
  <c r="CI876" i="15" s="1"/>
  <c r="CF806" i="15"/>
  <c r="CI806" i="15" s="1"/>
  <c r="CF658" i="15"/>
  <c r="CI658" i="15" s="1"/>
  <c r="CF379" i="15"/>
  <c r="CI379" i="15" s="1"/>
  <c r="CF862" i="15"/>
  <c r="CI862" i="15" s="1"/>
  <c r="CF260" i="15"/>
  <c r="CI260" i="15" s="1"/>
  <c r="CF838" i="15"/>
  <c r="CI838" i="15" s="1"/>
  <c r="CF768" i="15"/>
  <c r="CI768" i="15" s="1"/>
  <c r="CF500" i="15"/>
  <c r="CI500" i="15" s="1"/>
  <c r="CF219" i="15"/>
  <c r="CI219" i="15" s="1"/>
  <c r="CF776" i="15"/>
  <c r="CI776" i="15" s="1"/>
  <c r="CF884" i="15"/>
  <c r="CI884" i="15" s="1"/>
  <c r="CF816" i="15"/>
  <c r="CI816" i="15" s="1"/>
  <c r="CF691" i="15"/>
  <c r="CI691" i="15" s="1"/>
  <c r="CF413" i="15"/>
  <c r="CI413" i="15" s="1"/>
  <c r="CF895" i="15"/>
  <c r="CI895" i="15" s="1"/>
  <c r="CF879" i="15"/>
  <c r="CI879" i="15" s="1"/>
  <c r="CF861" i="15"/>
  <c r="CI861" i="15" s="1"/>
  <c r="CF845" i="15"/>
  <c r="CI845" i="15" s="1"/>
  <c r="CF827" i="15"/>
  <c r="CI827" i="15" s="1"/>
  <c r="CF793" i="15"/>
  <c r="CI793" i="15" s="1"/>
  <c r="CF775" i="15"/>
  <c r="CI775" i="15" s="1"/>
  <c r="CF739" i="15"/>
  <c r="CI739" i="15" s="1"/>
  <c r="CF671" i="15"/>
  <c r="CF600" i="15"/>
  <c r="CI600" i="15" s="1"/>
  <c r="CF530" i="15"/>
  <c r="CI530" i="15" s="1"/>
  <c r="CF461" i="15"/>
  <c r="CI461" i="15" s="1"/>
  <c r="CF393" i="15"/>
  <c r="CI393" i="15" s="1"/>
  <c r="CF325" i="15"/>
  <c r="CI325" i="15" s="1"/>
  <c r="CF256" i="15"/>
  <c r="CI256" i="15" s="1"/>
  <c r="CF135" i="15"/>
  <c r="CI135" i="15" s="1"/>
  <c r="CF890" i="15"/>
  <c r="CI890" i="15" s="1"/>
  <c r="CF874" i="15"/>
  <c r="CI874" i="15" s="1"/>
  <c r="CF856" i="15"/>
  <c r="CI856" i="15" s="1"/>
  <c r="CF840" i="15"/>
  <c r="CI840" i="15" s="1"/>
  <c r="CF822" i="15"/>
  <c r="CI822" i="15" s="1"/>
  <c r="CF804" i="15"/>
  <c r="CI804" i="15" s="1"/>
  <c r="CF770" i="15"/>
  <c r="CI770" i="15" s="1"/>
  <c r="CF580" i="15"/>
  <c r="CI580" i="15" s="1"/>
  <c r="CF508" i="15"/>
  <c r="CI508" i="15" s="1"/>
  <c r="CF439" i="15"/>
  <c r="CI439" i="15" s="1"/>
  <c r="CF371" i="15"/>
  <c r="CI371" i="15" s="1"/>
  <c r="CF303" i="15"/>
  <c r="CI303" i="15" s="1"/>
  <c r="CF232" i="15"/>
  <c r="CI232" i="15" s="1"/>
  <c r="CF47" i="15"/>
  <c r="CI47" i="15" s="1"/>
  <c r="CF885" i="15"/>
  <c r="CI885" i="15" s="1"/>
  <c r="CF869" i="15"/>
  <c r="CI869" i="15" s="1"/>
  <c r="CF851" i="15"/>
  <c r="CI851" i="15" s="1"/>
  <c r="CF835" i="15"/>
  <c r="CI835" i="15" s="1"/>
  <c r="CF817" i="15"/>
  <c r="CI817" i="15" s="1"/>
  <c r="CF799" i="15"/>
  <c r="CI799" i="15" s="1"/>
  <c r="CF781" i="15"/>
  <c r="CI781" i="15" s="1"/>
  <c r="CF762" i="15"/>
  <c r="CI762" i="15" s="1"/>
  <c r="CF695" i="15"/>
  <c r="CI695" i="15" s="1"/>
  <c r="CF625" i="15"/>
  <c r="CI625" i="15" s="1"/>
  <c r="CF558" i="15"/>
  <c r="CI558" i="15" s="1"/>
  <c r="CF487" i="15"/>
  <c r="CI487" i="15" s="1"/>
  <c r="CF417" i="15"/>
  <c r="CI417" i="15" s="1"/>
  <c r="CF351" i="15"/>
  <c r="CI351" i="15" s="1"/>
  <c r="CF266" i="15"/>
  <c r="CI266" i="15" s="1"/>
  <c r="CF164" i="15"/>
  <c r="CI164" i="15" s="1"/>
  <c r="CF755" i="15"/>
  <c r="CI755" i="15" s="1"/>
  <c r="CF738" i="15"/>
  <c r="CI738" i="15" s="1"/>
  <c r="CF722" i="15"/>
  <c r="CI722" i="15" s="1"/>
  <c r="CF704" i="15"/>
  <c r="CI704" i="15" s="1"/>
  <c r="CF686" i="15"/>
  <c r="CI686" i="15" s="1"/>
  <c r="CF652" i="15"/>
  <c r="CI652" i="15" s="1"/>
  <c r="CF632" i="15"/>
  <c r="CI632" i="15" s="1"/>
  <c r="CF616" i="15"/>
  <c r="CI616" i="15" s="1"/>
  <c r="CF599" i="15"/>
  <c r="CI599" i="15" s="1"/>
  <c r="CF583" i="15"/>
  <c r="CI583" i="15" s="1"/>
  <c r="CF565" i="15"/>
  <c r="CI565" i="15" s="1"/>
  <c r="CF547" i="15"/>
  <c r="CI547" i="15" s="1"/>
  <c r="CF529" i="15"/>
  <c r="CI529" i="15" s="1"/>
  <c r="CF495" i="15"/>
  <c r="CI495" i="15" s="1"/>
  <c r="CF478" i="15"/>
  <c r="CI478" i="15" s="1"/>
  <c r="CF460" i="15"/>
  <c r="CI460" i="15" s="1"/>
  <c r="CF442" i="15"/>
  <c r="CI442" i="15" s="1"/>
  <c r="CF426" i="15"/>
  <c r="CF408" i="15"/>
  <c r="CI408" i="15" s="1"/>
  <c r="CF392" i="15"/>
  <c r="CI392" i="15" s="1"/>
  <c r="CF374" i="15"/>
  <c r="CI374" i="15" s="1"/>
  <c r="CF358" i="15"/>
  <c r="CI358" i="15" s="1"/>
  <c r="CF342" i="15"/>
  <c r="CF324" i="15"/>
  <c r="CI324" i="15" s="1"/>
  <c r="CF306" i="15"/>
  <c r="CI306" i="15" s="1"/>
  <c r="CF290" i="15"/>
  <c r="CI290" i="15" s="1"/>
  <c r="CF273" i="15"/>
  <c r="CI273" i="15" s="1"/>
  <c r="CF255" i="15"/>
  <c r="CI255" i="15" s="1"/>
  <c r="CF236" i="15"/>
  <c r="CI236" i="15" s="1"/>
  <c r="CF212" i="15"/>
  <c r="CI212" i="15" s="1"/>
  <c r="CF181" i="15"/>
  <c r="CI181" i="15" s="1"/>
  <c r="CF129" i="15"/>
  <c r="CI129" i="15" s="1"/>
  <c r="CF59" i="15"/>
  <c r="CI59" i="15" s="1"/>
  <c r="CF754" i="15"/>
  <c r="CI754" i="15" s="1"/>
  <c r="CF737" i="15"/>
  <c r="CI737" i="15" s="1"/>
  <c r="CF721" i="15"/>
  <c r="CI721" i="15" s="1"/>
  <c r="CF703" i="15"/>
  <c r="CI703" i="15" s="1"/>
  <c r="CF685" i="15"/>
  <c r="CI685" i="15" s="1"/>
  <c r="CF667" i="15"/>
  <c r="CI667" i="15" s="1"/>
  <c r="CF651" i="15"/>
  <c r="CI651" i="15" s="1"/>
  <c r="CF631" i="15"/>
  <c r="CI631" i="15" s="1"/>
  <c r="CF615" i="15"/>
  <c r="CI615" i="15" s="1"/>
  <c r="CF598" i="15"/>
  <c r="CI598" i="15" s="1"/>
  <c r="CF582" i="15"/>
  <c r="CI582" i="15" s="1"/>
  <c r="CF564" i="15"/>
  <c r="CI564" i="15" s="1"/>
  <c r="CF546" i="15"/>
  <c r="CI546" i="15" s="1"/>
  <c r="CF528" i="15"/>
  <c r="CI528" i="15" s="1"/>
  <c r="CF510" i="15"/>
  <c r="CI510" i="15" s="1"/>
  <c r="CF494" i="15"/>
  <c r="CF477" i="15"/>
  <c r="CI477" i="15" s="1"/>
  <c r="CF459" i="15"/>
  <c r="CI459" i="15" s="1"/>
  <c r="CF441" i="15"/>
  <c r="CI441" i="15" s="1"/>
  <c r="CF407" i="15"/>
  <c r="CI407" i="15" s="1"/>
  <c r="CF391" i="15"/>
  <c r="CI391" i="15" s="1"/>
  <c r="CF373" i="15"/>
  <c r="CI373" i="15" s="1"/>
  <c r="CF357" i="15"/>
  <c r="CI357" i="15" s="1"/>
  <c r="CF323" i="15"/>
  <c r="CI323" i="15" s="1"/>
  <c r="CF301" i="15"/>
  <c r="CI301" i="15" s="1"/>
  <c r="CF280" i="15"/>
  <c r="CI280" i="15" s="1"/>
  <c r="CF246" i="15"/>
  <c r="CI246" i="15" s="1"/>
  <c r="CF222" i="15"/>
  <c r="CI222" i="15" s="1"/>
  <c r="CF194" i="15"/>
  <c r="CI194" i="15" s="1"/>
  <c r="CF160" i="15"/>
  <c r="CI160" i="15" s="1"/>
  <c r="CF91" i="15"/>
  <c r="CI91" i="15" s="1"/>
  <c r="CF19" i="15"/>
  <c r="CI19" i="15" s="1"/>
  <c r="CF753" i="15"/>
  <c r="CI753" i="15" s="1"/>
  <c r="CF736" i="15"/>
  <c r="CI736" i="15" s="1"/>
  <c r="CF720" i="15"/>
  <c r="CF702" i="15"/>
  <c r="CI702" i="15" s="1"/>
  <c r="CF684" i="15"/>
  <c r="CI684" i="15" s="1"/>
  <c r="CF666" i="15"/>
  <c r="CI666" i="15" s="1"/>
  <c r="CF644" i="15"/>
  <c r="CI644" i="15" s="1"/>
  <c r="CF626" i="15"/>
  <c r="CI626" i="15" s="1"/>
  <c r="CF610" i="15"/>
  <c r="CI610" i="15" s="1"/>
  <c r="CF593" i="15"/>
  <c r="CI593" i="15" s="1"/>
  <c r="CF577" i="15"/>
  <c r="CI577" i="15" s="1"/>
  <c r="CF559" i="15"/>
  <c r="CI559" i="15" s="1"/>
  <c r="CF541" i="15"/>
  <c r="CI541" i="15" s="1"/>
  <c r="CF523" i="15"/>
  <c r="CI523" i="15" s="1"/>
  <c r="CF505" i="15"/>
  <c r="CI505" i="15" s="1"/>
  <c r="CF488" i="15"/>
  <c r="CI488" i="15" s="1"/>
  <c r="CF470" i="15"/>
  <c r="CI470" i="15" s="1"/>
  <c r="CF454" i="15"/>
  <c r="CI454" i="15" s="1"/>
  <c r="CF436" i="15"/>
  <c r="CI436" i="15" s="1"/>
  <c r="CF418" i="15"/>
  <c r="CI418" i="15" s="1"/>
  <c r="CF402" i="15"/>
  <c r="CI402" i="15" s="1"/>
  <c r="CF384" i="15"/>
  <c r="CI384" i="15" s="1"/>
  <c r="CF368" i="15"/>
  <c r="CI368" i="15" s="1"/>
  <c r="CF352" i="15"/>
  <c r="CI352" i="15" s="1"/>
  <c r="CF334" i="15"/>
  <c r="CI334" i="15" s="1"/>
  <c r="CF318" i="15"/>
  <c r="CI318" i="15" s="1"/>
  <c r="CF300" i="15"/>
  <c r="CI300" i="15" s="1"/>
  <c r="CF279" i="15"/>
  <c r="CI279" i="15" s="1"/>
  <c r="CF261" i="15"/>
  <c r="CI261" i="15" s="1"/>
  <c r="CF245" i="15"/>
  <c r="CF220" i="15"/>
  <c r="CI220" i="15" s="1"/>
  <c r="CF193" i="15"/>
  <c r="CI193" i="15" s="1"/>
  <c r="CF156" i="15"/>
  <c r="CI156" i="15" s="1"/>
  <c r="CF85" i="15"/>
  <c r="CI85" i="15" s="1"/>
  <c r="CF15" i="15"/>
  <c r="CI15" i="15" s="1"/>
  <c r="CF146" i="15"/>
  <c r="CI146" i="15" s="1"/>
  <c r="CF128" i="15"/>
  <c r="CI128" i="15" s="1"/>
  <c r="CF112" i="15"/>
  <c r="CI112" i="15" s="1"/>
  <c r="CF94" i="15"/>
  <c r="CI94" i="15" s="1"/>
  <c r="CF76" i="15"/>
  <c r="CI76" i="15" s="1"/>
  <c r="CF58" i="15"/>
  <c r="CI58" i="15" s="1"/>
  <c r="CF40" i="15"/>
  <c r="CI40" i="15" s="1"/>
  <c r="CF22" i="15"/>
  <c r="CI22" i="15" s="1"/>
  <c r="CF206" i="15"/>
  <c r="CI206" i="15" s="1"/>
  <c r="CF188" i="15"/>
  <c r="CI188" i="15" s="1"/>
  <c r="CF170" i="15"/>
  <c r="CI170" i="15" s="1"/>
  <c r="CF154" i="15"/>
  <c r="CF137" i="15"/>
  <c r="CI137" i="15" s="1"/>
  <c r="CF119" i="15"/>
  <c r="CI119" i="15" s="1"/>
  <c r="CF101" i="15"/>
  <c r="CI101" i="15" s="1"/>
  <c r="CF83" i="15"/>
  <c r="CI83" i="15" s="1"/>
  <c r="CF65" i="15"/>
  <c r="CI65" i="15" s="1"/>
  <c r="CF49" i="15"/>
  <c r="CI49" i="15" s="1"/>
  <c r="CF29" i="15"/>
  <c r="CI29" i="15" s="1"/>
  <c r="CF13" i="15"/>
  <c r="CI13" i="15" s="1"/>
  <c r="CF231" i="15"/>
  <c r="CF213" i="15"/>
  <c r="CI213" i="15" s="1"/>
  <c r="CF195" i="15"/>
  <c r="CI195" i="15" s="1"/>
  <c r="CF179" i="15"/>
  <c r="CI179" i="15" s="1"/>
  <c r="CF161" i="15"/>
  <c r="CI161" i="15" s="1"/>
  <c r="CF144" i="15"/>
  <c r="CI144" i="15" s="1"/>
  <c r="CF126" i="15"/>
  <c r="CI126" i="15" s="1"/>
  <c r="CF110" i="15"/>
  <c r="CI110" i="15" s="1"/>
  <c r="CF92" i="15"/>
  <c r="CI92" i="15" s="1"/>
  <c r="CF74" i="15"/>
  <c r="CI74" i="15" s="1"/>
  <c r="CF56" i="15"/>
  <c r="CI56" i="15" s="1"/>
  <c r="CF38" i="15"/>
  <c r="CI38" i="15" s="1"/>
  <c r="CF20" i="15"/>
  <c r="CI20" i="15" s="1"/>
  <c r="CI11" i="15"/>
  <c r="CI316" i="15"/>
  <c r="M8" i="1"/>
  <c r="M10" i="1"/>
  <c r="M11" i="1"/>
  <c r="M12" i="1"/>
  <c r="M13" i="1"/>
  <c r="M14" i="1"/>
  <c r="M15" i="1"/>
  <c r="M16" i="1"/>
  <c r="M18" i="1"/>
  <c r="M19" i="1"/>
  <c r="M20" i="1"/>
  <c r="M21" i="1"/>
  <c r="M22" i="1"/>
  <c r="M23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9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71" i="1"/>
  <c r="M172" i="1"/>
  <c r="M173" i="1"/>
  <c r="M174" i="1"/>
  <c r="M177" i="1"/>
  <c r="M178" i="1"/>
  <c r="M179" i="1"/>
  <c r="M180" i="1"/>
  <c r="M181" i="1"/>
  <c r="M182" i="1"/>
  <c r="M183" i="1"/>
  <c r="M184" i="1"/>
  <c r="M185" i="1"/>
  <c r="M186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N8" i="1"/>
  <c r="N10" i="1"/>
  <c r="N11" i="1"/>
  <c r="N12" i="1"/>
  <c r="N16" i="1"/>
  <c r="N18" i="1"/>
  <c r="N22" i="1"/>
  <c r="N30" i="1"/>
  <c r="N45" i="1"/>
  <c r="N55" i="1"/>
  <c r="N56" i="1"/>
  <c r="N60" i="1"/>
  <c r="N64" i="1"/>
  <c r="N67" i="1"/>
  <c r="N68" i="1"/>
  <c r="N72" i="1"/>
  <c r="N76" i="1"/>
  <c r="N79" i="1"/>
  <c r="N80" i="1"/>
  <c r="N84" i="1"/>
  <c r="N87" i="1"/>
  <c r="N88" i="1"/>
  <c r="N96" i="1"/>
  <c r="N97" i="1"/>
  <c r="N99" i="1"/>
  <c r="N101" i="1"/>
  <c r="N102" i="1"/>
  <c r="N104" i="1"/>
  <c r="N105" i="1"/>
  <c r="N106" i="1"/>
  <c r="N107" i="1"/>
  <c r="N109" i="1"/>
  <c r="N111" i="1"/>
  <c r="N112" i="1"/>
  <c r="N113" i="1"/>
  <c r="N114" i="1"/>
  <c r="N115" i="1"/>
  <c r="N116" i="1"/>
  <c r="N121" i="1"/>
  <c r="N123" i="1"/>
  <c r="N124" i="1"/>
  <c r="N129" i="1"/>
  <c r="N130" i="1"/>
  <c r="N133" i="1"/>
  <c r="N134" i="1"/>
  <c r="N136" i="1"/>
  <c r="N177" i="1"/>
  <c r="N180" i="1"/>
  <c r="N185" i="1"/>
  <c r="N186" i="1"/>
  <c r="N269" i="1"/>
  <c r="N274" i="1"/>
  <c r="N275" i="1"/>
  <c r="N276" i="1"/>
  <c r="N277" i="1"/>
  <c r="N278" i="1"/>
  <c r="N279" i="1"/>
  <c r="N280" i="1"/>
  <c r="N281" i="1"/>
  <c r="N282" i="1"/>
  <c r="N284" i="1"/>
  <c r="N285" i="1"/>
  <c r="N286" i="1"/>
  <c r="N287" i="1"/>
  <c r="N288" i="1"/>
  <c r="N290" i="1"/>
  <c r="N291" i="1"/>
  <c r="N295" i="1"/>
  <c r="N296" i="1"/>
  <c r="N297" i="1"/>
  <c r="N302" i="1"/>
  <c r="N303" i="1"/>
  <c r="N304" i="1"/>
  <c r="N305" i="1"/>
  <c r="N306" i="1"/>
  <c r="N307" i="1"/>
  <c r="N310" i="1"/>
  <c r="N311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3" i="1"/>
  <c r="N337" i="1"/>
  <c r="N338" i="1"/>
  <c r="N339" i="1"/>
  <c r="N340" i="1"/>
  <c r="N341" i="1"/>
  <c r="N342" i="1"/>
  <c r="N343" i="1"/>
  <c r="N346" i="1"/>
  <c r="N347" i="1"/>
  <c r="N348" i="1"/>
  <c r="N349" i="1"/>
  <c r="N350" i="1"/>
  <c r="N351" i="1"/>
  <c r="N353" i="1"/>
  <c r="N355" i="1"/>
  <c r="N357" i="1"/>
  <c r="N358" i="1"/>
  <c r="N361" i="1"/>
  <c r="N366" i="1"/>
  <c r="N367" i="1"/>
  <c r="N368" i="1"/>
  <c r="N369" i="1"/>
  <c r="N370" i="1"/>
  <c r="N371" i="1"/>
  <c r="N375" i="1"/>
  <c r="N380" i="1"/>
  <c r="N381" i="1"/>
  <c r="N382" i="1"/>
  <c r="N383" i="1"/>
  <c r="N384" i="1"/>
  <c r="N385" i="1"/>
  <c r="N386" i="1"/>
  <c r="N388" i="1"/>
  <c r="N389" i="1"/>
  <c r="N391" i="1"/>
  <c r="N392" i="1"/>
  <c r="N395" i="1"/>
  <c r="N396" i="1"/>
  <c r="N397" i="1"/>
  <c r="N398" i="1"/>
  <c r="N400" i="1"/>
  <c r="N405" i="1"/>
  <c r="N406" i="1"/>
  <c r="N407" i="1"/>
  <c r="N408" i="1"/>
  <c r="N409" i="1"/>
  <c r="N410" i="1"/>
  <c r="N411" i="1"/>
  <c r="N413" i="1"/>
  <c r="N414" i="1"/>
  <c r="N415" i="1"/>
  <c r="N420" i="1"/>
  <c r="N421" i="1"/>
  <c r="N422" i="1"/>
  <c r="N423" i="1"/>
  <c r="N427" i="1"/>
  <c r="N428" i="1"/>
  <c r="N429" i="1"/>
  <c r="N430" i="1"/>
  <c r="N431" i="1"/>
  <c r="N432" i="1"/>
  <c r="N433" i="1"/>
  <c r="N434" i="1"/>
  <c r="N436" i="1"/>
  <c r="N437" i="1"/>
  <c r="N438" i="1"/>
  <c r="N441" i="1"/>
  <c r="N442" i="1"/>
  <c r="N443" i="1"/>
  <c r="N444" i="1"/>
  <c r="N445" i="1"/>
  <c r="N446" i="1"/>
  <c r="N447" i="1"/>
  <c r="N450" i="1"/>
  <c r="N451" i="1"/>
  <c r="N452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9" i="1"/>
  <c r="N490" i="1"/>
  <c r="N492" i="1"/>
  <c r="N493" i="1"/>
  <c r="N494" i="1"/>
  <c r="N495" i="1"/>
  <c r="N496" i="1"/>
  <c r="N501" i="1"/>
  <c r="N502" i="1"/>
  <c r="N503" i="1"/>
  <c r="N504" i="1"/>
  <c r="N507" i="1"/>
  <c r="N508" i="1"/>
  <c r="N513" i="1"/>
  <c r="N514" i="1"/>
  <c r="N515" i="1"/>
  <c r="N516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40" i="1"/>
  <c r="N541" i="1"/>
  <c r="N543" i="1"/>
  <c r="N544" i="1"/>
  <c r="N545" i="1"/>
  <c r="N548" i="1"/>
  <c r="N549" i="1"/>
  <c r="N551" i="1"/>
  <c r="N552" i="1"/>
  <c r="N553" i="1"/>
  <c r="N560" i="1"/>
  <c r="N561" i="1"/>
  <c r="N562" i="1"/>
  <c r="N563" i="1"/>
  <c r="N564" i="1"/>
  <c r="N565" i="1"/>
  <c r="N566" i="1"/>
  <c r="N567" i="1"/>
  <c r="N568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354" i="1"/>
  <c r="N352" i="1"/>
  <c r="N393" i="1"/>
  <c r="N14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AE373" i="1"/>
  <c r="AE392" i="1"/>
  <c r="AE492" i="1"/>
  <c r="AF409" i="1"/>
  <c r="AF466" i="1"/>
  <c r="AF472" i="1"/>
  <c r="AF492" i="1"/>
  <c r="AG392" i="1"/>
  <c r="AG409" i="1"/>
  <c r="AG430" i="1"/>
  <c r="AG472" i="1"/>
  <c r="AH381" i="1"/>
  <c r="AH392" i="1"/>
  <c r="AH409" i="1"/>
  <c r="AH430" i="1"/>
  <c r="AH466" i="1"/>
  <c r="AH472" i="1"/>
  <c r="AH492" i="1"/>
  <c r="AI381" i="1"/>
  <c r="AI392" i="1"/>
  <c r="AI409" i="1"/>
  <c r="AI430" i="1"/>
  <c r="AI466" i="1"/>
  <c r="AI472" i="1"/>
  <c r="AI492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AE409" i="1"/>
  <c r="CI201" i="15" l="1"/>
  <c r="CI199" i="15" s="1"/>
  <c r="CF199" i="15"/>
  <c r="CI178" i="15"/>
  <c r="CI176" i="15" s="1"/>
  <c r="CF176" i="15"/>
  <c r="CI231" i="15"/>
  <c r="CI229" i="15" s="1"/>
  <c r="CF229" i="15"/>
  <c r="CI245" i="15"/>
  <c r="CI243" i="15" s="1"/>
  <c r="CF243" i="15"/>
  <c r="CI265" i="15"/>
  <c r="CI263" i="15" s="1"/>
  <c r="CF263" i="15"/>
  <c r="CI426" i="15"/>
  <c r="CI424" i="15" s="1"/>
  <c r="CF424" i="15"/>
  <c r="CI476" i="15"/>
  <c r="CI474" i="15" s="1"/>
  <c r="CF474" i="15"/>
  <c r="CI450" i="15"/>
  <c r="CI448" i="15" s="1"/>
  <c r="CF448" i="15"/>
  <c r="CI494" i="15"/>
  <c r="CI492" i="15" s="1"/>
  <c r="CF492" i="15"/>
  <c r="CI514" i="15"/>
  <c r="CI512" i="15" s="1"/>
  <c r="CF512" i="15"/>
  <c r="CI538" i="15"/>
  <c r="CI536" i="15" s="1"/>
  <c r="CF536" i="15"/>
  <c r="CI554" i="15"/>
  <c r="CI552" i="15" s="1"/>
  <c r="CF552" i="15"/>
  <c r="CI574" i="15"/>
  <c r="CI572" i="15" s="1"/>
  <c r="CF572" i="15"/>
  <c r="CI639" i="15"/>
  <c r="CI637" i="15" s="1"/>
  <c r="CF637" i="15"/>
  <c r="CI605" i="15"/>
  <c r="CI603" i="15" s="1"/>
  <c r="CF603" i="15"/>
  <c r="CI650" i="15"/>
  <c r="CI648" i="15" s="1"/>
  <c r="CF648" i="15"/>
  <c r="CI671" i="15"/>
  <c r="CI669" i="15" s="1"/>
  <c r="CF669" i="15"/>
  <c r="CI699" i="15"/>
  <c r="CI697" i="15" s="1"/>
  <c r="CF697" i="15"/>
  <c r="CI720" i="15"/>
  <c r="CI718" i="15" s="1"/>
  <c r="CF718" i="15"/>
  <c r="CI766" i="15"/>
  <c r="CI764" i="15" s="1"/>
  <c r="CF764" i="15"/>
  <c r="CI747" i="15"/>
  <c r="CI745" i="15" s="1"/>
  <c r="CF745" i="15"/>
  <c r="CI789" i="15"/>
  <c r="CI787" i="15" s="1"/>
  <c r="CF787" i="15"/>
  <c r="CI812" i="15"/>
  <c r="CI810" i="15" s="1"/>
  <c r="CF810" i="15"/>
  <c r="CI833" i="15"/>
  <c r="CI831" i="15" s="1"/>
  <c r="CF831" i="15"/>
  <c r="CI389" i="15"/>
  <c r="CF387" i="15"/>
  <c r="CI866" i="15"/>
  <c r="CF864" i="15"/>
  <c r="CI342" i="15"/>
  <c r="CF340" i="15"/>
  <c r="CI314" i="15"/>
  <c r="CF314" i="15"/>
  <c r="CI286" i="15"/>
  <c r="CF284" i="15"/>
  <c r="CF35" i="15"/>
  <c r="CI154" i="15"/>
  <c r="CF152" i="15"/>
  <c r="CI35" i="15"/>
  <c r="CI9" i="15"/>
  <c r="CF68" i="15"/>
  <c r="CI105" i="15"/>
  <c r="CF103" i="15"/>
  <c r="CI68" i="15"/>
  <c r="CI89" i="15"/>
  <c r="CF87" i="15"/>
  <c r="CF44" i="15"/>
  <c r="CI133" i="15"/>
  <c r="CF131" i="15"/>
  <c r="CI44" i="15"/>
  <c r="N29" i="1"/>
  <c r="N53" i="1"/>
  <c r="N271" i="1"/>
  <c r="N506" i="1"/>
  <c r="N454" i="1"/>
  <c r="N426" i="1"/>
  <c r="N374" i="1"/>
  <c r="N270" i="1"/>
  <c r="N517" i="1"/>
  <c r="N505" i="1"/>
  <c r="N425" i="1"/>
  <c r="N373" i="1"/>
  <c r="N313" i="1"/>
  <c r="N309" i="1"/>
  <c r="N86" i="1"/>
  <c r="N372" i="1"/>
  <c r="N360" i="1"/>
  <c r="N272" i="1"/>
  <c r="N85" i="1"/>
  <c r="N37" i="1"/>
  <c r="N25" i="1"/>
  <c r="N20" i="1"/>
  <c r="AE466" i="1"/>
  <c r="AG381" i="1"/>
  <c r="AE430" i="1"/>
  <c r="AE381" i="1"/>
  <c r="AH373" i="1"/>
  <c r="AG373" i="1"/>
  <c r="AD381" i="1"/>
  <c r="AI373" i="1"/>
  <c r="AF381" i="1"/>
  <c r="AD409" i="1"/>
  <c r="AD492" i="1"/>
  <c r="AD466" i="1"/>
  <c r="AD430" i="1"/>
  <c r="AF373" i="1"/>
  <c r="AJ409" i="1"/>
  <c r="AD392" i="1"/>
  <c r="AF392" i="1"/>
  <c r="AE472" i="1"/>
  <c r="AD472" i="1"/>
  <c r="AG374" i="1"/>
  <c r="AI374" i="1"/>
  <c r="AH374" i="1"/>
  <c r="AG492" i="1"/>
  <c r="AG466" i="1"/>
  <c r="AF430" i="1"/>
  <c r="AF374" i="1"/>
  <c r="CF283" i="15" l="1"/>
  <c r="CF151" i="15"/>
  <c r="CI491" i="15"/>
  <c r="CF491" i="15"/>
  <c r="CF602" i="15"/>
  <c r="CI602" i="15"/>
  <c r="CF744" i="15"/>
  <c r="CI103" i="15"/>
  <c r="CI284" i="15"/>
  <c r="CI340" i="15"/>
  <c r="CI864" i="15"/>
  <c r="CI744" i="15" s="1"/>
  <c r="CI131" i="15"/>
  <c r="CI387" i="15"/>
  <c r="CI87" i="15"/>
  <c r="CI152" i="15"/>
  <c r="CI8" i="15"/>
  <c r="AJ392" i="1"/>
  <c r="AJ492" i="1"/>
  <c r="AJ472" i="1"/>
  <c r="AJ466" i="1"/>
  <c r="AJ430" i="1"/>
  <c r="AJ381" i="1"/>
  <c r="AJ373" i="1"/>
  <c r="AD373" i="1"/>
  <c r="AE374" i="1"/>
  <c r="AD374" i="1"/>
  <c r="CI283" i="15" l="1"/>
  <c r="CI151" i="15"/>
  <c r="AJ374" i="1"/>
  <c r="D10" i="1"/>
  <c r="D11" i="1"/>
  <c r="D12" i="1"/>
  <c r="D13" i="1"/>
  <c r="D14" i="1"/>
  <c r="D15" i="1"/>
  <c r="D16" i="1"/>
  <c r="D18" i="1"/>
  <c r="D19" i="1"/>
  <c r="D20" i="1"/>
  <c r="D21" i="1"/>
  <c r="D22" i="1"/>
  <c r="D23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9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71" i="1"/>
  <c r="D172" i="1"/>
  <c r="D173" i="1"/>
  <c r="D174" i="1"/>
  <c r="D177" i="1"/>
  <c r="D178" i="1"/>
  <c r="D179" i="1"/>
  <c r="D180" i="1"/>
  <c r="D181" i="1"/>
  <c r="D182" i="1"/>
  <c r="D183" i="1"/>
  <c r="D184" i="1"/>
  <c r="D185" i="1"/>
  <c r="D186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8" i="1"/>
  <c r="X300" i="1"/>
  <c r="D14" i="13"/>
  <c r="W13" i="13" s="1"/>
  <c r="D18" i="13"/>
  <c r="Y129" i="1"/>
  <c r="Z129" i="1"/>
  <c r="AA129" i="1"/>
  <c r="AB129" i="1"/>
  <c r="AC129" i="1"/>
  <c r="D10" i="13"/>
  <c r="W9" i="13" s="1"/>
  <c r="D11" i="13"/>
  <c r="W10" i="13" s="1"/>
  <c r="D12" i="13"/>
  <c r="W11" i="13" s="1"/>
  <c r="D13" i="13"/>
  <c r="W12" i="13" s="1"/>
  <c r="D9" i="13"/>
  <c r="W8" i="13" s="1"/>
  <c r="Y28" i="1"/>
  <c r="Y29" i="1"/>
  <c r="Y30" i="1"/>
  <c r="Z28" i="1"/>
  <c r="Z29" i="1"/>
  <c r="Z30" i="1"/>
  <c r="AA28" i="1"/>
  <c r="AA29" i="1"/>
  <c r="AA30" i="1"/>
  <c r="AB28" i="1"/>
  <c r="AB29" i="1"/>
  <c r="AB30" i="1"/>
  <c r="AC28" i="1"/>
  <c r="AC29" i="1"/>
  <c r="AC30" i="1"/>
  <c r="AC14" i="1"/>
  <c r="AC20" i="1"/>
  <c r="AC52" i="1"/>
  <c r="AC53" i="1"/>
  <c r="AC54" i="1"/>
  <c r="AC55" i="1"/>
  <c r="AC56" i="1"/>
  <c r="AC59" i="1"/>
  <c r="AC64" i="1"/>
  <c r="AC65" i="1"/>
  <c r="AC66" i="1"/>
  <c r="AC67" i="1"/>
  <c r="AC68" i="1"/>
  <c r="AC71" i="1"/>
  <c r="AC76" i="1"/>
  <c r="AC77" i="1"/>
  <c r="AC78" i="1"/>
  <c r="AC79" i="1"/>
  <c r="AC80" i="1"/>
  <c r="AC83" i="1"/>
  <c r="AC85" i="1"/>
  <c r="AC86" i="1"/>
  <c r="AC88" i="1"/>
  <c r="AC89" i="1"/>
  <c r="AC105" i="1"/>
  <c r="AC121" i="1"/>
  <c r="AC122" i="1"/>
  <c r="AC123" i="1"/>
  <c r="AC124" i="1"/>
  <c r="AC133" i="1"/>
  <c r="AC136" i="1"/>
  <c r="AC182" i="1"/>
  <c r="AC183" i="1"/>
  <c r="AC186" i="1"/>
  <c r="AB14" i="1"/>
  <c r="AB20" i="1"/>
  <c r="AB52" i="1"/>
  <c r="AB53" i="1"/>
  <c r="AB54" i="1"/>
  <c r="AB55" i="1"/>
  <c r="AB56" i="1"/>
  <c r="AB59" i="1"/>
  <c r="AB64" i="1"/>
  <c r="AB65" i="1"/>
  <c r="AB66" i="1"/>
  <c r="AB67" i="1"/>
  <c r="AB68" i="1"/>
  <c r="AB71" i="1"/>
  <c r="AB76" i="1"/>
  <c r="AB77" i="1"/>
  <c r="AB78" i="1"/>
  <c r="AB79" i="1"/>
  <c r="AB80" i="1"/>
  <c r="AB83" i="1"/>
  <c r="AB85" i="1"/>
  <c r="AB86" i="1"/>
  <c r="AB88" i="1"/>
  <c r="AB89" i="1"/>
  <c r="AB105" i="1"/>
  <c r="AB121" i="1"/>
  <c r="AB122" i="1"/>
  <c r="AB123" i="1"/>
  <c r="AB124" i="1"/>
  <c r="AB133" i="1"/>
  <c r="AB136" i="1"/>
  <c r="AB182" i="1"/>
  <c r="AB183" i="1"/>
  <c r="AB186" i="1"/>
  <c r="AA14" i="1"/>
  <c r="AA20" i="1"/>
  <c r="AA52" i="1"/>
  <c r="AA53" i="1"/>
  <c r="AA54" i="1"/>
  <c r="AA55" i="1"/>
  <c r="AA56" i="1"/>
  <c r="AA59" i="1"/>
  <c r="AA64" i="1"/>
  <c r="AA65" i="1"/>
  <c r="AA66" i="1"/>
  <c r="AA67" i="1"/>
  <c r="AA68" i="1"/>
  <c r="AA71" i="1"/>
  <c r="AA76" i="1"/>
  <c r="AA77" i="1"/>
  <c r="AA78" i="1"/>
  <c r="AA79" i="1"/>
  <c r="AA80" i="1"/>
  <c r="AA83" i="1"/>
  <c r="AA85" i="1"/>
  <c r="AA86" i="1"/>
  <c r="AA88" i="1"/>
  <c r="AA89" i="1"/>
  <c r="AA105" i="1"/>
  <c r="AA121" i="1"/>
  <c r="AA122" i="1"/>
  <c r="AA123" i="1"/>
  <c r="AA124" i="1"/>
  <c r="AA133" i="1"/>
  <c r="AA136" i="1"/>
  <c r="AA182" i="1"/>
  <c r="AA183" i="1"/>
  <c r="AA186" i="1"/>
  <c r="Z14" i="1"/>
  <c r="Z20" i="1"/>
  <c r="Z52" i="1"/>
  <c r="Z53" i="1"/>
  <c r="Z54" i="1"/>
  <c r="Z55" i="1"/>
  <c r="Z56" i="1"/>
  <c r="Z59" i="1"/>
  <c r="Z64" i="1"/>
  <c r="Z65" i="1"/>
  <c r="Z66" i="1"/>
  <c r="Z67" i="1"/>
  <c r="Z68" i="1"/>
  <c r="Z71" i="1"/>
  <c r="Z76" i="1"/>
  <c r="Z77" i="1"/>
  <c r="Z78" i="1"/>
  <c r="Z79" i="1"/>
  <c r="Z80" i="1"/>
  <c r="Z83" i="1"/>
  <c r="Z85" i="1"/>
  <c r="Z86" i="1"/>
  <c r="Z88" i="1"/>
  <c r="Z89" i="1"/>
  <c r="Z105" i="1"/>
  <c r="Z121" i="1"/>
  <c r="Z122" i="1"/>
  <c r="Z123" i="1"/>
  <c r="Z124" i="1"/>
  <c r="Z133" i="1"/>
  <c r="Z136" i="1"/>
  <c r="Z182" i="1"/>
  <c r="Z183" i="1"/>
  <c r="Z186" i="1"/>
  <c r="Y14" i="1"/>
  <c r="Y20" i="1"/>
  <c r="Y52" i="1"/>
  <c r="Y53" i="1"/>
  <c r="Y54" i="1"/>
  <c r="Y55" i="1"/>
  <c r="Y56" i="1"/>
  <c r="Y59" i="1"/>
  <c r="Y64" i="1"/>
  <c r="Y65" i="1"/>
  <c r="Y66" i="1"/>
  <c r="Y67" i="1"/>
  <c r="Y68" i="1"/>
  <c r="Y71" i="1"/>
  <c r="X74" i="1"/>
  <c r="Y76" i="1"/>
  <c r="Y77" i="1"/>
  <c r="Y78" i="1"/>
  <c r="Y79" i="1"/>
  <c r="Y80" i="1"/>
  <c r="X82" i="1"/>
  <c r="Y85" i="1"/>
  <c r="Y86" i="1"/>
  <c r="Y88" i="1"/>
  <c r="Y89" i="1"/>
  <c r="X181" i="1"/>
  <c r="Y182" i="1"/>
  <c r="Y186" i="1"/>
  <c r="X8" i="1"/>
  <c r="X10" i="1"/>
  <c r="X11" i="1"/>
  <c r="X12" i="1"/>
  <c r="X13" i="1"/>
  <c r="X14" i="1"/>
  <c r="X16" i="1"/>
  <c r="X18" i="1"/>
  <c r="X19" i="1"/>
  <c r="X20" i="1"/>
  <c r="X21" i="1"/>
  <c r="X22" i="1"/>
  <c r="X23" i="1"/>
  <c r="X25" i="1"/>
  <c r="X26" i="1"/>
  <c r="X27" i="1"/>
  <c r="X32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72" i="1"/>
  <c r="X84" i="1"/>
  <c r="X87" i="1"/>
  <c r="X95" i="1"/>
  <c r="X96" i="1"/>
  <c r="X97" i="1"/>
  <c r="X99" i="1"/>
  <c r="X101" i="1"/>
  <c r="X102" i="1"/>
  <c r="X104" i="1"/>
  <c r="X106" i="1"/>
  <c r="X107" i="1"/>
  <c r="X109" i="1"/>
  <c r="X111" i="1"/>
  <c r="X112" i="1"/>
  <c r="X113" i="1"/>
  <c r="X114" i="1"/>
  <c r="X115" i="1"/>
  <c r="X116" i="1"/>
  <c r="X125" i="1"/>
  <c r="X130" i="1"/>
  <c r="X134" i="1"/>
  <c r="X171" i="1"/>
  <c r="X172" i="1"/>
  <c r="X173" i="1"/>
  <c r="X174" i="1"/>
  <c r="X177" i="1"/>
  <c r="X180" i="1"/>
  <c r="X184" i="1"/>
  <c r="X185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H5" i="1"/>
  <c r="G5" i="1"/>
  <c r="F5" i="1"/>
  <c r="E5" i="1"/>
  <c r="D5" i="1"/>
  <c r="E170" i="1" l="1"/>
  <c r="E167" i="1"/>
  <c r="E168" i="1"/>
  <c r="E165" i="1"/>
  <c r="E163" i="1"/>
  <c r="E164" i="1"/>
  <c r="E169" i="1"/>
  <c r="E166" i="1"/>
  <c r="E157" i="1"/>
  <c r="E161" i="1"/>
  <c r="E160" i="1"/>
  <c r="E158" i="1"/>
  <c r="E159" i="1"/>
  <c r="E162" i="1"/>
  <c r="E151" i="1"/>
  <c r="E152" i="1"/>
  <c r="E153" i="1"/>
  <c r="E155" i="1"/>
  <c r="E156" i="1"/>
  <c r="E154" i="1"/>
  <c r="E247" i="1"/>
  <c r="E248" i="1"/>
  <c r="E258" i="1"/>
  <c r="E252" i="1"/>
  <c r="E253" i="1"/>
  <c r="E249" i="1"/>
  <c r="E250" i="1"/>
  <c r="E251" i="1"/>
  <c r="E241" i="1"/>
  <c r="E231" i="1"/>
  <c r="E230" i="1"/>
  <c r="E225" i="1"/>
  <c r="E233" i="1"/>
  <c r="E226" i="1"/>
  <c r="E235" i="1"/>
  <c r="E234" i="1"/>
  <c r="E227" i="1"/>
  <c r="E224" i="1"/>
  <c r="E218" i="1"/>
  <c r="E213" i="1"/>
  <c r="E203" i="1"/>
  <c r="E199" i="1"/>
  <c r="E217" i="1"/>
  <c r="E206" i="1"/>
  <c r="E207" i="1"/>
  <c r="E219" i="1"/>
  <c r="E210" i="1"/>
  <c r="E205" i="1"/>
  <c r="E212" i="1"/>
  <c r="E214" i="1"/>
  <c r="E208" i="1"/>
  <c r="E202" i="1"/>
  <c r="E200" i="1"/>
  <c r="E215" i="1"/>
  <c r="E211" i="1"/>
  <c r="E209" i="1"/>
  <c r="E204" i="1"/>
  <c r="E201" i="1"/>
  <c r="E216" i="1"/>
  <c r="E193" i="1"/>
  <c r="E197" i="1"/>
  <c r="E194" i="1"/>
  <c r="E195" i="1"/>
  <c r="E196" i="1"/>
  <c r="E198" i="1"/>
  <c r="E191" i="1"/>
  <c r="E189" i="1"/>
  <c r="E188" i="1"/>
  <c r="E190" i="1"/>
  <c r="E192" i="1"/>
  <c r="E187" i="1"/>
  <c r="E175" i="1"/>
  <c r="E176" i="1"/>
  <c r="E148" i="1"/>
  <c r="E146" i="1"/>
  <c r="E147" i="1"/>
  <c r="E149" i="1"/>
  <c r="E150" i="1"/>
  <c r="E143" i="1"/>
  <c r="E144" i="1"/>
  <c r="E145" i="1"/>
  <c r="E141" i="1"/>
  <c r="E142" i="1"/>
  <c r="E139" i="1"/>
  <c r="E137" i="1"/>
  <c r="E138" i="1"/>
  <c r="E140" i="1"/>
  <c r="E108" i="1"/>
  <c r="E110" i="1"/>
  <c r="E93" i="1"/>
  <c r="E94" i="1"/>
  <c r="E92" i="1"/>
  <c r="E90" i="1"/>
  <c r="E91" i="1"/>
  <c r="E24" i="1"/>
  <c r="E17" i="1"/>
  <c r="E10" i="1"/>
  <c r="C10" i="1" s="1"/>
  <c r="E220" i="1"/>
  <c r="E254" i="1"/>
  <c r="F254" i="1" s="1"/>
  <c r="G254" i="1" s="1"/>
  <c r="H254" i="1" s="1"/>
  <c r="E237" i="1"/>
  <c r="E256" i="1"/>
  <c r="E259" i="1"/>
  <c r="E262" i="1"/>
  <c r="E243" i="1"/>
  <c r="E238" i="1"/>
  <c r="E246" i="1"/>
  <c r="E236" i="1"/>
  <c r="E232" i="1"/>
  <c r="E240" i="1"/>
  <c r="E245" i="1"/>
  <c r="E268" i="1"/>
  <c r="E242" i="1"/>
  <c r="E244" i="1"/>
  <c r="E264" i="1"/>
  <c r="E263" i="1"/>
  <c r="E261" i="1"/>
  <c r="E265" i="1"/>
  <c r="E267" i="1"/>
  <c r="E266" i="1"/>
  <c r="E239" i="1"/>
  <c r="E228" i="1"/>
  <c r="E221" i="1"/>
  <c r="E229" i="1"/>
  <c r="E255" i="1"/>
  <c r="E223" i="1"/>
  <c r="E222" i="1"/>
  <c r="E260" i="1"/>
  <c r="E257" i="1"/>
  <c r="AC254" i="1"/>
  <c r="AI254" i="1" s="1"/>
  <c r="Y254" i="1"/>
  <c r="Z220" i="1"/>
  <c r="AF220" i="1" s="1"/>
  <c r="Y220" i="1"/>
  <c r="AB254" i="1"/>
  <c r="AH254" i="1" s="1"/>
  <c r="Z254" i="1"/>
  <c r="AF254" i="1" s="1"/>
  <c r="AA254" i="1"/>
  <c r="AG254" i="1" s="1"/>
  <c r="AA237" i="1"/>
  <c r="AG237" i="1" s="1"/>
  <c r="AC237" i="1"/>
  <c r="AI237" i="1" s="1"/>
  <c r="Y237" i="1"/>
  <c r="AA220" i="1"/>
  <c r="AG220" i="1" s="1"/>
  <c r="AB220" i="1"/>
  <c r="AH220" i="1" s="1"/>
  <c r="Z237" i="1"/>
  <c r="AF237" i="1" s="1"/>
  <c r="AC220" i="1"/>
  <c r="AI220" i="1" s="1"/>
  <c r="AB237" i="1"/>
  <c r="AH237" i="1" s="1"/>
  <c r="X81" i="1"/>
  <c r="G45" i="13"/>
  <c r="G43" i="13"/>
  <c r="G46" i="13"/>
  <c r="G44" i="13"/>
  <c r="X76" i="1"/>
  <c r="X71" i="1"/>
  <c r="X136" i="1"/>
  <c r="Y136" i="1"/>
  <c r="X127" i="1"/>
  <c r="X119" i="1"/>
  <c r="X186" i="1"/>
  <c r="X86" i="1"/>
  <c r="X135" i="1"/>
  <c r="X126" i="1"/>
  <c r="X118" i="1"/>
  <c r="X100" i="1"/>
  <c r="X133" i="1"/>
  <c r="Y133" i="1"/>
  <c r="X124" i="1"/>
  <c r="Y124" i="1"/>
  <c r="X117" i="1"/>
  <c r="X182" i="1"/>
  <c r="X132" i="1"/>
  <c r="X123" i="1"/>
  <c r="Y123" i="1"/>
  <c r="X105" i="1"/>
  <c r="Y105" i="1"/>
  <c r="X183" i="1"/>
  <c r="Y183" i="1"/>
  <c r="X131" i="1"/>
  <c r="X122" i="1"/>
  <c r="Y122" i="1"/>
  <c r="X78" i="1"/>
  <c r="X103" i="1"/>
  <c r="X80" i="1"/>
  <c r="X121" i="1"/>
  <c r="Y121" i="1"/>
  <c r="X88" i="1"/>
  <c r="X128" i="1"/>
  <c r="X120" i="1"/>
  <c r="X89" i="1"/>
  <c r="X85" i="1"/>
  <c r="X70" i="1"/>
  <c r="X83" i="1"/>
  <c r="Y83" i="1"/>
  <c r="X77" i="1"/>
  <c r="X178" i="1"/>
  <c r="X179" i="1"/>
  <c r="X98" i="1"/>
  <c r="X79" i="1"/>
  <c r="X75" i="1"/>
  <c r="X69" i="1"/>
  <c r="E8" i="1"/>
  <c r="F8" i="1" s="1"/>
  <c r="G8" i="1" s="1"/>
  <c r="H8" i="1" s="1"/>
  <c r="AH306" i="1"/>
  <c r="AF306" i="1"/>
  <c r="AI306" i="1"/>
  <c r="E301" i="1"/>
  <c r="E305" i="1"/>
  <c r="E309" i="1"/>
  <c r="E313" i="1"/>
  <c r="E317" i="1"/>
  <c r="E321" i="1"/>
  <c r="E325" i="1"/>
  <c r="E329" i="1"/>
  <c r="E333" i="1"/>
  <c r="E302" i="1"/>
  <c r="E306" i="1"/>
  <c r="E310" i="1"/>
  <c r="E303" i="1"/>
  <c r="E307" i="1"/>
  <c r="E311" i="1"/>
  <c r="E315" i="1"/>
  <c r="E319" i="1"/>
  <c r="E323" i="1"/>
  <c r="E327" i="1"/>
  <c r="E331" i="1"/>
  <c r="E335" i="1"/>
  <c r="E308" i="1"/>
  <c r="E318" i="1"/>
  <c r="E326" i="1"/>
  <c r="E334" i="1"/>
  <c r="E339" i="1"/>
  <c r="E343" i="1"/>
  <c r="E347" i="1"/>
  <c r="E351" i="1"/>
  <c r="E355" i="1"/>
  <c r="E359" i="1"/>
  <c r="E363" i="1"/>
  <c r="E367" i="1"/>
  <c r="E371" i="1"/>
  <c r="E375" i="1"/>
  <c r="E379" i="1"/>
  <c r="E383" i="1"/>
  <c r="E387" i="1"/>
  <c r="E391" i="1"/>
  <c r="E395" i="1"/>
  <c r="E399" i="1"/>
  <c r="E403" i="1"/>
  <c r="E407" i="1"/>
  <c r="E411" i="1"/>
  <c r="E415" i="1"/>
  <c r="E419" i="1"/>
  <c r="E423" i="1"/>
  <c r="E427" i="1"/>
  <c r="E431" i="1"/>
  <c r="E435" i="1"/>
  <c r="E439" i="1"/>
  <c r="E443" i="1"/>
  <c r="E447" i="1"/>
  <c r="E451" i="1"/>
  <c r="E455" i="1"/>
  <c r="E459" i="1"/>
  <c r="E463" i="1"/>
  <c r="E467" i="1"/>
  <c r="E471" i="1"/>
  <c r="E304" i="1"/>
  <c r="E324" i="1"/>
  <c r="E338" i="1"/>
  <c r="E346" i="1"/>
  <c r="E354" i="1"/>
  <c r="E362" i="1"/>
  <c r="E370" i="1"/>
  <c r="E378" i="1"/>
  <c r="E386" i="1"/>
  <c r="E394" i="1"/>
  <c r="E402" i="1"/>
  <c r="E410" i="1"/>
  <c r="E418" i="1"/>
  <c r="E426" i="1"/>
  <c r="E434" i="1"/>
  <c r="E442" i="1"/>
  <c r="E450" i="1"/>
  <c r="E458" i="1"/>
  <c r="E466" i="1"/>
  <c r="E474" i="1"/>
  <c r="E479" i="1"/>
  <c r="E485" i="1"/>
  <c r="E490" i="1"/>
  <c r="E495" i="1"/>
  <c r="E501" i="1"/>
  <c r="E506" i="1"/>
  <c r="E511" i="1"/>
  <c r="E517" i="1"/>
  <c r="E522" i="1"/>
  <c r="E527" i="1"/>
  <c r="E533" i="1"/>
  <c r="E538" i="1"/>
  <c r="E543" i="1"/>
  <c r="E549" i="1"/>
  <c r="E554" i="1"/>
  <c r="E559" i="1"/>
  <c r="E565" i="1"/>
  <c r="E570" i="1"/>
  <c r="E575" i="1"/>
  <c r="E581" i="1"/>
  <c r="E314" i="1"/>
  <c r="E330" i="1"/>
  <c r="E341" i="1"/>
  <c r="E349" i="1"/>
  <c r="E357" i="1"/>
  <c r="E365" i="1"/>
  <c r="E373" i="1"/>
  <c r="E381" i="1"/>
  <c r="E389" i="1"/>
  <c r="E397" i="1"/>
  <c r="E405" i="1"/>
  <c r="E413" i="1"/>
  <c r="E421" i="1"/>
  <c r="E429" i="1"/>
  <c r="E437" i="1"/>
  <c r="E445" i="1"/>
  <c r="E453" i="1"/>
  <c r="E461" i="1"/>
  <c r="E469" i="1"/>
  <c r="E475" i="1"/>
  <c r="E481" i="1"/>
  <c r="E486" i="1"/>
  <c r="E491" i="1"/>
  <c r="E497" i="1"/>
  <c r="E502" i="1"/>
  <c r="E507" i="1"/>
  <c r="E513" i="1"/>
  <c r="E518" i="1"/>
  <c r="E523" i="1"/>
  <c r="E529" i="1"/>
  <c r="E534" i="1"/>
  <c r="E539" i="1"/>
  <c r="E545" i="1"/>
  <c r="E550" i="1"/>
  <c r="E555" i="1"/>
  <c r="E561" i="1"/>
  <c r="E566" i="1"/>
  <c r="E571" i="1"/>
  <c r="E577" i="1"/>
  <c r="E582" i="1"/>
  <c r="E316" i="1"/>
  <c r="E332" i="1"/>
  <c r="E342" i="1"/>
  <c r="E350" i="1"/>
  <c r="E358" i="1"/>
  <c r="E366" i="1"/>
  <c r="E374" i="1"/>
  <c r="E382" i="1"/>
  <c r="E390" i="1"/>
  <c r="E398" i="1"/>
  <c r="E406" i="1"/>
  <c r="E414" i="1"/>
  <c r="E422" i="1"/>
  <c r="E430" i="1"/>
  <c r="E438" i="1"/>
  <c r="E446" i="1"/>
  <c r="E454" i="1"/>
  <c r="E462" i="1"/>
  <c r="E470" i="1"/>
  <c r="E477" i="1"/>
  <c r="E482" i="1"/>
  <c r="E487" i="1"/>
  <c r="E493" i="1"/>
  <c r="E498" i="1"/>
  <c r="E503" i="1"/>
  <c r="E509" i="1"/>
  <c r="E514" i="1"/>
  <c r="E519" i="1"/>
  <c r="E525" i="1"/>
  <c r="E530" i="1"/>
  <c r="E535" i="1"/>
  <c r="E541" i="1"/>
  <c r="E546" i="1"/>
  <c r="E551" i="1"/>
  <c r="E557" i="1"/>
  <c r="E562" i="1"/>
  <c r="E567" i="1"/>
  <c r="E573" i="1"/>
  <c r="E578" i="1"/>
  <c r="E583" i="1"/>
  <c r="E322" i="1"/>
  <c r="E361" i="1"/>
  <c r="E393" i="1"/>
  <c r="E425" i="1"/>
  <c r="E457" i="1"/>
  <c r="E483" i="1"/>
  <c r="E505" i="1"/>
  <c r="E526" i="1"/>
  <c r="E547" i="1"/>
  <c r="E569" i="1"/>
  <c r="E337" i="1"/>
  <c r="E369" i="1"/>
  <c r="E401" i="1"/>
  <c r="E433" i="1"/>
  <c r="E465" i="1"/>
  <c r="E489" i="1"/>
  <c r="E510" i="1"/>
  <c r="E531" i="1"/>
  <c r="E553" i="1"/>
  <c r="E574" i="1"/>
  <c r="E345" i="1"/>
  <c r="E377" i="1"/>
  <c r="E409" i="1"/>
  <c r="E441" i="1"/>
  <c r="E473" i="1"/>
  <c r="E494" i="1"/>
  <c r="E515" i="1"/>
  <c r="E537" i="1"/>
  <c r="E558" i="1"/>
  <c r="E579" i="1"/>
  <c r="E353" i="1"/>
  <c r="E385" i="1"/>
  <c r="E417" i="1"/>
  <c r="E449" i="1"/>
  <c r="E478" i="1"/>
  <c r="E499" i="1"/>
  <c r="E521" i="1"/>
  <c r="E542" i="1"/>
  <c r="E563" i="1"/>
  <c r="E585" i="1"/>
  <c r="E584" i="1"/>
  <c r="E568" i="1"/>
  <c r="E556" i="1"/>
  <c r="E552" i="1"/>
  <c r="E540" i="1"/>
  <c r="E536" i="1"/>
  <c r="E520" i="1"/>
  <c r="E504" i="1"/>
  <c r="E360" i="1"/>
  <c r="E352" i="1"/>
  <c r="E340" i="1"/>
  <c r="E312" i="1"/>
  <c r="E572" i="1"/>
  <c r="E524" i="1"/>
  <c r="E508" i="1"/>
  <c r="E492" i="1"/>
  <c r="E476" i="1"/>
  <c r="E428" i="1"/>
  <c r="E412" i="1"/>
  <c r="E384" i="1"/>
  <c r="E376" i="1"/>
  <c r="E368" i="1"/>
  <c r="E348" i="1"/>
  <c r="E336" i="1"/>
  <c r="E576" i="1"/>
  <c r="E560" i="1"/>
  <c r="E544" i="1"/>
  <c r="E528" i="1"/>
  <c r="E512" i="1"/>
  <c r="E496" i="1"/>
  <c r="E488" i="1"/>
  <c r="E484" i="1"/>
  <c r="E480" i="1"/>
  <c r="E472" i="1"/>
  <c r="E468" i="1"/>
  <c r="E464" i="1"/>
  <c r="E460" i="1"/>
  <c r="E456" i="1"/>
  <c r="E452" i="1"/>
  <c r="E448" i="1"/>
  <c r="E444" i="1"/>
  <c r="E440" i="1"/>
  <c r="E436" i="1"/>
  <c r="E432" i="1"/>
  <c r="E424" i="1"/>
  <c r="E420" i="1"/>
  <c r="E416" i="1"/>
  <c r="E408" i="1"/>
  <c r="E404" i="1"/>
  <c r="E400" i="1"/>
  <c r="E396" i="1"/>
  <c r="E392" i="1"/>
  <c r="E364" i="1"/>
  <c r="E356" i="1"/>
  <c r="E328" i="1"/>
  <c r="E580" i="1"/>
  <c r="E564" i="1"/>
  <c r="E548" i="1"/>
  <c r="E532" i="1"/>
  <c r="E516" i="1"/>
  <c r="E500" i="1"/>
  <c r="E388" i="1"/>
  <c r="E380" i="1"/>
  <c r="E372" i="1"/>
  <c r="E344" i="1"/>
  <c r="E320" i="1"/>
  <c r="AG306" i="1"/>
  <c r="E15" i="1"/>
  <c r="E35" i="1"/>
  <c r="E18" i="1"/>
  <c r="E14" i="1"/>
  <c r="E16" i="1"/>
  <c r="E51" i="1"/>
  <c r="E29" i="1"/>
  <c r="E23" i="1"/>
  <c r="E42" i="1"/>
  <c r="E30" i="1"/>
  <c r="E13" i="1"/>
  <c r="M14" i="13"/>
  <c r="O14" i="13"/>
  <c r="R14" i="13"/>
  <c r="E70" i="1"/>
  <c r="X36" i="1"/>
  <c r="E57" i="1"/>
  <c r="E26" i="1"/>
  <c r="X31" i="1"/>
  <c r="G14" i="13"/>
  <c r="J14" i="13"/>
  <c r="E66" i="1"/>
  <c r="E86" i="1"/>
  <c r="K14" i="13"/>
  <c r="P14" i="13"/>
  <c r="E294" i="1"/>
  <c r="N14" i="13"/>
  <c r="H14" i="13"/>
  <c r="E115" i="1"/>
  <c r="Q14" i="13"/>
  <c r="L14" i="13"/>
  <c r="E114" i="1"/>
  <c r="E52" i="1"/>
  <c r="I14" i="13"/>
  <c r="E119" i="1"/>
  <c r="X15" i="1"/>
  <c r="E291" i="1"/>
  <c r="E75" i="1"/>
  <c r="X73" i="1"/>
  <c r="E50" i="1"/>
  <c r="X30" i="1"/>
  <c r="E123" i="1"/>
  <c r="E289" i="1"/>
  <c r="E128" i="1"/>
  <c r="E96" i="1"/>
  <c r="X29" i="1"/>
  <c r="X35" i="1"/>
  <c r="X37" i="1"/>
  <c r="X34" i="1"/>
  <c r="X129" i="1"/>
  <c r="E177" i="1"/>
  <c r="X33" i="1"/>
  <c r="E277" i="1"/>
  <c r="E54" i="1"/>
  <c r="E297" i="1"/>
  <c r="E271" i="1"/>
  <c r="E89" i="1"/>
  <c r="E47" i="1"/>
  <c r="E298" i="1"/>
  <c r="E22" i="1"/>
  <c r="E107" i="1"/>
  <c r="E296" i="1"/>
  <c r="E63" i="1"/>
  <c r="X28" i="1"/>
  <c r="E300" i="1"/>
  <c r="E282" i="1"/>
  <c r="E273" i="1"/>
  <c r="E272" i="1"/>
  <c r="E276" i="1"/>
  <c r="E299" i="1"/>
  <c r="E295" i="1"/>
  <c r="E292" i="1"/>
  <c r="E275" i="1"/>
  <c r="E270" i="1"/>
  <c r="E290" i="1"/>
  <c r="E287" i="1"/>
  <c r="E278" i="1"/>
  <c r="E186" i="1"/>
  <c r="E182" i="1"/>
  <c r="E171" i="1"/>
  <c r="E124" i="1"/>
  <c r="E62" i="1"/>
  <c r="E48" i="1"/>
  <c r="E269" i="1"/>
  <c r="E181" i="1"/>
  <c r="E136" i="1"/>
  <c r="E109" i="1"/>
  <c r="E85" i="1"/>
  <c r="E61" i="1"/>
  <c r="E56" i="1"/>
  <c r="E135" i="1"/>
  <c r="E127" i="1"/>
  <c r="E118" i="1"/>
  <c r="E103" i="1"/>
  <c r="E84" i="1"/>
  <c r="E79" i="1"/>
  <c r="E60" i="1"/>
  <c r="E55" i="1"/>
  <c r="E31" i="1"/>
  <c r="E293" i="1"/>
  <c r="E174" i="1"/>
  <c r="E117" i="1"/>
  <c r="E102" i="1"/>
  <c r="E83" i="1"/>
  <c r="E59" i="1"/>
  <c r="E284" i="1"/>
  <c r="E279" i="1"/>
  <c r="E274" i="1"/>
  <c r="E179" i="1"/>
  <c r="E173" i="1"/>
  <c r="E126" i="1"/>
  <c r="E122" i="1"/>
  <c r="E116" i="1"/>
  <c r="E106" i="1"/>
  <c r="E88" i="1"/>
  <c r="E65" i="1"/>
  <c r="E286" i="1"/>
  <c r="E281" i="1"/>
  <c r="E133" i="1"/>
  <c r="E101" i="1"/>
  <c r="E97" i="1"/>
  <c r="E87" i="1"/>
  <c r="E77" i="1"/>
  <c r="E64" i="1"/>
  <c r="E58" i="1"/>
  <c r="E37" i="1"/>
  <c r="E178" i="1"/>
  <c r="E172" i="1"/>
  <c r="E129" i="1"/>
  <c r="E121" i="1"/>
  <c r="E105" i="1"/>
  <c r="E81" i="1"/>
  <c r="E73" i="1"/>
  <c r="E33" i="1"/>
  <c r="E20" i="1"/>
  <c r="E288" i="1"/>
  <c r="E285" i="1"/>
  <c r="E283" i="1"/>
  <c r="E280" i="1"/>
  <c r="E120" i="1"/>
  <c r="E111" i="1"/>
  <c r="E72" i="1"/>
  <c r="E25" i="1"/>
  <c r="E19" i="1"/>
  <c r="E185" i="1"/>
  <c r="E180" i="1"/>
  <c r="E134" i="1"/>
  <c r="E125" i="1"/>
  <c r="E104" i="1"/>
  <c r="E100" i="1"/>
  <c r="E82" i="1"/>
  <c r="E80" i="1"/>
  <c r="E78" i="1"/>
  <c r="E76" i="1"/>
  <c r="E74" i="1"/>
  <c r="E71" i="1"/>
  <c r="E67" i="1"/>
  <c r="E43" i="1"/>
  <c r="E41" i="1"/>
  <c r="E32" i="1"/>
  <c r="E28" i="1"/>
  <c r="E12" i="1"/>
  <c r="E183" i="1"/>
  <c r="E132" i="1"/>
  <c r="E130" i="1"/>
  <c r="E113" i="1"/>
  <c r="E98" i="1"/>
  <c r="E69" i="1"/>
  <c r="E49" i="1"/>
  <c r="E45" i="1"/>
  <c r="E39" i="1"/>
  <c r="E36" i="1"/>
  <c r="E21" i="1"/>
  <c r="E11" i="1"/>
  <c r="E184" i="1"/>
  <c r="E131" i="1"/>
  <c r="E112" i="1"/>
  <c r="E99" i="1"/>
  <c r="E95" i="1"/>
  <c r="E68" i="1"/>
  <c r="E53" i="1"/>
  <c r="E46" i="1"/>
  <c r="E44" i="1"/>
  <c r="E40" i="1"/>
  <c r="E38" i="1"/>
  <c r="E34" i="1"/>
  <c r="E27" i="1"/>
  <c r="F170" i="1" l="1"/>
  <c r="F167" i="1"/>
  <c r="G167" i="1" s="1"/>
  <c r="F258" i="1"/>
  <c r="AA163" i="1"/>
  <c r="AG163" i="1" s="1"/>
  <c r="Y163" i="1"/>
  <c r="AE163" i="1" s="1"/>
  <c r="F164" i="1"/>
  <c r="C164" i="1" s="1"/>
  <c r="AC157" i="1"/>
  <c r="AI157" i="1" s="1"/>
  <c r="Z163" i="1"/>
  <c r="AF163" i="1" s="1"/>
  <c r="F163" i="1"/>
  <c r="G163" i="1" s="1"/>
  <c r="C163" i="1"/>
  <c r="Z157" i="1"/>
  <c r="AF157" i="1" s="1"/>
  <c r="F166" i="1"/>
  <c r="G166" i="1" s="1"/>
  <c r="H166" i="1" s="1"/>
  <c r="F165" i="1"/>
  <c r="G165" i="1" s="1"/>
  <c r="H165" i="1" s="1"/>
  <c r="AC163" i="1"/>
  <c r="AI163" i="1" s="1"/>
  <c r="AB163" i="1"/>
  <c r="AH163" i="1" s="1"/>
  <c r="F169" i="1"/>
  <c r="F168" i="1"/>
  <c r="G168" i="1" s="1"/>
  <c r="F158" i="1"/>
  <c r="AA151" i="1"/>
  <c r="AG151" i="1" s="1"/>
  <c r="AA157" i="1"/>
  <c r="AG157" i="1" s="1"/>
  <c r="AB157" i="1"/>
  <c r="AH157" i="1" s="1"/>
  <c r="Y157" i="1"/>
  <c r="AE157" i="1" s="1"/>
  <c r="F160" i="1"/>
  <c r="F162" i="1"/>
  <c r="AB158" i="1" s="1"/>
  <c r="AH158" i="1" s="1"/>
  <c r="F161" i="1"/>
  <c r="Z151" i="1"/>
  <c r="AF151" i="1" s="1"/>
  <c r="F159" i="1"/>
  <c r="G159" i="1" s="1"/>
  <c r="C157" i="1"/>
  <c r="F157" i="1"/>
  <c r="G157" i="1" s="1"/>
  <c r="Y151" i="1"/>
  <c r="AE151" i="1" s="1"/>
  <c r="AC151" i="1"/>
  <c r="AI151" i="1" s="1"/>
  <c r="F155" i="1"/>
  <c r="F153" i="1"/>
  <c r="G153" i="1" s="1"/>
  <c r="H153" i="1" s="1"/>
  <c r="AB151" i="1"/>
  <c r="AH151" i="1" s="1"/>
  <c r="F154" i="1"/>
  <c r="F152" i="1"/>
  <c r="C152" i="1" s="1"/>
  <c r="G152" i="1"/>
  <c r="H152" i="1" s="1"/>
  <c r="F156" i="1"/>
  <c r="C151" i="1"/>
  <c r="F151" i="1"/>
  <c r="G151" i="1" s="1"/>
  <c r="H151" i="1" s="1"/>
  <c r="F248" i="1"/>
  <c r="F247" i="1"/>
  <c r="F253" i="1"/>
  <c r="F252" i="1"/>
  <c r="F241" i="1"/>
  <c r="F251" i="1"/>
  <c r="F250" i="1"/>
  <c r="F249" i="1"/>
  <c r="C249" i="1" s="1"/>
  <c r="F230" i="1"/>
  <c r="F231" i="1"/>
  <c r="F235" i="1"/>
  <c r="F226" i="1"/>
  <c r="F227" i="1"/>
  <c r="F233" i="1"/>
  <c r="F234" i="1"/>
  <c r="F225" i="1"/>
  <c r="C225" i="1" s="1"/>
  <c r="F224" i="1"/>
  <c r="F219" i="1"/>
  <c r="F204" i="1"/>
  <c r="F200" i="1"/>
  <c r="G200" i="1" s="1"/>
  <c r="H200" i="1" s="1"/>
  <c r="F212" i="1"/>
  <c r="F207" i="1"/>
  <c r="F203" i="1"/>
  <c r="F201" i="1"/>
  <c r="F215" i="1"/>
  <c r="F214" i="1"/>
  <c r="F199" i="1"/>
  <c r="C199" i="1"/>
  <c r="AA199" i="1"/>
  <c r="AG199" i="1" s="1"/>
  <c r="AC199" i="1"/>
  <c r="AI199" i="1" s="1"/>
  <c r="Y199" i="1"/>
  <c r="Z199" i="1"/>
  <c r="AF199" i="1" s="1"/>
  <c r="AB199" i="1"/>
  <c r="AH199" i="1" s="1"/>
  <c r="F209" i="1"/>
  <c r="F202" i="1"/>
  <c r="F205" i="1"/>
  <c r="C205" i="1" s="1"/>
  <c r="F206" i="1"/>
  <c r="F213" i="1"/>
  <c r="F216" i="1"/>
  <c r="F211" i="1"/>
  <c r="F208" i="1"/>
  <c r="F210" i="1"/>
  <c r="F217" i="1"/>
  <c r="F218" i="1"/>
  <c r="F195" i="1"/>
  <c r="G195" i="1" s="1"/>
  <c r="F194" i="1"/>
  <c r="G194" i="1" s="1"/>
  <c r="F198" i="1"/>
  <c r="F197" i="1"/>
  <c r="F196" i="1"/>
  <c r="F193" i="1"/>
  <c r="G193" i="1" s="1"/>
  <c r="C193" i="1"/>
  <c r="Y193" i="1"/>
  <c r="AC193" i="1"/>
  <c r="AI193" i="1" s="1"/>
  <c r="AA193" i="1"/>
  <c r="AG193" i="1" s="1"/>
  <c r="Z193" i="1"/>
  <c r="AF193" i="1" s="1"/>
  <c r="AB193" i="1"/>
  <c r="AH193" i="1" s="1"/>
  <c r="F188" i="1"/>
  <c r="G188" i="1" s="1"/>
  <c r="H188" i="1" s="1"/>
  <c r="F190" i="1"/>
  <c r="F187" i="1"/>
  <c r="G187" i="1" s="1"/>
  <c r="H187" i="1" s="1"/>
  <c r="C187" i="1"/>
  <c r="AA187" i="1"/>
  <c r="AG187" i="1" s="1"/>
  <c r="Z187" i="1"/>
  <c r="AF187" i="1" s="1"/>
  <c r="AC187" i="1"/>
  <c r="AI187" i="1" s="1"/>
  <c r="Y187" i="1"/>
  <c r="AB187" i="1"/>
  <c r="AH187" i="1" s="1"/>
  <c r="F189" i="1"/>
  <c r="G190" i="1" s="1"/>
  <c r="F192" i="1"/>
  <c r="F191" i="1"/>
  <c r="F176" i="1"/>
  <c r="F175" i="1"/>
  <c r="F149" i="1"/>
  <c r="F147" i="1"/>
  <c r="F146" i="1"/>
  <c r="C146" i="1" s="1"/>
  <c r="F150" i="1"/>
  <c r="F148" i="1"/>
  <c r="F145" i="1"/>
  <c r="F144" i="1"/>
  <c r="F143" i="1"/>
  <c r="C143" i="1" s="1"/>
  <c r="AA137" i="1"/>
  <c r="AG137" i="1" s="1"/>
  <c r="F142" i="1"/>
  <c r="F141" i="1"/>
  <c r="F140" i="1"/>
  <c r="F24" i="1"/>
  <c r="AB137" i="1"/>
  <c r="AH137" i="1" s="1"/>
  <c r="F138" i="1"/>
  <c r="C138" i="1" s="1"/>
  <c r="Y137" i="1"/>
  <c r="Z137" i="1"/>
  <c r="AF137" i="1" s="1"/>
  <c r="F137" i="1"/>
  <c r="G137" i="1" s="1"/>
  <c r="H137" i="1" s="1"/>
  <c r="C137" i="1"/>
  <c r="AC137" i="1"/>
  <c r="AI137" i="1" s="1"/>
  <c r="F139" i="1"/>
  <c r="F110" i="1"/>
  <c r="F108" i="1"/>
  <c r="F92" i="1"/>
  <c r="C92" i="1" s="1"/>
  <c r="F94" i="1"/>
  <c r="F10" i="1"/>
  <c r="G10" i="1" s="1"/>
  <c r="F93" i="1"/>
  <c r="F91" i="1"/>
  <c r="F90" i="1"/>
  <c r="F17" i="1"/>
  <c r="F260" i="1"/>
  <c r="AB255" i="1"/>
  <c r="AH255" i="1" s="1"/>
  <c r="C255" i="1"/>
  <c r="F255" i="1"/>
  <c r="G255" i="1" s="1"/>
  <c r="H255" i="1" s="1"/>
  <c r="AC255" i="1"/>
  <c r="AI255" i="1" s="1"/>
  <c r="Y255" i="1"/>
  <c r="AA255" i="1"/>
  <c r="AG255" i="1" s="1"/>
  <c r="Z255" i="1"/>
  <c r="AF255" i="1" s="1"/>
  <c r="F228" i="1"/>
  <c r="F267" i="1"/>
  <c r="F264" i="1"/>
  <c r="F244" i="1"/>
  <c r="F236" i="1"/>
  <c r="F243" i="1"/>
  <c r="F237" i="1"/>
  <c r="G237" i="1" s="1"/>
  <c r="AE220" i="1"/>
  <c r="AJ220" i="1" s="1"/>
  <c r="AD220" i="1"/>
  <c r="F222" i="1"/>
  <c r="C222" i="1" s="1"/>
  <c r="F265" i="1"/>
  <c r="F242" i="1"/>
  <c r="F245" i="1"/>
  <c r="F262" i="1"/>
  <c r="F223" i="1"/>
  <c r="G223" i="1" s="1"/>
  <c r="C223" i="1" s="1"/>
  <c r="F229" i="1"/>
  <c r="F239" i="1"/>
  <c r="C239" i="1" s="1"/>
  <c r="F261" i="1"/>
  <c r="F268" i="1"/>
  <c r="F240" i="1"/>
  <c r="G240" i="1" s="1"/>
  <c r="F246" i="1"/>
  <c r="F259" i="1"/>
  <c r="F220" i="1"/>
  <c r="G220" i="1" s="1"/>
  <c r="H220" i="1" s="1"/>
  <c r="AD237" i="1"/>
  <c r="AE237" i="1"/>
  <c r="AJ237" i="1" s="1"/>
  <c r="AD254" i="1"/>
  <c r="AE254" i="1"/>
  <c r="AJ254" i="1" s="1"/>
  <c r="F257" i="1"/>
  <c r="G258" i="1" s="1"/>
  <c r="AA221" i="1"/>
  <c r="AG221" i="1" s="1"/>
  <c r="AC221" i="1"/>
  <c r="AI221" i="1" s="1"/>
  <c r="AB221" i="1"/>
  <c r="AH221" i="1" s="1"/>
  <c r="F221" i="1"/>
  <c r="G221" i="1" s="1"/>
  <c r="Z221" i="1"/>
  <c r="AF221" i="1" s="1"/>
  <c r="C221" i="1"/>
  <c r="F266" i="1"/>
  <c r="F263" i="1"/>
  <c r="Y221" i="1"/>
  <c r="F232" i="1"/>
  <c r="AB238" i="1"/>
  <c r="AH238" i="1" s="1"/>
  <c r="AC238" i="1"/>
  <c r="AI238" i="1" s="1"/>
  <c r="C238" i="1"/>
  <c r="AA238" i="1"/>
  <c r="AG238" i="1" s="1"/>
  <c r="F238" i="1"/>
  <c r="G238" i="1" s="1"/>
  <c r="Z238" i="1"/>
  <c r="AF238" i="1" s="1"/>
  <c r="Y238" i="1"/>
  <c r="F256" i="1"/>
  <c r="H46" i="13"/>
  <c r="H42" i="13"/>
  <c r="H44" i="13"/>
  <c r="H45" i="13"/>
  <c r="H43" i="13"/>
  <c r="AF565" i="1"/>
  <c r="AI565" i="1"/>
  <c r="AG565" i="1"/>
  <c r="AH565" i="1"/>
  <c r="F177" i="1"/>
  <c r="F123" i="1"/>
  <c r="F380" i="1"/>
  <c r="F532" i="1"/>
  <c r="F392" i="1"/>
  <c r="F408" i="1"/>
  <c r="F432" i="1"/>
  <c r="F448" i="1"/>
  <c r="F464" i="1"/>
  <c r="F484" i="1"/>
  <c r="F528" i="1"/>
  <c r="F376" i="1"/>
  <c r="F476" i="1"/>
  <c r="F572" i="1"/>
  <c r="F352" i="1"/>
  <c r="F536" i="1"/>
  <c r="F568" i="1"/>
  <c r="F585" i="1"/>
  <c r="F499" i="1"/>
  <c r="F385" i="1"/>
  <c r="F558" i="1"/>
  <c r="F473" i="1"/>
  <c r="F345" i="1"/>
  <c r="F531" i="1"/>
  <c r="F433" i="1"/>
  <c r="F505" i="1"/>
  <c r="F393" i="1"/>
  <c r="F573" i="1"/>
  <c r="F551" i="1"/>
  <c r="F530" i="1"/>
  <c r="F509" i="1"/>
  <c r="F487" i="1"/>
  <c r="F462" i="1"/>
  <c r="F430" i="1"/>
  <c r="F398" i="1"/>
  <c r="F366" i="1"/>
  <c r="F332" i="1"/>
  <c r="F571" i="1"/>
  <c r="F550" i="1"/>
  <c r="F529" i="1"/>
  <c r="F507" i="1"/>
  <c r="F486" i="1"/>
  <c r="F461" i="1"/>
  <c r="F429" i="1"/>
  <c r="F397" i="1"/>
  <c r="F365" i="1"/>
  <c r="F330" i="1"/>
  <c r="F570" i="1"/>
  <c r="F549" i="1"/>
  <c r="F527" i="1"/>
  <c r="F506" i="1"/>
  <c r="F485" i="1"/>
  <c r="F458" i="1"/>
  <c r="F426" i="1"/>
  <c r="F394" i="1"/>
  <c r="F362" i="1"/>
  <c r="F324" i="1"/>
  <c r="F463" i="1"/>
  <c r="F447" i="1"/>
  <c r="F431" i="1"/>
  <c r="F415" i="1"/>
  <c r="F399" i="1"/>
  <c r="F383" i="1"/>
  <c r="F367" i="1"/>
  <c r="F351" i="1"/>
  <c r="F334" i="1"/>
  <c r="F335" i="1"/>
  <c r="F319" i="1"/>
  <c r="F303" i="1"/>
  <c r="F333" i="1"/>
  <c r="F317" i="1"/>
  <c r="F301" i="1"/>
  <c r="F297" i="1"/>
  <c r="AE306" i="1"/>
  <c r="AD306" i="1"/>
  <c r="F320" i="1"/>
  <c r="F388" i="1"/>
  <c r="F548" i="1"/>
  <c r="F328" i="1"/>
  <c r="F396" i="1"/>
  <c r="F416" i="1"/>
  <c r="F436" i="1"/>
  <c r="F452" i="1"/>
  <c r="F468" i="1"/>
  <c r="F488" i="1"/>
  <c r="F544" i="1"/>
  <c r="F336" i="1"/>
  <c r="F384" i="1"/>
  <c r="F492" i="1"/>
  <c r="F360" i="1"/>
  <c r="F540" i="1"/>
  <c r="F584" i="1"/>
  <c r="F563" i="1"/>
  <c r="F478" i="1"/>
  <c r="F353" i="1"/>
  <c r="F537" i="1"/>
  <c r="F441" i="1"/>
  <c r="F510" i="1"/>
  <c r="F401" i="1"/>
  <c r="F569" i="1"/>
  <c r="F483" i="1"/>
  <c r="F361" i="1"/>
  <c r="F567" i="1"/>
  <c r="F546" i="1"/>
  <c r="F525" i="1"/>
  <c r="F503" i="1"/>
  <c r="F482" i="1"/>
  <c r="F454" i="1"/>
  <c r="F422" i="1"/>
  <c r="F390" i="1"/>
  <c r="F358" i="1"/>
  <c r="F316" i="1"/>
  <c r="F566" i="1"/>
  <c r="F545" i="1"/>
  <c r="F523" i="1"/>
  <c r="F502" i="1"/>
  <c r="F481" i="1"/>
  <c r="F453" i="1"/>
  <c r="F421" i="1"/>
  <c r="F389" i="1"/>
  <c r="F357" i="1"/>
  <c r="F314" i="1"/>
  <c r="F565" i="1"/>
  <c r="F543" i="1"/>
  <c r="F522" i="1"/>
  <c r="F501" i="1"/>
  <c r="F479" i="1"/>
  <c r="F450" i="1"/>
  <c r="F418" i="1"/>
  <c r="F386" i="1"/>
  <c r="F354" i="1"/>
  <c r="F304" i="1"/>
  <c r="F459" i="1"/>
  <c r="F443" i="1"/>
  <c r="F427" i="1"/>
  <c r="F411" i="1"/>
  <c r="F395" i="1"/>
  <c r="F379" i="1"/>
  <c r="F363" i="1"/>
  <c r="F347" i="1"/>
  <c r="F326" i="1"/>
  <c r="F331" i="1"/>
  <c r="F315" i="1"/>
  <c r="F310" i="1"/>
  <c r="F329" i="1"/>
  <c r="F313" i="1"/>
  <c r="F344" i="1"/>
  <c r="F500" i="1"/>
  <c r="F564" i="1"/>
  <c r="F356" i="1"/>
  <c r="F400" i="1"/>
  <c r="F420" i="1"/>
  <c r="F440" i="1"/>
  <c r="F456" i="1"/>
  <c r="F472" i="1"/>
  <c r="F496" i="1"/>
  <c r="F560" i="1"/>
  <c r="F348" i="1"/>
  <c r="F412" i="1"/>
  <c r="F508" i="1"/>
  <c r="F312" i="1"/>
  <c r="F504" i="1"/>
  <c r="F552" i="1"/>
  <c r="F542" i="1"/>
  <c r="F449" i="1"/>
  <c r="F515" i="1"/>
  <c r="F409" i="1"/>
  <c r="F574" i="1"/>
  <c r="F489" i="1"/>
  <c r="F369" i="1"/>
  <c r="F547" i="1"/>
  <c r="F457" i="1"/>
  <c r="F322" i="1"/>
  <c r="F583" i="1"/>
  <c r="F562" i="1"/>
  <c r="F541" i="1"/>
  <c r="F519" i="1"/>
  <c r="F498" i="1"/>
  <c r="F477" i="1"/>
  <c r="F446" i="1"/>
  <c r="F414" i="1"/>
  <c r="F382" i="1"/>
  <c r="F350" i="1"/>
  <c r="F582" i="1"/>
  <c r="F561" i="1"/>
  <c r="F539" i="1"/>
  <c r="F518" i="1"/>
  <c r="F497" i="1"/>
  <c r="F475" i="1"/>
  <c r="F445" i="1"/>
  <c r="F413" i="1"/>
  <c r="F381" i="1"/>
  <c r="F349" i="1"/>
  <c r="F581" i="1"/>
  <c r="F559" i="1"/>
  <c r="F538" i="1"/>
  <c r="F517" i="1"/>
  <c r="F495" i="1"/>
  <c r="F474" i="1"/>
  <c r="F442" i="1"/>
  <c r="F410" i="1"/>
  <c r="F378" i="1"/>
  <c r="F346" i="1"/>
  <c r="F471" i="1"/>
  <c r="F455" i="1"/>
  <c r="F439" i="1"/>
  <c r="F423" i="1"/>
  <c r="F407" i="1"/>
  <c r="F391" i="1"/>
  <c r="F375" i="1"/>
  <c r="F359" i="1"/>
  <c r="F343" i="1"/>
  <c r="F318" i="1"/>
  <c r="F327" i="1"/>
  <c r="F311" i="1"/>
  <c r="F306" i="1"/>
  <c r="F325" i="1"/>
  <c r="F309" i="1"/>
  <c r="F66" i="1"/>
  <c r="F372" i="1"/>
  <c r="F516" i="1"/>
  <c r="F580" i="1"/>
  <c r="F364" i="1"/>
  <c r="F404" i="1"/>
  <c r="F424" i="1"/>
  <c r="F444" i="1"/>
  <c r="F460" i="1"/>
  <c r="F480" i="1"/>
  <c r="F512" i="1"/>
  <c r="F576" i="1"/>
  <c r="F368" i="1"/>
  <c r="F428" i="1"/>
  <c r="F524" i="1"/>
  <c r="F340" i="1"/>
  <c r="F520" i="1"/>
  <c r="F556" i="1"/>
  <c r="F521" i="1"/>
  <c r="F417" i="1"/>
  <c r="F579" i="1"/>
  <c r="F494" i="1"/>
  <c r="F377" i="1"/>
  <c r="F553" i="1"/>
  <c r="F465" i="1"/>
  <c r="F337" i="1"/>
  <c r="F526" i="1"/>
  <c r="F425" i="1"/>
  <c r="F578" i="1"/>
  <c r="F557" i="1"/>
  <c r="F535" i="1"/>
  <c r="F514" i="1"/>
  <c r="F493" i="1"/>
  <c r="F470" i="1"/>
  <c r="F438" i="1"/>
  <c r="F406" i="1"/>
  <c r="F374" i="1"/>
  <c r="F342" i="1"/>
  <c r="F577" i="1"/>
  <c r="F555" i="1"/>
  <c r="F534" i="1"/>
  <c r="F513" i="1"/>
  <c r="F491" i="1"/>
  <c r="F469" i="1"/>
  <c r="F437" i="1"/>
  <c r="F405" i="1"/>
  <c r="F373" i="1"/>
  <c r="F341" i="1"/>
  <c r="F575" i="1"/>
  <c r="F554" i="1"/>
  <c r="F533" i="1"/>
  <c r="F511" i="1"/>
  <c r="F490" i="1"/>
  <c r="F466" i="1"/>
  <c r="F434" i="1"/>
  <c r="F402" i="1"/>
  <c r="F370" i="1"/>
  <c r="F338" i="1"/>
  <c r="F467" i="1"/>
  <c r="F451" i="1"/>
  <c r="F435" i="1"/>
  <c r="F419" i="1"/>
  <c r="F403" i="1"/>
  <c r="F387" i="1"/>
  <c r="F371" i="1"/>
  <c r="F355" i="1"/>
  <c r="F339" i="1"/>
  <c r="F308" i="1"/>
  <c r="F323" i="1"/>
  <c r="F307" i="1"/>
  <c r="F302" i="1"/>
  <c r="F321" i="1"/>
  <c r="F305" i="1"/>
  <c r="F299" i="1"/>
  <c r="F179" i="1"/>
  <c r="F13" i="1"/>
  <c r="F298" i="1"/>
  <c r="F107" i="1"/>
  <c r="F182" i="1"/>
  <c r="F273" i="1"/>
  <c r="F19" i="1"/>
  <c r="F29" i="1"/>
  <c r="F172" i="1"/>
  <c r="F73" i="1"/>
  <c r="F186" i="1"/>
  <c r="F272" i="1"/>
  <c r="F106" i="1"/>
  <c r="F48" i="1"/>
  <c r="F109" i="1"/>
  <c r="F83" i="1"/>
  <c r="F27" i="1"/>
  <c r="F95" i="1"/>
  <c r="F36" i="1"/>
  <c r="F113" i="1"/>
  <c r="F32" i="1"/>
  <c r="F80" i="1"/>
  <c r="F115" i="1"/>
  <c r="F33" i="1"/>
  <c r="F133" i="1"/>
  <c r="F101" i="1"/>
  <c r="F16" i="1"/>
  <c r="F35" i="1"/>
  <c r="F75" i="1"/>
  <c r="F103" i="1"/>
  <c r="F18" i="1"/>
  <c r="F136" i="1"/>
  <c r="F287" i="1"/>
  <c r="F286" i="1"/>
  <c r="F34" i="1"/>
  <c r="F99" i="1"/>
  <c r="F39" i="1"/>
  <c r="F41" i="1"/>
  <c r="F82" i="1"/>
  <c r="F72" i="1"/>
  <c r="F20" i="1"/>
  <c r="F37" i="1"/>
  <c r="F30" i="1"/>
  <c r="F88" i="1"/>
  <c r="F173" i="1"/>
  <c r="F174" i="1"/>
  <c r="F293" i="1"/>
  <c r="F51" i="1"/>
  <c r="F135" i="1"/>
  <c r="F86" i="1"/>
  <c r="F290" i="1"/>
  <c r="F294" i="1"/>
  <c r="F38" i="1"/>
  <c r="F112" i="1"/>
  <c r="F45" i="1"/>
  <c r="F43" i="1"/>
  <c r="F100" i="1"/>
  <c r="F96" i="1"/>
  <c r="F178" i="1"/>
  <c r="F79" i="1"/>
  <c r="F61" i="1"/>
  <c r="F300" i="1"/>
  <c r="F44" i="1"/>
  <c r="F71" i="1"/>
  <c r="F52" i="1"/>
  <c r="F59" i="1"/>
  <c r="F279" i="1"/>
  <c r="F84" i="1"/>
  <c r="F47" i="1"/>
  <c r="F57" i="1"/>
  <c r="F295" i="1"/>
  <c r="F276" i="1"/>
  <c r="F53" i="1"/>
  <c r="F21" i="1"/>
  <c r="F98" i="1"/>
  <c r="F183" i="1"/>
  <c r="F28" i="1"/>
  <c r="F76" i="1"/>
  <c r="F180" i="1"/>
  <c r="F25" i="1"/>
  <c r="F63" i="1"/>
  <c r="F105" i="1"/>
  <c r="F129" i="1"/>
  <c r="F285" i="1"/>
  <c r="F26" i="1"/>
  <c r="F271" i="1"/>
  <c r="F122" i="1"/>
  <c r="F117" i="1"/>
  <c r="F31" i="1"/>
  <c r="F60" i="1"/>
  <c r="F89" i="1"/>
  <c r="F127" i="1"/>
  <c r="F85" i="1"/>
  <c r="F128" i="1"/>
  <c r="F62" i="1"/>
  <c r="F171" i="1"/>
  <c r="F282" i="1"/>
  <c r="F68" i="1"/>
  <c r="F78" i="1"/>
  <c r="F185" i="1"/>
  <c r="F111" i="1"/>
  <c r="F291" i="1"/>
  <c r="F288" i="1"/>
  <c r="F77" i="1"/>
  <c r="F64" i="1"/>
  <c r="F281" i="1"/>
  <c r="F70" i="1"/>
  <c r="F277" i="1"/>
  <c r="F56" i="1"/>
  <c r="F23" i="1"/>
  <c r="F278" i="1"/>
  <c r="F296" i="1"/>
  <c r="F40" i="1"/>
  <c r="F131" i="1"/>
  <c r="F49" i="1"/>
  <c r="F67" i="1"/>
  <c r="F104" i="1"/>
  <c r="F81" i="1"/>
  <c r="F120" i="1"/>
  <c r="F270" i="1"/>
  <c r="F15" i="1"/>
  <c r="F87" i="1"/>
  <c r="F126" i="1"/>
  <c r="F50" i="1"/>
  <c r="F102" i="1"/>
  <c r="F274" i="1"/>
  <c r="F42" i="1"/>
  <c r="F55" i="1"/>
  <c r="F181" i="1"/>
  <c r="F275" i="1"/>
  <c r="F184" i="1"/>
  <c r="F130" i="1"/>
  <c r="F125" i="1"/>
  <c r="F280" i="1"/>
  <c r="F58" i="1"/>
  <c r="F118" i="1"/>
  <c r="F114" i="1"/>
  <c r="F269" i="1"/>
  <c r="F124" i="1"/>
  <c r="F289" i="1"/>
  <c r="F46" i="1"/>
  <c r="F11" i="1"/>
  <c r="F69" i="1"/>
  <c r="F132" i="1"/>
  <c r="F12" i="1"/>
  <c r="F22" i="1"/>
  <c r="F74" i="1"/>
  <c r="F134" i="1"/>
  <c r="F283" i="1"/>
  <c r="F121" i="1"/>
  <c r="F97" i="1"/>
  <c r="F65" i="1"/>
  <c r="F116" i="1"/>
  <c r="F284" i="1"/>
  <c r="F54" i="1"/>
  <c r="F119" i="1"/>
  <c r="F14" i="1"/>
  <c r="F292" i="1"/>
  <c r="AA158" i="1" l="1"/>
  <c r="AG158" i="1" s="1"/>
  <c r="G170" i="1"/>
  <c r="G164" i="1"/>
  <c r="H164" i="1" s="1"/>
  <c r="G154" i="1"/>
  <c r="AC158" i="1"/>
  <c r="AI158" i="1" s="1"/>
  <c r="H167" i="1"/>
  <c r="C167" i="1" s="1"/>
  <c r="H168" i="1"/>
  <c r="AD163" i="1"/>
  <c r="Z158" i="1"/>
  <c r="AF158" i="1" s="1"/>
  <c r="C168" i="1"/>
  <c r="G169" i="1"/>
  <c r="Z165" i="1" s="1"/>
  <c r="AF165" i="1" s="1"/>
  <c r="H157" i="1"/>
  <c r="G161" i="1"/>
  <c r="C161" i="1" s="1"/>
  <c r="G160" i="1"/>
  <c r="H160" i="1" s="1"/>
  <c r="C160" i="1" s="1"/>
  <c r="C165" i="1"/>
  <c r="C166" i="1"/>
  <c r="H163" i="1"/>
  <c r="AC164" i="1"/>
  <c r="AI164" i="1" s="1"/>
  <c r="Y164" i="1"/>
  <c r="Z164" i="1"/>
  <c r="AF164" i="1" s="1"/>
  <c r="AB164" i="1"/>
  <c r="AH164" i="1" s="1"/>
  <c r="AA164" i="1"/>
  <c r="AG164" i="1" s="1"/>
  <c r="AJ163" i="1"/>
  <c r="Z168" i="1"/>
  <c r="AF168" i="1" s="1"/>
  <c r="AD157" i="1"/>
  <c r="AJ157" i="1"/>
  <c r="G156" i="1"/>
  <c r="AB153" i="1" s="1"/>
  <c r="AH153" i="1" s="1"/>
  <c r="H154" i="1"/>
  <c r="C154" i="1" s="1"/>
  <c r="G155" i="1"/>
  <c r="C155" i="1" s="1"/>
  <c r="H159" i="1"/>
  <c r="G162" i="1"/>
  <c r="H162" i="1" s="1"/>
  <c r="C162" i="1" s="1"/>
  <c r="C159" i="1"/>
  <c r="Y158" i="1"/>
  <c r="G158" i="1"/>
  <c r="H158" i="1" s="1"/>
  <c r="Y161" i="1"/>
  <c r="C158" i="1"/>
  <c r="AD151" i="1"/>
  <c r="AJ151" i="1"/>
  <c r="Y153" i="1"/>
  <c r="Z153" i="1"/>
  <c r="AF153" i="1" s="1"/>
  <c r="AA153" i="1"/>
  <c r="AG153" i="1" s="1"/>
  <c r="H156" i="1"/>
  <c r="C156" i="1" s="1"/>
  <c r="C153" i="1"/>
  <c r="AB152" i="1"/>
  <c r="AH152" i="1" s="1"/>
  <c r="Y152" i="1"/>
  <c r="AC152" i="1"/>
  <c r="AI152" i="1" s="1"/>
  <c r="Z152" i="1"/>
  <c r="AF152" i="1" s="1"/>
  <c r="AA152" i="1"/>
  <c r="AG152" i="1" s="1"/>
  <c r="Y249" i="1"/>
  <c r="AE249" i="1" s="1"/>
  <c r="G247" i="1"/>
  <c r="C247" i="1" s="1"/>
  <c r="G202" i="1"/>
  <c r="G248" i="1"/>
  <c r="G210" i="1"/>
  <c r="H210" i="1" s="1"/>
  <c r="H258" i="1"/>
  <c r="C258" i="1" s="1"/>
  <c r="G252" i="1"/>
  <c r="C252" i="1" s="1"/>
  <c r="G253" i="1"/>
  <c r="G241" i="1"/>
  <c r="H241" i="1" s="1"/>
  <c r="C241" i="1" s="1"/>
  <c r="G231" i="1"/>
  <c r="G251" i="1"/>
  <c r="AC249" i="1"/>
  <c r="AI249" i="1" s="1"/>
  <c r="G249" i="1"/>
  <c r="H249" i="1" s="1"/>
  <c r="G230" i="1"/>
  <c r="C230" i="1" s="1"/>
  <c r="G250" i="1"/>
  <c r="AA249" i="1"/>
  <c r="AG249" i="1" s="1"/>
  <c r="Z249" i="1"/>
  <c r="AF249" i="1" s="1"/>
  <c r="AB249" i="1"/>
  <c r="AH249" i="1" s="1"/>
  <c r="G233" i="1"/>
  <c r="H233" i="1" s="1"/>
  <c r="G234" i="1"/>
  <c r="C234" i="1" s="1"/>
  <c r="G227" i="1"/>
  <c r="H227" i="1" s="1"/>
  <c r="C227" i="1" s="1"/>
  <c r="G226" i="1"/>
  <c r="C226" i="1" s="1"/>
  <c r="C233" i="1"/>
  <c r="Z233" i="1"/>
  <c r="AF233" i="1" s="1"/>
  <c r="G206" i="1"/>
  <c r="C206" i="1" s="1"/>
  <c r="G225" i="1"/>
  <c r="H225" i="1" s="1"/>
  <c r="G199" i="1"/>
  <c r="H199" i="1" s="1"/>
  <c r="G235" i="1"/>
  <c r="H235" i="1" s="1"/>
  <c r="C235" i="1" s="1"/>
  <c r="AC233" i="1"/>
  <c r="AI233" i="1" s="1"/>
  <c r="G217" i="1"/>
  <c r="H217" i="1" s="1"/>
  <c r="C217" i="1" s="1"/>
  <c r="C200" i="1"/>
  <c r="AA233" i="1"/>
  <c r="AG233" i="1" s="1"/>
  <c r="Y233" i="1"/>
  <c r="AB233" i="1"/>
  <c r="AH233" i="1" s="1"/>
  <c r="AC225" i="1"/>
  <c r="AI225" i="1" s="1"/>
  <c r="AA225" i="1"/>
  <c r="AG225" i="1" s="1"/>
  <c r="Z225" i="1"/>
  <c r="AF225" i="1" s="1"/>
  <c r="Y225" i="1"/>
  <c r="AB225" i="1"/>
  <c r="AH225" i="1" s="1"/>
  <c r="AC215" i="1"/>
  <c r="AI215" i="1" s="1"/>
  <c r="Z200" i="1"/>
  <c r="AF200" i="1" s="1"/>
  <c r="G219" i="1"/>
  <c r="C210" i="1"/>
  <c r="Z205" i="1"/>
  <c r="AF205" i="1" s="1"/>
  <c r="G215" i="1"/>
  <c r="H215" i="1" s="1"/>
  <c r="Z210" i="1"/>
  <c r="AF210" i="1" s="1"/>
  <c r="G205" i="1"/>
  <c r="H205" i="1" s="1"/>
  <c r="G207" i="1"/>
  <c r="G197" i="1"/>
  <c r="C197" i="1" s="1"/>
  <c r="G218" i="1"/>
  <c r="G201" i="1"/>
  <c r="H201" i="1" s="1"/>
  <c r="G224" i="1"/>
  <c r="G216" i="1"/>
  <c r="G212" i="1"/>
  <c r="H212" i="1" s="1"/>
  <c r="C212" i="1" s="1"/>
  <c r="AC210" i="1"/>
  <c r="AI210" i="1" s="1"/>
  <c r="G213" i="1"/>
  <c r="AA205" i="1"/>
  <c r="AG205" i="1" s="1"/>
  <c r="G209" i="1"/>
  <c r="AE199" i="1"/>
  <c r="AJ199" i="1" s="1"/>
  <c r="AD199" i="1"/>
  <c r="Z215" i="1"/>
  <c r="AF215" i="1" s="1"/>
  <c r="C215" i="1"/>
  <c r="AA200" i="1"/>
  <c r="AG200" i="1" s="1"/>
  <c r="G211" i="1"/>
  <c r="AB210" i="1"/>
  <c r="AH210" i="1" s="1"/>
  <c r="G208" i="1"/>
  <c r="C208" i="1" s="1"/>
  <c r="G214" i="1"/>
  <c r="Y205" i="1"/>
  <c r="H202" i="1"/>
  <c r="C202" i="1" s="1"/>
  <c r="Y215" i="1"/>
  <c r="AB215" i="1"/>
  <c r="AH215" i="1" s="1"/>
  <c r="G203" i="1"/>
  <c r="Y200" i="1"/>
  <c r="AB200" i="1"/>
  <c r="AH200" i="1" s="1"/>
  <c r="Y210" i="1"/>
  <c r="AA210" i="1"/>
  <c r="AG210" i="1" s="1"/>
  <c r="AB205" i="1"/>
  <c r="AH205" i="1" s="1"/>
  <c r="AC205" i="1"/>
  <c r="AI205" i="1" s="1"/>
  <c r="AA215" i="1"/>
  <c r="AG215" i="1" s="1"/>
  <c r="AC200" i="1"/>
  <c r="AI200" i="1" s="1"/>
  <c r="G204" i="1"/>
  <c r="G198" i="1"/>
  <c r="Z194" i="1"/>
  <c r="AF194" i="1" s="1"/>
  <c r="AA194" i="1"/>
  <c r="AG194" i="1" s="1"/>
  <c r="AE193" i="1"/>
  <c r="AJ193" i="1" s="1"/>
  <c r="AD193" i="1"/>
  <c r="AC194" i="1"/>
  <c r="AI194" i="1" s="1"/>
  <c r="H194" i="1"/>
  <c r="C195" i="1"/>
  <c r="AB188" i="1"/>
  <c r="AH188" i="1" s="1"/>
  <c r="H193" i="1"/>
  <c r="G196" i="1"/>
  <c r="AB194" i="1"/>
  <c r="AH194" i="1" s="1"/>
  <c r="C194" i="1"/>
  <c r="H195" i="1"/>
  <c r="Y194" i="1"/>
  <c r="Z188" i="1"/>
  <c r="AF188" i="1" s="1"/>
  <c r="G191" i="1"/>
  <c r="H191" i="1" s="1"/>
  <c r="Y188" i="1"/>
  <c r="AE188" i="1" s="1"/>
  <c r="H190" i="1"/>
  <c r="C190" i="1" s="1"/>
  <c r="G189" i="1"/>
  <c r="AD187" i="1"/>
  <c r="AE187" i="1"/>
  <c r="AJ187" i="1" s="1"/>
  <c r="AA188" i="1"/>
  <c r="AG188" i="1" s="1"/>
  <c r="C188" i="1"/>
  <c r="G141" i="1"/>
  <c r="C141" i="1" s="1"/>
  <c r="G192" i="1"/>
  <c r="AC188" i="1"/>
  <c r="AI188" i="1" s="1"/>
  <c r="H10" i="1"/>
  <c r="G175" i="1"/>
  <c r="H175" i="1" s="1"/>
  <c r="C175" i="1" s="1"/>
  <c r="G176" i="1"/>
  <c r="G148" i="1"/>
  <c r="H148" i="1" s="1"/>
  <c r="C148" i="1" s="1"/>
  <c r="G142" i="1"/>
  <c r="G145" i="1"/>
  <c r="G150" i="1"/>
  <c r="Y146" i="1"/>
  <c r="AA146" i="1"/>
  <c r="AG146" i="1" s="1"/>
  <c r="Z146" i="1"/>
  <c r="AF146" i="1" s="1"/>
  <c r="AC146" i="1"/>
  <c r="AI146" i="1" s="1"/>
  <c r="AB146" i="1"/>
  <c r="AH146" i="1" s="1"/>
  <c r="G147" i="1"/>
  <c r="C147" i="1" s="1"/>
  <c r="G146" i="1"/>
  <c r="H146" i="1" s="1"/>
  <c r="G149" i="1"/>
  <c r="G144" i="1"/>
  <c r="Z143" i="1"/>
  <c r="AF143" i="1" s="1"/>
  <c r="AC143" i="1"/>
  <c r="AI143" i="1" s="1"/>
  <c r="AA143" i="1"/>
  <c r="AG143" i="1" s="1"/>
  <c r="Y143" i="1"/>
  <c r="G138" i="1"/>
  <c r="H138" i="1" s="1"/>
  <c r="H145" i="1"/>
  <c r="C145" i="1" s="1"/>
  <c r="AB143" i="1"/>
  <c r="AH143" i="1" s="1"/>
  <c r="G143" i="1"/>
  <c r="H143" i="1" s="1"/>
  <c r="G140" i="1"/>
  <c r="AD137" i="1"/>
  <c r="AE137" i="1"/>
  <c r="AJ137" i="1" s="1"/>
  <c r="Z138" i="1"/>
  <c r="AF138" i="1" s="1"/>
  <c r="AC138" i="1"/>
  <c r="AI138" i="1" s="1"/>
  <c r="Y138" i="1"/>
  <c r="AB138" i="1"/>
  <c r="AH138" i="1" s="1"/>
  <c r="AA138" i="1"/>
  <c r="AG138" i="1" s="1"/>
  <c r="G139" i="1"/>
  <c r="C139" i="1" s="1"/>
  <c r="G110" i="1"/>
  <c r="G94" i="1"/>
  <c r="H94" i="1" s="1"/>
  <c r="C94" i="1" s="1"/>
  <c r="G93" i="1"/>
  <c r="H93" i="1" s="1"/>
  <c r="Z92" i="1"/>
  <c r="AF92" i="1" s="1"/>
  <c r="G108" i="1"/>
  <c r="H108" i="1" s="1"/>
  <c r="C108" i="1" s="1"/>
  <c r="G91" i="1"/>
  <c r="AB92" i="1"/>
  <c r="AH92" i="1" s="1"/>
  <c r="Y92" i="1"/>
  <c r="AE92" i="1" s="1"/>
  <c r="G92" i="1"/>
  <c r="H92" i="1" s="1"/>
  <c r="AC92" i="1"/>
  <c r="AI92" i="1" s="1"/>
  <c r="AA92" i="1"/>
  <c r="AG92" i="1" s="1"/>
  <c r="H221" i="1"/>
  <c r="G90" i="1"/>
  <c r="G17" i="1"/>
  <c r="G24" i="1"/>
  <c r="H24" i="1" s="1"/>
  <c r="C24" i="1" s="1"/>
  <c r="G242" i="1"/>
  <c r="H242" i="1" s="1"/>
  <c r="G229" i="1"/>
  <c r="G246" i="1"/>
  <c r="Z239" i="1"/>
  <c r="AF239" i="1" s="1"/>
  <c r="G228" i="1"/>
  <c r="AC239" i="1"/>
  <c r="AI239" i="1" s="1"/>
  <c r="C240" i="1"/>
  <c r="Y239" i="1"/>
  <c r="AE239" i="1" s="1"/>
  <c r="G264" i="1"/>
  <c r="Z222" i="1"/>
  <c r="AF222" i="1" s="1"/>
  <c r="G267" i="1"/>
  <c r="C267" i="1" s="1"/>
  <c r="G261" i="1"/>
  <c r="H223" i="1"/>
  <c r="G245" i="1"/>
  <c r="C245" i="1" s="1"/>
  <c r="AB239" i="1"/>
  <c r="AH239" i="1" s="1"/>
  <c r="Z256" i="1"/>
  <c r="AF256" i="1" s="1"/>
  <c r="G244" i="1"/>
  <c r="G260" i="1"/>
  <c r="H260" i="1" s="1"/>
  <c r="C260" i="1" s="1"/>
  <c r="AE221" i="1"/>
  <c r="AJ221" i="1" s="1"/>
  <c r="AD221" i="1"/>
  <c r="G262" i="1"/>
  <c r="AC222" i="1"/>
  <c r="AI222" i="1" s="1"/>
  <c r="G236" i="1"/>
  <c r="AE255" i="1"/>
  <c r="AJ255" i="1" s="1"/>
  <c r="AD255" i="1"/>
  <c r="Y256" i="1"/>
  <c r="G256" i="1"/>
  <c r="H256" i="1" s="1"/>
  <c r="G266" i="1"/>
  <c r="AC256" i="1"/>
  <c r="AI256" i="1" s="1"/>
  <c r="C256" i="1"/>
  <c r="H238" i="1"/>
  <c r="G232" i="1"/>
  <c r="G257" i="1"/>
  <c r="G259" i="1"/>
  <c r="C259" i="1" s="1"/>
  <c r="AA239" i="1"/>
  <c r="AG239" i="1" s="1"/>
  <c r="H240" i="1"/>
  <c r="G239" i="1"/>
  <c r="H239" i="1" s="1"/>
  <c r="Y222" i="1"/>
  <c r="AA222" i="1"/>
  <c r="AG222" i="1" s="1"/>
  <c r="G243" i="1"/>
  <c r="AB256" i="1"/>
  <c r="AH256" i="1" s="1"/>
  <c r="G265" i="1"/>
  <c r="AB222" i="1"/>
  <c r="AH222" i="1" s="1"/>
  <c r="G222" i="1"/>
  <c r="H222" i="1" s="1"/>
  <c r="H237" i="1"/>
  <c r="AE238" i="1"/>
  <c r="AJ238" i="1" s="1"/>
  <c r="AD238" i="1"/>
  <c r="G263" i="1"/>
  <c r="G268" i="1"/>
  <c r="AA256" i="1"/>
  <c r="AG256" i="1" s="1"/>
  <c r="AB106" i="1"/>
  <c r="Z106" i="1"/>
  <c r="Y106" i="1"/>
  <c r="AC106" i="1"/>
  <c r="AA106" i="1"/>
  <c r="G575" i="1"/>
  <c r="G370" i="1"/>
  <c r="G321" i="1"/>
  <c r="G425" i="1"/>
  <c r="G499" i="1"/>
  <c r="G420" i="1"/>
  <c r="G467" i="1"/>
  <c r="AF480" i="1"/>
  <c r="AI480" i="1"/>
  <c r="AG480" i="1"/>
  <c r="AH480" i="1"/>
  <c r="G382" i="1"/>
  <c r="G356" i="1"/>
  <c r="G11" i="1"/>
  <c r="H11" i="1" s="1"/>
  <c r="G379" i="1"/>
  <c r="G565" i="1"/>
  <c r="C525" i="1"/>
  <c r="AJ306" i="1"/>
  <c r="G307" i="1"/>
  <c r="G434" i="1"/>
  <c r="G493" i="1"/>
  <c r="G323" i="1"/>
  <c r="G419" i="1"/>
  <c r="G338" i="1"/>
  <c r="G368" i="1"/>
  <c r="G364" i="1"/>
  <c r="G474" i="1"/>
  <c r="G357" i="1"/>
  <c r="G525" i="1"/>
  <c r="G331" i="1"/>
  <c r="H331" i="1" s="1"/>
  <c r="G376" i="1"/>
  <c r="G306" i="1"/>
  <c r="C11" i="1"/>
  <c r="G308" i="1"/>
  <c r="G437" i="1"/>
  <c r="G526" i="1"/>
  <c r="G359" i="1"/>
  <c r="G310" i="1"/>
  <c r="G466" i="1"/>
  <c r="AI309" i="1"/>
  <c r="G381" i="1"/>
  <c r="H437" i="1"/>
  <c r="G417" i="1"/>
  <c r="G339" i="1"/>
  <c r="G374" i="1"/>
  <c r="AH442" i="1"/>
  <c r="G475" i="1"/>
  <c r="G574" i="1"/>
  <c r="H574" i="1" s="1"/>
  <c r="AH475" i="1"/>
  <c r="G302" i="1"/>
  <c r="G411" i="1"/>
  <c r="AI405" i="1"/>
  <c r="AF405" i="1"/>
  <c r="AH405" i="1"/>
  <c r="AG405" i="1"/>
  <c r="G577" i="1"/>
  <c r="AF577" i="1" s="1"/>
  <c r="AI514" i="1"/>
  <c r="AF514" i="1"/>
  <c r="AG514" i="1"/>
  <c r="AH514" i="1"/>
  <c r="AE514" i="1"/>
  <c r="C526" i="1"/>
  <c r="AI520" i="1"/>
  <c r="AH520" i="1"/>
  <c r="AE520" i="1"/>
  <c r="AF520" i="1"/>
  <c r="AG520" i="1"/>
  <c r="G340" i="1"/>
  <c r="C340" i="1" s="1"/>
  <c r="G327" i="1"/>
  <c r="H327" i="1" s="1"/>
  <c r="C327" i="1" s="1"/>
  <c r="G423" i="1"/>
  <c r="G489" i="1"/>
  <c r="C489" i="1" s="1"/>
  <c r="G418" i="1"/>
  <c r="G389" i="1"/>
  <c r="G502" i="1"/>
  <c r="G510" i="1"/>
  <c r="G416" i="1"/>
  <c r="H416" i="1" s="1"/>
  <c r="AF309" i="1"/>
  <c r="AE309" i="1"/>
  <c r="AG442" i="1"/>
  <c r="AF475" i="1"/>
  <c r="G66" i="1"/>
  <c r="G298" i="1"/>
  <c r="H575" i="1"/>
  <c r="G403" i="1"/>
  <c r="G511" i="1"/>
  <c r="G534" i="1"/>
  <c r="H534" i="1" s="1"/>
  <c r="G406" i="1"/>
  <c r="AF337" i="1"/>
  <c r="AE337" i="1"/>
  <c r="AI337" i="1"/>
  <c r="AH337" i="1"/>
  <c r="AG337" i="1"/>
  <c r="G524" i="1"/>
  <c r="AI524" i="1" s="1"/>
  <c r="G363" i="1"/>
  <c r="G567" i="1"/>
  <c r="AH393" i="1"/>
  <c r="AG393" i="1"/>
  <c r="AF393" i="1"/>
  <c r="AI393" i="1"/>
  <c r="AG309" i="1"/>
  <c r="AF442" i="1"/>
  <c r="AI475" i="1"/>
  <c r="AE338" i="1"/>
  <c r="AH338" i="1"/>
  <c r="AG338" i="1"/>
  <c r="AF338" i="1"/>
  <c r="G578" i="1"/>
  <c r="H578" i="1" s="1"/>
  <c r="AH575" i="1"/>
  <c r="AF575" i="1"/>
  <c r="AI575" i="1"/>
  <c r="AG575" i="1"/>
  <c r="G427" i="1"/>
  <c r="C427" i="1" s="1"/>
  <c r="G358" i="1"/>
  <c r="G332" i="1"/>
  <c r="H332" i="1" s="1"/>
  <c r="C332" i="1" s="1"/>
  <c r="AH309" i="1"/>
  <c r="AI442" i="1"/>
  <c r="AG475" i="1"/>
  <c r="AG574" i="1"/>
  <c r="AE534" i="1"/>
  <c r="AF494" i="1"/>
  <c r="AI494" i="1"/>
  <c r="AE494" i="1"/>
  <c r="AH494" i="1"/>
  <c r="AG494" i="1"/>
  <c r="G305" i="1"/>
  <c r="AG339" i="1"/>
  <c r="AI339" i="1"/>
  <c r="AF339" i="1"/>
  <c r="AH339" i="1"/>
  <c r="G387" i="1"/>
  <c r="G435" i="1"/>
  <c r="G554" i="1"/>
  <c r="H554" i="1" s="1"/>
  <c r="C554" i="1" s="1"/>
  <c r="C341" i="1"/>
  <c r="C534" i="1"/>
  <c r="G555" i="1"/>
  <c r="G342" i="1"/>
  <c r="AH578" i="1"/>
  <c r="AF578" i="1"/>
  <c r="AI578" i="1"/>
  <c r="AG578" i="1"/>
  <c r="AF526" i="1"/>
  <c r="AG526" i="1"/>
  <c r="AI526" i="1"/>
  <c r="AE526" i="1"/>
  <c r="AH526" i="1"/>
  <c r="G579" i="1"/>
  <c r="AF579" i="1" s="1"/>
  <c r="AI579" i="1"/>
  <c r="AH579" i="1"/>
  <c r="G378" i="1"/>
  <c r="G477" i="1"/>
  <c r="H477" i="1" s="1"/>
  <c r="G504" i="1"/>
  <c r="G386" i="1"/>
  <c r="C386" i="1" s="1"/>
  <c r="G501" i="1"/>
  <c r="AI501" i="1" s="1"/>
  <c r="G566" i="1"/>
  <c r="AI566" i="1"/>
  <c r="AG566" i="1"/>
  <c r="AF566" i="1"/>
  <c r="AH566" i="1"/>
  <c r="G390" i="1"/>
  <c r="G503" i="1"/>
  <c r="AF503" i="1" s="1"/>
  <c r="H525" i="1"/>
  <c r="AH525" i="1"/>
  <c r="AI525" i="1"/>
  <c r="AF525" i="1"/>
  <c r="AG525" i="1"/>
  <c r="AG504" i="1"/>
  <c r="G79" i="1"/>
  <c r="G103" i="1"/>
  <c r="G95" i="1"/>
  <c r="G124" i="1"/>
  <c r="AG271" i="1"/>
  <c r="C323" i="1"/>
  <c r="G451" i="1"/>
  <c r="C451" i="1" s="1"/>
  <c r="G352" i="1"/>
  <c r="G345" i="1"/>
  <c r="G354" i="1"/>
  <c r="G348" i="1"/>
  <c r="C348" i="1" s="1"/>
  <c r="G353" i="1"/>
  <c r="AI338" i="1"/>
  <c r="G402" i="1"/>
  <c r="G405" i="1"/>
  <c r="C437" i="1"/>
  <c r="G469" i="1"/>
  <c r="G491" i="1"/>
  <c r="G470" i="1"/>
  <c r="G514" i="1"/>
  <c r="G557" i="1"/>
  <c r="G377" i="1"/>
  <c r="G521" i="1"/>
  <c r="G444" i="1"/>
  <c r="G372" i="1"/>
  <c r="G313" i="1"/>
  <c r="G312" i="1"/>
  <c r="G316" i="1"/>
  <c r="G311" i="1"/>
  <c r="G391" i="1"/>
  <c r="G346" i="1"/>
  <c r="G559" i="1"/>
  <c r="G413" i="1"/>
  <c r="G445" i="1"/>
  <c r="H445" i="1" s="1"/>
  <c r="G582" i="1"/>
  <c r="C477" i="1"/>
  <c r="G498" i="1"/>
  <c r="G369" i="1"/>
  <c r="G449" i="1"/>
  <c r="G315" i="1"/>
  <c r="G58" i="1"/>
  <c r="G55" i="1"/>
  <c r="G53" i="1"/>
  <c r="G123" i="1"/>
  <c r="G547" i="1"/>
  <c r="G538" i="1"/>
  <c r="G533" i="1"/>
  <c r="G535" i="1"/>
  <c r="G581" i="1"/>
  <c r="H581" i="1" s="1"/>
  <c r="G341" i="1"/>
  <c r="H341" i="1" s="1"/>
  <c r="C342" i="1"/>
  <c r="G438" i="1"/>
  <c r="C578" i="1"/>
  <c r="G337" i="1"/>
  <c r="G553" i="1"/>
  <c r="G460" i="1"/>
  <c r="G580" i="1"/>
  <c r="G516" i="1"/>
  <c r="G318" i="1"/>
  <c r="G375" i="1"/>
  <c r="G459" i="1"/>
  <c r="G471" i="1"/>
  <c r="C471" i="1" s="1"/>
  <c r="G519" i="1"/>
  <c r="C519" i="1" s="1"/>
  <c r="G541" i="1"/>
  <c r="C541" i="1" s="1"/>
  <c r="G523" i="1"/>
  <c r="G329" i="1"/>
  <c r="G326" i="1"/>
  <c r="H326" i="1" s="1"/>
  <c r="G443" i="1"/>
  <c r="G543" i="1"/>
  <c r="G84" i="1"/>
  <c r="G490" i="1"/>
  <c r="G46" i="1"/>
  <c r="G280" i="1"/>
  <c r="G67" i="1"/>
  <c r="G285" i="1"/>
  <c r="G178" i="1"/>
  <c r="G303" i="1"/>
  <c r="G301" i="1"/>
  <c r="G355" i="1"/>
  <c r="G371" i="1"/>
  <c r="C575" i="1"/>
  <c r="G373" i="1"/>
  <c r="H577" i="1"/>
  <c r="C577" i="1"/>
  <c r="C493" i="1"/>
  <c r="G446" i="1"/>
  <c r="G428" i="1"/>
  <c r="G465" i="1"/>
  <c r="H466" i="1" s="1"/>
  <c r="C466" i="1" s="1"/>
  <c r="G480" i="1"/>
  <c r="G325" i="1"/>
  <c r="H325" i="1" s="1"/>
  <c r="G343" i="1"/>
  <c r="G349" i="1"/>
  <c r="H349" i="1" s="1"/>
  <c r="G497" i="1"/>
  <c r="H497" i="1" s="1"/>
  <c r="G518" i="1"/>
  <c r="G562" i="1"/>
  <c r="G583" i="1"/>
  <c r="G409" i="1"/>
  <c r="G347" i="1"/>
  <c r="C347" i="1" s="1"/>
  <c r="G395" i="1"/>
  <c r="G563" i="1"/>
  <c r="C563" i="1" s="1"/>
  <c r="G513" i="1"/>
  <c r="G494" i="1"/>
  <c r="C579" i="1"/>
  <c r="G556" i="1"/>
  <c r="G520" i="1"/>
  <c r="G515" i="1"/>
  <c r="G512" i="1"/>
  <c r="G424" i="1"/>
  <c r="AH420" i="1" s="1"/>
  <c r="G404" i="1"/>
  <c r="G309" i="1"/>
  <c r="G407" i="1"/>
  <c r="G439" i="1"/>
  <c r="G455" i="1"/>
  <c r="G410" i="1"/>
  <c r="G539" i="1"/>
  <c r="G561" i="1"/>
  <c r="G350" i="1"/>
  <c r="H350" i="1" s="1"/>
  <c r="G414" i="1"/>
  <c r="H446" i="1"/>
  <c r="G322" i="1"/>
  <c r="C322" i="1" s="1"/>
  <c r="G457" i="1"/>
  <c r="G522" i="1"/>
  <c r="G344" i="1"/>
  <c r="H344" i="1" s="1"/>
  <c r="C344" i="1" s="1"/>
  <c r="G304" i="1"/>
  <c r="G450" i="1"/>
  <c r="G401" i="1"/>
  <c r="G532" i="1"/>
  <c r="C532" i="1" s="1"/>
  <c r="G530" i="1"/>
  <c r="H530" i="1" s="1"/>
  <c r="G549" i="1"/>
  <c r="G528" i="1"/>
  <c r="C528" i="1" s="1"/>
  <c r="G531" i="1"/>
  <c r="G529" i="1"/>
  <c r="G442" i="1"/>
  <c r="G495" i="1"/>
  <c r="G517" i="1"/>
  <c r="C445" i="1"/>
  <c r="G440" i="1"/>
  <c r="G500" i="1"/>
  <c r="H500" i="1" s="1"/>
  <c r="G330" i="1"/>
  <c r="G415" i="1"/>
  <c r="G398" i="1"/>
  <c r="G385" i="1"/>
  <c r="G479" i="1"/>
  <c r="C479" i="1" s="1"/>
  <c r="H543" i="1"/>
  <c r="G584" i="1"/>
  <c r="H584" i="1" s="1"/>
  <c r="G384" i="1"/>
  <c r="G488" i="1"/>
  <c r="G436" i="1"/>
  <c r="G333" i="1"/>
  <c r="H526" i="1"/>
  <c r="G576" i="1"/>
  <c r="G487" i="1"/>
  <c r="G486" i="1"/>
  <c r="C486" i="1" s="1"/>
  <c r="G508" i="1"/>
  <c r="G560" i="1"/>
  <c r="G472" i="1"/>
  <c r="G456" i="1"/>
  <c r="G564" i="1"/>
  <c r="C326" i="1"/>
  <c r="G505" i="1"/>
  <c r="C543" i="1"/>
  <c r="AD565" i="1"/>
  <c r="AE565" i="1"/>
  <c r="G314" i="1"/>
  <c r="AH314" i="1" s="1"/>
  <c r="G481" i="1"/>
  <c r="G482" i="1"/>
  <c r="G546" i="1"/>
  <c r="G570" i="1"/>
  <c r="G568" i="1"/>
  <c r="G571" i="1"/>
  <c r="G573" i="1"/>
  <c r="G569" i="1"/>
  <c r="G544" i="1"/>
  <c r="G452" i="1"/>
  <c r="C452" i="1" s="1"/>
  <c r="G328" i="1"/>
  <c r="G388" i="1"/>
  <c r="G317" i="1"/>
  <c r="G334" i="1"/>
  <c r="G394" i="1"/>
  <c r="G366" i="1"/>
  <c r="G542" i="1"/>
  <c r="G412" i="1"/>
  <c r="G496" i="1"/>
  <c r="G400" i="1"/>
  <c r="C310" i="1"/>
  <c r="G468" i="1"/>
  <c r="G433" i="1"/>
  <c r="G462" i="1"/>
  <c r="G458" i="1"/>
  <c r="AH458" i="1" s="1"/>
  <c r="G429" i="1"/>
  <c r="G453" i="1"/>
  <c r="G545" i="1"/>
  <c r="G365" i="1"/>
  <c r="G454" i="1"/>
  <c r="G483" i="1"/>
  <c r="H483" i="1" s="1"/>
  <c r="C483" i="1"/>
  <c r="G540" i="1"/>
  <c r="C540" i="1" s="1"/>
  <c r="G492" i="1"/>
  <c r="G320" i="1"/>
  <c r="G297" i="1"/>
  <c r="G335" i="1"/>
  <c r="G367" i="1"/>
  <c r="G399" i="1"/>
  <c r="G431" i="1"/>
  <c r="G463" i="1"/>
  <c r="H463" i="1" s="1"/>
  <c r="G324" i="1"/>
  <c r="G362" i="1"/>
  <c r="G426" i="1"/>
  <c r="G506" i="1"/>
  <c r="G461" i="1"/>
  <c r="G550" i="1"/>
  <c r="G509" i="1"/>
  <c r="G552" i="1"/>
  <c r="G421" i="1"/>
  <c r="G422" i="1"/>
  <c r="G361" i="1"/>
  <c r="G441" i="1"/>
  <c r="G537" i="1"/>
  <c r="G478" i="1"/>
  <c r="G360" i="1"/>
  <c r="G336" i="1"/>
  <c r="C436" i="1"/>
  <c r="G548" i="1"/>
  <c r="G319" i="1"/>
  <c r="G383" i="1"/>
  <c r="G447" i="1"/>
  <c r="G527" i="1"/>
  <c r="G430" i="1"/>
  <c r="G396" i="1"/>
  <c r="G351" i="1"/>
  <c r="G485" i="1"/>
  <c r="G397" i="1"/>
  <c r="G507" i="1"/>
  <c r="C530" i="1"/>
  <c r="G551" i="1"/>
  <c r="G393" i="1"/>
  <c r="G473" i="1"/>
  <c r="G585" i="1"/>
  <c r="G536" i="1"/>
  <c r="H536" i="1" s="1"/>
  <c r="G476" i="1"/>
  <c r="G484" i="1"/>
  <c r="G448" i="1"/>
  <c r="G380" i="1"/>
  <c r="G558" i="1"/>
  <c r="C536" i="1"/>
  <c r="G432" i="1"/>
  <c r="G392" i="1"/>
  <c r="G177" i="1"/>
  <c r="C568" i="1"/>
  <c r="G572" i="1"/>
  <c r="G464" i="1"/>
  <c r="H464" i="1" s="1"/>
  <c r="G408" i="1"/>
  <c r="G25" i="1"/>
  <c r="G299" i="1"/>
  <c r="G300" i="1"/>
  <c r="AF269" i="1"/>
  <c r="AE269" i="1"/>
  <c r="AH269" i="1"/>
  <c r="AG269" i="1"/>
  <c r="AI269" i="1"/>
  <c r="G60" i="1"/>
  <c r="AF271" i="1"/>
  <c r="AI271" i="1"/>
  <c r="AE271" i="1"/>
  <c r="AH271" i="1"/>
  <c r="G48" i="1"/>
  <c r="G13" i="1"/>
  <c r="H13" i="1" s="1"/>
  <c r="G179" i="1"/>
  <c r="G85" i="1"/>
  <c r="G82" i="1"/>
  <c r="G172" i="1"/>
  <c r="G273" i="1"/>
  <c r="G74" i="1"/>
  <c r="G29" i="1"/>
  <c r="G109" i="1"/>
  <c r="G83" i="1"/>
  <c r="G106" i="1"/>
  <c r="G12" i="1"/>
  <c r="G132" i="1"/>
  <c r="G130" i="1"/>
  <c r="G44" i="1"/>
  <c r="G276" i="1"/>
  <c r="G173" i="1"/>
  <c r="G111" i="1"/>
  <c r="G293" i="1"/>
  <c r="G282" i="1"/>
  <c r="C282" i="1" s="1"/>
  <c r="G80" i="1"/>
  <c r="G174" i="1"/>
  <c r="G45" i="1"/>
  <c r="G180" i="1"/>
  <c r="G283" i="1"/>
  <c r="G49" i="1"/>
  <c r="G71" i="1"/>
  <c r="G275" i="1"/>
  <c r="AG275" i="1" s="1"/>
  <c r="G68" i="1"/>
  <c r="G88" i="1"/>
  <c r="G73" i="1"/>
  <c r="G69" i="1"/>
  <c r="G269" i="1"/>
  <c r="G288" i="1"/>
  <c r="G87" i="1"/>
  <c r="G62" i="1"/>
  <c r="G134" i="1"/>
  <c r="G171" i="1"/>
  <c r="G281" i="1"/>
  <c r="G76" i="1"/>
  <c r="G36" i="1"/>
  <c r="G28" i="1"/>
  <c r="G104" i="1"/>
  <c r="G98" i="1"/>
  <c r="G181" i="1"/>
  <c r="G184" i="1"/>
  <c r="G183" i="1"/>
  <c r="G185" i="1"/>
  <c r="G186" i="1"/>
  <c r="G120" i="1"/>
  <c r="G97" i="1"/>
  <c r="G101" i="1"/>
  <c r="G81" i="1"/>
  <c r="G118" i="1"/>
  <c r="G65" i="1"/>
  <c r="G274" i="1"/>
  <c r="G114" i="1"/>
  <c r="G116" i="1"/>
  <c r="G42" i="1"/>
  <c r="G292" i="1"/>
  <c r="G54" i="1"/>
  <c r="G22" i="1"/>
  <c r="G290" i="1"/>
  <c r="G122" i="1"/>
  <c r="G277" i="1"/>
  <c r="G129" i="1"/>
  <c r="G127" i="1"/>
  <c r="G271" i="1"/>
  <c r="G51" i="1"/>
  <c r="G100" i="1"/>
  <c r="G77" i="1"/>
  <c r="G70" i="1"/>
  <c r="G278" i="1"/>
  <c r="G136" i="1"/>
  <c r="G14" i="1"/>
  <c r="G19" i="1"/>
  <c r="G125" i="1"/>
  <c r="G102" i="1"/>
  <c r="G23" i="1"/>
  <c r="G291" i="1"/>
  <c r="G295" i="1"/>
  <c r="G59" i="1"/>
  <c r="G294" i="1"/>
  <c r="G119" i="1"/>
  <c r="G284" i="1"/>
  <c r="G121" i="1"/>
  <c r="G50" i="1"/>
  <c r="G126" i="1"/>
  <c r="G270" i="1"/>
  <c r="G78" i="1"/>
  <c r="G31" i="1"/>
  <c r="G117" i="1"/>
  <c r="G61" i="1"/>
  <c r="G289" i="1"/>
  <c r="G15" i="1"/>
  <c r="G131" i="1"/>
  <c r="G296" i="1"/>
  <c r="G133" i="1"/>
  <c r="G21" i="1"/>
  <c r="G287" i="1"/>
  <c r="G56" i="1"/>
  <c r="G64" i="1"/>
  <c r="G40" i="1"/>
  <c r="G26" i="1"/>
  <c r="G105" i="1"/>
  <c r="G57" i="1"/>
  <c r="G52" i="1"/>
  <c r="G72" i="1"/>
  <c r="G18" i="1"/>
  <c r="G75" i="1"/>
  <c r="G286" i="1"/>
  <c r="G115" i="1"/>
  <c r="G63" i="1"/>
  <c r="G279" i="1"/>
  <c r="G34" i="1"/>
  <c r="G37" i="1"/>
  <c r="G32" i="1"/>
  <c r="G35" i="1"/>
  <c r="G182" i="1"/>
  <c r="G96" i="1"/>
  <c r="G112" i="1"/>
  <c r="G38" i="1"/>
  <c r="G272" i="1"/>
  <c r="G135" i="1"/>
  <c r="G27" i="1"/>
  <c r="G39" i="1"/>
  <c r="G113" i="1"/>
  <c r="G43" i="1"/>
  <c r="G86" i="1"/>
  <c r="G41" i="1"/>
  <c r="G33" i="1"/>
  <c r="G30" i="1"/>
  <c r="G99" i="1"/>
  <c r="G16" i="1"/>
  <c r="G107" i="1"/>
  <c r="G128" i="1"/>
  <c r="G89" i="1"/>
  <c r="G47" i="1"/>
  <c r="G20" i="1"/>
  <c r="AB168" i="1" l="1"/>
  <c r="AH168" i="1" s="1"/>
  <c r="H219" i="1"/>
  <c r="C219" i="1" s="1"/>
  <c r="AC155" i="1"/>
  <c r="AI155" i="1" s="1"/>
  <c r="AA161" i="1"/>
  <c r="AG161" i="1" s="1"/>
  <c r="AB155" i="1"/>
  <c r="AH155" i="1" s="1"/>
  <c r="AC161" i="1"/>
  <c r="AI161" i="1" s="1"/>
  <c r="H252" i="1"/>
  <c r="H170" i="1"/>
  <c r="C170" i="1" s="1"/>
  <c r="DH149" i="15"/>
  <c r="DI149" i="15" s="1"/>
  <c r="DH145" i="15"/>
  <c r="DI145" i="15" s="1"/>
  <c r="DH141" i="15"/>
  <c r="DI141" i="15" s="1"/>
  <c r="DH137" i="15"/>
  <c r="DI137" i="15" s="1"/>
  <c r="DH133" i="15"/>
  <c r="DI133" i="15" s="1"/>
  <c r="DH148" i="15"/>
  <c r="DI148" i="15" s="1"/>
  <c r="DH144" i="15"/>
  <c r="DI144" i="15" s="1"/>
  <c r="DH140" i="15"/>
  <c r="DI140" i="15" s="1"/>
  <c r="DH136" i="15"/>
  <c r="DI136" i="15" s="1"/>
  <c r="DH132" i="15"/>
  <c r="DI132" i="15" s="1"/>
  <c r="DH147" i="15"/>
  <c r="DI147" i="15" s="1"/>
  <c r="DH143" i="15"/>
  <c r="DI143" i="15" s="1"/>
  <c r="DH139" i="15"/>
  <c r="DI139" i="15" s="1"/>
  <c r="DH135" i="15"/>
  <c r="DI135" i="15" s="1"/>
  <c r="DH150" i="15"/>
  <c r="DI150" i="15" s="1"/>
  <c r="DH146" i="15"/>
  <c r="DI146" i="15" s="1"/>
  <c r="DH142" i="15"/>
  <c r="DI142" i="15" s="1"/>
  <c r="DH138" i="15"/>
  <c r="DI138" i="15" s="1"/>
  <c r="DH134" i="15"/>
  <c r="DI134" i="15" s="1"/>
  <c r="DH9" i="15"/>
  <c r="DH13" i="15"/>
  <c r="DH17" i="15"/>
  <c r="DH21" i="15"/>
  <c r="DH25" i="15"/>
  <c r="DH29" i="15"/>
  <c r="DH33" i="15"/>
  <c r="DH37" i="15"/>
  <c r="DH41" i="15"/>
  <c r="DH49" i="15"/>
  <c r="DH53" i="15"/>
  <c r="DH57" i="15"/>
  <c r="DH61" i="15"/>
  <c r="DH65" i="15"/>
  <c r="DH73" i="15"/>
  <c r="DH77" i="15"/>
  <c r="DH81" i="15"/>
  <c r="DH85" i="15"/>
  <c r="DH89" i="15"/>
  <c r="DH93" i="15"/>
  <c r="DH97" i="15"/>
  <c r="DH101" i="15"/>
  <c r="DH105" i="15"/>
  <c r="DH109" i="15"/>
  <c r="DH113" i="15"/>
  <c r="DH117" i="15"/>
  <c r="DH121" i="15"/>
  <c r="DH125" i="15"/>
  <c r="DH129" i="15"/>
  <c r="DH157" i="15"/>
  <c r="DH161" i="15"/>
  <c r="DH165" i="15"/>
  <c r="DH169" i="15"/>
  <c r="DH173" i="15"/>
  <c r="DH181" i="15"/>
  <c r="DH185" i="15"/>
  <c r="DH189" i="15"/>
  <c r="DH193" i="15"/>
  <c r="DH197" i="15"/>
  <c r="DH201" i="15"/>
  <c r="DH205" i="15"/>
  <c r="DH209" i="15"/>
  <c r="DH213" i="15"/>
  <c r="DH217" i="15"/>
  <c r="DH221" i="15"/>
  <c r="DH225" i="15"/>
  <c r="DH229" i="15"/>
  <c r="DH233" i="15"/>
  <c r="DH237" i="15"/>
  <c r="DH241" i="15"/>
  <c r="DH245" i="15"/>
  <c r="DH249" i="15"/>
  <c r="DH253" i="15"/>
  <c r="DH257" i="15"/>
  <c r="DH261" i="15"/>
  <c r="DH289" i="15"/>
  <c r="DH293" i="15"/>
  <c r="DH297" i="15"/>
  <c r="DH301" i="15"/>
  <c r="DH305" i="15"/>
  <c r="DH309" i="15"/>
  <c r="DH313" i="15"/>
  <c r="DH317" i="15"/>
  <c r="DH6" i="15"/>
  <c r="DI6" i="15" s="1"/>
  <c r="DH14" i="15"/>
  <c r="DH18" i="15"/>
  <c r="DH22" i="15"/>
  <c r="DH26" i="15"/>
  <c r="DH30" i="15"/>
  <c r="DH34" i="15"/>
  <c r="DH38" i="15"/>
  <c r="DH42" i="15"/>
  <c r="DH46" i="15"/>
  <c r="DH50" i="15"/>
  <c r="DH54" i="15"/>
  <c r="DH58" i="15"/>
  <c r="DH62" i="15"/>
  <c r="DH66" i="15"/>
  <c r="DH70" i="15"/>
  <c r="DH74" i="15"/>
  <c r="DH78" i="15"/>
  <c r="DH82" i="15"/>
  <c r="DH86" i="15"/>
  <c r="DH90" i="15"/>
  <c r="DH94" i="15"/>
  <c r="DH98" i="15"/>
  <c r="DH102" i="15"/>
  <c r="DH106" i="15"/>
  <c r="DH110" i="15"/>
  <c r="DH114" i="15"/>
  <c r="DH118" i="15"/>
  <c r="DH122" i="15"/>
  <c r="DH126" i="15"/>
  <c r="DH130" i="15"/>
  <c r="DH154" i="15"/>
  <c r="DH158" i="15"/>
  <c r="DH162" i="15"/>
  <c r="DH166" i="15"/>
  <c r="DH170" i="15"/>
  <c r="DH174" i="15"/>
  <c r="DH178" i="15"/>
  <c r="DH182" i="15"/>
  <c r="DH186" i="15"/>
  <c r="DH190" i="15"/>
  <c r="DH194" i="15"/>
  <c r="DH198" i="15"/>
  <c r="DH202" i="15"/>
  <c r="DH206" i="15"/>
  <c r="DH210" i="15"/>
  <c r="DH214" i="15"/>
  <c r="DH218" i="15"/>
  <c r="DH222" i="15"/>
  <c r="DH226" i="15"/>
  <c r="DH234" i="15"/>
  <c r="DH238" i="15"/>
  <c r="DH242" i="15"/>
  <c r="DH246" i="15"/>
  <c r="DH250" i="15"/>
  <c r="DH254" i="15"/>
  <c r="DH258" i="15"/>
  <c r="DH262" i="15"/>
  <c r="DH286" i="15"/>
  <c r="DH290" i="15"/>
  <c r="DH294" i="15"/>
  <c r="DH298" i="15"/>
  <c r="DH302" i="15"/>
  <c r="DH11" i="15"/>
  <c r="DH15" i="15"/>
  <c r="DH19" i="15"/>
  <c r="DH23" i="15"/>
  <c r="DH27" i="15"/>
  <c r="DH31" i="15"/>
  <c r="DH35" i="15"/>
  <c r="DH39" i="15"/>
  <c r="DH43" i="15"/>
  <c r="DH47" i="15"/>
  <c r="DH51" i="15"/>
  <c r="DH55" i="15"/>
  <c r="DH59" i="15"/>
  <c r="DH63" i="15"/>
  <c r="DH67" i="15"/>
  <c r="DH71" i="15"/>
  <c r="DH75" i="15"/>
  <c r="DH79" i="15"/>
  <c r="DH83" i="15"/>
  <c r="DH87" i="15"/>
  <c r="DH91" i="15"/>
  <c r="DH95" i="15"/>
  <c r="DH99" i="15"/>
  <c r="DH103" i="15"/>
  <c r="DH107" i="15"/>
  <c r="DH111" i="15"/>
  <c r="DH115" i="15"/>
  <c r="DH119" i="15"/>
  <c r="DH123" i="15"/>
  <c r="DH127" i="15"/>
  <c r="DH131" i="15"/>
  <c r="DH151" i="15"/>
  <c r="DI151" i="15" s="1"/>
  <c r="DH155" i="15"/>
  <c r="DH159" i="15"/>
  <c r="DH163" i="15"/>
  <c r="DH167" i="15"/>
  <c r="DH171" i="15"/>
  <c r="DH175" i="15"/>
  <c r="DH179" i="15"/>
  <c r="DH183" i="15"/>
  <c r="DH187" i="15"/>
  <c r="DH191" i="15"/>
  <c r="DH195" i="15"/>
  <c r="DH199" i="15"/>
  <c r="DH203" i="15"/>
  <c r="DH207" i="15"/>
  <c r="DH211" i="15"/>
  <c r="DH215" i="15"/>
  <c r="DH219" i="15"/>
  <c r="DH223" i="15"/>
  <c r="DH227" i="15"/>
  <c r="DH231" i="15"/>
  <c r="DH235" i="15"/>
  <c r="DH239" i="15"/>
  <c r="DH243" i="15"/>
  <c r="DH247" i="15"/>
  <c r="DH251" i="15"/>
  <c r="DH255" i="15"/>
  <c r="DH259" i="15"/>
  <c r="DH263" i="15"/>
  <c r="DH283" i="15"/>
  <c r="DH287" i="15"/>
  <c r="DH291" i="15"/>
  <c r="DH295" i="15"/>
  <c r="DH299" i="15"/>
  <c r="DH303" i="15"/>
  <c r="DH307" i="15"/>
  <c r="DH311" i="15"/>
  <c r="DH20" i="15"/>
  <c r="DH52" i="15"/>
  <c r="DH68" i="15"/>
  <c r="DH84" i="15"/>
  <c r="DH100" i="15"/>
  <c r="DH116" i="15"/>
  <c r="DH164" i="15"/>
  <c r="DH180" i="15"/>
  <c r="DH196" i="15"/>
  <c r="DH212" i="15"/>
  <c r="DH228" i="15"/>
  <c r="DH260" i="15"/>
  <c r="DH292" i="15"/>
  <c r="DH306" i="15"/>
  <c r="DH314" i="15"/>
  <c r="DH320" i="15"/>
  <c r="DH324" i="15"/>
  <c r="DH328" i="15"/>
  <c r="DH332" i="15"/>
  <c r="DH336" i="15"/>
  <c r="DH340" i="15"/>
  <c r="DH344" i="15"/>
  <c r="DH348" i="15"/>
  <c r="DH352" i="15"/>
  <c r="DH356" i="15"/>
  <c r="DH360" i="15"/>
  <c r="DH364" i="15"/>
  <c r="DH368" i="15"/>
  <c r="DH372" i="15"/>
  <c r="DH376" i="15"/>
  <c r="DH380" i="15"/>
  <c r="DH384" i="15"/>
  <c r="DH392" i="15"/>
  <c r="DH396" i="15"/>
  <c r="DH400" i="15"/>
  <c r="DH404" i="15"/>
  <c r="DH408" i="15"/>
  <c r="DH412" i="15"/>
  <c r="DH416" i="15"/>
  <c r="DH420" i="15"/>
  <c r="DH424" i="15"/>
  <c r="DH428" i="15"/>
  <c r="DH432" i="15"/>
  <c r="DH436" i="15"/>
  <c r="DH440" i="15"/>
  <c r="DH444" i="15"/>
  <c r="DH448" i="15"/>
  <c r="DH452" i="15"/>
  <c r="DH456" i="15"/>
  <c r="DH460" i="15"/>
  <c r="DH464" i="15"/>
  <c r="DH468" i="15"/>
  <c r="DH472" i="15"/>
  <c r="DH492" i="15"/>
  <c r="DH496" i="15"/>
  <c r="DH500" i="15"/>
  <c r="DH504" i="15"/>
  <c r="DH508" i="15"/>
  <c r="DH512" i="15"/>
  <c r="DH516" i="15"/>
  <c r="DH520" i="15"/>
  <c r="DH524" i="15"/>
  <c r="DH528" i="15"/>
  <c r="DH532" i="15"/>
  <c r="DH536" i="15"/>
  <c r="DH540" i="15"/>
  <c r="DH544" i="15"/>
  <c r="DH548" i="15"/>
  <c r="DH552" i="15"/>
  <c r="DH556" i="15"/>
  <c r="DH8" i="15"/>
  <c r="DH24" i="15"/>
  <c r="DH40" i="15"/>
  <c r="DH56" i="15"/>
  <c r="DH72" i="15"/>
  <c r="DH120" i="15"/>
  <c r="DH152" i="15"/>
  <c r="DH168" i="15"/>
  <c r="DH184" i="15"/>
  <c r="DH216" i="15"/>
  <c r="DH232" i="15"/>
  <c r="DH248" i="15"/>
  <c r="DH296" i="15"/>
  <c r="DH308" i="15"/>
  <c r="DH316" i="15"/>
  <c r="DH321" i="15"/>
  <c r="DH325" i="15"/>
  <c r="DH329" i="15"/>
  <c r="DH333" i="15"/>
  <c r="DH337" i="15"/>
  <c r="DH345" i="15"/>
  <c r="DH349" i="15"/>
  <c r="DH353" i="15"/>
  <c r="DH357" i="15"/>
  <c r="DH361" i="15"/>
  <c r="DH365" i="15"/>
  <c r="DH369" i="15"/>
  <c r="DH373" i="15"/>
  <c r="DH377" i="15"/>
  <c r="DH381" i="15"/>
  <c r="DH385" i="15"/>
  <c r="DH389" i="15"/>
  <c r="DH393" i="15"/>
  <c r="DH397" i="15"/>
  <c r="DH401" i="15"/>
  <c r="DH405" i="15"/>
  <c r="DH409" i="15"/>
  <c r="DH413" i="15"/>
  <c r="DH417" i="15"/>
  <c r="DH421" i="15"/>
  <c r="DH429" i="15"/>
  <c r="DH433" i="15"/>
  <c r="DH437" i="15"/>
  <c r="DH441" i="15"/>
  <c r="DH445" i="15"/>
  <c r="DH453" i="15"/>
  <c r="DH457" i="15"/>
  <c r="DH461" i="15"/>
  <c r="DH465" i="15"/>
  <c r="DH469" i="15"/>
  <c r="DH473" i="15"/>
  <c r="DH497" i="15"/>
  <c r="DH501" i="15"/>
  <c r="DH505" i="15"/>
  <c r="DH509" i="15"/>
  <c r="DH517" i="15"/>
  <c r="DH521" i="15"/>
  <c r="DH525" i="15"/>
  <c r="DH529" i="15"/>
  <c r="DH533" i="15"/>
  <c r="DH541" i="15"/>
  <c r="DH545" i="15"/>
  <c r="DH549" i="15"/>
  <c r="DH557" i="15"/>
  <c r="DH12" i="15"/>
  <c r="DH28" i="15"/>
  <c r="DH44" i="15"/>
  <c r="DH60" i="15"/>
  <c r="DH76" i="15"/>
  <c r="DH92" i="15"/>
  <c r="DH108" i="15"/>
  <c r="DH124" i="15"/>
  <c r="DH156" i="15"/>
  <c r="DH172" i="15"/>
  <c r="DH188" i="15"/>
  <c r="DH204" i="15"/>
  <c r="DH220" i="15"/>
  <c r="DH236" i="15"/>
  <c r="DH252" i="15"/>
  <c r="DH284" i="15"/>
  <c r="DH300" i="15"/>
  <c r="DH310" i="15"/>
  <c r="DH318" i="15"/>
  <c r="DH322" i="15"/>
  <c r="DH326" i="15"/>
  <c r="DH330" i="15"/>
  <c r="DH334" i="15"/>
  <c r="DH338" i="15"/>
  <c r="DH342" i="15"/>
  <c r="DH346" i="15"/>
  <c r="DH350" i="15"/>
  <c r="DH354" i="15"/>
  <c r="DH358" i="15"/>
  <c r="DH362" i="15"/>
  <c r="DH366" i="15"/>
  <c r="DH370" i="15"/>
  <c r="DH374" i="15"/>
  <c r="DH378" i="15"/>
  <c r="DH382" i="15"/>
  <c r="DH386" i="15"/>
  <c r="DH390" i="15"/>
  <c r="DH394" i="15"/>
  <c r="DH398" i="15"/>
  <c r="DH402" i="15"/>
  <c r="DH406" i="15"/>
  <c r="DH410" i="15"/>
  <c r="DH414" i="15"/>
  <c r="DH418" i="15"/>
  <c r="DH422" i="15"/>
  <c r="DH426" i="15"/>
  <c r="DH430" i="15"/>
  <c r="DH434" i="15"/>
  <c r="DH438" i="15"/>
  <c r="DH442" i="15"/>
  <c r="DH446" i="15"/>
  <c r="DH450" i="15"/>
  <c r="DH454" i="15"/>
  <c r="DH458" i="15"/>
  <c r="DH462" i="15"/>
  <c r="DH466" i="15"/>
  <c r="DH470" i="15"/>
  <c r="DH474" i="15"/>
  <c r="DH494" i="15"/>
  <c r="DH498" i="15"/>
  <c r="DH502" i="15"/>
  <c r="DH506" i="15"/>
  <c r="DH510" i="15"/>
  <c r="DH514" i="15"/>
  <c r="DH518" i="15"/>
  <c r="DH522" i="15"/>
  <c r="DH526" i="15"/>
  <c r="DH530" i="15"/>
  <c r="DH534" i="15"/>
  <c r="DH538" i="15"/>
  <c r="DH542" i="15"/>
  <c r="DH546" i="15"/>
  <c r="DH550" i="15"/>
  <c r="DH554" i="15"/>
  <c r="DH16" i="15"/>
  <c r="DH32" i="15"/>
  <c r="DH48" i="15"/>
  <c r="DH64" i="15"/>
  <c r="DH80" i="15"/>
  <c r="DH96" i="15"/>
  <c r="DH112" i="15"/>
  <c r="DH128" i="15"/>
  <c r="DH160" i="15"/>
  <c r="DH176" i="15"/>
  <c r="DH192" i="15"/>
  <c r="DH208" i="15"/>
  <c r="DH224" i="15"/>
  <c r="DH240" i="15"/>
  <c r="DH256" i="15"/>
  <c r="DH288" i="15"/>
  <c r="DH304" i="15"/>
  <c r="DH312" i="15"/>
  <c r="DH319" i="15"/>
  <c r="DH323" i="15"/>
  <c r="DH327" i="15"/>
  <c r="DH331" i="15"/>
  <c r="DH335" i="15"/>
  <c r="DH339" i="15"/>
  <c r="DH343" i="15"/>
  <c r="DH347" i="15"/>
  <c r="DH351" i="15"/>
  <c r="DH355" i="15"/>
  <c r="DH359" i="15"/>
  <c r="DH363" i="15"/>
  <c r="DH367" i="15"/>
  <c r="DH371" i="15"/>
  <c r="DH375" i="15"/>
  <c r="DH379" i="15"/>
  <c r="DH383" i="15"/>
  <c r="DH387" i="15"/>
  <c r="DH391" i="15"/>
  <c r="DH395" i="15"/>
  <c r="DH399" i="15"/>
  <c r="DH403" i="15"/>
  <c r="DH407" i="15"/>
  <c r="DH411" i="15"/>
  <c r="DH415" i="15"/>
  <c r="DH419" i="15"/>
  <c r="DH423" i="15"/>
  <c r="DH427" i="15"/>
  <c r="DH431" i="15"/>
  <c r="DH435" i="15"/>
  <c r="DH439" i="15"/>
  <c r="DH443" i="15"/>
  <c r="DH447" i="15"/>
  <c r="DH451" i="15"/>
  <c r="DH455" i="15"/>
  <c r="DH459" i="15"/>
  <c r="DH463" i="15"/>
  <c r="DH467" i="15"/>
  <c r="DH471" i="15"/>
  <c r="DH491" i="15"/>
  <c r="DH495" i="15"/>
  <c r="DH499" i="15"/>
  <c r="DH503" i="15"/>
  <c r="DH507" i="15"/>
  <c r="DH511" i="15"/>
  <c r="DH515" i="15"/>
  <c r="DH519" i="15"/>
  <c r="DH523" i="15"/>
  <c r="DH527" i="15"/>
  <c r="DH531" i="15"/>
  <c r="DH535" i="15"/>
  <c r="DH547" i="15"/>
  <c r="DH559" i="15"/>
  <c r="DH563" i="15"/>
  <c r="DH567" i="15"/>
  <c r="DH571" i="15"/>
  <c r="DH603" i="15"/>
  <c r="DH607" i="15"/>
  <c r="DH611" i="15"/>
  <c r="DH615" i="15"/>
  <c r="DH619" i="15"/>
  <c r="DH623" i="15"/>
  <c r="DH627" i="15"/>
  <c r="DH631" i="15"/>
  <c r="DH635" i="15"/>
  <c r="DH639" i="15"/>
  <c r="DH643" i="15"/>
  <c r="DH647" i="15"/>
  <c r="DH651" i="15"/>
  <c r="DH655" i="15"/>
  <c r="DH659" i="15"/>
  <c r="DH663" i="15"/>
  <c r="DH667" i="15"/>
  <c r="DH671" i="15"/>
  <c r="DH675" i="15"/>
  <c r="DH679" i="15"/>
  <c r="DH683" i="15"/>
  <c r="DH687" i="15"/>
  <c r="DH691" i="15"/>
  <c r="DH695" i="15"/>
  <c r="DH699" i="15"/>
  <c r="DH703" i="15"/>
  <c r="DH707" i="15"/>
  <c r="DH711" i="15"/>
  <c r="DH715" i="15"/>
  <c r="DH747" i="15"/>
  <c r="DH751" i="15"/>
  <c r="DH755" i="15"/>
  <c r="DH759" i="15"/>
  <c r="DH763" i="15"/>
  <c r="DH767" i="15"/>
  <c r="DH771" i="15"/>
  <c r="DH775" i="15"/>
  <c r="DH779" i="15"/>
  <c r="DH783" i="15"/>
  <c r="DH787" i="15"/>
  <c r="DH791" i="15"/>
  <c r="DH795" i="15"/>
  <c r="DH799" i="15"/>
  <c r="DH803" i="15"/>
  <c r="DH807" i="15"/>
  <c r="DH815" i="15"/>
  <c r="DH819" i="15"/>
  <c r="DH823" i="15"/>
  <c r="DH827" i="15"/>
  <c r="DH831" i="15"/>
  <c r="DH835" i="15"/>
  <c r="DH839" i="15"/>
  <c r="DH843" i="15"/>
  <c r="DH847" i="15"/>
  <c r="DH851" i="15"/>
  <c r="DH855" i="15"/>
  <c r="DH859" i="15"/>
  <c r="DH863" i="15"/>
  <c r="DH867" i="15"/>
  <c r="DI867" i="15" s="1"/>
  <c r="DH871" i="15"/>
  <c r="DI871" i="15" s="1"/>
  <c r="DH875" i="15"/>
  <c r="DI875" i="15" s="1"/>
  <c r="DH879" i="15"/>
  <c r="DI879" i="15" s="1"/>
  <c r="DH883" i="15"/>
  <c r="DI883" i="15" s="1"/>
  <c r="DH887" i="15"/>
  <c r="DI887" i="15" s="1"/>
  <c r="DH891" i="15"/>
  <c r="DI891" i="15" s="1"/>
  <c r="DH895" i="15"/>
  <c r="DI895" i="15" s="1"/>
  <c r="DH551" i="15"/>
  <c r="DH560" i="15"/>
  <c r="DH564" i="15"/>
  <c r="DH568" i="15"/>
  <c r="DH572" i="15"/>
  <c r="DH608" i="15"/>
  <c r="DH612" i="15"/>
  <c r="DH616" i="15"/>
  <c r="DH620" i="15"/>
  <c r="DH624" i="15"/>
  <c r="DH628" i="15"/>
  <c r="DH632" i="15"/>
  <c r="DH636" i="15"/>
  <c r="DH640" i="15"/>
  <c r="DH644" i="15"/>
  <c r="DH648" i="15"/>
  <c r="DH652" i="15"/>
  <c r="DH656" i="15"/>
  <c r="DH660" i="15"/>
  <c r="DH664" i="15"/>
  <c r="DH668" i="15"/>
  <c r="DH672" i="15"/>
  <c r="DH676" i="15"/>
  <c r="DH680" i="15"/>
  <c r="DH684" i="15"/>
  <c r="DH688" i="15"/>
  <c r="DH692" i="15"/>
  <c r="DH696" i="15"/>
  <c r="DH700" i="15"/>
  <c r="DH704" i="15"/>
  <c r="DH708" i="15"/>
  <c r="DH712" i="15"/>
  <c r="DH716" i="15"/>
  <c r="DH744" i="15"/>
  <c r="DH748" i="15"/>
  <c r="DH752" i="15"/>
  <c r="DH756" i="15"/>
  <c r="DH760" i="15"/>
  <c r="DH764" i="15"/>
  <c r="DH768" i="15"/>
  <c r="DH772" i="15"/>
  <c r="DH776" i="15"/>
  <c r="DH780" i="15"/>
  <c r="DH784" i="15"/>
  <c r="DH792" i="15"/>
  <c r="DH796" i="15"/>
  <c r="DH800" i="15"/>
  <c r="DH804" i="15"/>
  <c r="DH808" i="15"/>
  <c r="DH812" i="15"/>
  <c r="DH816" i="15"/>
  <c r="DH820" i="15"/>
  <c r="DH824" i="15"/>
  <c r="DH828" i="15"/>
  <c r="DH836" i="15"/>
  <c r="DH840" i="15"/>
  <c r="DH844" i="15"/>
  <c r="DH848" i="15"/>
  <c r="DH852" i="15"/>
  <c r="DH856" i="15"/>
  <c r="DH860" i="15"/>
  <c r="DH864" i="15"/>
  <c r="DI864" i="15" s="1"/>
  <c r="DH868" i="15"/>
  <c r="DI868" i="15" s="1"/>
  <c r="DH872" i="15"/>
  <c r="DI872" i="15" s="1"/>
  <c r="DH876" i="15"/>
  <c r="DI876" i="15" s="1"/>
  <c r="DH880" i="15"/>
  <c r="DI880" i="15" s="1"/>
  <c r="DH884" i="15"/>
  <c r="DI884" i="15" s="1"/>
  <c r="DH888" i="15"/>
  <c r="DI888" i="15" s="1"/>
  <c r="DH892" i="15"/>
  <c r="DI892" i="15" s="1"/>
  <c r="DH539" i="15"/>
  <c r="DH555" i="15"/>
  <c r="DH561" i="15"/>
  <c r="DH565" i="15"/>
  <c r="DH569" i="15"/>
  <c r="DH605" i="15"/>
  <c r="DH609" i="15"/>
  <c r="DH613" i="15"/>
  <c r="DH617" i="15"/>
  <c r="DH621" i="15"/>
  <c r="DH625" i="15"/>
  <c r="DH629" i="15"/>
  <c r="DH633" i="15"/>
  <c r="DH637" i="15"/>
  <c r="DH641" i="15"/>
  <c r="DH645" i="15"/>
  <c r="DH653" i="15"/>
  <c r="DH657" i="15"/>
  <c r="DH661" i="15"/>
  <c r="DH665" i="15"/>
  <c r="DH669" i="15"/>
  <c r="DH673" i="15"/>
  <c r="DH677" i="15"/>
  <c r="DH681" i="15"/>
  <c r="DH685" i="15"/>
  <c r="DH689" i="15"/>
  <c r="DH693" i="15"/>
  <c r="DH697" i="15"/>
  <c r="DH701" i="15"/>
  <c r="DH705" i="15"/>
  <c r="DH709" i="15"/>
  <c r="DH713" i="15"/>
  <c r="DH717" i="15"/>
  <c r="DH745" i="15"/>
  <c r="DH749" i="15"/>
  <c r="DH753" i="15"/>
  <c r="DH757" i="15"/>
  <c r="DH761" i="15"/>
  <c r="DH769" i="15"/>
  <c r="DH773" i="15"/>
  <c r="DH777" i="15"/>
  <c r="DH781" i="15"/>
  <c r="DH785" i="15"/>
  <c r="DH789" i="15"/>
  <c r="DH793" i="15"/>
  <c r="DH797" i="15"/>
  <c r="DH801" i="15"/>
  <c r="DH805" i="15"/>
  <c r="DH809" i="15"/>
  <c r="DH813" i="15"/>
  <c r="DH817" i="15"/>
  <c r="DH821" i="15"/>
  <c r="DH825" i="15"/>
  <c r="DH829" i="15"/>
  <c r="DH833" i="15"/>
  <c r="DH837" i="15"/>
  <c r="DH841" i="15"/>
  <c r="DH845" i="15"/>
  <c r="DH849" i="15"/>
  <c r="DH853" i="15"/>
  <c r="DH857" i="15"/>
  <c r="DH861" i="15"/>
  <c r="DH869" i="15"/>
  <c r="DI869" i="15" s="1"/>
  <c r="DH873" i="15"/>
  <c r="DI873" i="15" s="1"/>
  <c r="DH877" i="15"/>
  <c r="DI877" i="15" s="1"/>
  <c r="DH881" i="15"/>
  <c r="DI881" i="15" s="1"/>
  <c r="DH543" i="15"/>
  <c r="DH558" i="15"/>
  <c r="DH562" i="15"/>
  <c r="DH566" i="15"/>
  <c r="DH570" i="15"/>
  <c r="DH602" i="15"/>
  <c r="DH606" i="15"/>
  <c r="DH610" i="15"/>
  <c r="DH614" i="15"/>
  <c r="DH618" i="15"/>
  <c r="DH622" i="15"/>
  <c r="DH626" i="15"/>
  <c r="DH630" i="15"/>
  <c r="DH634" i="15"/>
  <c r="DH642" i="15"/>
  <c r="DH646" i="15"/>
  <c r="DH650" i="15"/>
  <c r="DH654" i="15"/>
  <c r="DH658" i="15"/>
  <c r="DH662" i="15"/>
  <c r="DH666" i="15"/>
  <c r="DH674" i="15"/>
  <c r="DH678" i="15"/>
  <c r="DH682" i="15"/>
  <c r="DH686" i="15"/>
  <c r="DH690" i="15"/>
  <c r="DH694" i="15"/>
  <c r="DH702" i="15"/>
  <c r="DH706" i="15"/>
  <c r="DH710" i="15"/>
  <c r="DH714" i="15"/>
  <c r="DH718" i="15"/>
  <c r="DH750" i="15"/>
  <c r="DH754" i="15"/>
  <c r="DH758" i="15"/>
  <c r="DH762" i="15"/>
  <c r="DH766" i="15"/>
  <c r="DH770" i="15"/>
  <c r="DH774" i="15"/>
  <c r="DH778" i="15"/>
  <c r="DH782" i="15"/>
  <c r="DH786" i="15"/>
  <c r="DH790" i="15"/>
  <c r="DH794" i="15"/>
  <c r="DH798" i="15"/>
  <c r="DH802" i="15"/>
  <c r="DH806" i="15"/>
  <c r="DH810" i="15"/>
  <c r="DH814" i="15"/>
  <c r="DH818" i="15"/>
  <c r="DH822" i="15"/>
  <c r="DH826" i="15"/>
  <c r="DH830" i="15"/>
  <c r="DH834" i="15"/>
  <c r="DH838" i="15"/>
  <c r="DH842" i="15"/>
  <c r="DH846" i="15"/>
  <c r="DH850" i="15"/>
  <c r="DH854" i="15"/>
  <c r="DH858" i="15"/>
  <c r="DH862" i="15"/>
  <c r="DH866" i="15"/>
  <c r="DI866" i="15" s="1"/>
  <c r="DH870" i="15"/>
  <c r="DI870" i="15" s="1"/>
  <c r="DH874" i="15"/>
  <c r="DI874" i="15" s="1"/>
  <c r="DH878" i="15"/>
  <c r="DI878" i="15" s="1"/>
  <c r="DH882" i="15"/>
  <c r="DI882" i="15" s="1"/>
  <c r="DH886" i="15"/>
  <c r="DI886" i="15" s="1"/>
  <c r="DH890" i="15"/>
  <c r="DI890" i="15" s="1"/>
  <c r="DH894" i="15"/>
  <c r="DI894" i="15" s="1"/>
  <c r="DH898" i="15"/>
  <c r="DI898" i="15" s="1"/>
  <c r="DH893" i="15"/>
  <c r="DI893" i="15" s="1"/>
  <c r="DH896" i="15"/>
  <c r="DI896" i="15" s="1"/>
  <c r="DH885" i="15"/>
  <c r="DI885" i="15" s="1"/>
  <c r="DH897" i="15"/>
  <c r="DI897" i="15" s="1"/>
  <c r="DH889" i="15"/>
  <c r="DI889" i="15" s="1"/>
  <c r="AA216" i="1"/>
  <c r="AG216" i="1" s="1"/>
  <c r="Z155" i="1"/>
  <c r="AF155" i="1" s="1"/>
  <c r="Y155" i="1"/>
  <c r="AE155" i="1" s="1"/>
  <c r="AC153" i="1"/>
  <c r="AI153" i="1" s="1"/>
  <c r="H155" i="1"/>
  <c r="Y168" i="1"/>
  <c r="AE168" i="1" s="1"/>
  <c r="AA155" i="1"/>
  <c r="AG155" i="1" s="1"/>
  <c r="AC168" i="1"/>
  <c r="AI168" i="1" s="1"/>
  <c r="H161" i="1"/>
  <c r="AA165" i="1"/>
  <c r="AG165" i="1" s="1"/>
  <c r="Y165" i="1"/>
  <c r="Z161" i="1"/>
  <c r="AF161" i="1" s="1"/>
  <c r="AB161" i="1"/>
  <c r="AH161" i="1" s="1"/>
  <c r="AA168" i="1"/>
  <c r="AG168" i="1" s="1"/>
  <c r="AE164" i="1"/>
  <c r="AJ164" i="1" s="1"/>
  <c r="AD164" i="1"/>
  <c r="AB165" i="1"/>
  <c r="AH165" i="1" s="1"/>
  <c r="AC165" i="1"/>
  <c r="AI165" i="1" s="1"/>
  <c r="H169" i="1"/>
  <c r="C169" i="1" s="1"/>
  <c r="AB159" i="1"/>
  <c r="AH159" i="1" s="1"/>
  <c r="AE161" i="1"/>
  <c r="AD158" i="1"/>
  <c r="AE158" i="1"/>
  <c r="AJ158" i="1" s="1"/>
  <c r="Z159" i="1"/>
  <c r="AF159" i="1" s="1"/>
  <c r="AC159" i="1"/>
  <c r="AI159" i="1" s="1"/>
  <c r="AA159" i="1"/>
  <c r="AG159" i="1" s="1"/>
  <c r="Y159" i="1"/>
  <c r="AD152" i="1"/>
  <c r="AE152" i="1"/>
  <c r="AJ152" i="1" s="1"/>
  <c r="H226" i="1"/>
  <c r="AE153" i="1"/>
  <c r="H206" i="1"/>
  <c r="H234" i="1"/>
  <c r="H230" i="1"/>
  <c r="Z218" i="1"/>
  <c r="AF218" i="1" s="1"/>
  <c r="H248" i="1"/>
  <c r="C248" i="1" s="1"/>
  <c r="AC247" i="1"/>
  <c r="AI247" i="1" s="1"/>
  <c r="Y247" i="1"/>
  <c r="AE247" i="1" s="1"/>
  <c r="H247" i="1"/>
  <c r="AA247" i="1"/>
  <c r="AG247" i="1" s="1"/>
  <c r="Z247" i="1"/>
  <c r="AF247" i="1" s="1"/>
  <c r="AA250" i="1"/>
  <c r="AG250" i="1" s="1"/>
  <c r="AB247" i="1"/>
  <c r="AH247" i="1" s="1"/>
  <c r="H251" i="1"/>
  <c r="C251" i="1" s="1"/>
  <c r="C218" i="1"/>
  <c r="Z206" i="1"/>
  <c r="AF206" i="1" s="1"/>
  <c r="H253" i="1"/>
  <c r="C253" i="1" s="1"/>
  <c r="AB252" i="1"/>
  <c r="AH252" i="1" s="1"/>
  <c r="AA252" i="1"/>
  <c r="AG252" i="1" s="1"/>
  <c r="Y252" i="1"/>
  <c r="AC252" i="1"/>
  <c r="AI252" i="1" s="1"/>
  <c r="Z252" i="1"/>
  <c r="AF252" i="1" s="1"/>
  <c r="AD249" i="1"/>
  <c r="Y230" i="1"/>
  <c r="AE230" i="1" s="1"/>
  <c r="Z234" i="1"/>
  <c r="AF234" i="1" s="1"/>
  <c r="AB218" i="1"/>
  <c r="AH218" i="1" s="1"/>
  <c r="Y218" i="1"/>
  <c r="AE218" i="1" s="1"/>
  <c r="C250" i="1"/>
  <c r="AC250" i="1"/>
  <c r="AI250" i="1" s="1"/>
  <c r="AJ249" i="1"/>
  <c r="AB216" i="1"/>
  <c r="AH216" i="1" s="1"/>
  <c r="AC208" i="1"/>
  <c r="AI208" i="1" s="1"/>
  <c r="H231" i="1"/>
  <c r="C231" i="1" s="1"/>
  <c r="Y250" i="1"/>
  <c r="AB250" i="1"/>
  <c r="AH250" i="1" s="1"/>
  <c r="Z250" i="1"/>
  <c r="AF250" i="1" s="1"/>
  <c r="H250" i="1"/>
  <c r="H214" i="1"/>
  <c r="C214" i="1" s="1"/>
  <c r="H209" i="1"/>
  <c r="C209" i="1" s="1"/>
  <c r="AB230" i="1"/>
  <c r="AH230" i="1" s="1"/>
  <c r="AA230" i="1"/>
  <c r="AG230" i="1" s="1"/>
  <c r="Z230" i="1"/>
  <c r="AF230" i="1" s="1"/>
  <c r="AC230" i="1"/>
  <c r="AI230" i="1" s="1"/>
  <c r="AC206" i="1"/>
  <c r="AI206" i="1" s="1"/>
  <c r="Z226" i="1"/>
  <c r="AF226" i="1" s="1"/>
  <c r="H207" i="1"/>
  <c r="C207" i="1" s="1"/>
  <c r="AA234" i="1"/>
  <c r="AG234" i="1" s="1"/>
  <c r="Y234" i="1"/>
  <c r="AB234" i="1"/>
  <c r="AH234" i="1" s="1"/>
  <c r="AC234" i="1"/>
  <c r="AI234" i="1" s="1"/>
  <c r="AD233" i="1"/>
  <c r="AE233" i="1"/>
  <c r="AJ233" i="1" s="1"/>
  <c r="AB226" i="1"/>
  <c r="AH226" i="1" s="1"/>
  <c r="AA226" i="1"/>
  <c r="AG226" i="1" s="1"/>
  <c r="AD225" i="1"/>
  <c r="AE225" i="1"/>
  <c r="AJ225" i="1" s="1"/>
  <c r="Y226" i="1"/>
  <c r="AC226" i="1"/>
  <c r="AI226" i="1" s="1"/>
  <c r="AA208" i="1"/>
  <c r="AG208" i="1" s="1"/>
  <c r="Y206" i="1"/>
  <c r="AE206" i="1" s="1"/>
  <c r="H198" i="1"/>
  <c r="C198" i="1" s="1"/>
  <c r="AB201" i="1"/>
  <c r="AH201" i="1" s="1"/>
  <c r="AA211" i="1"/>
  <c r="AG211" i="1" s="1"/>
  <c r="H218" i="1"/>
  <c r="AC218" i="1"/>
  <c r="AI218" i="1" s="1"/>
  <c r="H224" i="1"/>
  <c r="C224" i="1" s="1"/>
  <c r="C201" i="1"/>
  <c r="AC191" i="1"/>
  <c r="AI191" i="1" s="1"/>
  <c r="AA206" i="1"/>
  <c r="AG206" i="1" s="1"/>
  <c r="AB206" i="1"/>
  <c r="AH206" i="1" s="1"/>
  <c r="Z208" i="1"/>
  <c r="AF208" i="1" s="1"/>
  <c r="AA218" i="1"/>
  <c r="AG218" i="1" s="1"/>
  <c r="C191" i="1"/>
  <c r="AE210" i="1"/>
  <c r="AJ210" i="1" s="1"/>
  <c r="AD210" i="1"/>
  <c r="C211" i="1"/>
  <c r="AB208" i="1"/>
  <c r="AH208" i="1" s="1"/>
  <c r="AD200" i="1"/>
  <c r="AE200" i="1"/>
  <c r="AJ200" i="1" s="1"/>
  <c r="AC201" i="1"/>
  <c r="AI201" i="1" s="1"/>
  <c r="C216" i="1"/>
  <c r="Y216" i="1"/>
  <c r="Z216" i="1"/>
  <c r="AF216" i="1" s="1"/>
  <c r="Y203" i="1"/>
  <c r="AB211" i="1"/>
  <c r="AH211" i="1" s="1"/>
  <c r="H203" i="1"/>
  <c r="AA203" i="1"/>
  <c r="AG203" i="1" s="1"/>
  <c r="C203" i="1"/>
  <c r="AC203" i="1"/>
  <c r="AI203" i="1" s="1"/>
  <c r="AE215" i="1"/>
  <c r="AJ215" i="1" s="1"/>
  <c r="AD215" i="1"/>
  <c r="C213" i="1"/>
  <c r="AA213" i="1"/>
  <c r="AG213" i="1" s="1"/>
  <c r="Y213" i="1"/>
  <c r="Z213" i="1"/>
  <c r="AF213" i="1" s="1"/>
  <c r="AC213" i="1"/>
  <c r="AI213" i="1" s="1"/>
  <c r="AB213" i="1"/>
  <c r="AH213" i="1" s="1"/>
  <c r="H213" i="1"/>
  <c r="Y208" i="1"/>
  <c r="AA201" i="1"/>
  <c r="AG201" i="1" s="1"/>
  <c r="AB203" i="1"/>
  <c r="AH203" i="1" s="1"/>
  <c r="H208" i="1"/>
  <c r="AE205" i="1"/>
  <c r="AJ205" i="1" s="1"/>
  <c r="AD205" i="1"/>
  <c r="AC211" i="1"/>
  <c r="AI211" i="1" s="1"/>
  <c r="Y211" i="1"/>
  <c r="Z211" i="1"/>
  <c r="AF211" i="1" s="1"/>
  <c r="Y201" i="1"/>
  <c r="Z201" i="1"/>
  <c r="AF201" i="1" s="1"/>
  <c r="Z203" i="1"/>
  <c r="AF203" i="1" s="1"/>
  <c r="AC216" i="1"/>
  <c r="AI216" i="1" s="1"/>
  <c r="H204" i="1"/>
  <c r="C204" i="1" s="1"/>
  <c r="H211" i="1"/>
  <c r="H216" i="1"/>
  <c r="Z191" i="1"/>
  <c r="AF191" i="1" s="1"/>
  <c r="AD194" i="1"/>
  <c r="AE194" i="1"/>
  <c r="AJ194" i="1" s="1"/>
  <c r="Y195" i="1"/>
  <c r="Z197" i="1"/>
  <c r="AF197" i="1" s="1"/>
  <c r="AC197" i="1"/>
  <c r="AI197" i="1" s="1"/>
  <c r="Y197" i="1"/>
  <c r="Z195" i="1"/>
  <c r="AF195" i="1" s="1"/>
  <c r="AA197" i="1"/>
  <c r="AG197" i="1" s="1"/>
  <c r="Z144" i="1"/>
  <c r="AF144" i="1" s="1"/>
  <c r="H197" i="1"/>
  <c r="H196" i="1"/>
  <c r="C196" i="1" s="1"/>
  <c r="AA195" i="1"/>
  <c r="AG195" i="1" s="1"/>
  <c r="AC195" i="1"/>
  <c r="AI195" i="1" s="1"/>
  <c r="AB195" i="1"/>
  <c r="AH195" i="1" s="1"/>
  <c r="AB197" i="1"/>
  <c r="AH197" i="1" s="1"/>
  <c r="AC189" i="1"/>
  <c r="AI189" i="1" s="1"/>
  <c r="AA191" i="1"/>
  <c r="AG191" i="1" s="1"/>
  <c r="H192" i="1"/>
  <c r="C192" i="1" s="1"/>
  <c r="AB191" i="1"/>
  <c r="AH191" i="1" s="1"/>
  <c r="AJ188" i="1"/>
  <c r="AD188" i="1"/>
  <c r="Y191" i="1"/>
  <c r="C189" i="1"/>
  <c r="Z189" i="1"/>
  <c r="AF189" i="1" s="1"/>
  <c r="H189" i="1"/>
  <c r="Y189" i="1"/>
  <c r="AA189" i="1"/>
  <c r="AG189" i="1" s="1"/>
  <c r="AB189" i="1"/>
  <c r="AH189" i="1" s="1"/>
  <c r="AC144" i="1"/>
  <c r="AI144" i="1" s="1"/>
  <c r="H150" i="1"/>
  <c r="C150" i="1" s="1"/>
  <c r="AB144" i="1"/>
  <c r="AH144" i="1" s="1"/>
  <c r="Y144" i="1"/>
  <c r="AE144" i="1" s="1"/>
  <c r="C144" i="1"/>
  <c r="H144" i="1"/>
  <c r="AA144" i="1"/>
  <c r="AG144" i="1" s="1"/>
  <c r="AA147" i="1"/>
  <c r="AG147" i="1" s="1"/>
  <c r="AB93" i="1"/>
  <c r="AH93" i="1" s="1"/>
  <c r="H176" i="1"/>
  <c r="C176" i="1" s="1"/>
  <c r="C149" i="1"/>
  <c r="Y149" i="1"/>
  <c r="Z149" i="1"/>
  <c r="AF149" i="1" s="1"/>
  <c r="AC149" i="1"/>
  <c r="AI149" i="1" s="1"/>
  <c r="AB149" i="1"/>
  <c r="AH149" i="1" s="1"/>
  <c r="AC107" i="1"/>
  <c r="AI107" i="1" s="1"/>
  <c r="Z113" i="1"/>
  <c r="AF113" i="1" s="1"/>
  <c r="Y147" i="1"/>
  <c r="AB147" i="1"/>
  <c r="AH147" i="1" s="1"/>
  <c r="AE146" i="1"/>
  <c r="AJ146" i="1" s="1"/>
  <c r="AD146" i="1"/>
  <c r="H149" i="1"/>
  <c r="AA111" i="1"/>
  <c r="H142" i="1"/>
  <c r="C142" i="1" s="1"/>
  <c r="AC147" i="1"/>
  <c r="AI147" i="1" s="1"/>
  <c r="AA112" i="1"/>
  <c r="Z109" i="1"/>
  <c r="Z147" i="1"/>
  <c r="AF147" i="1" s="1"/>
  <c r="AA149" i="1"/>
  <c r="AG149" i="1" s="1"/>
  <c r="H147" i="1"/>
  <c r="AA139" i="1"/>
  <c r="AG139" i="1" s="1"/>
  <c r="C93" i="1"/>
  <c r="AD143" i="1"/>
  <c r="AE143" i="1"/>
  <c r="AJ143" i="1" s="1"/>
  <c r="Z141" i="1"/>
  <c r="AF141" i="1" s="1"/>
  <c r="AC139" i="1"/>
  <c r="AI139" i="1" s="1"/>
  <c r="AA141" i="1"/>
  <c r="AG141" i="1" s="1"/>
  <c r="Y141" i="1"/>
  <c r="AC141" i="1"/>
  <c r="AI141" i="1" s="1"/>
  <c r="AB141" i="1"/>
  <c r="AH141" i="1" s="1"/>
  <c r="AB139" i="1"/>
  <c r="AH139" i="1" s="1"/>
  <c r="H140" i="1"/>
  <c r="C140" i="1" s="1"/>
  <c r="H141" i="1"/>
  <c r="Z139" i="1"/>
  <c r="AF139" i="1" s="1"/>
  <c r="AA93" i="1"/>
  <c r="AG93" i="1" s="1"/>
  <c r="Y139" i="1"/>
  <c r="AE138" i="1"/>
  <c r="AJ138" i="1" s="1"/>
  <c r="AD138" i="1"/>
  <c r="H139" i="1"/>
  <c r="H110" i="1"/>
  <c r="C110" i="1" s="1"/>
  <c r="Z93" i="1"/>
  <c r="AF93" i="1" s="1"/>
  <c r="Y93" i="1"/>
  <c r="AE93" i="1" s="1"/>
  <c r="AJ92" i="1"/>
  <c r="AC93" i="1"/>
  <c r="AI93" i="1" s="1"/>
  <c r="AD92" i="1"/>
  <c r="Y90" i="1"/>
  <c r="AE90" i="1" s="1"/>
  <c r="H91" i="1"/>
  <c r="C91" i="1" s="1"/>
  <c r="Z223" i="1"/>
  <c r="AF223" i="1" s="1"/>
  <c r="AC90" i="1"/>
  <c r="AI90" i="1" s="1"/>
  <c r="C90" i="1"/>
  <c r="Z90" i="1"/>
  <c r="AF90" i="1" s="1"/>
  <c r="H90" i="1"/>
  <c r="AA90" i="1"/>
  <c r="AG90" i="1" s="1"/>
  <c r="AB90" i="1"/>
  <c r="AH90" i="1" s="1"/>
  <c r="H228" i="1"/>
  <c r="H263" i="1"/>
  <c r="C263" i="1" s="1"/>
  <c r="C228" i="1"/>
  <c r="Z228" i="1"/>
  <c r="AF228" i="1" s="1"/>
  <c r="H17" i="1"/>
  <c r="C17" i="1" s="1"/>
  <c r="H229" i="1"/>
  <c r="C229" i="1" s="1"/>
  <c r="C242" i="1"/>
  <c r="AC223" i="1"/>
  <c r="AI223" i="1" s="1"/>
  <c r="AA257" i="1"/>
  <c r="AG257" i="1" s="1"/>
  <c r="AB245" i="1"/>
  <c r="AH245" i="1" s="1"/>
  <c r="H268" i="1"/>
  <c r="C268" i="1" s="1"/>
  <c r="H265" i="1"/>
  <c r="C265" i="1" s="1"/>
  <c r="H257" i="1"/>
  <c r="AA267" i="1"/>
  <c r="AG267" i="1" s="1"/>
  <c r="Z259" i="1"/>
  <c r="AF259" i="1" s="1"/>
  <c r="AB228" i="1"/>
  <c r="AH228" i="1" s="1"/>
  <c r="Y267" i="1"/>
  <c r="AE267" i="1" s="1"/>
  <c r="H261" i="1"/>
  <c r="C261" i="1" s="1"/>
  <c r="H267" i="1"/>
  <c r="Y257" i="1"/>
  <c r="AE257" i="1" s="1"/>
  <c r="AA228" i="1"/>
  <c r="AG228" i="1" s="1"/>
  <c r="C257" i="1"/>
  <c r="AD239" i="1"/>
  <c r="AC242" i="1"/>
  <c r="AI242" i="1" s="1"/>
  <c r="AB240" i="1"/>
  <c r="AH240" i="1" s="1"/>
  <c r="H246" i="1"/>
  <c r="C246" i="1" s="1"/>
  <c r="Z240" i="1"/>
  <c r="AF240" i="1" s="1"/>
  <c r="H243" i="1"/>
  <c r="C243" i="1" s="1"/>
  <c r="AA240" i="1"/>
  <c r="AG240" i="1" s="1"/>
  <c r="AE222" i="1"/>
  <c r="AJ222" i="1" s="1"/>
  <c r="AD222" i="1"/>
  <c r="Y245" i="1"/>
  <c r="AC259" i="1"/>
  <c r="AI259" i="1" s="1"/>
  <c r="AC240" i="1"/>
  <c r="AI240" i="1" s="1"/>
  <c r="AB259" i="1"/>
  <c r="AH259" i="1" s="1"/>
  <c r="AA245" i="1"/>
  <c r="AG245" i="1" s="1"/>
  <c r="AB267" i="1"/>
  <c r="AH267" i="1" s="1"/>
  <c r="H245" i="1"/>
  <c r="AA259" i="1"/>
  <c r="AG259" i="1" s="1"/>
  <c r="C266" i="1"/>
  <c r="AC266" i="1"/>
  <c r="AI266" i="1" s="1"/>
  <c r="Y266" i="1"/>
  <c r="H266" i="1"/>
  <c r="Z242" i="1"/>
  <c r="AF242" i="1" s="1"/>
  <c r="AA223" i="1"/>
  <c r="AG223" i="1" s="1"/>
  <c r="AA266" i="1"/>
  <c r="AG266" i="1" s="1"/>
  <c r="Z245" i="1"/>
  <c r="AF245" i="1" s="1"/>
  <c r="AC267" i="1"/>
  <c r="AI267" i="1" s="1"/>
  <c r="AJ239" i="1"/>
  <c r="AB257" i="1"/>
  <c r="AH257" i="1" s="1"/>
  <c r="Y259" i="1"/>
  <c r="AB242" i="1"/>
  <c r="AH242" i="1" s="1"/>
  <c r="H232" i="1"/>
  <c r="C232" i="1" s="1"/>
  <c r="Z257" i="1"/>
  <c r="AF257" i="1" s="1"/>
  <c r="AB223" i="1"/>
  <c r="AH223" i="1" s="1"/>
  <c r="H244" i="1"/>
  <c r="C244" i="1" s="1"/>
  <c r="AC245" i="1"/>
  <c r="AI245" i="1" s="1"/>
  <c r="Y240" i="1"/>
  <c r="Z267" i="1"/>
  <c r="AF267" i="1" s="1"/>
  <c r="AB266" i="1"/>
  <c r="AH266" i="1" s="1"/>
  <c r="AA242" i="1"/>
  <c r="AG242" i="1" s="1"/>
  <c r="H264" i="1"/>
  <c r="C264" i="1" s="1"/>
  <c r="Y242" i="1"/>
  <c r="Y223" i="1"/>
  <c r="AC257" i="1"/>
  <c r="AI257" i="1" s="1"/>
  <c r="AE256" i="1"/>
  <c r="AJ256" i="1" s="1"/>
  <c r="AD256" i="1"/>
  <c r="H236" i="1"/>
  <c r="C236" i="1" s="1"/>
  <c r="AC262" i="1"/>
  <c r="AI262" i="1" s="1"/>
  <c r="H262" i="1"/>
  <c r="AB262" i="1"/>
  <c r="AH262" i="1" s="1"/>
  <c r="AA262" i="1"/>
  <c r="AG262" i="1" s="1"/>
  <c r="Z262" i="1"/>
  <c r="AF262" i="1" s="1"/>
  <c r="C262" i="1"/>
  <c r="Y262" i="1"/>
  <c r="H259" i="1"/>
  <c r="Y228" i="1"/>
  <c r="AC228" i="1"/>
  <c r="AI228" i="1" s="1"/>
  <c r="Z266" i="1"/>
  <c r="AF266" i="1" s="1"/>
  <c r="AJ565" i="1"/>
  <c r="AB16" i="1"/>
  <c r="AH16" i="1" s="1"/>
  <c r="AC184" i="1"/>
  <c r="Z184" i="1"/>
  <c r="AC25" i="1"/>
  <c r="AC113" i="1"/>
  <c r="AI113" i="1" s="1"/>
  <c r="AB112" i="1"/>
  <c r="AA23" i="1"/>
  <c r="Y104" i="1"/>
  <c r="AB107" i="1"/>
  <c r="AC185" i="1"/>
  <c r="AA84" i="1"/>
  <c r="AB113" i="1"/>
  <c r="AH113" i="1" s="1"/>
  <c r="Z101" i="1"/>
  <c r="AF101" i="1" s="1"/>
  <c r="AA87" i="1"/>
  <c r="Y185" i="1"/>
  <c r="AC84" i="1"/>
  <c r="Y115" i="1"/>
  <c r="AE115" i="1" s="1"/>
  <c r="AA115" i="1"/>
  <c r="AG115" i="1" s="1"/>
  <c r="Z84" i="1"/>
  <c r="AB84" i="1"/>
  <c r="AB87" i="1"/>
  <c r="Y184" i="1"/>
  <c r="AB185" i="1"/>
  <c r="AA174" i="1"/>
  <c r="Y174" i="1"/>
  <c r="Z174" i="1"/>
  <c r="AC111" i="1"/>
  <c r="AB25" i="1"/>
  <c r="AB174" i="1"/>
  <c r="AA104" i="1"/>
  <c r="AG104" i="1" s="1"/>
  <c r="AA113" i="1"/>
  <c r="AG113" i="1" s="1"/>
  <c r="Z23" i="1"/>
  <c r="AA25" i="1"/>
  <c r="AA109" i="1"/>
  <c r="AA184" i="1"/>
  <c r="AA185" i="1"/>
  <c r="Y109" i="1"/>
  <c r="AB104" i="1"/>
  <c r="AH104" i="1" s="1"/>
  <c r="Y87" i="1"/>
  <c r="AA107" i="1"/>
  <c r="AG107" i="1" s="1"/>
  <c r="Y23" i="1"/>
  <c r="AB111" i="1"/>
  <c r="Y25" i="1"/>
  <c r="AB184" i="1"/>
  <c r="Y107" i="1"/>
  <c r="AE107" i="1" s="1"/>
  <c r="AC109" i="1"/>
  <c r="Z25" i="1"/>
  <c r="Y84" i="1"/>
  <c r="Z107" i="1"/>
  <c r="AF107" i="1" s="1"/>
  <c r="Y113" i="1"/>
  <c r="AE113" i="1" s="1"/>
  <c r="AC87" i="1"/>
  <c r="Y112" i="1"/>
  <c r="AC112" i="1"/>
  <c r="AC115" i="1"/>
  <c r="AI115" i="1" s="1"/>
  <c r="AB115" i="1"/>
  <c r="AH115" i="1" s="1"/>
  <c r="Y16" i="1"/>
  <c r="AE16" i="1" s="1"/>
  <c r="Z112" i="1"/>
  <c r="Z111" i="1"/>
  <c r="Z87" i="1"/>
  <c r="AC16" i="1"/>
  <c r="AI16" i="1" s="1"/>
  <c r="Z185" i="1"/>
  <c r="Z16" i="1"/>
  <c r="AF16" i="1" s="1"/>
  <c r="AA101" i="1"/>
  <c r="AG101" i="1" s="1"/>
  <c r="Y101" i="1"/>
  <c r="AE101" i="1" s="1"/>
  <c r="AB109" i="1"/>
  <c r="Y111" i="1"/>
  <c r="AA16" i="1"/>
  <c r="AG16" i="1" s="1"/>
  <c r="AB101" i="1"/>
  <c r="AH101" i="1" s="1"/>
  <c r="Z115" i="1"/>
  <c r="AF115" i="1" s="1"/>
  <c r="AC174" i="1"/>
  <c r="AC101" i="1"/>
  <c r="AI101" i="1" s="1"/>
  <c r="AC23" i="1"/>
  <c r="AB23" i="1"/>
  <c r="Z104" i="1"/>
  <c r="AC104" i="1"/>
  <c r="AI104" i="1" s="1"/>
  <c r="H129" i="1"/>
  <c r="C129" i="1" s="1"/>
  <c r="H136" i="1"/>
  <c r="C136" i="1" s="1"/>
  <c r="H171" i="1"/>
  <c r="H103" i="1"/>
  <c r="C103" i="1" s="1"/>
  <c r="H486" i="1"/>
  <c r="AH534" i="1"/>
  <c r="H492" i="1"/>
  <c r="C492" i="1" s="1"/>
  <c r="H21" i="1"/>
  <c r="C21" i="1" s="1"/>
  <c r="AF342" i="1"/>
  <c r="AG534" i="1"/>
  <c r="AI534" i="1"/>
  <c r="H178" i="1"/>
  <c r="C178" i="1" s="1"/>
  <c r="H333" i="1"/>
  <c r="H555" i="1"/>
  <c r="C555" i="1" s="1"/>
  <c r="H347" i="1"/>
  <c r="H430" i="1"/>
  <c r="AF531" i="1"/>
  <c r="AG342" i="1"/>
  <c r="AF584" i="1"/>
  <c r="H334" i="1"/>
  <c r="AI437" i="1"/>
  <c r="AI574" i="1"/>
  <c r="H381" i="1"/>
  <c r="C381" i="1" s="1"/>
  <c r="H467" i="1"/>
  <c r="C467" i="1" s="1"/>
  <c r="H518" i="1"/>
  <c r="H423" i="1"/>
  <c r="C423" i="1" s="1"/>
  <c r="AD514" i="1"/>
  <c r="AH437" i="1"/>
  <c r="C325" i="1"/>
  <c r="AD520" i="1"/>
  <c r="AH450" i="1"/>
  <c r="AG310" i="1"/>
  <c r="H335" i="1"/>
  <c r="AE385" i="1"/>
  <c r="H511" i="1"/>
  <c r="C511" i="1" s="1"/>
  <c r="H489" i="1"/>
  <c r="H457" i="1"/>
  <c r="H547" i="1"/>
  <c r="AH444" i="1"/>
  <c r="AI295" i="1"/>
  <c r="H292" i="1"/>
  <c r="H571" i="1"/>
  <c r="C571" i="1" s="1"/>
  <c r="H550" i="1"/>
  <c r="C334" i="1"/>
  <c r="H345" i="1"/>
  <c r="C345" i="1" s="1"/>
  <c r="H444" i="1"/>
  <c r="C444" i="1" s="1"/>
  <c r="H406" i="1"/>
  <c r="C406" i="1" s="1"/>
  <c r="H579" i="1"/>
  <c r="AH280" i="1"/>
  <c r="H358" i="1"/>
  <c r="C358" i="1" s="1"/>
  <c r="C531" i="1"/>
  <c r="H504" i="1"/>
  <c r="H520" i="1"/>
  <c r="H337" i="1"/>
  <c r="C500" i="1"/>
  <c r="H382" i="1"/>
  <c r="C382" i="1" s="1"/>
  <c r="AF385" i="1"/>
  <c r="AH385" i="1"/>
  <c r="H308" i="1"/>
  <c r="C308" i="1" s="1"/>
  <c r="AH581" i="1"/>
  <c r="C474" i="1"/>
  <c r="AE295" i="1"/>
  <c r="H565" i="1"/>
  <c r="AF450" i="1"/>
  <c r="AI444" i="1"/>
  <c r="C574" i="1"/>
  <c r="AI280" i="1"/>
  <c r="AG280" i="1"/>
  <c r="AF310" i="1"/>
  <c r="H293" i="1"/>
  <c r="H12" i="1"/>
  <c r="H558" i="1"/>
  <c r="C558" i="1" s="1"/>
  <c r="C550" i="1"/>
  <c r="C549" i="1"/>
  <c r="H399" i="1"/>
  <c r="C335" i="1"/>
  <c r="H301" i="1"/>
  <c r="H386" i="1"/>
  <c r="H418" i="1"/>
  <c r="C418" i="1" s="1"/>
  <c r="H315" i="1"/>
  <c r="C315" i="1" s="1"/>
  <c r="H342" i="1"/>
  <c r="H338" i="1"/>
  <c r="C338" i="1" s="1"/>
  <c r="H339" i="1"/>
  <c r="C339" i="1" s="1"/>
  <c r="H567" i="1"/>
  <c r="H501" i="1"/>
  <c r="H348" i="1"/>
  <c r="H306" i="1"/>
  <c r="C306" i="1" s="1"/>
  <c r="C337" i="1"/>
  <c r="H435" i="1"/>
  <c r="C435" i="1" s="1"/>
  <c r="H420" i="1"/>
  <c r="C420" i="1" s="1"/>
  <c r="H311" i="1"/>
  <c r="H405" i="1"/>
  <c r="C405" i="1" s="1"/>
  <c r="H499" i="1"/>
  <c r="C499" i="1" s="1"/>
  <c r="AG531" i="1"/>
  <c r="H566" i="1"/>
  <c r="C566" i="1" s="1"/>
  <c r="H356" i="1"/>
  <c r="C356" i="1" s="1"/>
  <c r="AI342" i="1"/>
  <c r="AF581" i="1"/>
  <c r="AE567" i="1"/>
  <c r="AE584" i="1"/>
  <c r="AI340" i="1"/>
  <c r="AH574" i="1"/>
  <c r="AI385" i="1"/>
  <c r="AG437" i="1"/>
  <c r="C464" i="1"/>
  <c r="C331" i="1"/>
  <c r="AH295" i="1"/>
  <c r="H379" i="1"/>
  <c r="C379" i="1" s="1"/>
  <c r="AG450" i="1"/>
  <c r="AG444" i="1"/>
  <c r="AF280" i="1"/>
  <c r="H179" i="1"/>
  <c r="C179" i="1" s="1"/>
  <c r="H503" i="1"/>
  <c r="C503" i="1" s="1"/>
  <c r="H378" i="1"/>
  <c r="C378" i="1" s="1"/>
  <c r="H377" i="1"/>
  <c r="H276" i="1"/>
  <c r="C544" i="1"/>
  <c r="H336" i="1"/>
  <c r="C336" i="1" s="1"/>
  <c r="H47" i="1"/>
  <c r="C47" i="1" s="1"/>
  <c r="H38" i="1"/>
  <c r="C38" i="1" s="1"/>
  <c r="H98" i="1"/>
  <c r="C98" i="1" s="1"/>
  <c r="C276" i="1"/>
  <c r="C293" i="1"/>
  <c r="C171" i="1"/>
  <c r="C12" i="1"/>
  <c r="H563" i="1"/>
  <c r="H309" i="1"/>
  <c r="C518" i="1"/>
  <c r="H474" i="1"/>
  <c r="H316" i="1"/>
  <c r="C316" i="1" s="1"/>
  <c r="H510" i="1"/>
  <c r="C510" i="1" s="1"/>
  <c r="C584" i="1"/>
  <c r="AE342" i="1"/>
  <c r="AI310" i="1"/>
  <c r="AG385" i="1"/>
  <c r="H310" i="1"/>
  <c r="H359" i="1"/>
  <c r="C359" i="1" s="1"/>
  <c r="AF437" i="1"/>
  <c r="AE280" i="1"/>
  <c r="H376" i="1"/>
  <c r="C376" i="1" s="1"/>
  <c r="H357" i="1"/>
  <c r="C357" i="1" s="1"/>
  <c r="H419" i="1"/>
  <c r="C419" i="1" s="1"/>
  <c r="AE480" i="1"/>
  <c r="AD480" i="1"/>
  <c r="AF444" i="1"/>
  <c r="H442" i="1"/>
  <c r="C442" i="1" s="1"/>
  <c r="H460" i="1"/>
  <c r="H302" i="1"/>
  <c r="C302" i="1" s="1"/>
  <c r="H298" i="1"/>
  <c r="C298" i="1" s="1"/>
  <c r="H393" i="1"/>
  <c r="C393" i="1" s="1"/>
  <c r="C333" i="1"/>
  <c r="H541" i="1"/>
  <c r="H365" i="1"/>
  <c r="C365" i="1" s="1"/>
  <c r="H570" i="1"/>
  <c r="H440" i="1"/>
  <c r="H531" i="1"/>
  <c r="H428" i="1"/>
  <c r="H559" i="1"/>
  <c r="H346" i="1"/>
  <c r="C581" i="1"/>
  <c r="C520" i="1"/>
  <c r="H524" i="1"/>
  <c r="AF524" i="1"/>
  <c r="C524" i="1"/>
  <c r="AH524" i="1"/>
  <c r="AG524" i="1"/>
  <c r="AG584" i="1"/>
  <c r="C547" i="1"/>
  <c r="H295" i="1"/>
  <c r="H186" i="1"/>
  <c r="C186" i="1" s="1"/>
  <c r="H87" i="1"/>
  <c r="C87" i="1" s="1"/>
  <c r="C292" i="1"/>
  <c r="H300" i="1"/>
  <c r="H549" i="1"/>
  <c r="H367" i="1"/>
  <c r="H400" i="1"/>
  <c r="H452" i="1"/>
  <c r="C350" i="1"/>
  <c r="H427" i="1"/>
  <c r="C309" i="1"/>
  <c r="H340" i="1"/>
  <c r="H494" i="1"/>
  <c r="C494" i="1" s="1"/>
  <c r="C301" i="1"/>
  <c r="C567" i="1"/>
  <c r="C501" i="1"/>
  <c r="H307" i="1"/>
  <c r="C307" i="1" s="1"/>
  <c r="H502" i="1"/>
  <c r="C502" i="1" s="1"/>
  <c r="H514" i="1"/>
  <c r="C514" i="1" s="1"/>
  <c r="AH531" i="1"/>
  <c r="AI531" i="1"/>
  <c r="AH342" i="1"/>
  <c r="AF534" i="1"/>
  <c r="AH310" i="1"/>
  <c r="AF574" i="1"/>
  <c r="AI581" i="1"/>
  <c r="AG581" i="1"/>
  <c r="AI584" i="1"/>
  <c r="AH584" i="1"/>
  <c r="AG340" i="1"/>
  <c r="H475" i="1"/>
  <c r="C475" i="1" s="1"/>
  <c r="H417" i="1"/>
  <c r="C417" i="1" s="1"/>
  <c r="C416" i="1"/>
  <c r="C377" i="1"/>
  <c r="C570" i="1"/>
  <c r="C565" i="1"/>
  <c r="AF295" i="1"/>
  <c r="AG295" i="1"/>
  <c r="AI450" i="1"/>
  <c r="C460" i="1"/>
  <c r="AG501" i="1"/>
  <c r="AG579" i="1"/>
  <c r="AH340" i="1"/>
  <c r="AF340" i="1"/>
  <c r="C461" i="1"/>
  <c r="AF567" i="1"/>
  <c r="AH577" i="1"/>
  <c r="H319" i="1"/>
  <c r="AF501" i="1"/>
  <c r="AI567" i="1"/>
  <c r="AI577" i="1"/>
  <c r="AJ520" i="1"/>
  <c r="H582" i="1"/>
  <c r="AG503" i="1"/>
  <c r="H23" i="1"/>
  <c r="C300" i="1"/>
  <c r="H527" i="1"/>
  <c r="C130" i="1"/>
  <c r="AF489" i="1"/>
  <c r="AH567" i="1"/>
  <c r="AI502" i="1"/>
  <c r="AI380" i="1"/>
  <c r="C527" i="1"/>
  <c r="AG324" i="1"/>
  <c r="H490" i="1"/>
  <c r="AG441" i="1"/>
  <c r="AH501" i="1"/>
  <c r="AG567" i="1"/>
  <c r="H133" i="1"/>
  <c r="C133" i="1" s="1"/>
  <c r="AI133" i="1"/>
  <c r="AG133" i="1"/>
  <c r="AF133" i="1"/>
  <c r="AH133" i="1"/>
  <c r="AE133" i="1"/>
  <c r="H274" i="1"/>
  <c r="C274" i="1" s="1"/>
  <c r="AG274" i="1"/>
  <c r="H112" i="1"/>
  <c r="H289" i="1"/>
  <c r="C289" i="1" s="1"/>
  <c r="H59" i="1"/>
  <c r="C59" i="1" s="1"/>
  <c r="H101" i="1"/>
  <c r="H88" i="1"/>
  <c r="C88" i="1" s="1"/>
  <c r="AF88" i="1"/>
  <c r="AG88" i="1"/>
  <c r="AI88" i="1"/>
  <c r="AE88" i="1"/>
  <c r="C290" i="1"/>
  <c r="AI585" i="1"/>
  <c r="AG585" i="1"/>
  <c r="AH585" i="1"/>
  <c r="AF507" i="1"/>
  <c r="AI507" i="1"/>
  <c r="AH507" i="1"/>
  <c r="AG507" i="1"/>
  <c r="AH485" i="1"/>
  <c r="AF485" i="1"/>
  <c r="AG485" i="1"/>
  <c r="AG383" i="1"/>
  <c r="AF383" i="1"/>
  <c r="AH383" i="1"/>
  <c r="AI478" i="1"/>
  <c r="AF478" i="1"/>
  <c r="AG478" i="1"/>
  <c r="AF540" i="1"/>
  <c r="AH540" i="1"/>
  <c r="AG540" i="1"/>
  <c r="H481" i="1"/>
  <c r="AE564" i="1"/>
  <c r="AG564" i="1"/>
  <c r="AH564" i="1"/>
  <c r="AI564" i="1"/>
  <c r="AI528" i="1"/>
  <c r="AG528" i="1"/>
  <c r="AF528" i="1"/>
  <c r="AE528" i="1"/>
  <c r="AG302" i="1"/>
  <c r="AF302" i="1"/>
  <c r="AI302" i="1"/>
  <c r="AH302" i="1"/>
  <c r="AG410" i="1"/>
  <c r="AI410" i="1"/>
  <c r="AG407" i="1"/>
  <c r="AH407" i="1"/>
  <c r="AH411" i="1"/>
  <c r="AH406" i="1"/>
  <c r="AF411" i="1"/>
  <c r="AG406" i="1"/>
  <c r="AF406" i="1"/>
  <c r="AG411" i="1"/>
  <c r="AI411" i="1"/>
  <c r="AI427" i="1"/>
  <c r="AF427" i="1"/>
  <c r="AG427" i="1"/>
  <c r="AH427" i="1"/>
  <c r="H519" i="1"/>
  <c r="C582" i="1"/>
  <c r="AG346" i="1"/>
  <c r="AF346" i="1"/>
  <c r="AH346" i="1"/>
  <c r="AI346" i="1"/>
  <c r="AG313" i="1"/>
  <c r="AH470" i="1"/>
  <c r="AF470" i="1"/>
  <c r="AI470" i="1"/>
  <c r="AG470" i="1"/>
  <c r="AI354" i="1"/>
  <c r="AG353" i="1"/>
  <c r="AH353" i="1"/>
  <c r="AF354" i="1"/>
  <c r="AH451" i="1"/>
  <c r="AI451" i="1"/>
  <c r="AF451" i="1"/>
  <c r="AG451" i="1"/>
  <c r="H95" i="1"/>
  <c r="C95" i="1" s="1"/>
  <c r="AF351" i="1"/>
  <c r="AF573" i="1"/>
  <c r="AH529" i="1"/>
  <c r="AF429" i="1"/>
  <c r="AF458" i="1"/>
  <c r="AH503" i="1"/>
  <c r="AE503" i="1"/>
  <c r="AI481" i="1"/>
  <c r="C504" i="1"/>
  <c r="AH504" i="1"/>
  <c r="AI504" i="1"/>
  <c r="AF504" i="1"/>
  <c r="H14" i="1"/>
  <c r="C14" i="1" s="1"/>
  <c r="H287" i="1"/>
  <c r="H183" i="1"/>
  <c r="C183" i="1" s="1"/>
  <c r="H62" i="1"/>
  <c r="C62" i="1" s="1"/>
  <c r="H109" i="1"/>
  <c r="C109" i="1" s="1"/>
  <c r="H96" i="1"/>
  <c r="C96" i="1" s="1"/>
  <c r="AF105" i="1"/>
  <c r="AE105" i="1"/>
  <c r="H284" i="1"/>
  <c r="H54" i="1"/>
  <c r="C54" i="1" s="1"/>
  <c r="H104" i="1"/>
  <c r="H46" i="1"/>
  <c r="C46" i="1" s="1"/>
  <c r="H44" i="1"/>
  <c r="C44" i="1" s="1"/>
  <c r="AI471" i="1"/>
  <c r="AF473" i="1"/>
  <c r="AH471" i="1"/>
  <c r="AG473" i="1"/>
  <c r="C447" i="1"/>
  <c r="C537" i="1"/>
  <c r="AH422" i="1"/>
  <c r="AF422" i="1"/>
  <c r="AG422" i="1"/>
  <c r="AI422" i="1"/>
  <c r="AF506" i="1"/>
  <c r="AH506" i="1"/>
  <c r="AI506" i="1"/>
  <c r="AG506" i="1"/>
  <c r="AI426" i="1"/>
  <c r="AE426" i="1"/>
  <c r="AF426" i="1"/>
  <c r="AH426" i="1"/>
  <c r="AG426" i="1"/>
  <c r="AG431" i="1"/>
  <c r="AF431" i="1"/>
  <c r="AI431" i="1"/>
  <c r="AH431" i="1"/>
  <c r="H454" i="1"/>
  <c r="AH454" i="1"/>
  <c r="AF454" i="1"/>
  <c r="AG454" i="1"/>
  <c r="AI454" i="1"/>
  <c r="AE461" i="1"/>
  <c r="AI461" i="1"/>
  <c r="AG462" i="1"/>
  <c r="AH461" i="1"/>
  <c r="AF462" i="1"/>
  <c r="AI544" i="1"/>
  <c r="AG544" i="1"/>
  <c r="AH544" i="1"/>
  <c r="AF544" i="1"/>
  <c r="AE544" i="1"/>
  <c r="AI482" i="1"/>
  <c r="AG482" i="1"/>
  <c r="AF482" i="1"/>
  <c r="AF560" i="1"/>
  <c r="AI560" i="1"/>
  <c r="AG560" i="1"/>
  <c r="AH560" i="1"/>
  <c r="AG576" i="1"/>
  <c r="AF576" i="1"/>
  <c r="AH576" i="1"/>
  <c r="AI576" i="1"/>
  <c r="AH384" i="1"/>
  <c r="AG384" i="1"/>
  <c r="AI384" i="1"/>
  <c r="AF384" i="1"/>
  <c r="AH479" i="1"/>
  <c r="AI479" i="1"/>
  <c r="AF479" i="1"/>
  <c r="AG479" i="1"/>
  <c r="AI382" i="1"/>
  <c r="AG382" i="1"/>
  <c r="AH382" i="1"/>
  <c r="AF382" i="1"/>
  <c r="AG457" i="1"/>
  <c r="AF457" i="1"/>
  <c r="AH457" i="1"/>
  <c r="AI457" i="1"/>
  <c r="AI455" i="1"/>
  <c r="AH455" i="1"/>
  <c r="AG455" i="1"/>
  <c r="AF455" i="1"/>
  <c r="AI583" i="1"/>
  <c r="AH583" i="1"/>
  <c r="AF583" i="1"/>
  <c r="AG583" i="1"/>
  <c r="AI580" i="1"/>
  <c r="AG580" i="1"/>
  <c r="AF580" i="1"/>
  <c r="AG460" i="1"/>
  <c r="AH460" i="1"/>
  <c r="AE460" i="1"/>
  <c r="AF460" i="1"/>
  <c r="AI460" i="1"/>
  <c r="AI413" i="1"/>
  <c r="AF413" i="1"/>
  <c r="AG413" i="1"/>
  <c r="AH469" i="1"/>
  <c r="AG469" i="1"/>
  <c r="AF469" i="1"/>
  <c r="AI469" i="1"/>
  <c r="AH352" i="1"/>
  <c r="AG429" i="1"/>
  <c r="AI458" i="1"/>
  <c r="AG468" i="1"/>
  <c r="AF314" i="1"/>
  <c r="H63" i="1"/>
  <c r="C63" i="1" s="1"/>
  <c r="H18" i="1"/>
  <c r="H41" i="1"/>
  <c r="C41" i="1" s="1"/>
  <c r="AG296" i="1"/>
  <c r="AF296" i="1"/>
  <c r="AI296" i="1"/>
  <c r="AH296" i="1"/>
  <c r="AE296" i="1"/>
  <c r="H281" i="1"/>
  <c r="AG397" i="1"/>
  <c r="AH397" i="1"/>
  <c r="AI397" i="1"/>
  <c r="AF397" i="1"/>
  <c r="AH396" i="1"/>
  <c r="AG396" i="1"/>
  <c r="AI396" i="1"/>
  <c r="AF396" i="1"/>
  <c r="H39" i="1"/>
  <c r="C39" i="1" s="1"/>
  <c r="H131" i="1"/>
  <c r="C131" i="1" s="1"/>
  <c r="H45" i="1"/>
  <c r="H130" i="1"/>
  <c r="AE106" i="1"/>
  <c r="AH106" i="1"/>
  <c r="AI106" i="1"/>
  <c r="AF106" i="1"/>
  <c r="AG106" i="1"/>
  <c r="AG572" i="1"/>
  <c r="AI572" i="1"/>
  <c r="AH572" i="1"/>
  <c r="AF572" i="1"/>
  <c r="C430" i="1"/>
  <c r="H509" i="1"/>
  <c r="C509" i="1" s="1"/>
  <c r="H392" i="1"/>
  <c r="H352" i="1"/>
  <c r="C352" i="1" s="1"/>
  <c r="AF527" i="1"/>
  <c r="AH527" i="1"/>
  <c r="AE527" i="1"/>
  <c r="AG527" i="1"/>
  <c r="AI527" i="1"/>
  <c r="H431" i="1"/>
  <c r="C548" i="1"/>
  <c r="AF548" i="1"/>
  <c r="AH548" i="1"/>
  <c r="AI548" i="1"/>
  <c r="AG548" i="1"/>
  <c r="AE548" i="1"/>
  <c r="AH421" i="1"/>
  <c r="AF421" i="1"/>
  <c r="AG421" i="1"/>
  <c r="AI421" i="1"/>
  <c r="H362" i="1"/>
  <c r="C362" i="1" s="1"/>
  <c r="AF433" i="1"/>
  <c r="AI432" i="1"/>
  <c r="AH432" i="1"/>
  <c r="AG432" i="1"/>
  <c r="AG456" i="1"/>
  <c r="AH456" i="1"/>
  <c r="AI456" i="1"/>
  <c r="AF456" i="1"/>
  <c r="C457" i="1"/>
  <c r="AI529" i="1"/>
  <c r="AG529" i="1"/>
  <c r="AG530" i="1"/>
  <c r="AF530" i="1"/>
  <c r="AH530" i="1"/>
  <c r="AE350" i="1"/>
  <c r="AI350" i="1"/>
  <c r="AG350" i="1"/>
  <c r="AF350" i="1"/>
  <c r="AH350" i="1"/>
  <c r="AI515" i="1"/>
  <c r="AG515" i="1"/>
  <c r="AH515" i="1"/>
  <c r="AF515" i="1"/>
  <c r="AG562" i="1"/>
  <c r="AH562" i="1"/>
  <c r="AI562" i="1"/>
  <c r="AF562" i="1"/>
  <c r="H580" i="1"/>
  <c r="C580" i="1"/>
  <c r="H480" i="1"/>
  <c r="H493" i="1"/>
  <c r="AI493" i="1"/>
  <c r="AF493" i="1"/>
  <c r="AE489" i="1"/>
  <c r="AH493" i="1"/>
  <c r="AG493" i="1"/>
  <c r="AI489" i="1"/>
  <c r="AG489" i="1"/>
  <c r="AG471" i="1"/>
  <c r="AF353" i="1"/>
  <c r="AI353" i="1"/>
  <c r="AH489" i="1"/>
  <c r="AF380" i="1"/>
  <c r="AI351" i="1"/>
  <c r="AG573" i="1"/>
  <c r="AI503" i="1"/>
  <c r="AH481" i="1"/>
  <c r="AI477" i="1"/>
  <c r="H107" i="1"/>
  <c r="H290" i="1"/>
  <c r="H173" i="1"/>
  <c r="C173" i="1" s="1"/>
  <c r="H299" i="1"/>
  <c r="C299" i="1" s="1"/>
  <c r="AI474" i="1"/>
  <c r="AG474" i="1"/>
  <c r="AF474" i="1"/>
  <c r="AH476" i="1"/>
  <c r="AH551" i="1"/>
  <c r="AF551" i="1"/>
  <c r="AI551" i="1"/>
  <c r="AG551" i="1"/>
  <c r="H396" i="1"/>
  <c r="AG461" i="1"/>
  <c r="H426" i="1"/>
  <c r="C426" i="1" s="1"/>
  <c r="AF324" i="1"/>
  <c r="AH324" i="1"/>
  <c r="H374" i="1"/>
  <c r="C374" i="1" s="1"/>
  <c r="AG368" i="1"/>
  <c r="AF368" i="1"/>
  <c r="AI368" i="1"/>
  <c r="AI321" i="1"/>
  <c r="AG323" i="1"/>
  <c r="AI323" i="1"/>
  <c r="AF323" i="1"/>
  <c r="AH323" i="1"/>
  <c r="AH571" i="1"/>
  <c r="AG571" i="1"/>
  <c r="AI571" i="1"/>
  <c r="AF571" i="1"/>
  <c r="C545" i="1"/>
  <c r="H314" i="1"/>
  <c r="AG314" i="1"/>
  <c r="AI314" i="1"/>
  <c r="AG505" i="1"/>
  <c r="AF505" i="1"/>
  <c r="AI505" i="1"/>
  <c r="AH505" i="1"/>
  <c r="H472" i="1"/>
  <c r="C472" i="1" s="1"/>
  <c r="AF467" i="1"/>
  <c r="AI467" i="1"/>
  <c r="AG467" i="1"/>
  <c r="AH467" i="1"/>
  <c r="AG517" i="1"/>
  <c r="AF517" i="1"/>
  <c r="AH517" i="1"/>
  <c r="AI517" i="1"/>
  <c r="AH532" i="1"/>
  <c r="AE532" i="1"/>
  <c r="AG532" i="1"/>
  <c r="AF532" i="1"/>
  <c r="AI532" i="1"/>
  <c r="AH522" i="1"/>
  <c r="AI522" i="1"/>
  <c r="AG522" i="1"/>
  <c r="AF522" i="1"/>
  <c r="AF322" i="1"/>
  <c r="AI322" i="1"/>
  <c r="AH322" i="1"/>
  <c r="AG322" i="1"/>
  <c r="AG561" i="1"/>
  <c r="AH561" i="1"/>
  <c r="AI561" i="1"/>
  <c r="AF561" i="1"/>
  <c r="AF423" i="1"/>
  <c r="AH425" i="1"/>
  <c r="AE423" i="1"/>
  <c r="AI420" i="1"/>
  <c r="AI425" i="1"/>
  <c r="AG425" i="1"/>
  <c r="AE420" i="1"/>
  <c r="AG423" i="1"/>
  <c r="AF420" i="1"/>
  <c r="AG420" i="1"/>
  <c r="AF425" i="1"/>
  <c r="AG513" i="1"/>
  <c r="AI513" i="1"/>
  <c r="AH513" i="1"/>
  <c r="AF513" i="1"/>
  <c r="AE563" i="1"/>
  <c r="AH563" i="1"/>
  <c r="AF563" i="1"/>
  <c r="AG563" i="1"/>
  <c r="AI563" i="1"/>
  <c r="AF347" i="1"/>
  <c r="AG347" i="1"/>
  <c r="AI347" i="1"/>
  <c r="AH347" i="1"/>
  <c r="AI518" i="1"/>
  <c r="AF518" i="1"/>
  <c r="AG518" i="1"/>
  <c r="AH518" i="1"/>
  <c r="AG465" i="1"/>
  <c r="AF465" i="1"/>
  <c r="AG371" i="1"/>
  <c r="AI371" i="1"/>
  <c r="AH371" i="1"/>
  <c r="AF371" i="1"/>
  <c r="AI443" i="1"/>
  <c r="AF441" i="1"/>
  <c r="AH441" i="1"/>
  <c r="AI523" i="1"/>
  <c r="AF523" i="1"/>
  <c r="AG523" i="1"/>
  <c r="AH523" i="1"/>
  <c r="AH459" i="1"/>
  <c r="AI459" i="1"/>
  <c r="AG459" i="1"/>
  <c r="AF459" i="1"/>
  <c r="AE516" i="1"/>
  <c r="AG516" i="1"/>
  <c r="AF516" i="1"/>
  <c r="AI516" i="1"/>
  <c r="AH516" i="1"/>
  <c r="AI533" i="1"/>
  <c r="AH533" i="1"/>
  <c r="AG533" i="1"/>
  <c r="AF533" i="1"/>
  <c r="AI582" i="1"/>
  <c r="AG582" i="1"/>
  <c r="AF582" i="1"/>
  <c r="AE582" i="1"/>
  <c r="AH582" i="1"/>
  <c r="AG391" i="1"/>
  <c r="AF391" i="1"/>
  <c r="AI391" i="1"/>
  <c r="AH391" i="1"/>
  <c r="AG372" i="1"/>
  <c r="AH372" i="1"/>
  <c r="AF372" i="1"/>
  <c r="AI372" i="1"/>
  <c r="AF519" i="1"/>
  <c r="AH519" i="1"/>
  <c r="AI521" i="1"/>
  <c r="AG519" i="1"/>
  <c r="AE519" i="1"/>
  <c r="AG348" i="1"/>
  <c r="AI348" i="1"/>
  <c r="AH348" i="1"/>
  <c r="AF348" i="1"/>
  <c r="AI423" i="1"/>
  <c r="AG380" i="1"/>
  <c r="AH380" i="1"/>
  <c r="AG351" i="1"/>
  <c r="AI573" i="1"/>
  <c r="AI429" i="1"/>
  <c r="AG458" i="1"/>
  <c r="AI324" i="1"/>
  <c r="AI468" i="1"/>
  <c r="AG481" i="1"/>
  <c r="AF313" i="1"/>
  <c r="AH580" i="1"/>
  <c r="AH423" i="1"/>
  <c r="AF477" i="1"/>
  <c r="AG477" i="1"/>
  <c r="AH477" i="1"/>
  <c r="AE477" i="1"/>
  <c r="AF502" i="1"/>
  <c r="AG577" i="1"/>
  <c r="AE501" i="1"/>
  <c r="AH502" i="1"/>
  <c r="AE577" i="1"/>
  <c r="AG502" i="1"/>
  <c r="AE507" i="1"/>
  <c r="C408" i="1"/>
  <c r="H102" i="1"/>
  <c r="C102" i="1" s="1"/>
  <c r="H127" i="1"/>
  <c r="C127" i="1" s="1"/>
  <c r="H286" i="1"/>
  <c r="H125" i="1"/>
  <c r="C125" i="1" s="1"/>
  <c r="H80" i="1"/>
  <c r="C80" i="1" s="1"/>
  <c r="C287" i="1"/>
  <c r="C295" i="1"/>
  <c r="H484" i="1"/>
  <c r="C484" i="1"/>
  <c r="AF585" i="1"/>
  <c r="H585" i="1"/>
  <c r="C585" i="1"/>
  <c r="H397" i="1"/>
  <c r="C397" i="1" s="1"/>
  <c r="C485" i="1"/>
  <c r="H485" i="1"/>
  <c r="H408" i="1"/>
  <c r="H506" i="1"/>
  <c r="C506" i="1" s="1"/>
  <c r="AD566" i="1"/>
  <c r="AE566" i="1"/>
  <c r="H429" i="1"/>
  <c r="AH429" i="1"/>
  <c r="C429" i="1"/>
  <c r="H468" i="1"/>
  <c r="C468" i="1" s="1"/>
  <c r="AH468" i="1"/>
  <c r="C388" i="1"/>
  <c r="H568" i="1"/>
  <c r="H560" i="1"/>
  <c r="C560" i="1" s="1"/>
  <c r="H508" i="1"/>
  <c r="H369" i="1"/>
  <c r="C369" i="1" s="1"/>
  <c r="H482" i="1"/>
  <c r="H398" i="1"/>
  <c r="C398" i="1"/>
  <c r="C496" i="1"/>
  <c r="C508" i="1"/>
  <c r="C552" i="1"/>
  <c r="H532" i="1"/>
  <c r="H539" i="1"/>
  <c r="C539" i="1" s="1"/>
  <c r="H455" i="1"/>
  <c r="C455" i="1" s="1"/>
  <c r="H545" i="1"/>
  <c r="H395" i="1"/>
  <c r="C395" i="1" s="1"/>
  <c r="C562" i="1"/>
  <c r="H562" i="1"/>
  <c r="H556" i="1"/>
  <c r="C556" i="1" s="1"/>
  <c r="H370" i="1"/>
  <c r="C370" i="1" s="1"/>
  <c r="H303" i="1"/>
  <c r="C303" i="1" s="1"/>
  <c r="H67" i="1"/>
  <c r="C67" i="1" s="1"/>
  <c r="H280" i="1"/>
  <c r="C280" i="1" s="1"/>
  <c r="H459" i="1"/>
  <c r="C459" i="1" s="1"/>
  <c r="H424" i="1"/>
  <c r="C424" i="1" s="1"/>
  <c r="AI406" i="1"/>
  <c r="H58" i="1"/>
  <c r="C58" i="1" s="1"/>
  <c r="AD338" i="1"/>
  <c r="H312" i="1"/>
  <c r="C312" i="1" s="1"/>
  <c r="AJ337" i="1"/>
  <c r="H469" i="1"/>
  <c r="C469" i="1" s="1"/>
  <c r="AJ494" i="1"/>
  <c r="H121" i="1"/>
  <c r="C121" i="1" s="1"/>
  <c r="H28" i="1"/>
  <c r="C28" i="1" s="1"/>
  <c r="H77" i="1"/>
  <c r="C77" i="1" s="1"/>
  <c r="H116" i="1"/>
  <c r="C116" i="1" s="1"/>
  <c r="H117" i="1"/>
  <c r="C117" i="1" s="1"/>
  <c r="H119" i="1"/>
  <c r="C119" i="1" s="1"/>
  <c r="H291" i="1"/>
  <c r="C291" i="1" s="1"/>
  <c r="H283" i="1"/>
  <c r="C283" i="1" s="1"/>
  <c r="C281" i="1"/>
  <c r="H43" i="1"/>
  <c r="C43" i="1" s="1"/>
  <c r="H75" i="1"/>
  <c r="C75" i="1" s="1"/>
  <c r="H56" i="1"/>
  <c r="C56" i="1" s="1"/>
  <c r="H70" i="1"/>
  <c r="C70" i="1" s="1"/>
  <c r="H42" i="1"/>
  <c r="C42" i="1" s="1"/>
  <c r="H81" i="1"/>
  <c r="C81" i="1" s="1"/>
  <c r="H282" i="1"/>
  <c r="C286" i="1"/>
  <c r="C45" i="1"/>
  <c r="C18" i="1"/>
  <c r="C23" i="1"/>
  <c r="AH88" i="1"/>
  <c r="AI485" i="1"/>
  <c r="H177" i="1"/>
  <c r="C177" i="1" s="1"/>
  <c r="H461" i="1"/>
  <c r="H380" i="1"/>
  <c r="C380" i="1" s="1"/>
  <c r="C392" i="1"/>
  <c r="C351" i="1"/>
  <c r="H351" i="1"/>
  <c r="AH478" i="1"/>
  <c r="H297" i="1"/>
  <c r="C297" i="1" s="1"/>
  <c r="AI540" i="1"/>
  <c r="H540" i="1"/>
  <c r="H478" i="1"/>
  <c r="H458" i="1"/>
  <c r="C458" i="1" s="1"/>
  <c r="C542" i="1"/>
  <c r="H542" i="1"/>
  <c r="H448" i="1"/>
  <c r="C448" i="1" s="1"/>
  <c r="H366" i="1"/>
  <c r="C366" i="1" s="1"/>
  <c r="H394" i="1"/>
  <c r="C394" i="1" s="1"/>
  <c r="H569" i="1"/>
  <c r="C569" i="1" s="1"/>
  <c r="H505" i="1"/>
  <c r="C505" i="1" s="1"/>
  <c r="H450" i="1"/>
  <c r="C450" i="1" s="1"/>
  <c r="H564" i="1"/>
  <c r="AE504" i="1"/>
  <c r="H487" i="1"/>
  <c r="C487" i="1" s="1"/>
  <c r="C463" i="1"/>
  <c r="C399" i="1"/>
  <c r="H436" i="1"/>
  <c r="C384" i="1"/>
  <c r="H384" i="1"/>
  <c r="H401" i="1"/>
  <c r="C401" i="1" s="1"/>
  <c r="AH482" i="1"/>
  <c r="C481" i="1"/>
  <c r="C415" i="1"/>
  <c r="H415" i="1"/>
  <c r="H330" i="1"/>
  <c r="C330" i="1" s="1"/>
  <c r="AH528" i="1"/>
  <c r="H528" i="1"/>
  <c r="H322" i="1"/>
  <c r="H414" i="1"/>
  <c r="C414" i="1"/>
  <c r="AD442" i="1"/>
  <c r="AE442" i="1"/>
  <c r="H439" i="1"/>
  <c r="C439" i="1" s="1"/>
  <c r="H407" i="1"/>
  <c r="C407" i="1" s="1"/>
  <c r="AI407" i="1"/>
  <c r="AF407" i="1"/>
  <c r="H372" i="1"/>
  <c r="C372" i="1" s="1"/>
  <c r="H515" i="1"/>
  <c r="C515" i="1" s="1"/>
  <c r="AE340" i="1"/>
  <c r="AD579" i="1"/>
  <c r="AE579" i="1"/>
  <c r="AJ514" i="1"/>
  <c r="C367" i="1"/>
  <c r="H453" i="1"/>
  <c r="C453" i="1" s="1"/>
  <c r="C349" i="1"/>
  <c r="C343" i="1"/>
  <c r="C480" i="1"/>
  <c r="H329" i="1"/>
  <c r="C329" i="1" s="1"/>
  <c r="H523" i="1"/>
  <c r="C523" i="1"/>
  <c r="H471" i="1"/>
  <c r="H318" i="1"/>
  <c r="C318" i="1" s="1"/>
  <c r="C553" i="1"/>
  <c r="H553" i="1"/>
  <c r="AD578" i="1"/>
  <c r="AE578" i="1"/>
  <c r="AD405" i="1"/>
  <c r="AE405" i="1"/>
  <c r="AJ338" i="1"/>
  <c r="H355" i="1"/>
  <c r="H389" i="1"/>
  <c r="C389" i="1" s="1"/>
  <c r="AH413" i="1"/>
  <c r="H391" i="1"/>
  <c r="C391" i="1" s="1"/>
  <c r="H313" i="1"/>
  <c r="C313" i="1" s="1"/>
  <c r="AH313" i="1"/>
  <c r="AI313" i="1"/>
  <c r="H521" i="1"/>
  <c r="C521" i="1" s="1"/>
  <c r="AD337" i="1"/>
  <c r="H434" i="1"/>
  <c r="C434" i="1" s="1"/>
  <c r="H354" i="1"/>
  <c r="C354" i="1" s="1"/>
  <c r="AJ309" i="1"/>
  <c r="AD494" i="1"/>
  <c r="H305" i="1"/>
  <c r="C305" i="1" s="1"/>
  <c r="H343" i="1"/>
  <c r="H271" i="1"/>
  <c r="C271" i="1" s="1"/>
  <c r="H22" i="1"/>
  <c r="C22" i="1" s="1"/>
  <c r="H65" i="1"/>
  <c r="C65" i="1" s="1"/>
  <c r="H269" i="1"/>
  <c r="C269" i="1" s="1"/>
  <c r="H74" i="1"/>
  <c r="C74" i="1" s="1"/>
  <c r="H551" i="1"/>
  <c r="C551" i="1" s="1"/>
  <c r="H507" i="1"/>
  <c r="C507" i="1" s="1"/>
  <c r="AI383" i="1"/>
  <c r="H383" i="1"/>
  <c r="C383" i="1" s="1"/>
  <c r="H361" i="1"/>
  <c r="C361" i="1"/>
  <c r="H422" i="1"/>
  <c r="C422" i="1" s="1"/>
  <c r="H421" i="1"/>
  <c r="C421" i="1" s="1"/>
  <c r="H433" i="1"/>
  <c r="C433" i="1" s="1"/>
  <c r="H320" i="1"/>
  <c r="C320" i="1" s="1"/>
  <c r="H462" i="1"/>
  <c r="C462" i="1" s="1"/>
  <c r="H573" i="1"/>
  <c r="AH573" i="1"/>
  <c r="C573" i="1"/>
  <c r="C454" i="1"/>
  <c r="H576" i="1"/>
  <c r="C576" i="1"/>
  <c r="AF468" i="1"/>
  <c r="H441" i="1"/>
  <c r="C441" i="1" s="1"/>
  <c r="H546" i="1"/>
  <c r="C546" i="1" s="1"/>
  <c r="AD525" i="1"/>
  <c r="AE525" i="1"/>
  <c r="AE310" i="1"/>
  <c r="C564" i="1"/>
  <c r="H404" i="1"/>
  <c r="C404" i="1" s="1"/>
  <c r="H390" i="1"/>
  <c r="C390" i="1" s="1"/>
  <c r="H304" i="1"/>
  <c r="C304" i="1" s="1"/>
  <c r="H388" i="1"/>
  <c r="H409" i="1"/>
  <c r="C409" i="1" s="1"/>
  <c r="AF410" i="1"/>
  <c r="H465" i="1"/>
  <c r="C465" i="1" s="1"/>
  <c r="C446" i="1"/>
  <c r="C319" i="1"/>
  <c r="H375" i="1"/>
  <c r="AD575" i="1"/>
  <c r="AE575" i="1"/>
  <c r="H535" i="1"/>
  <c r="C535" i="1"/>
  <c r="C533" i="1"/>
  <c r="H533" i="1"/>
  <c r="H55" i="1"/>
  <c r="C55" i="1" s="1"/>
  <c r="C355" i="1"/>
  <c r="H328" i="1"/>
  <c r="C328" i="1" s="1"/>
  <c r="AE502" i="1"/>
  <c r="H479" i="1"/>
  <c r="H412" i="1"/>
  <c r="C412" i="1" s="1"/>
  <c r="H498" i="1"/>
  <c r="C498" i="1" s="1"/>
  <c r="H413" i="1"/>
  <c r="AH410" i="1"/>
  <c r="H512" i="1"/>
  <c r="C512" i="1" s="1"/>
  <c r="AJ526" i="1"/>
  <c r="H557" i="1"/>
  <c r="C557" i="1" s="1"/>
  <c r="H470" i="1"/>
  <c r="C470" i="1" s="1"/>
  <c r="H451" i="1"/>
  <c r="H323" i="1"/>
  <c r="H124" i="1"/>
  <c r="C124" i="1" s="1"/>
  <c r="H79" i="1"/>
  <c r="C79" i="1" s="1"/>
  <c r="AD309" i="1"/>
  <c r="H513" i="1"/>
  <c r="C513" i="1" s="1"/>
  <c r="H76" i="1"/>
  <c r="C76" i="1" s="1"/>
  <c r="H85" i="1"/>
  <c r="C85" i="1" s="1"/>
  <c r="H61" i="1"/>
  <c r="C61" i="1" s="1"/>
  <c r="H118" i="1"/>
  <c r="C118" i="1" s="1"/>
  <c r="H69" i="1"/>
  <c r="C69" i="1" s="1"/>
  <c r="H68" i="1"/>
  <c r="C68" i="1" s="1"/>
  <c r="H25" i="1"/>
  <c r="C25" i="1" s="1"/>
  <c r="H84" i="1"/>
  <c r="C84" i="1" s="1"/>
  <c r="C101" i="1"/>
  <c r="C112" i="1"/>
  <c r="C104" i="1"/>
  <c r="C107" i="1"/>
  <c r="H476" i="1"/>
  <c r="C476" i="1" s="1"/>
  <c r="H572" i="1"/>
  <c r="C572" i="1" s="1"/>
  <c r="H473" i="1"/>
  <c r="C473" i="1" s="1"/>
  <c r="C396" i="1"/>
  <c r="H432" i="1"/>
  <c r="C432" i="1" s="1"/>
  <c r="AD393" i="1"/>
  <c r="AE393" i="1"/>
  <c r="H447" i="1"/>
  <c r="H548" i="1"/>
  <c r="H364" i="1"/>
  <c r="C364" i="1" s="1"/>
  <c r="H537" i="1"/>
  <c r="H324" i="1"/>
  <c r="C324" i="1"/>
  <c r="AH368" i="1"/>
  <c r="C400" i="1"/>
  <c r="H321" i="1"/>
  <c r="C321" i="1" s="1"/>
  <c r="H544" i="1"/>
  <c r="AF481" i="1"/>
  <c r="H456" i="1"/>
  <c r="C456" i="1" s="1"/>
  <c r="H496" i="1"/>
  <c r="H552" i="1"/>
  <c r="C431" i="1"/>
  <c r="H488" i="1"/>
  <c r="C488" i="1" s="1"/>
  <c r="C478" i="1"/>
  <c r="C482" i="1"/>
  <c r="C314" i="1"/>
  <c r="H385" i="1"/>
  <c r="C385" i="1" s="1"/>
  <c r="H387" i="1"/>
  <c r="C387" i="1" s="1"/>
  <c r="AF564" i="1"/>
  <c r="C440" i="1"/>
  <c r="H517" i="1"/>
  <c r="C517" i="1" s="1"/>
  <c r="C495" i="1"/>
  <c r="H529" i="1"/>
  <c r="C529" i="1"/>
  <c r="AF529" i="1"/>
  <c r="AI530" i="1"/>
  <c r="H363" i="1"/>
  <c r="C363" i="1" s="1"/>
  <c r="C522" i="1"/>
  <c r="H522" i="1"/>
  <c r="H561" i="1"/>
  <c r="C561" i="1" s="1"/>
  <c r="H425" i="1"/>
  <c r="C425" i="1" s="1"/>
  <c r="H360" i="1"/>
  <c r="C360" i="1" s="1"/>
  <c r="H583" i="1"/>
  <c r="C583" i="1"/>
  <c r="C497" i="1"/>
  <c r="AD475" i="1"/>
  <c r="AE475" i="1"/>
  <c r="H495" i="1"/>
  <c r="C428" i="1"/>
  <c r="H411" i="1"/>
  <c r="C411" i="1" s="1"/>
  <c r="H285" i="1"/>
  <c r="C285" i="1" s="1"/>
  <c r="C490" i="1"/>
  <c r="H317" i="1"/>
  <c r="C317" i="1" s="1"/>
  <c r="H443" i="1"/>
  <c r="C443" i="1" s="1"/>
  <c r="C375" i="1"/>
  <c r="H516" i="1"/>
  <c r="C516" i="1" s="1"/>
  <c r="C438" i="1"/>
  <c r="H438" i="1"/>
  <c r="H123" i="1"/>
  <c r="C123" i="1" s="1"/>
  <c r="H53" i="1"/>
  <c r="C53" i="1" s="1"/>
  <c r="AE339" i="1"/>
  <c r="AD339" i="1"/>
  <c r="H449" i="1"/>
  <c r="C449" i="1" s="1"/>
  <c r="C413" i="1"/>
  <c r="C559" i="1"/>
  <c r="H538" i="1"/>
  <c r="C538" i="1" s="1"/>
  <c r="H410" i="1"/>
  <c r="C410" i="1" s="1"/>
  <c r="C346" i="1"/>
  <c r="C311" i="1"/>
  <c r="AD526" i="1"/>
  <c r="H491" i="1"/>
  <c r="C491" i="1" s="1"/>
  <c r="H402" i="1"/>
  <c r="C402" i="1" s="1"/>
  <c r="H353" i="1"/>
  <c r="C353" i="1"/>
  <c r="AF352" i="1"/>
  <c r="H66" i="1"/>
  <c r="C66" i="1" s="1"/>
  <c r="H373" i="1"/>
  <c r="C373" i="1" s="1"/>
  <c r="H403" i="1"/>
  <c r="C403" i="1" s="1"/>
  <c r="H368" i="1"/>
  <c r="C368" i="1" s="1"/>
  <c r="H371" i="1"/>
  <c r="C371" i="1" s="1"/>
  <c r="H172" i="1"/>
  <c r="C172" i="1" s="1"/>
  <c r="H48" i="1"/>
  <c r="C48" i="1" s="1"/>
  <c r="H288" i="1"/>
  <c r="H82" i="1"/>
  <c r="C82" i="1" s="1"/>
  <c r="H60" i="1"/>
  <c r="C60" i="1" s="1"/>
  <c r="C13" i="1"/>
  <c r="AF275" i="1"/>
  <c r="AG270" i="1"/>
  <c r="AE270" i="1"/>
  <c r="AF270" i="1"/>
  <c r="AE275" i="1"/>
  <c r="AH270" i="1"/>
  <c r="AH275" i="1"/>
  <c r="AI275" i="1"/>
  <c r="AH105" i="1"/>
  <c r="AI270" i="1"/>
  <c r="H132" i="1"/>
  <c r="C132" i="1" s="1"/>
  <c r="H180" i="1"/>
  <c r="C180" i="1" s="1"/>
  <c r="C97" i="1"/>
  <c r="C284" i="1"/>
  <c r="C277" i="1"/>
  <c r="C106" i="1"/>
  <c r="H275" i="1"/>
  <c r="C275" i="1" s="1"/>
  <c r="C288" i="1"/>
  <c r="H29" i="1"/>
  <c r="C29" i="1" s="1"/>
  <c r="C16" i="1"/>
  <c r="C134" i="1"/>
  <c r="H71" i="1"/>
  <c r="C71" i="1" s="1"/>
  <c r="H134" i="1"/>
  <c r="H273" i="1"/>
  <c r="C273" i="1" s="1"/>
  <c r="H111" i="1"/>
  <c r="C111" i="1" s="1"/>
  <c r="H106" i="1"/>
  <c r="H83" i="1"/>
  <c r="C83" i="1" s="1"/>
  <c r="H278" i="1"/>
  <c r="C278" i="1" s="1"/>
  <c r="H113" i="1"/>
  <c r="C113" i="1" s="1"/>
  <c r="H33" i="1"/>
  <c r="C33" i="1" s="1"/>
  <c r="H296" i="1"/>
  <c r="C296" i="1" s="1"/>
  <c r="H270" i="1"/>
  <c r="C270" i="1" s="1"/>
  <c r="H174" i="1"/>
  <c r="C174" i="1" s="1"/>
  <c r="H86" i="1"/>
  <c r="C86" i="1" s="1"/>
  <c r="H115" i="1"/>
  <c r="C115" i="1" s="1"/>
  <c r="H100" i="1"/>
  <c r="C100" i="1" s="1"/>
  <c r="H31" i="1"/>
  <c r="C31" i="1" s="1"/>
  <c r="H126" i="1"/>
  <c r="C126" i="1" s="1"/>
  <c r="H277" i="1"/>
  <c r="H122" i="1"/>
  <c r="C122" i="1" s="1"/>
  <c r="H73" i="1"/>
  <c r="C73" i="1" s="1"/>
  <c r="H36" i="1"/>
  <c r="C36" i="1" s="1"/>
  <c r="H89" i="1"/>
  <c r="C89" i="1" s="1"/>
  <c r="H30" i="1"/>
  <c r="C30" i="1" s="1"/>
  <c r="H37" i="1"/>
  <c r="C37" i="1" s="1"/>
  <c r="H49" i="1"/>
  <c r="C49" i="1" s="1"/>
  <c r="H182" i="1"/>
  <c r="C182" i="1" s="1"/>
  <c r="H294" i="1"/>
  <c r="C294" i="1" s="1"/>
  <c r="H51" i="1"/>
  <c r="C51" i="1" s="1"/>
  <c r="H16" i="1"/>
  <c r="H15" i="1"/>
  <c r="C15" i="1" s="1"/>
  <c r="H50" i="1"/>
  <c r="C50" i="1" s="1"/>
  <c r="H120" i="1"/>
  <c r="C120" i="1" s="1"/>
  <c r="H181" i="1"/>
  <c r="C181" i="1" s="1"/>
  <c r="H35" i="1"/>
  <c r="C35" i="1" s="1"/>
  <c r="H27" i="1"/>
  <c r="C27" i="1" s="1"/>
  <c r="H52" i="1"/>
  <c r="C52" i="1" s="1"/>
  <c r="H57" i="1"/>
  <c r="C57" i="1" s="1"/>
  <c r="H105" i="1"/>
  <c r="C105" i="1" s="1"/>
  <c r="H78" i="1"/>
  <c r="C78" i="1" s="1"/>
  <c r="H99" i="1"/>
  <c r="C99" i="1" s="1"/>
  <c r="H279" i="1"/>
  <c r="C279" i="1" s="1"/>
  <c r="H19" i="1"/>
  <c r="C19" i="1" s="1"/>
  <c r="H114" i="1"/>
  <c r="C114" i="1" s="1"/>
  <c r="H184" i="1"/>
  <c r="C184" i="1" s="1"/>
  <c r="H97" i="1"/>
  <c r="H272" i="1"/>
  <c r="C272" i="1" s="1"/>
  <c r="H34" i="1"/>
  <c r="C34" i="1" s="1"/>
  <c r="H135" i="1"/>
  <c r="C135" i="1" s="1"/>
  <c r="H26" i="1"/>
  <c r="C26" i="1" s="1"/>
  <c r="H64" i="1"/>
  <c r="C64" i="1" s="1"/>
  <c r="H20" i="1"/>
  <c r="C20" i="1" s="1"/>
  <c r="H72" i="1"/>
  <c r="C72" i="1" s="1"/>
  <c r="H40" i="1"/>
  <c r="C40" i="1" s="1"/>
  <c r="H128" i="1"/>
  <c r="C128" i="1" s="1"/>
  <c r="H32" i="1"/>
  <c r="C32" i="1" s="1"/>
  <c r="H185" i="1"/>
  <c r="C185" i="1" s="1"/>
  <c r="AE191" i="1" l="1"/>
  <c r="AJ191" i="1" s="1"/>
  <c r="AD191" i="1"/>
  <c r="AD155" i="1"/>
  <c r="AJ155" i="1"/>
  <c r="DI12" i="15"/>
  <c r="DI16" i="15"/>
  <c r="DI20" i="15"/>
  <c r="DI24" i="15"/>
  <c r="DI28" i="15"/>
  <c r="DI32" i="15"/>
  <c r="DI37" i="15"/>
  <c r="DI41" i="15"/>
  <c r="DI46" i="15"/>
  <c r="DI50" i="15"/>
  <c r="DI54" i="15"/>
  <c r="DI58" i="15"/>
  <c r="DI62" i="15"/>
  <c r="DI66" i="15"/>
  <c r="DI71" i="15"/>
  <c r="DI75" i="15"/>
  <c r="DI79" i="15"/>
  <c r="DI83" i="15"/>
  <c r="DI87" i="15"/>
  <c r="DI92" i="15"/>
  <c r="DI96" i="15"/>
  <c r="DI100" i="15"/>
  <c r="DI105" i="15"/>
  <c r="DI109" i="15"/>
  <c r="DI113" i="15"/>
  <c r="DI117" i="15"/>
  <c r="DI121" i="15"/>
  <c r="DI125" i="15"/>
  <c r="DI129" i="15"/>
  <c r="DI152" i="15"/>
  <c r="DI157" i="15"/>
  <c r="DI161" i="15"/>
  <c r="DI165" i="15"/>
  <c r="DI169" i="15"/>
  <c r="DI173" i="15"/>
  <c r="DI178" i="15"/>
  <c r="DI182" i="15"/>
  <c r="DI186" i="15"/>
  <c r="DI190" i="15"/>
  <c r="DI194" i="15"/>
  <c r="DI198" i="15"/>
  <c r="DI203" i="15"/>
  <c r="DI207" i="15"/>
  <c r="DI211" i="15"/>
  <c r="DI215" i="15"/>
  <c r="DI219" i="15"/>
  <c r="DI223" i="15"/>
  <c r="DI227" i="15"/>
  <c r="DI232" i="15"/>
  <c r="DI236" i="15"/>
  <c r="DI240" i="15"/>
  <c r="DI245" i="15"/>
  <c r="DI249" i="15"/>
  <c r="DI9" i="15"/>
  <c r="DI14" i="15"/>
  <c r="DI18" i="15"/>
  <c r="DI22" i="15"/>
  <c r="DI26" i="15"/>
  <c r="DI30" i="15"/>
  <c r="DI34" i="15"/>
  <c r="DI39" i="15"/>
  <c r="DI43" i="15"/>
  <c r="DI48" i="15"/>
  <c r="DI52" i="15"/>
  <c r="DI56" i="15"/>
  <c r="DI60" i="15"/>
  <c r="DI64" i="15"/>
  <c r="DI68" i="15"/>
  <c r="DI73" i="15"/>
  <c r="DI77" i="15"/>
  <c r="DI81" i="15"/>
  <c r="DI85" i="15"/>
  <c r="DI90" i="15"/>
  <c r="DI94" i="15"/>
  <c r="DI98" i="15"/>
  <c r="DI102" i="15"/>
  <c r="DI107" i="15"/>
  <c r="DI111" i="15"/>
  <c r="DI115" i="15"/>
  <c r="DI119" i="15"/>
  <c r="DI123" i="15"/>
  <c r="DI127" i="15"/>
  <c r="DI131" i="15"/>
  <c r="DI155" i="15"/>
  <c r="DI159" i="15"/>
  <c r="DI163" i="15"/>
  <c r="DI167" i="15"/>
  <c r="DI171" i="15"/>
  <c r="DI175" i="15"/>
  <c r="DI180" i="15"/>
  <c r="DI184" i="15"/>
  <c r="DI188" i="15"/>
  <c r="DI192" i="15"/>
  <c r="DI196" i="15"/>
  <c r="DI201" i="15"/>
  <c r="DI205" i="15"/>
  <c r="DI209" i="15"/>
  <c r="DI213" i="15"/>
  <c r="DI217" i="15"/>
  <c r="DI221" i="15"/>
  <c r="DI225" i="15"/>
  <c r="DI229" i="15"/>
  <c r="DI234" i="15"/>
  <c r="DI238" i="15"/>
  <c r="DI242" i="15"/>
  <c r="DI247" i="15"/>
  <c r="DI251" i="15"/>
  <c r="DI15" i="15"/>
  <c r="DI23" i="15"/>
  <c r="DI31" i="15"/>
  <c r="DI40" i="15"/>
  <c r="DI49" i="15"/>
  <c r="DI57" i="15"/>
  <c r="DI65" i="15"/>
  <c r="DI74" i="15"/>
  <c r="DI82" i="15"/>
  <c r="DI91" i="15"/>
  <c r="DI99" i="15"/>
  <c r="DI108" i="15"/>
  <c r="DI116" i="15"/>
  <c r="DI124" i="15"/>
  <c r="DI160" i="15"/>
  <c r="DI168" i="15"/>
  <c r="DI176" i="15"/>
  <c r="DI185" i="15"/>
  <c r="DI193" i="15"/>
  <c r="DI202" i="15"/>
  <c r="DI210" i="15"/>
  <c r="DI218" i="15"/>
  <c r="DI226" i="15"/>
  <c r="DI235" i="15"/>
  <c r="DI243" i="15"/>
  <c r="DI252" i="15"/>
  <c r="DI256" i="15"/>
  <c r="DI260" i="15"/>
  <c r="DI283" i="15"/>
  <c r="DI288" i="15"/>
  <c r="DI292" i="15"/>
  <c r="DI296" i="15"/>
  <c r="DI300" i="15"/>
  <c r="DI304" i="15"/>
  <c r="DI308" i="15"/>
  <c r="DI312" i="15"/>
  <c r="DI317" i="15"/>
  <c r="DI321" i="15"/>
  <c r="DI325" i="15"/>
  <c r="DI329" i="15"/>
  <c r="DI333" i="15"/>
  <c r="DI337" i="15"/>
  <c r="DI342" i="15"/>
  <c r="DI346" i="15"/>
  <c r="DI350" i="15"/>
  <c r="DI354" i="15"/>
  <c r="DI358" i="15"/>
  <c r="DI362" i="15"/>
  <c r="DI366" i="15"/>
  <c r="DI370" i="15"/>
  <c r="DI374" i="15"/>
  <c r="DI378" i="15"/>
  <c r="DI382" i="15"/>
  <c r="DI386" i="15"/>
  <c r="DI391" i="15"/>
  <c r="DI395" i="15"/>
  <c r="DI399" i="15"/>
  <c r="DI403" i="15"/>
  <c r="DI407" i="15"/>
  <c r="DI411" i="15"/>
  <c r="DI415" i="15"/>
  <c r="DI419" i="15"/>
  <c r="DI423" i="15"/>
  <c r="DI428" i="15"/>
  <c r="DI432" i="15"/>
  <c r="DI436" i="15"/>
  <c r="DI440" i="15"/>
  <c r="DI444" i="15"/>
  <c r="DI448" i="15"/>
  <c r="DI453" i="15"/>
  <c r="DI457" i="15"/>
  <c r="DI461" i="15"/>
  <c r="DI465" i="15"/>
  <c r="DI469" i="15"/>
  <c r="DI473" i="15"/>
  <c r="DI478" i="15"/>
  <c r="DI482" i="15"/>
  <c r="DI486" i="15"/>
  <c r="DI491" i="15"/>
  <c r="DI496" i="15"/>
  <c r="DI500" i="15"/>
  <c r="DI504" i="15"/>
  <c r="DI508" i="15"/>
  <c r="DI512" i="15"/>
  <c r="DI517" i="15"/>
  <c r="DI521" i="15"/>
  <c r="DI525" i="15"/>
  <c r="DI529" i="15"/>
  <c r="DI533" i="15"/>
  <c r="DI538" i="15"/>
  <c r="DI542" i="15"/>
  <c r="DI546" i="15"/>
  <c r="DI550" i="15"/>
  <c r="DI555" i="15"/>
  <c r="DI559" i="15"/>
  <c r="DI563" i="15"/>
  <c r="DI567" i="15"/>
  <c r="DI571" i="15"/>
  <c r="DI605" i="15"/>
  <c r="DI609" i="15"/>
  <c r="DI613" i="15"/>
  <c r="DI617" i="15"/>
  <c r="DI621" i="15"/>
  <c r="DI625" i="15"/>
  <c r="DI629" i="15"/>
  <c r="DI633" i="15"/>
  <c r="DI637" i="15"/>
  <c r="DI642" i="15"/>
  <c r="DI646" i="15"/>
  <c r="DI651" i="15"/>
  <c r="DI8" i="15"/>
  <c r="DI17" i="15"/>
  <c r="DI25" i="15"/>
  <c r="DI33" i="15"/>
  <c r="DI42" i="15"/>
  <c r="DI51" i="15"/>
  <c r="DI59" i="15"/>
  <c r="DI67" i="15"/>
  <c r="DI76" i="15"/>
  <c r="DI84" i="15"/>
  <c r="DI93" i="15"/>
  <c r="DI101" i="15"/>
  <c r="DI110" i="15"/>
  <c r="DI118" i="15"/>
  <c r="DI126" i="15"/>
  <c r="DI154" i="15"/>
  <c r="DI162" i="15"/>
  <c r="DI170" i="15"/>
  <c r="DI179" i="15"/>
  <c r="DI187" i="15"/>
  <c r="DI195" i="15"/>
  <c r="DI204" i="15"/>
  <c r="DI212" i="15"/>
  <c r="DI220" i="15"/>
  <c r="DI228" i="15"/>
  <c r="DI237" i="15"/>
  <c r="DI246" i="15"/>
  <c r="DI253" i="15"/>
  <c r="DI257" i="15"/>
  <c r="DI261" i="15"/>
  <c r="DI284" i="15"/>
  <c r="DI289" i="15"/>
  <c r="DI293" i="15"/>
  <c r="DI297" i="15"/>
  <c r="DI301" i="15"/>
  <c r="DI305" i="15"/>
  <c r="DI309" i="15"/>
  <c r="DI313" i="15"/>
  <c r="DI318" i="15"/>
  <c r="DI322" i="15"/>
  <c r="DI326" i="15"/>
  <c r="DI330" i="15"/>
  <c r="DI334" i="15"/>
  <c r="DI338" i="15"/>
  <c r="DI343" i="15"/>
  <c r="DI347" i="15"/>
  <c r="DI351" i="15"/>
  <c r="DI355" i="15"/>
  <c r="DI359" i="15"/>
  <c r="DI363" i="15"/>
  <c r="DI367" i="15"/>
  <c r="DI371" i="15"/>
  <c r="DI375" i="15"/>
  <c r="DI379" i="15"/>
  <c r="DI383" i="15"/>
  <c r="DI387" i="15"/>
  <c r="DI392" i="15"/>
  <c r="DI396" i="15"/>
  <c r="DI400" i="15"/>
  <c r="DI404" i="15"/>
  <c r="DI408" i="15"/>
  <c r="DI412" i="15"/>
  <c r="DI416" i="15"/>
  <c r="DI420" i="15"/>
  <c r="DI424" i="15"/>
  <c r="DI429" i="15"/>
  <c r="DI433" i="15"/>
  <c r="DI437" i="15"/>
  <c r="DI441" i="15"/>
  <c r="DI445" i="15"/>
  <c r="DI450" i="15"/>
  <c r="DI454" i="15"/>
  <c r="DI458" i="15"/>
  <c r="DI462" i="15"/>
  <c r="DI466" i="15"/>
  <c r="DI470" i="15"/>
  <c r="DI474" i="15"/>
  <c r="DI479" i="15"/>
  <c r="DI483" i="15"/>
  <c r="DI487" i="15"/>
  <c r="DI492" i="15"/>
  <c r="DI497" i="15"/>
  <c r="DI501" i="15"/>
  <c r="DI505" i="15"/>
  <c r="DI509" i="15"/>
  <c r="DI514" i="15"/>
  <c r="DI518" i="15"/>
  <c r="DI522" i="15"/>
  <c r="DI526" i="15"/>
  <c r="DI530" i="15"/>
  <c r="DI534" i="15"/>
  <c r="DI539" i="15"/>
  <c r="DI543" i="15"/>
  <c r="DI547" i="15"/>
  <c r="DI551" i="15"/>
  <c r="DI556" i="15"/>
  <c r="DI560" i="15"/>
  <c r="DI564" i="15"/>
  <c r="DI568" i="15"/>
  <c r="DI572" i="15"/>
  <c r="DI606" i="15"/>
  <c r="DI610" i="15"/>
  <c r="DI614" i="15"/>
  <c r="DI618" i="15"/>
  <c r="DI622" i="15"/>
  <c r="DI626" i="15"/>
  <c r="DI630" i="15"/>
  <c r="DI634" i="15"/>
  <c r="DI639" i="15"/>
  <c r="DI643" i="15"/>
  <c r="DI647" i="15"/>
  <c r="DI13" i="15"/>
  <c r="DI21" i="15"/>
  <c r="DI29" i="15"/>
  <c r="DI38" i="15"/>
  <c r="DI47" i="15"/>
  <c r="DI55" i="15"/>
  <c r="DI63" i="15"/>
  <c r="DI72" i="15"/>
  <c r="DI80" i="15"/>
  <c r="DI89" i="15"/>
  <c r="DI97" i="15"/>
  <c r="DI106" i="15"/>
  <c r="DI114" i="15"/>
  <c r="DI122" i="15"/>
  <c r="DI130" i="15"/>
  <c r="DI158" i="15"/>
  <c r="DI166" i="15"/>
  <c r="DI174" i="15"/>
  <c r="DI183" i="15"/>
  <c r="DI191" i="15"/>
  <c r="DI199" i="15"/>
  <c r="DI208" i="15"/>
  <c r="DI216" i="15"/>
  <c r="DI224" i="15"/>
  <c r="DI233" i="15"/>
  <c r="DI241" i="15"/>
  <c r="DI250" i="15"/>
  <c r="DI255" i="15"/>
  <c r="DI259" i="15"/>
  <c r="DI263" i="15"/>
  <c r="DI287" i="15"/>
  <c r="DI291" i="15"/>
  <c r="DI295" i="15"/>
  <c r="DI299" i="15"/>
  <c r="DI303" i="15"/>
  <c r="DI307" i="15"/>
  <c r="DI311" i="15"/>
  <c r="DI316" i="15"/>
  <c r="DI320" i="15"/>
  <c r="DI324" i="15"/>
  <c r="DI328" i="15"/>
  <c r="DI332" i="15"/>
  <c r="DI336" i="15"/>
  <c r="DI340" i="15"/>
  <c r="DI345" i="15"/>
  <c r="DI349" i="15"/>
  <c r="DI353" i="15"/>
  <c r="DI357" i="15"/>
  <c r="DI361" i="15"/>
  <c r="DI365" i="15"/>
  <c r="DI369" i="15"/>
  <c r="DI373" i="15"/>
  <c r="DI377" i="15"/>
  <c r="DI381" i="15"/>
  <c r="DI385" i="15"/>
  <c r="DI390" i="15"/>
  <c r="DI394" i="15"/>
  <c r="DI398" i="15"/>
  <c r="DI402" i="15"/>
  <c r="DI406" i="15"/>
  <c r="DI410" i="15"/>
  <c r="DI414" i="15"/>
  <c r="DI418" i="15"/>
  <c r="DI422" i="15"/>
  <c r="DI427" i="15"/>
  <c r="DI431" i="15"/>
  <c r="DI435" i="15"/>
  <c r="DI439" i="15"/>
  <c r="DI443" i="15"/>
  <c r="DI447" i="15"/>
  <c r="DI452" i="15"/>
  <c r="DI456" i="15"/>
  <c r="DI460" i="15"/>
  <c r="DI464" i="15"/>
  <c r="DI468" i="15"/>
  <c r="DI472" i="15"/>
  <c r="DI477" i="15"/>
  <c r="DI481" i="15"/>
  <c r="DI485" i="15"/>
  <c r="DI489" i="15"/>
  <c r="DI495" i="15"/>
  <c r="DI499" i="15"/>
  <c r="DI503" i="15"/>
  <c r="DI507" i="15"/>
  <c r="DI511" i="15"/>
  <c r="DI516" i="15"/>
  <c r="DI520" i="15"/>
  <c r="DI524" i="15"/>
  <c r="DI528" i="15"/>
  <c r="DI532" i="15"/>
  <c r="DI536" i="15"/>
  <c r="DI541" i="15"/>
  <c r="DI545" i="15"/>
  <c r="DI549" i="15"/>
  <c r="DI554" i="15"/>
  <c r="DI558" i="15"/>
  <c r="DI562" i="15"/>
  <c r="DI566" i="15"/>
  <c r="DI570" i="15"/>
  <c r="DI603" i="15"/>
  <c r="DI608" i="15"/>
  <c r="DI612" i="15"/>
  <c r="DI616" i="15"/>
  <c r="DI620" i="15"/>
  <c r="DI624" i="15"/>
  <c r="DI628" i="15"/>
  <c r="DI632" i="15"/>
  <c r="DI636" i="15"/>
  <c r="DI641" i="15"/>
  <c r="DI645" i="15"/>
  <c r="DI650" i="15"/>
  <c r="DI654" i="15"/>
  <c r="DI658" i="15"/>
  <c r="DI662" i="15"/>
  <c r="DI666" i="15"/>
  <c r="DI671" i="15"/>
  <c r="DI675" i="15"/>
  <c r="DI679" i="15"/>
  <c r="DI683" i="15"/>
  <c r="DI687" i="15"/>
  <c r="DI691" i="15"/>
  <c r="DI695" i="15"/>
  <c r="DI700" i="15"/>
  <c r="DI704" i="15"/>
  <c r="DI708" i="15"/>
  <c r="DI712" i="15"/>
  <c r="DI716" i="15"/>
  <c r="DI745" i="15"/>
  <c r="DI750" i="15"/>
  <c r="DI754" i="15"/>
  <c r="DI758" i="15"/>
  <c r="DI762" i="15"/>
  <c r="DI767" i="15"/>
  <c r="DI771" i="15"/>
  <c r="DI775" i="15"/>
  <c r="DI779" i="15"/>
  <c r="DI783" i="15"/>
  <c r="DI787" i="15"/>
  <c r="DI792" i="15"/>
  <c r="DI796" i="15"/>
  <c r="DI800" i="15"/>
  <c r="DI804" i="15"/>
  <c r="DI808" i="15"/>
  <c r="DI813" i="15"/>
  <c r="DI27" i="15"/>
  <c r="DI61" i="15"/>
  <c r="DI95" i="15"/>
  <c r="DI128" i="15"/>
  <c r="DI181" i="15"/>
  <c r="DI214" i="15"/>
  <c r="DI248" i="15"/>
  <c r="DI286" i="15"/>
  <c r="DI302" i="15"/>
  <c r="DI319" i="15"/>
  <c r="DI335" i="15"/>
  <c r="DI352" i="15"/>
  <c r="DI368" i="15"/>
  <c r="DI384" i="15"/>
  <c r="DI401" i="15"/>
  <c r="DI417" i="15"/>
  <c r="DI434" i="15"/>
  <c r="DI451" i="15"/>
  <c r="DI467" i="15"/>
  <c r="DI484" i="15"/>
  <c r="DI502" i="15"/>
  <c r="DI519" i="15"/>
  <c r="DI535" i="15"/>
  <c r="DI552" i="15"/>
  <c r="DI569" i="15"/>
  <c r="DI615" i="15"/>
  <c r="DI631" i="15"/>
  <c r="DI648" i="15"/>
  <c r="DI656" i="15"/>
  <c r="DI661" i="15"/>
  <c r="DI667" i="15"/>
  <c r="DI673" i="15"/>
  <c r="DI678" i="15"/>
  <c r="DI684" i="15"/>
  <c r="DI689" i="15"/>
  <c r="DI694" i="15"/>
  <c r="DI701" i="15"/>
  <c r="DI706" i="15"/>
  <c r="DI711" i="15"/>
  <c r="DI717" i="15"/>
  <c r="DI748" i="15"/>
  <c r="DI753" i="15"/>
  <c r="DI759" i="15"/>
  <c r="DI764" i="15"/>
  <c r="DI770" i="15"/>
  <c r="DI776" i="15"/>
  <c r="DI781" i="15"/>
  <c r="DI786" i="15"/>
  <c r="DI793" i="15"/>
  <c r="DI798" i="15"/>
  <c r="DI803" i="15"/>
  <c r="DI809" i="15"/>
  <c r="DI815" i="15"/>
  <c r="DI819" i="15"/>
  <c r="DI823" i="15"/>
  <c r="DI827" i="15"/>
  <c r="DI831" i="15"/>
  <c r="DI836" i="15"/>
  <c r="DI840" i="15"/>
  <c r="DI844" i="15"/>
  <c r="DI848" i="15"/>
  <c r="DI852" i="15"/>
  <c r="DI856" i="15"/>
  <c r="DI860" i="15"/>
  <c r="DI35" i="15"/>
  <c r="DI70" i="15"/>
  <c r="DI103" i="15"/>
  <c r="DI156" i="15"/>
  <c r="DI189" i="15"/>
  <c r="DI222" i="15"/>
  <c r="DI254" i="15"/>
  <c r="DI290" i="15"/>
  <c r="DI306" i="15"/>
  <c r="DI323" i="15"/>
  <c r="DI339" i="15"/>
  <c r="DI356" i="15"/>
  <c r="DI372" i="15"/>
  <c r="DI389" i="15"/>
  <c r="DI405" i="15"/>
  <c r="DI421" i="15"/>
  <c r="DI438" i="15"/>
  <c r="DI455" i="15"/>
  <c r="DI471" i="15"/>
  <c r="DI488" i="15"/>
  <c r="DI506" i="15"/>
  <c r="DI523" i="15"/>
  <c r="DI540" i="15"/>
  <c r="DI557" i="15"/>
  <c r="DI602" i="15"/>
  <c r="DI619" i="15"/>
  <c r="DI635" i="15"/>
  <c r="DI652" i="15"/>
  <c r="DI657" i="15"/>
  <c r="DI663" i="15"/>
  <c r="DI668" i="15"/>
  <c r="DI674" i="15"/>
  <c r="DI680" i="15"/>
  <c r="DI685" i="15"/>
  <c r="DI690" i="15"/>
  <c r="DI696" i="15"/>
  <c r="DI702" i="15"/>
  <c r="DI707" i="15"/>
  <c r="DI713" i="15"/>
  <c r="DI718" i="15"/>
  <c r="DI749" i="15"/>
  <c r="DI755" i="15"/>
  <c r="DI760" i="15"/>
  <c r="DI766" i="15"/>
  <c r="DI772" i="15"/>
  <c r="DI777" i="15"/>
  <c r="DI782" i="15"/>
  <c r="DI789" i="15"/>
  <c r="DI794" i="15"/>
  <c r="DI799" i="15"/>
  <c r="DI805" i="15"/>
  <c r="DI810" i="15"/>
  <c r="DI816" i="15"/>
  <c r="DI820" i="15"/>
  <c r="DI824" i="15"/>
  <c r="DI828" i="15"/>
  <c r="DI833" i="15"/>
  <c r="DI837" i="15"/>
  <c r="DI841" i="15"/>
  <c r="DI845" i="15"/>
  <c r="DI849" i="15"/>
  <c r="DI853" i="15"/>
  <c r="DI857" i="15"/>
  <c r="DI861" i="15"/>
  <c r="DI19" i="15"/>
  <c r="DI53" i="15"/>
  <c r="DI86" i="15"/>
  <c r="DI120" i="15"/>
  <c r="DI172" i="15"/>
  <c r="DI206" i="15"/>
  <c r="DI239" i="15"/>
  <c r="DI262" i="15"/>
  <c r="DI298" i="15"/>
  <c r="DI314" i="15"/>
  <c r="DI331" i="15"/>
  <c r="DI348" i="15"/>
  <c r="DI364" i="15"/>
  <c r="DI380" i="15"/>
  <c r="DI397" i="15"/>
  <c r="DI413" i="15"/>
  <c r="DI430" i="15"/>
  <c r="DI446" i="15"/>
  <c r="DI463" i="15"/>
  <c r="DI480" i="15"/>
  <c r="DI498" i="15"/>
  <c r="DI515" i="15"/>
  <c r="DI531" i="15"/>
  <c r="DI548" i="15"/>
  <c r="DI565" i="15"/>
  <c r="DI611" i="15"/>
  <c r="DI627" i="15"/>
  <c r="DI644" i="15"/>
  <c r="DI655" i="15"/>
  <c r="DI660" i="15"/>
  <c r="DI665" i="15"/>
  <c r="DI672" i="15"/>
  <c r="DI677" i="15"/>
  <c r="DI682" i="15"/>
  <c r="DI688" i="15"/>
  <c r="DI693" i="15"/>
  <c r="DI699" i="15"/>
  <c r="DI705" i="15"/>
  <c r="DI710" i="15"/>
  <c r="DI715" i="15"/>
  <c r="DI747" i="15"/>
  <c r="DI752" i="15"/>
  <c r="DI757" i="15"/>
  <c r="DI763" i="15"/>
  <c r="DI769" i="15"/>
  <c r="DI774" i="15"/>
  <c r="DI780" i="15"/>
  <c r="DI785" i="15"/>
  <c r="DI791" i="15"/>
  <c r="DI797" i="15"/>
  <c r="DI802" i="15"/>
  <c r="DI807" i="15"/>
  <c r="DI814" i="15"/>
  <c r="DI818" i="15"/>
  <c r="DI822" i="15"/>
  <c r="DI826" i="15"/>
  <c r="DI830" i="15"/>
  <c r="DI835" i="15"/>
  <c r="DI839" i="15"/>
  <c r="DI843" i="15"/>
  <c r="DI847" i="15"/>
  <c r="DI851" i="15"/>
  <c r="DI855" i="15"/>
  <c r="DI859" i="15"/>
  <c r="DI863" i="15"/>
  <c r="DI78" i="15"/>
  <c r="DI231" i="15"/>
  <c r="DI327" i="15"/>
  <c r="DI393" i="15"/>
  <c r="DI459" i="15"/>
  <c r="DI527" i="15"/>
  <c r="DI623" i="15"/>
  <c r="DI664" i="15"/>
  <c r="DI686" i="15"/>
  <c r="DI709" i="15"/>
  <c r="DI756" i="15"/>
  <c r="DI778" i="15"/>
  <c r="DI801" i="15"/>
  <c r="DI821" i="15"/>
  <c r="DI838" i="15"/>
  <c r="DI854" i="15"/>
  <c r="DI112" i="15"/>
  <c r="DI258" i="15"/>
  <c r="DI344" i="15"/>
  <c r="DI409" i="15"/>
  <c r="DI476" i="15"/>
  <c r="DI544" i="15"/>
  <c r="DI640" i="15"/>
  <c r="DI669" i="15"/>
  <c r="DI692" i="15"/>
  <c r="DI714" i="15"/>
  <c r="DI761" i="15"/>
  <c r="DI784" i="15"/>
  <c r="DI806" i="15"/>
  <c r="DI825" i="15"/>
  <c r="DI842" i="15"/>
  <c r="DI858" i="15"/>
  <c r="DI11" i="15"/>
  <c r="DI164" i="15"/>
  <c r="DI294" i="15"/>
  <c r="DI360" i="15"/>
  <c r="DI426" i="15"/>
  <c r="DI494" i="15"/>
  <c r="DI561" i="15"/>
  <c r="DI653" i="15"/>
  <c r="DI676" i="15"/>
  <c r="DI697" i="15"/>
  <c r="DI744" i="15"/>
  <c r="DI768" i="15"/>
  <c r="DI790" i="15"/>
  <c r="DI812" i="15"/>
  <c r="DI829" i="15"/>
  <c r="DI846" i="15"/>
  <c r="DI862" i="15"/>
  <c r="DI44" i="15"/>
  <c r="DI197" i="15"/>
  <c r="DI310" i="15"/>
  <c r="DI376" i="15"/>
  <c r="DI442" i="15"/>
  <c r="DI510" i="15"/>
  <c r="DI607" i="15"/>
  <c r="DI659" i="15"/>
  <c r="DI681" i="15"/>
  <c r="DI703" i="15"/>
  <c r="DI751" i="15"/>
  <c r="DI773" i="15"/>
  <c r="DI795" i="15"/>
  <c r="DI817" i="15"/>
  <c r="DI834" i="15"/>
  <c r="DI850" i="15"/>
  <c r="AD153" i="1"/>
  <c r="AJ153" i="1"/>
  <c r="AD161" i="1"/>
  <c r="AJ161" i="1"/>
  <c r="AJ168" i="1"/>
  <c r="AD165" i="1"/>
  <c r="AE165" i="1"/>
  <c r="AJ165" i="1" s="1"/>
  <c r="AD168" i="1"/>
  <c r="AE159" i="1"/>
  <c r="AJ159" i="1" s="1"/>
  <c r="AD159" i="1"/>
  <c r="AJ247" i="1"/>
  <c r="AD247" i="1"/>
  <c r="AE252" i="1"/>
  <c r="AJ252" i="1" s="1"/>
  <c r="AD252" i="1"/>
  <c r="AE250" i="1"/>
  <c r="AJ250" i="1" s="1"/>
  <c r="AD250" i="1"/>
  <c r="AD218" i="1"/>
  <c r="AJ230" i="1"/>
  <c r="AD230" i="1"/>
  <c r="AJ218" i="1"/>
  <c r="AE234" i="1"/>
  <c r="AJ234" i="1" s="1"/>
  <c r="AD234" i="1"/>
  <c r="AE226" i="1"/>
  <c r="AJ226" i="1" s="1"/>
  <c r="AD226" i="1"/>
  <c r="AD206" i="1"/>
  <c r="AJ206" i="1"/>
  <c r="AE208" i="1"/>
  <c r="AJ208" i="1" s="1"/>
  <c r="AD208" i="1"/>
  <c r="AE211" i="1"/>
  <c r="AJ211" i="1" s="1"/>
  <c r="AD211" i="1"/>
  <c r="AE213" i="1"/>
  <c r="AJ213" i="1" s="1"/>
  <c r="AD213" i="1"/>
  <c r="AE216" i="1"/>
  <c r="AJ216" i="1" s="1"/>
  <c r="AD216" i="1"/>
  <c r="AD203" i="1"/>
  <c r="AE203" i="1"/>
  <c r="AJ203" i="1" s="1"/>
  <c r="AE201" i="1"/>
  <c r="AJ201" i="1" s="1"/>
  <c r="AD201" i="1"/>
  <c r="AD195" i="1"/>
  <c r="AE195" i="1"/>
  <c r="AJ195" i="1" s="1"/>
  <c r="AE197" i="1"/>
  <c r="AJ197" i="1" s="1"/>
  <c r="AD197" i="1"/>
  <c r="AE189" i="1"/>
  <c r="AJ189" i="1" s="1"/>
  <c r="AD189" i="1"/>
  <c r="AJ144" i="1"/>
  <c r="AD144" i="1"/>
  <c r="AE147" i="1"/>
  <c r="AJ147" i="1" s="1"/>
  <c r="AD147" i="1"/>
  <c r="AD149" i="1"/>
  <c r="AE149" i="1"/>
  <c r="AJ149" i="1" s="1"/>
  <c r="AD141" i="1"/>
  <c r="AE141" i="1"/>
  <c r="AJ141" i="1" s="1"/>
  <c r="AE139" i="1"/>
  <c r="AJ139" i="1" s="1"/>
  <c r="AD139" i="1"/>
  <c r="AJ93" i="1"/>
  <c r="AD93" i="1"/>
  <c r="AJ90" i="1"/>
  <c r="AD90" i="1"/>
  <c r="AD228" i="1"/>
  <c r="AE228" i="1"/>
  <c r="AJ228" i="1" s="1"/>
  <c r="AE242" i="1"/>
  <c r="AJ242" i="1" s="1"/>
  <c r="AD242" i="1"/>
  <c r="AE240" i="1"/>
  <c r="AJ240" i="1" s="1"/>
  <c r="AD240" i="1"/>
  <c r="AD266" i="1"/>
  <c r="AE266" i="1"/>
  <c r="AJ266" i="1" s="1"/>
  <c r="AD259" i="1"/>
  <c r="AE259" i="1"/>
  <c r="AJ259" i="1" s="1"/>
  <c r="AJ267" i="1"/>
  <c r="AD245" i="1"/>
  <c r="AE245" i="1"/>
  <c r="AJ245" i="1" s="1"/>
  <c r="AD262" i="1"/>
  <c r="AE262" i="1"/>
  <c r="AJ262" i="1" s="1"/>
  <c r="AJ257" i="1"/>
  <c r="AD267" i="1"/>
  <c r="AD223" i="1"/>
  <c r="AE223" i="1"/>
  <c r="AJ223" i="1" s="1"/>
  <c r="AD257" i="1"/>
  <c r="F45" i="13"/>
  <c r="F46" i="13"/>
  <c r="F43" i="13"/>
  <c r="F42" i="13"/>
  <c r="F44" i="13"/>
  <c r="AJ393" i="1"/>
  <c r="AJ578" i="1"/>
  <c r="AJ475" i="1"/>
  <c r="AJ575" i="1"/>
  <c r="AJ525" i="1"/>
  <c r="AJ405" i="1"/>
  <c r="AJ442" i="1"/>
  <c r="AJ480" i="1"/>
  <c r="F9" i="13"/>
  <c r="AJ579" i="1"/>
  <c r="AI473" i="1"/>
  <c r="AJ342" i="1"/>
  <c r="AF321" i="1"/>
  <c r="AG105" i="1"/>
  <c r="AD342" i="1"/>
  <c r="AD280" i="1"/>
  <c r="AG428" i="1"/>
  <c r="AJ534" i="1"/>
  <c r="AJ310" i="1"/>
  <c r="AJ280" i="1"/>
  <c r="AG443" i="1"/>
  <c r="AD310" i="1"/>
  <c r="AJ584" i="1"/>
  <c r="AI105" i="1"/>
  <c r="AD584" i="1"/>
  <c r="AD534" i="1"/>
  <c r="AF428" i="1"/>
  <c r="AJ340" i="1"/>
  <c r="AI462" i="1"/>
  <c r="AF104" i="1"/>
  <c r="AH433" i="1"/>
  <c r="AE104" i="1"/>
  <c r="AF476" i="1"/>
  <c r="AH354" i="1"/>
  <c r="AH428" i="1"/>
  <c r="AE521" i="1"/>
  <c r="AI352" i="1"/>
  <c r="AH473" i="1"/>
  <c r="AG476" i="1"/>
  <c r="AH443" i="1"/>
  <c r="AF461" i="1"/>
  <c r="AI428" i="1"/>
  <c r="AF521" i="1"/>
  <c r="AD340" i="1"/>
  <c r="AJ567" i="1"/>
  <c r="AI433" i="1"/>
  <c r="AG321" i="1"/>
  <c r="AH463" i="1"/>
  <c r="AF443" i="1"/>
  <c r="AG433" i="1"/>
  <c r="AD563" i="1"/>
  <c r="AH462" i="1"/>
  <c r="AG354" i="1"/>
  <c r="AD567" i="1"/>
  <c r="AF570" i="1"/>
  <c r="AG352" i="1"/>
  <c r="AI464" i="1"/>
  <c r="AG570" i="1"/>
  <c r="AF471" i="1"/>
  <c r="AI476" i="1"/>
  <c r="AD504" i="1"/>
  <c r="AE570" i="1"/>
  <c r="AE463" i="1"/>
  <c r="AD458" i="1"/>
  <c r="AH321" i="1"/>
  <c r="AD501" i="1"/>
  <c r="AH107" i="1"/>
  <c r="AI570" i="1"/>
  <c r="AI395" i="1"/>
  <c r="AD521" i="1"/>
  <c r="AE458" i="1"/>
  <c r="AI465" i="1"/>
  <c r="AD527" i="1"/>
  <c r="AF464" i="1"/>
  <c r="AG395" i="1"/>
  <c r="AH465" i="1"/>
  <c r="AG521" i="1"/>
  <c r="AD503" i="1"/>
  <c r="AJ563" i="1"/>
  <c r="AD577" i="1"/>
  <c r="AG463" i="1"/>
  <c r="AF395" i="1"/>
  <c r="AE474" i="1"/>
  <c r="AD427" i="1"/>
  <c r="AE427" i="1"/>
  <c r="AE441" i="1"/>
  <c r="AJ501" i="1"/>
  <c r="AE432" i="1"/>
  <c r="AE395" i="1"/>
  <c r="AE351" i="1"/>
  <c r="AD532" i="1"/>
  <c r="AI463" i="1"/>
  <c r="AF463" i="1"/>
  <c r="AE450" i="1"/>
  <c r="AD450" i="1"/>
  <c r="AH395" i="1"/>
  <c r="AJ385" i="1"/>
  <c r="AE574" i="1"/>
  <c r="AD574" i="1"/>
  <c r="AF432" i="1"/>
  <c r="AJ502" i="1"/>
  <c r="AJ339" i="1"/>
  <c r="AJ577" i="1"/>
  <c r="AH521" i="1"/>
  <c r="AD582" i="1"/>
  <c r="AJ532" i="1"/>
  <c r="AJ566" i="1"/>
  <c r="AG464" i="1"/>
  <c r="AE444" i="1"/>
  <c r="AD444" i="1"/>
  <c r="AD581" i="1"/>
  <c r="AE581" i="1"/>
  <c r="AH351" i="1"/>
  <c r="AD531" i="1"/>
  <c r="AE531" i="1"/>
  <c r="AH474" i="1"/>
  <c r="AJ503" i="1"/>
  <c r="AI519" i="1"/>
  <c r="AH464" i="1"/>
  <c r="AE437" i="1"/>
  <c r="AD437" i="1"/>
  <c r="AH570" i="1"/>
  <c r="AE524" i="1"/>
  <c r="AD524" i="1"/>
  <c r="AD385" i="1"/>
  <c r="AI441" i="1"/>
  <c r="AD502" i="1"/>
  <c r="AJ582" i="1"/>
  <c r="AJ527" i="1"/>
  <c r="AJ504" i="1"/>
  <c r="AE274" i="1"/>
  <c r="AJ516" i="1"/>
  <c r="AJ564" i="1"/>
  <c r="AJ528" i="1"/>
  <c r="AD350" i="1"/>
  <c r="AD426" i="1"/>
  <c r="AD489" i="1"/>
  <c r="AD516" i="1"/>
  <c r="AD564" i="1"/>
  <c r="AJ548" i="1"/>
  <c r="AJ423" i="1"/>
  <c r="AD528" i="1"/>
  <c r="AJ420" i="1"/>
  <c r="AJ544" i="1"/>
  <c r="AJ350" i="1"/>
  <c r="AJ507" i="1"/>
  <c r="AJ477" i="1"/>
  <c r="AJ460" i="1"/>
  <c r="AD548" i="1"/>
  <c r="AD423" i="1"/>
  <c r="AF274" i="1"/>
  <c r="AD420" i="1"/>
  <c r="AD544" i="1"/>
  <c r="AD507" i="1"/>
  <c r="AD477" i="1"/>
  <c r="AD460" i="1"/>
  <c r="AH274" i="1"/>
  <c r="AI274" i="1"/>
  <c r="AJ426" i="1"/>
  <c r="AJ489" i="1"/>
  <c r="AD406" i="1"/>
  <c r="AE406" i="1"/>
  <c r="AD352" i="1"/>
  <c r="AE352" i="1"/>
  <c r="AD353" i="1"/>
  <c r="AE353" i="1"/>
  <c r="AD410" i="1"/>
  <c r="AE410" i="1"/>
  <c r="AD513" i="1"/>
  <c r="AE513" i="1"/>
  <c r="AD580" i="1"/>
  <c r="AE580" i="1"/>
  <c r="AD455" i="1"/>
  <c r="AE455" i="1"/>
  <c r="AD443" i="1"/>
  <c r="AE443" i="1"/>
  <c r="AD411" i="1"/>
  <c r="AE411" i="1"/>
  <c r="AD518" i="1"/>
  <c r="AE518" i="1"/>
  <c r="AD583" i="1"/>
  <c r="AE583" i="1"/>
  <c r="AD561" i="1"/>
  <c r="AE561" i="1"/>
  <c r="AD522" i="1"/>
  <c r="AE522" i="1"/>
  <c r="AD481" i="1"/>
  <c r="AE481" i="1"/>
  <c r="AD530" i="1"/>
  <c r="AE530" i="1"/>
  <c r="AD529" i="1"/>
  <c r="AE529" i="1"/>
  <c r="AD517" i="1"/>
  <c r="AE517" i="1"/>
  <c r="AD551" i="1"/>
  <c r="AE551" i="1"/>
  <c r="AD571" i="1"/>
  <c r="AE571" i="1"/>
  <c r="AD473" i="1"/>
  <c r="AE473" i="1"/>
  <c r="AD433" i="1"/>
  <c r="AE433" i="1"/>
  <c r="AD324" i="1"/>
  <c r="AE324" i="1"/>
  <c r="AD396" i="1"/>
  <c r="AE396" i="1"/>
  <c r="AD476" i="1"/>
  <c r="AE476" i="1"/>
  <c r="AE372" i="1"/>
  <c r="AD372" i="1"/>
  <c r="AE302" i="1"/>
  <c r="AD302" i="1"/>
  <c r="AD470" i="1"/>
  <c r="AE470" i="1"/>
  <c r="AE346" i="1"/>
  <c r="AD346" i="1"/>
  <c r="AD413" i="1"/>
  <c r="AE413" i="1"/>
  <c r="AD533" i="1"/>
  <c r="AE533" i="1"/>
  <c r="AD469" i="1"/>
  <c r="AE469" i="1"/>
  <c r="AD478" i="1"/>
  <c r="AE478" i="1"/>
  <c r="AE371" i="1"/>
  <c r="AD371" i="1"/>
  <c r="AD451" i="1"/>
  <c r="AE451" i="1"/>
  <c r="AD465" i="1"/>
  <c r="AE465" i="1"/>
  <c r="AD457" i="1"/>
  <c r="AE457" i="1"/>
  <c r="AD382" i="1"/>
  <c r="AE382" i="1"/>
  <c r="AD397" i="1"/>
  <c r="AE397" i="1"/>
  <c r="AD576" i="1"/>
  <c r="AE576" i="1"/>
  <c r="AD573" i="1"/>
  <c r="AE573" i="1"/>
  <c r="AD462" i="1"/>
  <c r="AE462" i="1"/>
  <c r="AD421" i="1"/>
  <c r="AE421" i="1"/>
  <c r="AD422" i="1"/>
  <c r="AE422" i="1"/>
  <c r="AD383" i="1"/>
  <c r="AE383" i="1"/>
  <c r="AD431" i="1"/>
  <c r="AE431" i="1"/>
  <c r="AD321" i="1"/>
  <c r="AE321" i="1"/>
  <c r="AE354" i="1"/>
  <c r="AD354" i="1"/>
  <c r="AD313" i="1"/>
  <c r="AE313" i="1"/>
  <c r="AD391" i="1"/>
  <c r="AE391" i="1"/>
  <c r="AD467" i="1"/>
  <c r="AE467" i="1"/>
  <c r="AD493" i="1"/>
  <c r="AE493" i="1"/>
  <c r="AE471" i="1"/>
  <c r="AD523" i="1"/>
  <c r="AE523" i="1"/>
  <c r="AD323" i="1"/>
  <c r="AE323" i="1"/>
  <c r="AD347" i="1"/>
  <c r="AE347" i="1"/>
  <c r="AD482" i="1"/>
  <c r="AE482" i="1"/>
  <c r="AD515" i="1"/>
  <c r="AE515" i="1"/>
  <c r="AD407" i="1"/>
  <c r="AE407" i="1"/>
  <c r="AD322" i="1"/>
  <c r="AE322" i="1"/>
  <c r="AD479" i="1"/>
  <c r="AE479" i="1"/>
  <c r="AE314" i="1"/>
  <c r="AD314" i="1"/>
  <c r="AD585" i="1"/>
  <c r="AE585" i="1"/>
  <c r="AD348" i="1"/>
  <c r="AE348" i="1"/>
  <c r="AD505" i="1"/>
  <c r="AE505" i="1"/>
  <c r="AD384" i="1"/>
  <c r="AE384" i="1"/>
  <c r="AD540" i="1"/>
  <c r="AE540" i="1"/>
  <c r="AD485" i="1"/>
  <c r="AE485" i="1"/>
  <c r="AD380" i="1"/>
  <c r="AE380" i="1"/>
  <c r="AD428" i="1"/>
  <c r="AE428" i="1"/>
  <c r="AD459" i="1"/>
  <c r="AE459" i="1"/>
  <c r="AD425" i="1"/>
  <c r="AE425" i="1"/>
  <c r="AD368" i="1"/>
  <c r="AE368" i="1"/>
  <c r="AD562" i="1"/>
  <c r="AE562" i="1"/>
  <c r="AD456" i="1"/>
  <c r="AE456" i="1"/>
  <c r="AD454" i="1"/>
  <c r="AE454" i="1"/>
  <c r="AD560" i="1"/>
  <c r="AE560" i="1"/>
  <c r="AD468" i="1"/>
  <c r="AE468" i="1"/>
  <c r="AD429" i="1"/>
  <c r="AE429" i="1"/>
  <c r="AD506" i="1"/>
  <c r="AE506" i="1"/>
  <c r="AD572" i="1"/>
  <c r="AE572" i="1"/>
  <c r="AD88" i="1"/>
  <c r="AJ101" i="1"/>
  <c r="AD101" i="1"/>
  <c r="AD275" i="1"/>
  <c r="AJ88" i="1"/>
  <c r="AJ269" i="1"/>
  <c r="AD133" i="1"/>
  <c r="AJ271" i="1"/>
  <c r="F14" i="13"/>
  <c r="AD269" i="1"/>
  <c r="F10" i="13"/>
  <c r="AD106" i="1"/>
  <c r="F11" i="13"/>
  <c r="AJ275" i="1"/>
  <c r="AJ106" i="1"/>
  <c r="AD104" i="1"/>
  <c r="AJ133" i="1"/>
  <c r="F12" i="13"/>
  <c r="AD274" i="1"/>
  <c r="F13" i="13"/>
  <c r="AD271" i="1"/>
  <c r="CM6" i="15" l="1"/>
  <c r="CN6" i="15" s="1"/>
  <c r="CM10" i="15"/>
  <c r="CN10" i="15" s="1"/>
  <c r="CM14" i="15"/>
  <c r="CN14" i="15" s="1"/>
  <c r="CM18" i="15"/>
  <c r="CN18" i="15" s="1"/>
  <c r="CM22" i="15"/>
  <c r="CN22" i="15" s="1"/>
  <c r="CM26" i="15"/>
  <c r="CN26" i="15" s="1"/>
  <c r="CM30" i="15"/>
  <c r="CN30" i="15" s="1"/>
  <c r="CM34" i="15"/>
  <c r="CN34" i="15" s="1"/>
  <c r="CM38" i="15"/>
  <c r="CN38" i="15" s="1"/>
  <c r="CM42" i="15"/>
  <c r="CN42" i="15" s="1"/>
  <c r="CM46" i="15"/>
  <c r="CN46" i="15" s="1"/>
  <c r="CM50" i="15"/>
  <c r="CN50" i="15" s="1"/>
  <c r="CM54" i="15"/>
  <c r="CN54" i="15" s="1"/>
  <c r="CM58" i="15"/>
  <c r="CN58" i="15" s="1"/>
  <c r="CM62" i="15"/>
  <c r="CN62" i="15" s="1"/>
  <c r="CM66" i="15"/>
  <c r="CN66" i="15" s="1"/>
  <c r="CM70" i="15"/>
  <c r="CN70" i="15" s="1"/>
  <c r="CM74" i="15"/>
  <c r="CN74" i="15" s="1"/>
  <c r="CM78" i="15"/>
  <c r="CN78" i="15" s="1"/>
  <c r="CM82" i="15"/>
  <c r="CN82" i="15" s="1"/>
  <c r="CM86" i="15"/>
  <c r="CN86" i="15" s="1"/>
  <c r="CM90" i="15"/>
  <c r="CN90" i="15" s="1"/>
  <c r="CM94" i="15"/>
  <c r="CN94" i="15" s="1"/>
  <c r="CM98" i="15"/>
  <c r="CN98" i="15" s="1"/>
  <c r="CM102" i="15"/>
  <c r="CN102" i="15" s="1"/>
  <c r="CM106" i="15"/>
  <c r="CN106" i="15" s="1"/>
  <c r="CM110" i="15"/>
  <c r="CN110" i="15" s="1"/>
  <c r="CM114" i="15"/>
  <c r="CN114" i="15" s="1"/>
  <c r="CM118" i="15"/>
  <c r="CN118" i="15" s="1"/>
  <c r="CM122" i="15"/>
  <c r="CN122" i="15" s="1"/>
  <c r="CM126" i="15"/>
  <c r="CN126" i="15" s="1"/>
  <c r="CM130" i="15"/>
  <c r="CN130" i="15" s="1"/>
  <c r="CM134" i="15"/>
  <c r="CN134" i="15" s="1"/>
  <c r="CM138" i="15"/>
  <c r="CN138" i="15" s="1"/>
  <c r="CM142" i="15"/>
  <c r="CN142" i="15" s="1"/>
  <c r="CM146" i="15"/>
  <c r="CN146" i="15" s="1"/>
  <c r="CM150" i="15"/>
  <c r="CN150" i="15" s="1"/>
  <c r="CM154" i="15"/>
  <c r="CN154" i="15" s="1"/>
  <c r="CM158" i="15"/>
  <c r="CN158" i="15" s="1"/>
  <c r="CM162" i="15"/>
  <c r="CN162" i="15" s="1"/>
  <c r="CM166" i="15"/>
  <c r="CN166" i="15" s="1"/>
  <c r="CM170" i="15"/>
  <c r="CN170" i="15" s="1"/>
  <c r="CM174" i="15"/>
  <c r="CN174" i="15" s="1"/>
  <c r="CM178" i="15"/>
  <c r="CN178" i="15" s="1"/>
  <c r="CM182" i="15"/>
  <c r="CN182" i="15" s="1"/>
  <c r="CM186" i="15"/>
  <c r="CN186" i="15" s="1"/>
  <c r="CM190" i="15"/>
  <c r="CN190" i="15" s="1"/>
  <c r="CM194" i="15"/>
  <c r="CN194" i="15" s="1"/>
  <c r="CM198" i="15"/>
  <c r="CN198" i="15" s="1"/>
  <c r="CM202" i="15"/>
  <c r="CN202" i="15" s="1"/>
  <c r="CM206" i="15"/>
  <c r="CN206" i="15" s="1"/>
  <c r="CM210" i="15"/>
  <c r="CN210" i="15" s="1"/>
  <c r="CM214" i="15"/>
  <c r="CN214" i="15" s="1"/>
  <c r="CM218" i="15"/>
  <c r="CN218" i="15" s="1"/>
  <c r="CM222" i="15"/>
  <c r="CN222" i="15" s="1"/>
  <c r="CM226" i="15"/>
  <c r="CN226" i="15" s="1"/>
  <c r="CM230" i="15"/>
  <c r="CN230" i="15" s="1"/>
  <c r="CM234" i="15"/>
  <c r="CN234" i="15" s="1"/>
  <c r="CM238" i="15"/>
  <c r="CN238" i="15" s="1"/>
  <c r="CM242" i="15"/>
  <c r="CN242" i="15" s="1"/>
  <c r="CM246" i="15"/>
  <c r="CN246" i="15" s="1"/>
  <c r="CM250" i="15"/>
  <c r="CN250" i="15" s="1"/>
  <c r="CM254" i="15"/>
  <c r="CN254" i="15" s="1"/>
  <c r="CM258" i="15"/>
  <c r="CN258" i="15" s="1"/>
  <c r="CM262" i="15"/>
  <c r="CN262" i="15" s="1"/>
  <c r="CM266" i="15"/>
  <c r="CN266" i="15" s="1"/>
  <c r="CM270" i="15"/>
  <c r="CN270" i="15" s="1"/>
  <c r="CM274" i="15"/>
  <c r="CN274" i="15" s="1"/>
  <c r="CM278" i="15"/>
  <c r="CN278" i="15" s="1"/>
  <c r="CM282" i="15"/>
  <c r="CN282" i="15" s="1"/>
  <c r="CM286" i="15"/>
  <c r="CN286" i="15" s="1"/>
  <c r="CM290" i="15"/>
  <c r="CN290" i="15" s="1"/>
  <c r="CM294" i="15"/>
  <c r="CN294" i="15" s="1"/>
  <c r="CM298" i="15"/>
  <c r="CN298" i="15" s="1"/>
  <c r="CM302" i="15"/>
  <c r="CN302" i="15" s="1"/>
  <c r="CM306" i="15"/>
  <c r="CN306" i="15" s="1"/>
  <c r="CM310" i="15"/>
  <c r="CN310" i="15" s="1"/>
  <c r="CM314" i="15"/>
  <c r="CN314" i="15" s="1"/>
  <c r="CM318" i="15"/>
  <c r="CN318" i="15" s="1"/>
  <c r="CM322" i="15"/>
  <c r="CN322" i="15" s="1"/>
  <c r="CM326" i="15"/>
  <c r="CN326" i="15" s="1"/>
  <c r="CM330" i="15"/>
  <c r="CN330" i="15" s="1"/>
  <c r="CM334" i="15"/>
  <c r="CN334" i="15" s="1"/>
  <c r="CM338" i="15"/>
  <c r="CN338" i="15" s="1"/>
  <c r="CM342" i="15"/>
  <c r="CN342" i="15" s="1"/>
  <c r="CM346" i="15"/>
  <c r="CN346" i="15" s="1"/>
  <c r="CM350" i="15"/>
  <c r="CN350" i="15" s="1"/>
  <c r="CM354" i="15"/>
  <c r="CN354" i="15" s="1"/>
  <c r="CM358" i="15"/>
  <c r="CN358" i="15" s="1"/>
  <c r="CM362" i="15"/>
  <c r="CN362" i="15" s="1"/>
  <c r="CM366" i="15"/>
  <c r="CN366" i="15" s="1"/>
  <c r="CM370" i="15"/>
  <c r="CN370" i="15" s="1"/>
  <c r="CM374" i="15"/>
  <c r="CN374" i="15" s="1"/>
  <c r="CM378" i="15"/>
  <c r="CN378" i="15" s="1"/>
  <c r="CM382" i="15"/>
  <c r="CN382" i="15" s="1"/>
  <c r="CM386" i="15"/>
  <c r="CN386" i="15" s="1"/>
  <c r="CM390" i="15"/>
  <c r="CN390" i="15" s="1"/>
  <c r="CM394" i="15"/>
  <c r="CN394" i="15" s="1"/>
  <c r="CM398" i="15"/>
  <c r="CN398" i="15" s="1"/>
  <c r="CM402" i="15"/>
  <c r="CN402" i="15" s="1"/>
  <c r="CM406" i="15"/>
  <c r="CN406" i="15" s="1"/>
  <c r="CM410" i="15"/>
  <c r="CN410" i="15" s="1"/>
  <c r="CM414" i="15"/>
  <c r="CN414" i="15" s="1"/>
  <c r="CM418" i="15"/>
  <c r="CN418" i="15" s="1"/>
  <c r="CM422" i="15"/>
  <c r="CN422" i="15" s="1"/>
  <c r="CM426" i="15"/>
  <c r="CN426" i="15" s="1"/>
  <c r="CM430" i="15"/>
  <c r="CN430" i="15" s="1"/>
  <c r="CM434" i="15"/>
  <c r="CN434" i="15" s="1"/>
  <c r="CM438" i="15"/>
  <c r="CN438" i="15" s="1"/>
  <c r="CM442" i="15"/>
  <c r="CN442" i="15" s="1"/>
  <c r="CM446" i="15"/>
  <c r="CN446" i="15" s="1"/>
  <c r="CM450" i="15"/>
  <c r="CN450" i="15" s="1"/>
  <c r="CM454" i="15"/>
  <c r="CN454" i="15" s="1"/>
  <c r="CM458" i="15"/>
  <c r="CN458" i="15" s="1"/>
  <c r="CM462" i="15"/>
  <c r="CN462" i="15" s="1"/>
  <c r="CM466" i="15"/>
  <c r="CN466" i="15" s="1"/>
  <c r="CM470" i="15"/>
  <c r="CN470" i="15" s="1"/>
  <c r="CM474" i="15"/>
  <c r="CN474" i="15" s="1"/>
  <c r="CM478" i="15"/>
  <c r="CN478" i="15" s="1"/>
  <c r="CM482" i="15"/>
  <c r="CN482" i="15" s="1"/>
  <c r="CM486" i="15"/>
  <c r="CN486" i="15" s="1"/>
  <c r="CM490" i="15"/>
  <c r="CN490" i="15" s="1"/>
  <c r="CM494" i="15"/>
  <c r="CN494" i="15" s="1"/>
  <c r="CM498" i="15"/>
  <c r="CN498" i="15" s="1"/>
  <c r="CM502" i="15"/>
  <c r="CN502" i="15" s="1"/>
  <c r="CM506" i="15"/>
  <c r="CN506" i="15" s="1"/>
  <c r="CM510" i="15"/>
  <c r="CN510" i="15" s="1"/>
  <c r="CM514" i="15"/>
  <c r="CN514" i="15" s="1"/>
  <c r="CM518" i="15"/>
  <c r="CN518" i="15" s="1"/>
  <c r="CM522" i="15"/>
  <c r="CN522" i="15" s="1"/>
  <c r="CM526" i="15"/>
  <c r="CN526" i="15" s="1"/>
  <c r="CM530" i="15"/>
  <c r="CN530" i="15" s="1"/>
  <c r="CM534" i="15"/>
  <c r="CN534" i="15" s="1"/>
  <c r="CM538" i="15"/>
  <c r="CN538" i="15" s="1"/>
  <c r="CM542" i="15"/>
  <c r="CN542" i="15" s="1"/>
  <c r="CM546" i="15"/>
  <c r="CN546" i="15" s="1"/>
  <c r="CM550" i="15"/>
  <c r="CN550" i="15" s="1"/>
  <c r="CM554" i="15"/>
  <c r="CN554" i="15" s="1"/>
  <c r="CM558" i="15"/>
  <c r="CN558" i="15" s="1"/>
  <c r="CM562" i="15"/>
  <c r="CN562" i="15" s="1"/>
  <c r="CM566" i="15"/>
  <c r="CN566" i="15" s="1"/>
  <c r="CM570" i="15"/>
  <c r="CN570" i="15" s="1"/>
  <c r="CM574" i="15"/>
  <c r="CN574" i="15" s="1"/>
  <c r="CM578" i="15"/>
  <c r="CN578" i="15" s="1"/>
  <c r="CM582" i="15"/>
  <c r="CN582" i="15" s="1"/>
  <c r="CM586" i="15"/>
  <c r="CN586" i="15" s="1"/>
  <c r="CM590" i="15"/>
  <c r="CN590" i="15" s="1"/>
  <c r="CM594" i="15"/>
  <c r="CN594" i="15" s="1"/>
  <c r="CM598" i="15"/>
  <c r="CN598" i="15" s="1"/>
  <c r="CM602" i="15"/>
  <c r="CN602" i="15" s="1"/>
  <c r="CM606" i="15"/>
  <c r="CN606" i="15" s="1"/>
  <c r="CM610" i="15"/>
  <c r="CN610" i="15" s="1"/>
  <c r="CM614" i="15"/>
  <c r="CN614" i="15" s="1"/>
  <c r="CM618" i="15"/>
  <c r="CN618" i="15" s="1"/>
  <c r="CM622" i="15"/>
  <c r="CN622" i="15" s="1"/>
  <c r="CM626" i="15"/>
  <c r="CN626" i="15" s="1"/>
  <c r="CM630" i="15"/>
  <c r="CN630" i="15" s="1"/>
  <c r="CM634" i="15"/>
  <c r="CN634" i="15" s="1"/>
  <c r="CM638" i="15"/>
  <c r="CN638" i="15" s="1"/>
  <c r="CM642" i="15"/>
  <c r="CN642" i="15" s="1"/>
  <c r="CM646" i="15"/>
  <c r="CN646" i="15" s="1"/>
  <c r="CM650" i="15"/>
  <c r="CN650" i="15" s="1"/>
  <c r="CM654" i="15"/>
  <c r="CN654" i="15" s="1"/>
  <c r="CM658" i="15"/>
  <c r="CN658" i="15" s="1"/>
  <c r="CM662" i="15"/>
  <c r="CN662" i="15" s="1"/>
  <c r="CM666" i="15"/>
  <c r="CN666" i="15" s="1"/>
  <c r="CM670" i="15"/>
  <c r="CN670" i="15" s="1"/>
  <c r="CM674" i="15"/>
  <c r="CN674" i="15" s="1"/>
  <c r="CM678" i="15"/>
  <c r="CN678" i="15" s="1"/>
  <c r="CM682" i="15"/>
  <c r="CN682" i="15" s="1"/>
  <c r="CM686" i="15"/>
  <c r="CN686" i="15" s="1"/>
  <c r="CM690" i="15"/>
  <c r="CN690" i="15" s="1"/>
  <c r="CM694" i="15"/>
  <c r="CN694" i="15" s="1"/>
  <c r="CM698" i="15"/>
  <c r="CN698" i="15" s="1"/>
  <c r="CM702" i="15"/>
  <c r="CN702" i="15" s="1"/>
  <c r="CM706" i="15"/>
  <c r="CN706" i="15" s="1"/>
  <c r="CM710" i="15"/>
  <c r="CN710" i="15" s="1"/>
  <c r="CM714" i="15"/>
  <c r="CN714" i="15" s="1"/>
  <c r="CM718" i="15"/>
  <c r="CN718" i="15" s="1"/>
  <c r="CM722" i="15"/>
  <c r="CN722" i="15" s="1"/>
  <c r="CM726" i="15"/>
  <c r="CN726" i="15" s="1"/>
  <c r="CM730" i="15"/>
  <c r="CN730" i="15" s="1"/>
  <c r="CM734" i="15"/>
  <c r="CN734" i="15" s="1"/>
  <c r="CM738" i="15"/>
  <c r="CN738" i="15" s="1"/>
  <c r="CM742" i="15"/>
  <c r="CN742" i="15" s="1"/>
  <c r="CM746" i="15"/>
  <c r="CN746" i="15" s="1"/>
  <c r="CM750" i="15"/>
  <c r="CN750" i="15" s="1"/>
  <c r="CM754" i="15"/>
  <c r="CN754" i="15" s="1"/>
  <c r="CM758" i="15"/>
  <c r="CN758" i="15" s="1"/>
  <c r="CM762" i="15"/>
  <c r="CN762" i="15" s="1"/>
  <c r="CM766" i="15"/>
  <c r="CN766" i="15" s="1"/>
  <c r="CM770" i="15"/>
  <c r="CN770" i="15" s="1"/>
  <c r="CM774" i="15"/>
  <c r="CN774" i="15" s="1"/>
  <c r="CM778" i="15"/>
  <c r="CN778" i="15" s="1"/>
  <c r="CM782" i="15"/>
  <c r="CN782" i="15" s="1"/>
  <c r="CM786" i="15"/>
  <c r="CN786" i="15" s="1"/>
  <c r="CM790" i="15"/>
  <c r="CN790" i="15" s="1"/>
  <c r="CM794" i="15"/>
  <c r="CN794" i="15" s="1"/>
  <c r="CM798" i="15"/>
  <c r="CN798" i="15" s="1"/>
  <c r="CM802" i="15"/>
  <c r="CN802" i="15" s="1"/>
  <c r="CM806" i="15"/>
  <c r="CN806" i="15" s="1"/>
  <c r="CM810" i="15"/>
  <c r="CN810" i="15" s="1"/>
  <c r="CM814" i="15"/>
  <c r="CN814" i="15" s="1"/>
  <c r="CM818" i="15"/>
  <c r="CN818" i="15" s="1"/>
  <c r="CM822" i="15"/>
  <c r="CN822" i="15" s="1"/>
  <c r="CM826" i="15"/>
  <c r="CN826" i="15" s="1"/>
  <c r="CM830" i="15"/>
  <c r="CN830" i="15" s="1"/>
  <c r="CM834" i="15"/>
  <c r="CN834" i="15" s="1"/>
  <c r="CM838" i="15"/>
  <c r="CN838" i="15" s="1"/>
  <c r="CM842" i="15"/>
  <c r="CN842" i="15" s="1"/>
  <c r="CM846" i="15"/>
  <c r="CN846" i="15" s="1"/>
  <c r="CM850" i="15"/>
  <c r="CN850" i="15" s="1"/>
  <c r="CM854" i="15"/>
  <c r="CN854" i="15" s="1"/>
  <c r="CM858" i="15"/>
  <c r="CN858" i="15" s="1"/>
  <c r="CM862" i="15"/>
  <c r="CN862" i="15" s="1"/>
  <c r="CM866" i="15"/>
  <c r="CN866" i="15" s="1"/>
  <c r="CM870" i="15"/>
  <c r="CN870" i="15" s="1"/>
  <c r="CM874" i="15"/>
  <c r="CN874" i="15" s="1"/>
  <c r="CM878" i="15"/>
  <c r="CN878" i="15" s="1"/>
  <c r="CM882" i="15"/>
  <c r="CN882" i="15" s="1"/>
  <c r="CM886" i="15"/>
  <c r="CN886" i="15" s="1"/>
  <c r="CM890" i="15"/>
  <c r="CN890" i="15" s="1"/>
  <c r="CM894" i="15"/>
  <c r="CN894" i="15" s="1"/>
  <c r="CM898" i="15"/>
  <c r="CN898" i="15" s="1"/>
  <c r="CM7" i="15"/>
  <c r="CN7" i="15" s="1"/>
  <c r="CM11" i="15"/>
  <c r="CN11" i="15" s="1"/>
  <c r="CM15" i="15"/>
  <c r="CN15" i="15" s="1"/>
  <c r="CM19" i="15"/>
  <c r="CN19" i="15" s="1"/>
  <c r="CM23" i="15"/>
  <c r="CN23" i="15" s="1"/>
  <c r="CM27" i="15"/>
  <c r="CN27" i="15" s="1"/>
  <c r="CM31" i="15"/>
  <c r="CN31" i="15" s="1"/>
  <c r="CM35" i="15"/>
  <c r="CN35" i="15" s="1"/>
  <c r="CM39" i="15"/>
  <c r="CN39" i="15" s="1"/>
  <c r="CM43" i="15"/>
  <c r="CN43" i="15" s="1"/>
  <c r="CM47" i="15"/>
  <c r="CN47" i="15" s="1"/>
  <c r="CM51" i="15"/>
  <c r="CN51" i="15" s="1"/>
  <c r="CM55" i="15"/>
  <c r="CN55" i="15" s="1"/>
  <c r="CM59" i="15"/>
  <c r="CN59" i="15" s="1"/>
  <c r="CM63" i="15"/>
  <c r="CN63" i="15" s="1"/>
  <c r="CM67" i="15"/>
  <c r="CN67" i="15" s="1"/>
  <c r="CM71" i="15"/>
  <c r="CN71" i="15" s="1"/>
  <c r="CM75" i="15"/>
  <c r="CN75" i="15" s="1"/>
  <c r="CM79" i="15"/>
  <c r="CN79" i="15" s="1"/>
  <c r="CM83" i="15"/>
  <c r="CN83" i="15" s="1"/>
  <c r="CM87" i="15"/>
  <c r="CN87" i="15" s="1"/>
  <c r="CM91" i="15"/>
  <c r="CN91" i="15" s="1"/>
  <c r="CM95" i="15"/>
  <c r="CN95" i="15" s="1"/>
  <c r="CM99" i="15"/>
  <c r="CN99" i="15" s="1"/>
  <c r="CM103" i="15"/>
  <c r="CN103" i="15" s="1"/>
  <c r="CM107" i="15"/>
  <c r="CN107" i="15" s="1"/>
  <c r="CM111" i="15"/>
  <c r="CN111" i="15" s="1"/>
  <c r="CM115" i="15"/>
  <c r="CN115" i="15" s="1"/>
  <c r="CM119" i="15"/>
  <c r="CN119" i="15" s="1"/>
  <c r="CM123" i="15"/>
  <c r="CN123" i="15" s="1"/>
  <c r="CM127" i="15"/>
  <c r="CN127" i="15" s="1"/>
  <c r="CM131" i="15"/>
  <c r="CN131" i="15" s="1"/>
  <c r="CM135" i="15"/>
  <c r="CN135" i="15" s="1"/>
  <c r="CM139" i="15"/>
  <c r="CN139" i="15" s="1"/>
  <c r="CM143" i="15"/>
  <c r="CN143" i="15" s="1"/>
  <c r="CM147" i="15"/>
  <c r="CN147" i="15" s="1"/>
  <c r="CM151" i="15"/>
  <c r="CN151" i="15" s="1"/>
  <c r="CM155" i="15"/>
  <c r="CN155" i="15" s="1"/>
  <c r="CM159" i="15"/>
  <c r="CN159" i="15" s="1"/>
  <c r="CM163" i="15"/>
  <c r="CN163" i="15" s="1"/>
  <c r="CM167" i="15"/>
  <c r="CN167" i="15" s="1"/>
  <c r="CM171" i="15"/>
  <c r="CN171" i="15" s="1"/>
  <c r="CM175" i="15"/>
  <c r="CN175" i="15" s="1"/>
  <c r="CM179" i="15"/>
  <c r="CN179" i="15" s="1"/>
  <c r="CM183" i="15"/>
  <c r="CN183" i="15" s="1"/>
  <c r="CM187" i="15"/>
  <c r="CN187" i="15" s="1"/>
  <c r="CM191" i="15"/>
  <c r="CN191" i="15" s="1"/>
  <c r="CM195" i="15"/>
  <c r="CN195" i="15" s="1"/>
  <c r="CM199" i="15"/>
  <c r="CN199" i="15" s="1"/>
  <c r="CM203" i="15"/>
  <c r="CN203" i="15" s="1"/>
  <c r="CM207" i="15"/>
  <c r="CN207" i="15" s="1"/>
  <c r="CM211" i="15"/>
  <c r="CN211" i="15" s="1"/>
  <c r="CM215" i="15"/>
  <c r="CN215" i="15" s="1"/>
  <c r="CM219" i="15"/>
  <c r="CN219" i="15" s="1"/>
  <c r="CM223" i="15"/>
  <c r="CN223" i="15" s="1"/>
  <c r="CM227" i="15"/>
  <c r="CN227" i="15" s="1"/>
  <c r="CM231" i="15"/>
  <c r="CN231" i="15" s="1"/>
  <c r="CM235" i="15"/>
  <c r="CN235" i="15" s="1"/>
  <c r="CM239" i="15"/>
  <c r="CN239" i="15" s="1"/>
  <c r="CM243" i="15"/>
  <c r="CN243" i="15" s="1"/>
  <c r="CM247" i="15"/>
  <c r="CN247" i="15" s="1"/>
  <c r="CM251" i="15"/>
  <c r="CN251" i="15" s="1"/>
  <c r="CM255" i="15"/>
  <c r="CN255" i="15" s="1"/>
  <c r="CM259" i="15"/>
  <c r="CN259" i="15" s="1"/>
  <c r="CM263" i="15"/>
  <c r="CN263" i="15" s="1"/>
  <c r="CM267" i="15"/>
  <c r="CN267" i="15" s="1"/>
  <c r="CM271" i="15"/>
  <c r="CN271" i="15" s="1"/>
  <c r="CM275" i="15"/>
  <c r="CN275" i="15" s="1"/>
  <c r="CM279" i="15"/>
  <c r="CN279" i="15" s="1"/>
  <c r="CM283" i="15"/>
  <c r="CN283" i="15" s="1"/>
  <c r="CM287" i="15"/>
  <c r="CN287" i="15" s="1"/>
  <c r="CM291" i="15"/>
  <c r="CN291" i="15" s="1"/>
  <c r="CM295" i="15"/>
  <c r="CN295" i="15" s="1"/>
  <c r="CM299" i="15"/>
  <c r="CN299" i="15" s="1"/>
  <c r="CM303" i="15"/>
  <c r="CN303" i="15" s="1"/>
  <c r="CM307" i="15"/>
  <c r="CN307" i="15" s="1"/>
  <c r="CM311" i="15"/>
  <c r="CN311" i="15" s="1"/>
  <c r="CM315" i="15"/>
  <c r="CN315" i="15" s="1"/>
  <c r="CM319" i="15"/>
  <c r="CN319" i="15" s="1"/>
  <c r="CM323" i="15"/>
  <c r="CN323" i="15" s="1"/>
  <c r="CM327" i="15"/>
  <c r="CN327" i="15" s="1"/>
  <c r="CM331" i="15"/>
  <c r="CN331" i="15" s="1"/>
  <c r="CM335" i="15"/>
  <c r="CN335" i="15" s="1"/>
  <c r="CM339" i="15"/>
  <c r="CN339" i="15" s="1"/>
  <c r="CM343" i="15"/>
  <c r="CN343" i="15" s="1"/>
  <c r="CM347" i="15"/>
  <c r="CN347" i="15" s="1"/>
  <c r="CM351" i="15"/>
  <c r="CN351" i="15" s="1"/>
  <c r="CM355" i="15"/>
  <c r="CN355" i="15" s="1"/>
  <c r="CM359" i="15"/>
  <c r="CN359" i="15" s="1"/>
  <c r="CM363" i="15"/>
  <c r="CN363" i="15" s="1"/>
  <c r="CM367" i="15"/>
  <c r="CN367" i="15" s="1"/>
  <c r="CM371" i="15"/>
  <c r="CN371" i="15" s="1"/>
  <c r="CM375" i="15"/>
  <c r="CN375" i="15" s="1"/>
  <c r="CM379" i="15"/>
  <c r="CN379" i="15" s="1"/>
  <c r="CM383" i="15"/>
  <c r="CN383" i="15" s="1"/>
  <c r="CM387" i="15"/>
  <c r="CN387" i="15" s="1"/>
  <c r="CM391" i="15"/>
  <c r="CN391" i="15" s="1"/>
  <c r="CM395" i="15"/>
  <c r="CN395" i="15" s="1"/>
  <c r="CM399" i="15"/>
  <c r="CN399" i="15" s="1"/>
  <c r="CM403" i="15"/>
  <c r="CN403" i="15" s="1"/>
  <c r="CM407" i="15"/>
  <c r="CN407" i="15" s="1"/>
  <c r="CM411" i="15"/>
  <c r="CN411" i="15" s="1"/>
  <c r="CM415" i="15"/>
  <c r="CN415" i="15" s="1"/>
  <c r="CM419" i="15"/>
  <c r="CN419" i="15" s="1"/>
  <c r="CM423" i="15"/>
  <c r="CN423" i="15" s="1"/>
  <c r="CM427" i="15"/>
  <c r="CN427" i="15" s="1"/>
  <c r="CM431" i="15"/>
  <c r="CN431" i="15" s="1"/>
  <c r="CM435" i="15"/>
  <c r="CN435" i="15" s="1"/>
  <c r="CM439" i="15"/>
  <c r="CN439" i="15" s="1"/>
  <c r="CM443" i="15"/>
  <c r="CN443" i="15" s="1"/>
  <c r="CM447" i="15"/>
  <c r="CN447" i="15" s="1"/>
  <c r="CM451" i="15"/>
  <c r="CN451" i="15" s="1"/>
  <c r="CM455" i="15"/>
  <c r="CN455" i="15" s="1"/>
  <c r="CM459" i="15"/>
  <c r="CN459" i="15" s="1"/>
  <c r="CM463" i="15"/>
  <c r="CN463" i="15" s="1"/>
  <c r="CM467" i="15"/>
  <c r="CN467" i="15" s="1"/>
  <c r="CM471" i="15"/>
  <c r="CN471" i="15" s="1"/>
  <c r="CM475" i="15"/>
  <c r="CN475" i="15" s="1"/>
  <c r="CM479" i="15"/>
  <c r="CN479" i="15" s="1"/>
  <c r="CM483" i="15"/>
  <c r="CN483" i="15" s="1"/>
  <c r="CM487" i="15"/>
  <c r="CN487" i="15" s="1"/>
  <c r="CM491" i="15"/>
  <c r="CN491" i="15" s="1"/>
  <c r="CM495" i="15"/>
  <c r="CN495" i="15" s="1"/>
  <c r="CM499" i="15"/>
  <c r="CN499" i="15" s="1"/>
  <c r="CM503" i="15"/>
  <c r="CN503" i="15" s="1"/>
  <c r="CM507" i="15"/>
  <c r="CN507" i="15" s="1"/>
  <c r="CM511" i="15"/>
  <c r="CN511" i="15" s="1"/>
  <c r="CM515" i="15"/>
  <c r="CN515" i="15" s="1"/>
  <c r="CM519" i="15"/>
  <c r="CN519" i="15" s="1"/>
  <c r="CM523" i="15"/>
  <c r="CN523" i="15" s="1"/>
  <c r="CM527" i="15"/>
  <c r="CN527" i="15" s="1"/>
  <c r="CM531" i="15"/>
  <c r="CN531" i="15" s="1"/>
  <c r="CM535" i="15"/>
  <c r="CN535" i="15" s="1"/>
  <c r="CM539" i="15"/>
  <c r="CN539" i="15" s="1"/>
  <c r="CM543" i="15"/>
  <c r="CN543" i="15" s="1"/>
  <c r="CM547" i="15"/>
  <c r="CN547" i="15" s="1"/>
  <c r="CM551" i="15"/>
  <c r="CN551" i="15" s="1"/>
  <c r="CM555" i="15"/>
  <c r="CN555" i="15" s="1"/>
  <c r="CM559" i="15"/>
  <c r="CN559" i="15" s="1"/>
  <c r="CM563" i="15"/>
  <c r="CN563" i="15" s="1"/>
  <c r="CM567" i="15"/>
  <c r="CN567" i="15" s="1"/>
  <c r="CM571" i="15"/>
  <c r="CN571" i="15" s="1"/>
  <c r="CM575" i="15"/>
  <c r="CN575" i="15" s="1"/>
  <c r="CM579" i="15"/>
  <c r="CN579" i="15" s="1"/>
  <c r="CM583" i="15"/>
  <c r="CN583" i="15" s="1"/>
  <c r="CM587" i="15"/>
  <c r="CN587" i="15" s="1"/>
  <c r="CM591" i="15"/>
  <c r="CN591" i="15" s="1"/>
  <c r="CM595" i="15"/>
  <c r="CN595" i="15" s="1"/>
  <c r="CM599" i="15"/>
  <c r="CN599" i="15" s="1"/>
  <c r="CM603" i="15"/>
  <c r="CN603" i="15" s="1"/>
  <c r="CM607" i="15"/>
  <c r="CN607" i="15" s="1"/>
  <c r="CM611" i="15"/>
  <c r="CN611" i="15" s="1"/>
  <c r="CM615" i="15"/>
  <c r="CN615" i="15" s="1"/>
  <c r="CM619" i="15"/>
  <c r="CN619" i="15" s="1"/>
  <c r="CM623" i="15"/>
  <c r="CN623" i="15" s="1"/>
  <c r="CM627" i="15"/>
  <c r="CN627" i="15" s="1"/>
  <c r="CM631" i="15"/>
  <c r="CN631" i="15" s="1"/>
  <c r="CM635" i="15"/>
  <c r="CN635" i="15" s="1"/>
  <c r="CM639" i="15"/>
  <c r="CN639" i="15" s="1"/>
  <c r="CM643" i="15"/>
  <c r="CN643" i="15" s="1"/>
  <c r="CM647" i="15"/>
  <c r="CN647" i="15" s="1"/>
  <c r="CM651" i="15"/>
  <c r="CN651" i="15" s="1"/>
  <c r="CM655" i="15"/>
  <c r="CN655" i="15" s="1"/>
  <c r="CM659" i="15"/>
  <c r="CN659" i="15" s="1"/>
  <c r="CM663" i="15"/>
  <c r="CN663" i="15" s="1"/>
  <c r="CM667" i="15"/>
  <c r="CN667" i="15" s="1"/>
  <c r="CM671" i="15"/>
  <c r="CN671" i="15" s="1"/>
  <c r="CM675" i="15"/>
  <c r="CN675" i="15" s="1"/>
  <c r="CM679" i="15"/>
  <c r="CN679" i="15" s="1"/>
  <c r="CM683" i="15"/>
  <c r="CN683" i="15" s="1"/>
  <c r="CM687" i="15"/>
  <c r="CN687" i="15" s="1"/>
  <c r="CM691" i="15"/>
  <c r="CN691" i="15" s="1"/>
  <c r="CM695" i="15"/>
  <c r="CN695" i="15" s="1"/>
  <c r="CM699" i="15"/>
  <c r="CN699" i="15" s="1"/>
  <c r="CM703" i="15"/>
  <c r="CN703" i="15" s="1"/>
  <c r="CM707" i="15"/>
  <c r="CN707" i="15" s="1"/>
  <c r="CM711" i="15"/>
  <c r="CN711" i="15" s="1"/>
  <c r="CM715" i="15"/>
  <c r="CN715" i="15" s="1"/>
  <c r="CM719" i="15"/>
  <c r="CN719" i="15" s="1"/>
  <c r="CM723" i="15"/>
  <c r="CN723" i="15" s="1"/>
  <c r="CM727" i="15"/>
  <c r="CN727" i="15" s="1"/>
  <c r="CM731" i="15"/>
  <c r="CN731" i="15" s="1"/>
  <c r="CM735" i="15"/>
  <c r="CN735" i="15" s="1"/>
  <c r="CM739" i="15"/>
  <c r="CN739" i="15" s="1"/>
  <c r="CM743" i="15"/>
  <c r="CN743" i="15" s="1"/>
  <c r="CM747" i="15"/>
  <c r="CN747" i="15" s="1"/>
  <c r="CM751" i="15"/>
  <c r="CN751" i="15" s="1"/>
  <c r="CM755" i="15"/>
  <c r="CN755" i="15" s="1"/>
  <c r="CM759" i="15"/>
  <c r="CN759" i="15" s="1"/>
  <c r="CM763" i="15"/>
  <c r="CN763" i="15" s="1"/>
  <c r="CM767" i="15"/>
  <c r="CN767" i="15" s="1"/>
  <c r="CM771" i="15"/>
  <c r="CN771" i="15" s="1"/>
  <c r="CM775" i="15"/>
  <c r="CN775" i="15" s="1"/>
  <c r="CM779" i="15"/>
  <c r="CN779" i="15" s="1"/>
  <c r="CM783" i="15"/>
  <c r="CN783" i="15" s="1"/>
  <c r="CM787" i="15"/>
  <c r="CN787" i="15" s="1"/>
  <c r="CM791" i="15"/>
  <c r="CN791" i="15" s="1"/>
  <c r="CM795" i="15"/>
  <c r="CN795" i="15" s="1"/>
  <c r="CM799" i="15"/>
  <c r="CN799" i="15" s="1"/>
  <c r="CM803" i="15"/>
  <c r="CN803" i="15" s="1"/>
  <c r="CM807" i="15"/>
  <c r="CN807" i="15" s="1"/>
  <c r="CM811" i="15"/>
  <c r="CN811" i="15" s="1"/>
  <c r="CM815" i="15"/>
  <c r="CN815" i="15" s="1"/>
  <c r="CM819" i="15"/>
  <c r="CN819" i="15" s="1"/>
  <c r="CM823" i="15"/>
  <c r="CN823" i="15" s="1"/>
  <c r="CM827" i="15"/>
  <c r="CN827" i="15" s="1"/>
  <c r="CM831" i="15"/>
  <c r="CN831" i="15" s="1"/>
  <c r="CM835" i="15"/>
  <c r="CN835" i="15" s="1"/>
  <c r="CM839" i="15"/>
  <c r="CN839" i="15" s="1"/>
  <c r="CM843" i="15"/>
  <c r="CN843" i="15" s="1"/>
  <c r="CM847" i="15"/>
  <c r="CN847" i="15" s="1"/>
  <c r="CM851" i="15"/>
  <c r="CN851" i="15" s="1"/>
  <c r="CM855" i="15"/>
  <c r="CN855" i="15" s="1"/>
  <c r="CM859" i="15"/>
  <c r="CN859" i="15" s="1"/>
  <c r="CM863" i="15"/>
  <c r="CN863" i="15" s="1"/>
  <c r="CM867" i="15"/>
  <c r="CN867" i="15" s="1"/>
  <c r="CM871" i="15"/>
  <c r="CN871" i="15" s="1"/>
  <c r="CM875" i="15"/>
  <c r="CN875" i="15" s="1"/>
  <c r="CM879" i="15"/>
  <c r="CN879" i="15" s="1"/>
  <c r="CM883" i="15"/>
  <c r="CN883" i="15" s="1"/>
  <c r="CM887" i="15"/>
  <c r="CN887" i="15" s="1"/>
  <c r="CM891" i="15"/>
  <c r="CN891" i="15" s="1"/>
  <c r="CM895" i="15"/>
  <c r="CN895" i="15" s="1"/>
  <c r="CM8" i="15"/>
  <c r="CM12" i="15"/>
  <c r="CN12" i="15" s="1"/>
  <c r="CM16" i="15"/>
  <c r="CN16" i="15" s="1"/>
  <c r="CM20" i="15"/>
  <c r="CN20" i="15" s="1"/>
  <c r="CM24" i="15"/>
  <c r="CN24" i="15" s="1"/>
  <c r="CM28" i="15"/>
  <c r="CN28" i="15" s="1"/>
  <c r="CM32" i="15"/>
  <c r="CN32" i="15" s="1"/>
  <c r="CM36" i="15"/>
  <c r="CN36" i="15" s="1"/>
  <c r="CM40" i="15"/>
  <c r="CN40" i="15" s="1"/>
  <c r="CM44" i="15"/>
  <c r="CN44" i="15" s="1"/>
  <c r="CM48" i="15"/>
  <c r="CN48" i="15" s="1"/>
  <c r="CM52" i="15"/>
  <c r="CN52" i="15" s="1"/>
  <c r="CM56" i="15"/>
  <c r="CN56" i="15" s="1"/>
  <c r="CM60" i="15"/>
  <c r="CN60" i="15" s="1"/>
  <c r="CM64" i="15"/>
  <c r="CN64" i="15" s="1"/>
  <c r="CM68" i="15"/>
  <c r="CN68" i="15" s="1"/>
  <c r="CM72" i="15"/>
  <c r="CN72" i="15" s="1"/>
  <c r="CM76" i="15"/>
  <c r="CN76" i="15" s="1"/>
  <c r="CM80" i="15"/>
  <c r="CN80" i="15" s="1"/>
  <c r="CM84" i="15"/>
  <c r="CN84" i="15" s="1"/>
  <c r="CM88" i="15"/>
  <c r="CN88" i="15" s="1"/>
  <c r="CM92" i="15"/>
  <c r="CN92" i="15" s="1"/>
  <c r="CM96" i="15"/>
  <c r="CN96" i="15" s="1"/>
  <c r="CM100" i="15"/>
  <c r="CN100" i="15" s="1"/>
  <c r="CM104" i="15"/>
  <c r="CN104" i="15" s="1"/>
  <c r="CM108" i="15"/>
  <c r="CN108" i="15" s="1"/>
  <c r="CM112" i="15"/>
  <c r="CN112" i="15" s="1"/>
  <c r="CM116" i="15"/>
  <c r="CN116" i="15" s="1"/>
  <c r="CM120" i="15"/>
  <c r="CN120" i="15" s="1"/>
  <c r="CM124" i="15"/>
  <c r="CN124" i="15" s="1"/>
  <c r="CM128" i="15"/>
  <c r="CN128" i="15" s="1"/>
  <c r="CM132" i="15"/>
  <c r="CN132" i="15" s="1"/>
  <c r="CM136" i="15"/>
  <c r="CN136" i="15" s="1"/>
  <c r="CM140" i="15"/>
  <c r="CN140" i="15" s="1"/>
  <c r="CM144" i="15"/>
  <c r="CN144" i="15" s="1"/>
  <c r="CM148" i="15"/>
  <c r="CN148" i="15" s="1"/>
  <c r="CM152" i="15"/>
  <c r="CN152" i="15" s="1"/>
  <c r="CM156" i="15"/>
  <c r="CN156" i="15" s="1"/>
  <c r="CM160" i="15"/>
  <c r="CN160" i="15" s="1"/>
  <c r="CM164" i="15"/>
  <c r="CN164" i="15" s="1"/>
  <c r="CM168" i="15"/>
  <c r="CN168" i="15" s="1"/>
  <c r="CM172" i="15"/>
  <c r="CN172" i="15" s="1"/>
  <c r="CM176" i="15"/>
  <c r="CN176" i="15" s="1"/>
  <c r="CM180" i="15"/>
  <c r="CN180" i="15" s="1"/>
  <c r="CM184" i="15"/>
  <c r="CN184" i="15" s="1"/>
  <c r="CM188" i="15"/>
  <c r="CN188" i="15" s="1"/>
  <c r="CM192" i="15"/>
  <c r="CN192" i="15" s="1"/>
  <c r="CM196" i="15"/>
  <c r="CN196" i="15" s="1"/>
  <c r="CM200" i="15"/>
  <c r="CN200" i="15" s="1"/>
  <c r="CM204" i="15"/>
  <c r="CN204" i="15" s="1"/>
  <c r="CM208" i="15"/>
  <c r="CN208" i="15" s="1"/>
  <c r="CM212" i="15"/>
  <c r="CN212" i="15" s="1"/>
  <c r="CM216" i="15"/>
  <c r="CN216" i="15" s="1"/>
  <c r="CM220" i="15"/>
  <c r="CN220" i="15" s="1"/>
  <c r="CM224" i="15"/>
  <c r="CN224" i="15" s="1"/>
  <c r="CM228" i="15"/>
  <c r="CN228" i="15" s="1"/>
  <c r="CM232" i="15"/>
  <c r="CN232" i="15" s="1"/>
  <c r="CM236" i="15"/>
  <c r="CN236" i="15" s="1"/>
  <c r="CM240" i="15"/>
  <c r="CN240" i="15" s="1"/>
  <c r="CM244" i="15"/>
  <c r="CN244" i="15" s="1"/>
  <c r="CM248" i="15"/>
  <c r="CN248" i="15" s="1"/>
  <c r="CM252" i="15"/>
  <c r="CN252" i="15" s="1"/>
  <c r="CM256" i="15"/>
  <c r="CN256" i="15" s="1"/>
  <c r="CM260" i="15"/>
  <c r="CN260" i="15" s="1"/>
  <c r="CM264" i="15"/>
  <c r="CN264" i="15" s="1"/>
  <c r="CM268" i="15"/>
  <c r="CN268" i="15" s="1"/>
  <c r="CM272" i="15"/>
  <c r="CN272" i="15" s="1"/>
  <c r="CM276" i="15"/>
  <c r="CN276" i="15" s="1"/>
  <c r="CM280" i="15"/>
  <c r="CN280" i="15" s="1"/>
  <c r="CM284" i="15"/>
  <c r="CN284" i="15" s="1"/>
  <c r="CM288" i="15"/>
  <c r="CN288" i="15" s="1"/>
  <c r="CM292" i="15"/>
  <c r="CN292" i="15" s="1"/>
  <c r="CM296" i="15"/>
  <c r="CN296" i="15" s="1"/>
  <c r="CM300" i="15"/>
  <c r="CN300" i="15" s="1"/>
  <c r="CM304" i="15"/>
  <c r="CN304" i="15" s="1"/>
  <c r="CM308" i="15"/>
  <c r="CN308" i="15" s="1"/>
  <c r="CM312" i="15"/>
  <c r="CN312" i="15" s="1"/>
  <c r="CM316" i="15"/>
  <c r="CN316" i="15" s="1"/>
  <c r="CM320" i="15"/>
  <c r="CN320" i="15" s="1"/>
  <c r="CM324" i="15"/>
  <c r="CN324" i="15" s="1"/>
  <c r="CM328" i="15"/>
  <c r="CN328" i="15" s="1"/>
  <c r="CM332" i="15"/>
  <c r="CN332" i="15" s="1"/>
  <c r="CM336" i="15"/>
  <c r="CN336" i="15" s="1"/>
  <c r="CM340" i="15"/>
  <c r="CN340" i="15" s="1"/>
  <c r="CM344" i="15"/>
  <c r="CN344" i="15" s="1"/>
  <c r="CM348" i="15"/>
  <c r="CN348" i="15" s="1"/>
  <c r="CM352" i="15"/>
  <c r="CN352" i="15" s="1"/>
  <c r="CM356" i="15"/>
  <c r="CN356" i="15" s="1"/>
  <c r="CM360" i="15"/>
  <c r="CN360" i="15" s="1"/>
  <c r="CM364" i="15"/>
  <c r="CN364" i="15" s="1"/>
  <c r="CM368" i="15"/>
  <c r="CN368" i="15" s="1"/>
  <c r="CM372" i="15"/>
  <c r="CN372" i="15" s="1"/>
  <c r="CM376" i="15"/>
  <c r="CN376" i="15" s="1"/>
  <c r="CM380" i="15"/>
  <c r="CN380" i="15" s="1"/>
  <c r="CM384" i="15"/>
  <c r="CN384" i="15" s="1"/>
  <c r="CM388" i="15"/>
  <c r="CN388" i="15" s="1"/>
  <c r="CM392" i="15"/>
  <c r="CN392" i="15" s="1"/>
  <c r="CM396" i="15"/>
  <c r="CN396" i="15" s="1"/>
  <c r="CM400" i="15"/>
  <c r="CN400" i="15" s="1"/>
  <c r="CM404" i="15"/>
  <c r="CN404" i="15" s="1"/>
  <c r="CM408" i="15"/>
  <c r="CN408" i="15" s="1"/>
  <c r="CM412" i="15"/>
  <c r="CN412" i="15" s="1"/>
  <c r="CM416" i="15"/>
  <c r="CN416" i="15" s="1"/>
  <c r="CM420" i="15"/>
  <c r="CN420" i="15" s="1"/>
  <c r="CM424" i="15"/>
  <c r="CN424" i="15" s="1"/>
  <c r="CM428" i="15"/>
  <c r="CN428" i="15" s="1"/>
  <c r="CM432" i="15"/>
  <c r="CN432" i="15" s="1"/>
  <c r="CM436" i="15"/>
  <c r="CN436" i="15" s="1"/>
  <c r="CM440" i="15"/>
  <c r="CN440" i="15" s="1"/>
  <c r="CM444" i="15"/>
  <c r="CN444" i="15" s="1"/>
  <c r="CM448" i="15"/>
  <c r="CN448" i="15" s="1"/>
  <c r="CM452" i="15"/>
  <c r="CN452" i="15" s="1"/>
  <c r="CM456" i="15"/>
  <c r="CN456" i="15" s="1"/>
  <c r="CM460" i="15"/>
  <c r="CN460" i="15" s="1"/>
  <c r="CM464" i="15"/>
  <c r="CN464" i="15" s="1"/>
  <c r="CM468" i="15"/>
  <c r="CN468" i="15" s="1"/>
  <c r="CM472" i="15"/>
  <c r="CN472" i="15" s="1"/>
  <c r="CM476" i="15"/>
  <c r="CN476" i="15" s="1"/>
  <c r="CM480" i="15"/>
  <c r="CN480" i="15" s="1"/>
  <c r="CM484" i="15"/>
  <c r="CN484" i="15" s="1"/>
  <c r="CM488" i="15"/>
  <c r="CN488" i="15" s="1"/>
  <c r="CM492" i="15"/>
  <c r="CN492" i="15" s="1"/>
  <c r="CM496" i="15"/>
  <c r="CN496" i="15" s="1"/>
  <c r="CM500" i="15"/>
  <c r="CN500" i="15" s="1"/>
  <c r="CM504" i="15"/>
  <c r="CN504" i="15" s="1"/>
  <c r="CM508" i="15"/>
  <c r="CN508" i="15" s="1"/>
  <c r="CM512" i="15"/>
  <c r="CN512" i="15" s="1"/>
  <c r="CM516" i="15"/>
  <c r="CN516" i="15" s="1"/>
  <c r="CM520" i="15"/>
  <c r="CN520" i="15" s="1"/>
  <c r="CM524" i="15"/>
  <c r="CN524" i="15" s="1"/>
  <c r="CM528" i="15"/>
  <c r="CN528" i="15" s="1"/>
  <c r="CM532" i="15"/>
  <c r="CN532" i="15" s="1"/>
  <c r="CM536" i="15"/>
  <c r="CN536" i="15" s="1"/>
  <c r="CM540" i="15"/>
  <c r="CN540" i="15" s="1"/>
  <c r="CM544" i="15"/>
  <c r="CN544" i="15" s="1"/>
  <c r="CM548" i="15"/>
  <c r="CN548" i="15" s="1"/>
  <c r="CM552" i="15"/>
  <c r="CN552" i="15" s="1"/>
  <c r="CM556" i="15"/>
  <c r="CN556" i="15" s="1"/>
  <c r="CM560" i="15"/>
  <c r="CN560" i="15" s="1"/>
  <c r="CM564" i="15"/>
  <c r="CN564" i="15" s="1"/>
  <c r="CM568" i="15"/>
  <c r="CN568" i="15" s="1"/>
  <c r="CM572" i="15"/>
  <c r="CN572" i="15" s="1"/>
  <c r="CM576" i="15"/>
  <c r="CN576" i="15" s="1"/>
  <c r="CM580" i="15"/>
  <c r="CN580" i="15" s="1"/>
  <c r="CM584" i="15"/>
  <c r="CN584" i="15" s="1"/>
  <c r="CM588" i="15"/>
  <c r="CN588" i="15" s="1"/>
  <c r="CM592" i="15"/>
  <c r="CN592" i="15" s="1"/>
  <c r="CM596" i="15"/>
  <c r="CN596" i="15" s="1"/>
  <c r="CM600" i="15"/>
  <c r="CN600" i="15" s="1"/>
  <c r="CM604" i="15"/>
  <c r="CN604" i="15" s="1"/>
  <c r="CM608" i="15"/>
  <c r="CN608" i="15" s="1"/>
  <c r="CM612" i="15"/>
  <c r="CN612" i="15" s="1"/>
  <c r="CM616" i="15"/>
  <c r="CN616" i="15" s="1"/>
  <c r="CM620" i="15"/>
  <c r="CN620" i="15" s="1"/>
  <c r="CM624" i="15"/>
  <c r="CN624" i="15" s="1"/>
  <c r="CM628" i="15"/>
  <c r="CN628" i="15" s="1"/>
  <c r="CM632" i="15"/>
  <c r="CN632" i="15" s="1"/>
  <c r="CM636" i="15"/>
  <c r="CN636" i="15" s="1"/>
  <c r="CM640" i="15"/>
  <c r="CN640" i="15" s="1"/>
  <c r="CM644" i="15"/>
  <c r="CN644" i="15" s="1"/>
  <c r="CM648" i="15"/>
  <c r="CN648" i="15" s="1"/>
  <c r="CM652" i="15"/>
  <c r="CN652" i="15" s="1"/>
  <c r="CM656" i="15"/>
  <c r="CN656" i="15" s="1"/>
  <c r="CM660" i="15"/>
  <c r="CN660" i="15" s="1"/>
  <c r="CM664" i="15"/>
  <c r="CN664" i="15" s="1"/>
  <c r="CM668" i="15"/>
  <c r="CN668" i="15" s="1"/>
  <c r="CM672" i="15"/>
  <c r="CN672" i="15" s="1"/>
  <c r="CM676" i="15"/>
  <c r="CN676" i="15" s="1"/>
  <c r="CM680" i="15"/>
  <c r="CN680" i="15" s="1"/>
  <c r="CM684" i="15"/>
  <c r="CN684" i="15" s="1"/>
  <c r="CM688" i="15"/>
  <c r="CN688" i="15" s="1"/>
  <c r="CM692" i="15"/>
  <c r="CN692" i="15" s="1"/>
  <c r="CM696" i="15"/>
  <c r="CN696" i="15" s="1"/>
  <c r="CM700" i="15"/>
  <c r="CN700" i="15" s="1"/>
  <c r="CM704" i="15"/>
  <c r="CN704" i="15" s="1"/>
  <c r="CM708" i="15"/>
  <c r="CN708" i="15" s="1"/>
  <c r="CM712" i="15"/>
  <c r="CN712" i="15" s="1"/>
  <c r="CM716" i="15"/>
  <c r="CN716" i="15" s="1"/>
  <c r="CM720" i="15"/>
  <c r="CN720" i="15" s="1"/>
  <c r="CM724" i="15"/>
  <c r="CN724" i="15" s="1"/>
  <c r="CM728" i="15"/>
  <c r="CN728" i="15" s="1"/>
  <c r="CM732" i="15"/>
  <c r="CN732" i="15" s="1"/>
  <c r="CM736" i="15"/>
  <c r="CN736" i="15" s="1"/>
  <c r="CM740" i="15"/>
  <c r="CN740" i="15" s="1"/>
  <c r="CM744" i="15"/>
  <c r="CN744" i="15" s="1"/>
  <c r="CM748" i="15"/>
  <c r="CN748" i="15" s="1"/>
  <c r="CM752" i="15"/>
  <c r="CN752" i="15" s="1"/>
  <c r="CM756" i="15"/>
  <c r="CN756" i="15" s="1"/>
  <c r="CM760" i="15"/>
  <c r="CN760" i="15" s="1"/>
  <c r="CM764" i="15"/>
  <c r="CN764" i="15" s="1"/>
  <c r="CM768" i="15"/>
  <c r="CN768" i="15" s="1"/>
  <c r="CM772" i="15"/>
  <c r="CN772" i="15" s="1"/>
  <c r="CM776" i="15"/>
  <c r="CN776" i="15" s="1"/>
  <c r="CM780" i="15"/>
  <c r="CN780" i="15" s="1"/>
  <c r="CM784" i="15"/>
  <c r="CN784" i="15" s="1"/>
  <c r="CM788" i="15"/>
  <c r="CN788" i="15" s="1"/>
  <c r="CM792" i="15"/>
  <c r="CN792" i="15" s="1"/>
  <c r="CM796" i="15"/>
  <c r="CN796" i="15" s="1"/>
  <c r="CM800" i="15"/>
  <c r="CN800" i="15" s="1"/>
  <c r="CM804" i="15"/>
  <c r="CN804" i="15" s="1"/>
  <c r="CM808" i="15"/>
  <c r="CN808" i="15" s="1"/>
  <c r="CM812" i="15"/>
  <c r="CN812" i="15" s="1"/>
  <c r="CM816" i="15"/>
  <c r="CN816" i="15" s="1"/>
  <c r="CM820" i="15"/>
  <c r="CN820" i="15" s="1"/>
  <c r="CM824" i="15"/>
  <c r="CN824" i="15" s="1"/>
  <c r="CM828" i="15"/>
  <c r="CN828" i="15" s="1"/>
  <c r="CM832" i="15"/>
  <c r="CN832" i="15" s="1"/>
  <c r="CM836" i="15"/>
  <c r="CN836" i="15" s="1"/>
  <c r="CM840" i="15"/>
  <c r="CN840" i="15" s="1"/>
  <c r="CM844" i="15"/>
  <c r="CN844" i="15" s="1"/>
  <c r="CM848" i="15"/>
  <c r="CN848" i="15" s="1"/>
  <c r="CM852" i="15"/>
  <c r="CN852" i="15" s="1"/>
  <c r="CM856" i="15"/>
  <c r="CN856" i="15" s="1"/>
  <c r="CM860" i="15"/>
  <c r="CN860" i="15" s="1"/>
  <c r="CM864" i="15"/>
  <c r="CN864" i="15" s="1"/>
  <c r="CM868" i="15"/>
  <c r="CN868" i="15" s="1"/>
  <c r="CM872" i="15"/>
  <c r="CN872" i="15" s="1"/>
  <c r="CM876" i="15"/>
  <c r="CN876" i="15" s="1"/>
  <c r="CM880" i="15"/>
  <c r="CN880" i="15" s="1"/>
  <c r="CM884" i="15"/>
  <c r="CN884" i="15" s="1"/>
  <c r="CM888" i="15"/>
  <c r="CN888" i="15" s="1"/>
  <c r="CM892" i="15"/>
  <c r="CN892" i="15" s="1"/>
  <c r="CM896" i="15"/>
  <c r="CN896" i="15" s="1"/>
  <c r="CM9" i="15"/>
  <c r="CM25" i="15"/>
  <c r="CN25" i="15" s="1"/>
  <c r="CM41" i="15"/>
  <c r="CN41" i="15" s="1"/>
  <c r="CM57" i="15"/>
  <c r="CN57" i="15" s="1"/>
  <c r="CM73" i="15"/>
  <c r="CN73" i="15" s="1"/>
  <c r="CM89" i="15"/>
  <c r="CN89" i="15" s="1"/>
  <c r="CM105" i="15"/>
  <c r="CN105" i="15" s="1"/>
  <c r="CM121" i="15"/>
  <c r="CN121" i="15" s="1"/>
  <c r="CM137" i="15"/>
  <c r="CN137" i="15" s="1"/>
  <c r="CM153" i="15"/>
  <c r="CN153" i="15" s="1"/>
  <c r="CM169" i="15"/>
  <c r="CN169" i="15" s="1"/>
  <c r="CM185" i="15"/>
  <c r="CN185" i="15" s="1"/>
  <c r="CM201" i="15"/>
  <c r="CN201" i="15" s="1"/>
  <c r="CM217" i="15"/>
  <c r="CN217" i="15" s="1"/>
  <c r="CM233" i="15"/>
  <c r="CN233" i="15" s="1"/>
  <c r="CM249" i="15"/>
  <c r="CN249" i="15" s="1"/>
  <c r="CM265" i="15"/>
  <c r="CN265" i="15" s="1"/>
  <c r="CM281" i="15"/>
  <c r="CN281" i="15" s="1"/>
  <c r="CM297" i="15"/>
  <c r="CN297" i="15" s="1"/>
  <c r="CM313" i="15"/>
  <c r="CN313" i="15" s="1"/>
  <c r="CM329" i="15"/>
  <c r="CN329" i="15" s="1"/>
  <c r="CM345" i="15"/>
  <c r="CN345" i="15" s="1"/>
  <c r="CM361" i="15"/>
  <c r="CN361" i="15" s="1"/>
  <c r="CM377" i="15"/>
  <c r="CN377" i="15" s="1"/>
  <c r="CM393" i="15"/>
  <c r="CN393" i="15" s="1"/>
  <c r="CM409" i="15"/>
  <c r="CN409" i="15" s="1"/>
  <c r="CM425" i="15"/>
  <c r="CN425" i="15" s="1"/>
  <c r="CM441" i="15"/>
  <c r="CN441" i="15" s="1"/>
  <c r="CM457" i="15"/>
  <c r="CN457" i="15" s="1"/>
  <c r="CM473" i="15"/>
  <c r="CN473" i="15" s="1"/>
  <c r="CM489" i="15"/>
  <c r="CN489" i="15" s="1"/>
  <c r="CM505" i="15"/>
  <c r="CN505" i="15" s="1"/>
  <c r="CM521" i="15"/>
  <c r="CN521" i="15" s="1"/>
  <c r="CM537" i="15"/>
  <c r="CN537" i="15" s="1"/>
  <c r="CM553" i="15"/>
  <c r="CN553" i="15" s="1"/>
  <c r="CM569" i="15"/>
  <c r="CN569" i="15" s="1"/>
  <c r="CM585" i="15"/>
  <c r="CN585" i="15" s="1"/>
  <c r="CM601" i="15"/>
  <c r="CN601" i="15" s="1"/>
  <c r="CM617" i="15"/>
  <c r="CN617" i="15" s="1"/>
  <c r="CM633" i="15"/>
  <c r="CN633" i="15" s="1"/>
  <c r="CM649" i="15"/>
  <c r="CN649" i="15" s="1"/>
  <c r="CM665" i="15"/>
  <c r="CN665" i="15" s="1"/>
  <c r="CM681" i="15"/>
  <c r="CN681" i="15" s="1"/>
  <c r="CM697" i="15"/>
  <c r="CN697" i="15" s="1"/>
  <c r="CM713" i="15"/>
  <c r="CN713" i="15" s="1"/>
  <c r="CM729" i="15"/>
  <c r="CN729" i="15" s="1"/>
  <c r="CM745" i="15"/>
  <c r="CN745" i="15" s="1"/>
  <c r="CM761" i="15"/>
  <c r="CN761" i="15" s="1"/>
  <c r="CM777" i="15"/>
  <c r="CN777" i="15" s="1"/>
  <c r="CM793" i="15"/>
  <c r="CN793" i="15" s="1"/>
  <c r="CM809" i="15"/>
  <c r="CN809" i="15" s="1"/>
  <c r="CM825" i="15"/>
  <c r="CN825" i="15" s="1"/>
  <c r="CM841" i="15"/>
  <c r="CN841" i="15" s="1"/>
  <c r="CM857" i="15"/>
  <c r="CN857" i="15" s="1"/>
  <c r="CM873" i="15"/>
  <c r="CN873" i="15" s="1"/>
  <c r="CM889" i="15"/>
  <c r="CN889" i="15" s="1"/>
  <c r="CM117" i="15"/>
  <c r="CN117" i="15" s="1"/>
  <c r="CM181" i="15"/>
  <c r="CN181" i="15" s="1"/>
  <c r="CM229" i="15"/>
  <c r="CN229" i="15" s="1"/>
  <c r="CM261" i="15"/>
  <c r="CN261" i="15" s="1"/>
  <c r="CM293" i="15"/>
  <c r="CN293" i="15" s="1"/>
  <c r="CM341" i="15"/>
  <c r="CN341" i="15" s="1"/>
  <c r="CM373" i="15"/>
  <c r="CN373" i="15" s="1"/>
  <c r="CM405" i="15"/>
  <c r="CN405" i="15" s="1"/>
  <c r="CM453" i="15"/>
  <c r="CN453" i="15" s="1"/>
  <c r="CM485" i="15"/>
  <c r="CN485" i="15" s="1"/>
  <c r="CM501" i="15"/>
  <c r="CN501" i="15" s="1"/>
  <c r="CM533" i="15"/>
  <c r="CN533" i="15" s="1"/>
  <c r="CM565" i="15"/>
  <c r="CN565" i="15" s="1"/>
  <c r="CM597" i="15"/>
  <c r="CN597" i="15" s="1"/>
  <c r="CM645" i="15"/>
  <c r="CN645" i="15" s="1"/>
  <c r="CM677" i="15"/>
  <c r="CN677" i="15" s="1"/>
  <c r="CM709" i="15"/>
  <c r="CN709" i="15" s="1"/>
  <c r="CM741" i="15"/>
  <c r="CN741" i="15" s="1"/>
  <c r="CM773" i="15"/>
  <c r="CN773" i="15" s="1"/>
  <c r="CM805" i="15"/>
  <c r="CN805" i="15" s="1"/>
  <c r="CM837" i="15"/>
  <c r="CN837" i="15" s="1"/>
  <c r="CM869" i="15"/>
  <c r="CN869" i="15" s="1"/>
  <c r="CM13" i="15"/>
  <c r="CN13" i="15" s="1"/>
  <c r="CM29" i="15"/>
  <c r="CN29" i="15" s="1"/>
  <c r="CM45" i="15"/>
  <c r="CN45" i="15" s="1"/>
  <c r="CM61" i="15"/>
  <c r="CN61" i="15" s="1"/>
  <c r="CM77" i="15"/>
  <c r="CN77" i="15" s="1"/>
  <c r="CM93" i="15"/>
  <c r="CN93" i="15" s="1"/>
  <c r="CM109" i="15"/>
  <c r="CN109" i="15" s="1"/>
  <c r="CM125" i="15"/>
  <c r="CN125" i="15" s="1"/>
  <c r="CM141" i="15"/>
  <c r="CN141" i="15" s="1"/>
  <c r="CM157" i="15"/>
  <c r="CN157" i="15" s="1"/>
  <c r="CM173" i="15"/>
  <c r="CN173" i="15" s="1"/>
  <c r="CM189" i="15"/>
  <c r="CN189" i="15" s="1"/>
  <c r="CM205" i="15"/>
  <c r="CN205" i="15" s="1"/>
  <c r="CM221" i="15"/>
  <c r="CN221" i="15" s="1"/>
  <c r="CM237" i="15"/>
  <c r="CN237" i="15" s="1"/>
  <c r="CM253" i="15"/>
  <c r="CN253" i="15" s="1"/>
  <c r="CM269" i="15"/>
  <c r="CN269" i="15" s="1"/>
  <c r="CM285" i="15"/>
  <c r="CN285" i="15" s="1"/>
  <c r="CM301" i="15"/>
  <c r="CN301" i="15" s="1"/>
  <c r="CM317" i="15"/>
  <c r="CN317" i="15" s="1"/>
  <c r="CM333" i="15"/>
  <c r="CN333" i="15" s="1"/>
  <c r="CM349" i="15"/>
  <c r="CN349" i="15" s="1"/>
  <c r="CM365" i="15"/>
  <c r="CN365" i="15" s="1"/>
  <c r="CM381" i="15"/>
  <c r="CN381" i="15" s="1"/>
  <c r="CM397" i="15"/>
  <c r="CN397" i="15" s="1"/>
  <c r="CM413" i="15"/>
  <c r="CN413" i="15" s="1"/>
  <c r="CM429" i="15"/>
  <c r="CN429" i="15" s="1"/>
  <c r="CM445" i="15"/>
  <c r="CN445" i="15" s="1"/>
  <c r="CM461" i="15"/>
  <c r="CN461" i="15" s="1"/>
  <c r="CM477" i="15"/>
  <c r="CN477" i="15" s="1"/>
  <c r="CM493" i="15"/>
  <c r="CN493" i="15" s="1"/>
  <c r="CM509" i="15"/>
  <c r="CN509" i="15" s="1"/>
  <c r="CM525" i="15"/>
  <c r="CN525" i="15" s="1"/>
  <c r="CM541" i="15"/>
  <c r="CN541" i="15" s="1"/>
  <c r="CM557" i="15"/>
  <c r="CN557" i="15" s="1"/>
  <c r="CM573" i="15"/>
  <c r="CN573" i="15" s="1"/>
  <c r="CM589" i="15"/>
  <c r="CN589" i="15" s="1"/>
  <c r="CM605" i="15"/>
  <c r="CN605" i="15" s="1"/>
  <c r="CM621" i="15"/>
  <c r="CN621" i="15" s="1"/>
  <c r="CM637" i="15"/>
  <c r="CN637" i="15" s="1"/>
  <c r="CM653" i="15"/>
  <c r="CN653" i="15" s="1"/>
  <c r="CM669" i="15"/>
  <c r="CN669" i="15" s="1"/>
  <c r="CM685" i="15"/>
  <c r="CN685" i="15" s="1"/>
  <c r="CM701" i="15"/>
  <c r="CN701" i="15" s="1"/>
  <c r="CM717" i="15"/>
  <c r="CN717" i="15" s="1"/>
  <c r="CM733" i="15"/>
  <c r="CN733" i="15" s="1"/>
  <c r="CM749" i="15"/>
  <c r="CN749" i="15" s="1"/>
  <c r="CM765" i="15"/>
  <c r="CN765" i="15" s="1"/>
  <c r="CM781" i="15"/>
  <c r="CN781" i="15" s="1"/>
  <c r="CM797" i="15"/>
  <c r="CN797" i="15" s="1"/>
  <c r="CM813" i="15"/>
  <c r="CN813" i="15" s="1"/>
  <c r="CM829" i="15"/>
  <c r="CN829" i="15" s="1"/>
  <c r="CM845" i="15"/>
  <c r="CN845" i="15" s="1"/>
  <c r="CM861" i="15"/>
  <c r="CN861" i="15" s="1"/>
  <c r="CM877" i="15"/>
  <c r="CN877" i="15" s="1"/>
  <c r="CM893" i="15"/>
  <c r="CN893" i="15" s="1"/>
  <c r="CM21" i="15"/>
  <c r="CN21" i="15" s="1"/>
  <c r="CM37" i="15"/>
  <c r="CN37" i="15" s="1"/>
  <c r="CM53" i="15"/>
  <c r="CN53" i="15" s="1"/>
  <c r="CM69" i="15"/>
  <c r="CN69" i="15" s="1"/>
  <c r="CM85" i="15"/>
  <c r="CN85" i="15" s="1"/>
  <c r="CM101" i="15"/>
  <c r="CN101" i="15" s="1"/>
  <c r="CM133" i="15"/>
  <c r="CN133" i="15" s="1"/>
  <c r="CM149" i="15"/>
  <c r="CN149" i="15" s="1"/>
  <c r="CM165" i="15"/>
  <c r="CN165" i="15" s="1"/>
  <c r="CM197" i="15"/>
  <c r="CN197" i="15" s="1"/>
  <c r="CM213" i="15"/>
  <c r="CN213" i="15" s="1"/>
  <c r="CM245" i="15"/>
  <c r="CN245" i="15" s="1"/>
  <c r="CM277" i="15"/>
  <c r="CN277" i="15" s="1"/>
  <c r="CM309" i="15"/>
  <c r="CN309" i="15" s="1"/>
  <c r="CM325" i="15"/>
  <c r="CN325" i="15" s="1"/>
  <c r="CM357" i="15"/>
  <c r="CN357" i="15" s="1"/>
  <c r="CM389" i="15"/>
  <c r="CN389" i="15" s="1"/>
  <c r="CM421" i="15"/>
  <c r="CN421" i="15" s="1"/>
  <c r="CM437" i="15"/>
  <c r="CN437" i="15" s="1"/>
  <c r="CM469" i="15"/>
  <c r="CN469" i="15" s="1"/>
  <c r="CM517" i="15"/>
  <c r="CN517" i="15" s="1"/>
  <c r="CM549" i="15"/>
  <c r="CN549" i="15" s="1"/>
  <c r="CM581" i="15"/>
  <c r="CN581" i="15" s="1"/>
  <c r="CM613" i="15"/>
  <c r="CN613" i="15" s="1"/>
  <c r="CM629" i="15"/>
  <c r="CN629" i="15" s="1"/>
  <c r="CM661" i="15"/>
  <c r="CN661" i="15" s="1"/>
  <c r="CM693" i="15"/>
  <c r="CN693" i="15" s="1"/>
  <c r="CM725" i="15"/>
  <c r="CN725" i="15" s="1"/>
  <c r="CM757" i="15"/>
  <c r="CN757" i="15" s="1"/>
  <c r="CM789" i="15"/>
  <c r="CN789" i="15" s="1"/>
  <c r="CM821" i="15"/>
  <c r="CN821" i="15" s="1"/>
  <c r="CM853" i="15"/>
  <c r="CN853" i="15" s="1"/>
  <c r="CM885" i="15"/>
  <c r="CN885" i="15" s="1"/>
  <c r="CM17" i="15"/>
  <c r="CN17" i="15" s="1"/>
  <c r="CM33" i="15"/>
  <c r="CN33" i="15" s="1"/>
  <c r="CM49" i="15"/>
  <c r="CN49" i="15" s="1"/>
  <c r="CM65" i="15"/>
  <c r="CN65" i="15" s="1"/>
  <c r="CM81" i="15"/>
  <c r="CN81" i="15" s="1"/>
  <c r="CM97" i="15"/>
  <c r="CN97" i="15" s="1"/>
  <c r="CM113" i="15"/>
  <c r="CN113" i="15" s="1"/>
  <c r="CM129" i="15"/>
  <c r="CN129" i="15" s="1"/>
  <c r="CM145" i="15"/>
  <c r="CN145" i="15" s="1"/>
  <c r="CM161" i="15"/>
  <c r="CN161" i="15" s="1"/>
  <c r="CM177" i="15"/>
  <c r="CN177" i="15" s="1"/>
  <c r="CM193" i="15"/>
  <c r="CN193" i="15" s="1"/>
  <c r="CM209" i="15"/>
  <c r="CN209" i="15" s="1"/>
  <c r="CM225" i="15"/>
  <c r="CN225" i="15" s="1"/>
  <c r="CM241" i="15"/>
  <c r="CN241" i="15" s="1"/>
  <c r="CM257" i="15"/>
  <c r="CN257" i="15" s="1"/>
  <c r="CM273" i="15"/>
  <c r="CN273" i="15" s="1"/>
  <c r="CM289" i="15"/>
  <c r="CN289" i="15" s="1"/>
  <c r="CM305" i="15"/>
  <c r="CN305" i="15" s="1"/>
  <c r="CM321" i="15"/>
  <c r="CN321" i="15" s="1"/>
  <c r="CM337" i="15"/>
  <c r="CN337" i="15" s="1"/>
  <c r="CM353" i="15"/>
  <c r="CN353" i="15" s="1"/>
  <c r="CM369" i="15"/>
  <c r="CN369" i="15" s="1"/>
  <c r="CM385" i="15"/>
  <c r="CN385" i="15" s="1"/>
  <c r="CM401" i="15"/>
  <c r="CN401" i="15" s="1"/>
  <c r="CM417" i="15"/>
  <c r="CN417" i="15" s="1"/>
  <c r="CM433" i="15"/>
  <c r="CN433" i="15" s="1"/>
  <c r="CM449" i="15"/>
  <c r="CN449" i="15" s="1"/>
  <c r="CM465" i="15"/>
  <c r="CN465" i="15" s="1"/>
  <c r="CM481" i="15"/>
  <c r="CN481" i="15" s="1"/>
  <c r="CM497" i="15"/>
  <c r="CN497" i="15" s="1"/>
  <c r="CM513" i="15"/>
  <c r="CN513" i="15" s="1"/>
  <c r="CM529" i="15"/>
  <c r="CN529" i="15" s="1"/>
  <c r="CM545" i="15"/>
  <c r="CN545" i="15" s="1"/>
  <c r="CM561" i="15"/>
  <c r="CN561" i="15" s="1"/>
  <c r="CM577" i="15"/>
  <c r="CN577" i="15" s="1"/>
  <c r="CM593" i="15"/>
  <c r="CN593" i="15" s="1"/>
  <c r="CM609" i="15"/>
  <c r="CN609" i="15" s="1"/>
  <c r="CM625" i="15"/>
  <c r="CN625" i="15" s="1"/>
  <c r="CM641" i="15"/>
  <c r="CN641" i="15" s="1"/>
  <c r="CM657" i="15"/>
  <c r="CN657" i="15" s="1"/>
  <c r="CM673" i="15"/>
  <c r="CN673" i="15" s="1"/>
  <c r="CM689" i="15"/>
  <c r="CN689" i="15" s="1"/>
  <c r="CM705" i="15"/>
  <c r="CN705" i="15" s="1"/>
  <c r="CM721" i="15"/>
  <c r="CN721" i="15" s="1"/>
  <c r="CM737" i="15"/>
  <c r="CN737" i="15" s="1"/>
  <c r="CM753" i="15"/>
  <c r="CN753" i="15" s="1"/>
  <c r="CM769" i="15"/>
  <c r="CN769" i="15" s="1"/>
  <c r="CM785" i="15"/>
  <c r="CN785" i="15" s="1"/>
  <c r="CM801" i="15"/>
  <c r="CN801" i="15" s="1"/>
  <c r="CM817" i="15"/>
  <c r="CN817" i="15" s="1"/>
  <c r="CM833" i="15"/>
  <c r="CN833" i="15" s="1"/>
  <c r="CM849" i="15"/>
  <c r="CN849" i="15" s="1"/>
  <c r="CM865" i="15"/>
  <c r="CN865" i="15" s="1"/>
  <c r="CM881" i="15"/>
  <c r="CN881" i="15" s="1"/>
  <c r="CM897" i="15"/>
  <c r="CN897" i="15" s="1"/>
  <c r="CO8" i="15"/>
  <c r="CO12" i="15"/>
  <c r="CP12" i="15" s="1"/>
  <c r="CO16" i="15"/>
  <c r="CP16" i="15" s="1"/>
  <c r="CO20" i="15"/>
  <c r="CP20" i="15" s="1"/>
  <c r="CO24" i="15"/>
  <c r="CP24" i="15" s="1"/>
  <c r="CO28" i="15"/>
  <c r="CP28" i="15" s="1"/>
  <c r="CO32" i="15"/>
  <c r="CP32" i="15" s="1"/>
  <c r="CO36" i="15"/>
  <c r="CP36" i="15" s="1"/>
  <c r="CO40" i="15"/>
  <c r="CP40" i="15" s="1"/>
  <c r="CO44" i="15"/>
  <c r="CP44" i="15" s="1"/>
  <c r="CO48" i="15"/>
  <c r="CP48" i="15" s="1"/>
  <c r="CO52" i="15"/>
  <c r="CP52" i="15" s="1"/>
  <c r="CO56" i="15"/>
  <c r="CP56" i="15" s="1"/>
  <c r="CO60" i="15"/>
  <c r="CP60" i="15" s="1"/>
  <c r="CO64" i="15"/>
  <c r="CP64" i="15" s="1"/>
  <c r="CO68" i="15"/>
  <c r="CP68" i="15" s="1"/>
  <c r="CO72" i="15"/>
  <c r="CP72" i="15" s="1"/>
  <c r="CO76" i="15"/>
  <c r="CP76" i="15" s="1"/>
  <c r="CO80" i="15"/>
  <c r="CP80" i="15" s="1"/>
  <c r="CO84" i="15"/>
  <c r="CP84" i="15" s="1"/>
  <c r="CO88" i="15"/>
  <c r="CP88" i="15" s="1"/>
  <c r="CO92" i="15"/>
  <c r="CP92" i="15" s="1"/>
  <c r="CO96" i="15"/>
  <c r="CP96" i="15" s="1"/>
  <c r="CO100" i="15"/>
  <c r="CP100" i="15" s="1"/>
  <c r="CO104" i="15"/>
  <c r="CP104" i="15" s="1"/>
  <c r="CO108" i="15"/>
  <c r="CP108" i="15" s="1"/>
  <c r="CO112" i="15"/>
  <c r="CP112" i="15" s="1"/>
  <c r="CO116" i="15"/>
  <c r="CP116" i="15" s="1"/>
  <c r="CO120" i="15"/>
  <c r="CP120" i="15" s="1"/>
  <c r="CO124" i="15"/>
  <c r="CP124" i="15" s="1"/>
  <c r="CO128" i="15"/>
  <c r="CP128" i="15" s="1"/>
  <c r="CO132" i="15"/>
  <c r="CP132" i="15" s="1"/>
  <c r="CO136" i="15"/>
  <c r="CP136" i="15" s="1"/>
  <c r="CO140" i="15"/>
  <c r="CP140" i="15" s="1"/>
  <c r="CO144" i="15"/>
  <c r="CP144" i="15" s="1"/>
  <c r="CO148" i="15"/>
  <c r="CP148" i="15" s="1"/>
  <c r="CO152" i="15"/>
  <c r="CP152" i="15" s="1"/>
  <c r="CO156" i="15"/>
  <c r="CP156" i="15" s="1"/>
  <c r="CO160" i="15"/>
  <c r="CP160" i="15" s="1"/>
  <c r="CO164" i="15"/>
  <c r="CP164" i="15" s="1"/>
  <c r="CO168" i="15"/>
  <c r="CP168" i="15" s="1"/>
  <c r="CO172" i="15"/>
  <c r="CP172" i="15" s="1"/>
  <c r="CO176" i="15"/>
  <c r="CP176" i="15" s="1"/>
  <c r="CO180" i="15"/>
  <c r="CP180" i="15" s="1"/>
  <c r="CO184" i="15"/>
  <c r="CP184" i="15" s="1"/>
  <c r="CO188" i="15"/>
  <c r="CP188" i="15" s="1"/>
  <c r="CO192" i="15"/>
  <c r="CP192" i="15" s="1"/>
  <c r="CO196" i="15"/>
  <c r="CP196" i="15" s="1"/>
  <c r="CO200" i="15"/>
  <c r="CP200" i="15" s="1"/>
  <c r="CO204" i="15"/>
  <c r="CP204" i="15" s="1"/>
  <c r="CO208" i="15"/>
  <c r="CP208" i="15" s="1"/>
  <c r="CO212" i="15"/>
  <c r="CP212" i="15" s="1"/>
  <c r="CO216" i="15"/>
  <c r="CP216" i="15" s="1"/>
  <c r="CO220" i="15"/>
  <c r="CP220" i="15" s="1"/>
  <c r="CO224" i="15"/>
  <c r="CP224" i="15" s="1"/>
  <c r="CO228" i="15"/>
  <c r="CP228" i="15" s="1"/>
  <c r="CO232" i="15"/>
  <c r="CP232" i="15" s="1"/>
  <c r="CO236" i="15"/>
  <c r="CP236" i="15" s="1"/>
  <c r="CO240" i="15"/>
  <c r="CP240" i="15" s="1"/>
  <c r="CO244" i="15"/>
  <c r="CP244" i="15" s="1"/>
  <c r="CO248" i="15"/>
  <c r="CP248" i="15" s="1"/>
  <c r="CO252" i="15"/>
  <c r="CP252" i="15" s="1"/>
  <c r="CO256" i="15"/>
  <c r="CP256" i="15" s="1"/>
  <c r="CO260" i="15"/>
  <c r="CP260" i="15" s="1"/>
  <c r="CO264" i="15"/>
  <c r="CP264" i="15" s="1"/>
  <c r="CO268" i="15"/>
  <c r="CP268" i="15" s="1"/>
  <c r="CO272" i="15"/>
  <c r="CP272" i="15" s="1"/>
  <c r="CO276" i="15"/>
  <c r="CP276" i="15" s="1"/>
  <c r="CO280" i="15"/>
  <c r="CP280" i="15" s="1"/>
  <c r="CO284" i="15"/>
  <c r="CP284" i="15" s="1"/>
  <c r="CO288" i="15"/>
  <c r="CP288" i="15" s="1"/>
  <c r="CO292" i="15"/>
  <c r="CP292" i="15" s="1"/>
  <c r="CO296" i="15"/>
  <c r="CP296" i="15" s="1"/>
  <c r="CO300" i="15"/>
  <c r="CP300" i="15" s="1"/>
  <c r="CO304" i="15"/>
  <c r="CP304" i="15" s="1"/>
  <c r="CO308" i="15"/>
  <c r="CP308" i="15" s="1"/>
  <c r="CO312" i="15"/>
  <c r="CP312" i="15" s="1"/>
  <c r="CO316" i="15"/>
  <c r="CP316" i="15" s="1"/>
  <c r="CO320" i="15"/>
  <c r="CP320" i="15" s="1"/>
  <c r="CO324" i="15"/>
  <c r="CP324" i="15" s="1"/>
  <c r="CO328" i="15"/>
  <c r="CP328" i="15" s="1"/>
  <c r="CO332" i="15"/>
  <c r="CP332" i="15" s="1"/>
  <c r="CO336" i="15"/>
  <c r="CP336" i="15" s="1"/>
  <c r="CO340" i="15"/>
  <c r="CP340" i="15" s="1"/>
  <c r="CO344" i="15"/>
  <c r="CP344" i="15" s="1"/>
  <c r="CO348" i="15"/>
  <c r="CP348" i="15" s="1"/>
  <c r="CO352" i="15"/>
  <c r="CP352" i="15" s="1"/>
  <c r="CO356" i="15"/>
  <c r="CP356" i="15" s="1"/>
  <c r="CO360" i="15"/>
  <c r="CP360" i="15" s="1"/>
  <c r="CO364" i="15"/>
  <c r="CP364" i="15" s="1"/>
  <c r="CO368" i="15"/>
  <c r="CP368" i="15" s="1"/>
  <c r="CO372" i="15"/>
  <c r="CP372" i="15" s="1"/>
  <c r="CO376" i="15"/>
  <c r="CP376" i="15" s="1"/>
  <c r="CO380" i="15"/>
  <c r="CP380" i="15" s="1"/>
  <c r="CO384" i="15"/>
  <c r="CP384" i="15" s="1"/>
  <c r="CO388" i="15"/>
  <c r="CP388" i="15" s="1"/>
  <c r="CO392" i="15"/>
  <c r="CP392" i="15" s="1"/>
  <c r="CO396" i="15"/>
  <c r="CP396" i="15" s="1"/>
  <c r="CO400" i="15"/>
  <c r="CP400" i="15" s="1"/>
  <c r="CO404" i="15"/>
  <c r="CP404" i="15" s="1"/>
  <c r="CO408" i="15"/>
  <c r="CP408" i="15" s="1"/>
  <c r="CO412" i="15"/>
  <c r="CP412" i="15" s="1"/>
  <c r="CO416" i="15"/>
  <c r="CP416" i="15" s="1"/>
  <c r="CO420" i="15"/>
  <c r="CP420" i="15" s="1"/>
  <c r="CO424" i="15"/>
  <c r="CP424" i="15" s="1"/>
  <c r="CO428" i="15"/>
  <c r="CP428" i="15" s="1"/>
  <c r="CO432" i="15"/>
  <c r="CP432" i="15" s="1"/>
  <c r="CO436" i="15"/>
  <c r="CP436" i="15" s="1"/>
  <c r="CO440" i="15"/>
  <c r="CP440" i="15" s="1"/>
  <c r="CO444" i="15"/>
  <c r="CP444" i="15" s="1"/>
  <c r="CO448" i="15"/>
  <c r="CP448" i="15" s="1"/>
  <c r="CO452" i="15"/>
  <c r="CP452" i="15" s="1"/>
  <c r="CO456" i="15"/>
  <c r="CP456" i="15" s="1"/>
  <c r="CO460" i="15"/>
  <c r="CP460" i="15" s="1"/>
  <c r="CO464" i="15"/>
  <c r="CP464" i="15" s="1"/>
  <c r="CO468" i="15"/>
  <c r="CP468" i="15" s="1"/>
  <c r="CO472" i="15"/>
  <c r="CP472" i="15" s="1"/>
  <c r="CO476" i="15"/>
  <c r="CP476" i="15" s="1"/>
  <c r="CO480" i="15"/>
  <c r="CP480" i="15" s="1"/>
  <c r="CO484" i="15"/>
  <c r="CP484" i="15" s="1"/>
  <c r="CO488" i="15"/>
  <c r="CP488" i="15" s="1"/>
  <c r="CO492" i="15"/>
  <c r="CP492" i="15" s="1"/>
  <c r="CO496" i="15"/>
  <c r="CP496" i="15" s="1"/>
  <c r="CO500" i="15"/>
  <c r="CP500" i="15" s="1"/>
  <c r="CO504" i="15"/>
  <c r="CP504" i="15" s="1"/>
  <c r="CO508" i="15"/>
  <c r="CP508" i="15" s="1"/>
  <c r="CO512" i="15"/>
  <c r="CP512" i="15" s="1"/>
  <c r="CO516" i="15"/>
  <c r="CP516" i="15" s="1"/>
  <c r="CO520" i="15"/>
  <c r="CP520" i="15" s="1"/>
  <c r="CO524" i="15"/>
  <c r="CP524" i="15" s="1"/>
  <c r="CO528" i="15"/>
  <c r="CP528" i="15" s="1"/>
  <c r="CO532" i="15"/>
  <c r="CP532" i="15" s="1"/>
  <c r="CO536" i="15"/>
  <c r="CP536" i="15" s="1"/>
  <c r="CO540" i="15"/>
  <c r="CP540" i="15" s="1"/>
  <c r="CO544" i="15"/>
  <c r="CP544" i="15" s="1"/>
  <c r="CO548" i="15"/>
  <c r="CP548" i="15" s="1"/>
  <c r="CO552" i="15"/>
  <c r="CP552" i="15" s="1"/>
  <c r="CO556" i="15"/>
  <c r="CP556" i="15" s="1"/>
  <c r="CO560" i="15"/>
  <c r="CP560" i="15" s="1"/>
  <c r="CO564" i="15"/>
  <c r="CP564" i="15" s="1"/>
  <c r="CO568" i="15"/>
  <c r="CP568" i="15" s="1"/>
  <c r="CO572" i="15"/>
  <c r="CP572" i="15" s="1"/>
  <c r="CO576" i="15"/>
  <c r="CP576" i="15" s="1"/>
  <c r="CO580" i="15"/>
  <c r="CP580" i="15" s="1"/>
  <c r="CO584" i="15"/>
  <c r="CP584" i="15" s="1"/>
  <c r="CO588" i="15"/>
  <c r="CP588" i="15" s="1"/>
  <c r="CO592" i="15"/>
  <c r="CP592" i="15" s="1"/>
  <c r="CO596" i="15"/>
  <c r="CP596" i="15" s="1"/>
  <c r="CO600" i="15"/>
  <c r="CP600" i="15" s="1"/>
  <c r="CO604" i="15"/>
  <c r="CP604" i="15" s="1"/>
  <c r="CO608" i="15"/>
  <c r="CP608" i="15" s="1"/>
  <c r="CO612" i="15"/>
  <c r="CP612" i="15" s="1"/>
  <c r="CO616" i="15"/>
  <c r="CP616" i="15" s="1"/>
  <c r="CO620" i="15"/>
  <c r="CP620" i="15" s="1"/>
  <c r="CO624" i="15"/>
  <c r="CP624" i="15" s="1"/>
  <c r="CO628" i="15"/>
  <c r="CP628" i="15" s="1"/>
  <c r="CO632" i="15"/>
  <c r="CP632" i="15" s="1"/>
  <c r="CO636" i="15"/>
  <c r="CP636" i="15" s="1"/>
  <c r="CO640" i="15"/>
  <c r="CP640" i="15" s="1"/>
  <c r="CO644" i="15"/>
  <c r="CP644" i="15" s="1"/>
  <c r="CO648" i="15"/>
  <c r="CP648" i="15" s="1"/>
  <c r="CO652" i="15"/>
  <c r="CP652" i="15" s="1"/>
  <c r="CO656" i="15"/>
  <c r="CP656" i="15" s="1"/>
  <c r="CO660" i="15"/>
  <c r="CP660" i="15" s="1"/>
  <c r="CO664" i="15"/>
  <c r="CP664" i="15" s="1"/>
  <c r="CO668" i="15"/>
  <c r="CP668" i="15" s="1"/>
  <c r="CO672" i="15"/>
  <c r="CP672" i="15" s="1"/>
  <c r="CO676" i="15"/>
  <c r="CP676" i="15" s="1"/>
  <c r="CO680" i="15"/>
  <c r="CP680" i="15" s="1"/>
  <c r="CO684" i="15"/>
  <c r="CP684" i="15" s="1"/>
  <c r="CO688" i="15"/>
  <c r="CP688" i="15" s="1"/>
  <c r="CO692" i="15"/>
  <c r="CP692" i="15" s="1"/>
  <c r="CO696" i="15"/>
  <c r="CP696" i="15" s="1"/>
  <c r="CO700" i="15"/>
  <c r="CP700" i="15" s="1"/>
  <c r="CO704" i="15"/>
  <c r="CP704" i="15" s="1"/>
  <c r="CO708" i="15"/>
  <c r="CP708" i="15" s="1"/>
  <c r="CO712" i="15"/>
  <c r="CP712" i="15" s="1"/>
  <c r="CO716" i="15"/>
  <c r="CP716" i="15" s="1"/>
  <c r="CO720" i="15"/>
  <c r="CP720" i="15" s="1"/>
  <c r="CO724" i="15"/>
  <c r="CP724" i="15" s="1"/>
  <c r="CO728" i="15"/>
  <c r="CP728" i="15" s="1"/>
  <c r="CO732" i="15"/>
  <c r="CP732" i="15" s="1"/>
  <c r="CO736" i="15"/>
  <c r="CP736" i="15" s="1"/>
  <c r="CO740" i="15"/>
  <c r="CP740" i="15" s="1"/>
  <c r="CO744" i="15"/>
  <c r="CP744" i="15" s="1"/>
  <c r="CO748" i="15"/>
  <c r="CP748" i="15" s="1"/>
  <c r="CO752" i="15"/>
  <c r="CP752" i="15" s="1"/>
  <c r="CO756" i="15"/>
  <c r="CP756" i="15" s="1"/>
  <c r="CO760" i="15"/>
  <c r="CP760" i="15" s="1"/>
  <c r="CO764" i="15"/>
  <c r="CP764" i="15" s="1"/>
  <c r="CO768" i="15"/>
  <c r="CP768" i="15" s="1"/>
  <c r="CO772" i="15"/>
  <c r="CP772" i="15" s="1"/>
  <c r="CO776" i="15"/>
  <c r="CP776" i="15" s="1"/>
  <c r="CO780" i="15"/>
  <c r="CP780" i="15" s="1"/>
  <c r="CO784" i="15"/>
  <c r="CP784" i="15" s="1"/>
  <c r="CO788" i="15"/>
  <c r="CP788" i="15" s="1"/>
  <c r="CO792" i="15"/>
  <c r="CP792" i="15" s="1"/>
  <c r="CO796" i="15"/>
  <c r="CP796" i="15" s="1"/>
  <c r="CO9" i="15"/>
  <c r="CO13" i="15"/>
  <c r="CP13" i="15" s="1"/>
  <c r="CO17" i="15"/>
  <c r="CP17" i="15" s="1"/>
  <c r="CO21" i="15"/>
  <c r="CP21" i="15" s="1"/>
  <c r="CO25" i="15"/>
  <c r="CP25" i="15" s="1"/>
  <c r="CO29" i="15"/>
  <c r="CP29" i="15" s="1"/>
  <c r="CO33" i="15"/>
  <c r="CP33" i="15" s="1"/>
  <c r="CO37" i="15"/>
  <c r="CP37" i="15" s="1"/>
  <c r="CO41" i="15"/>
  <c r="CP41" i="15" s="1"/>
  <c r="CO45" i="15"/>
  <c r="CP45" i="15" s="1"/>
  <c r="CO49" i="15"/>
  <c r="CP49" i="15" s="1"/>
  <c r="CO53" i="15"/>
  <c r="CP53" i="15" s="1"/>
  <c r="CO57" i="15"/>
  <c r="CP57" i="15" s="1"/>
  <c r="CO61" i="15"/>
  <c r="CP61" i="15" s="1"/>
  <c r="CO65" i="15"/>
  <c r="CP65" i="15" s="1"/>
  <c r="CO69" i="15"/>
  <c r="CP69" i="15" s="1"/>
  <c r="CO73" i="15"/>
  <c r="CP73" i="15" s="1"/>
  <c r="CO77" i="15"/>
  <c r="CP77" i="15" s="1"/>
  <c r="CO81" i="15"/>
  <c r="CP81" i="15" s="1"/>
  <c r="CO85" i="15"/>
  <c r="CP85" i="15" s="1"/>
  <c r="CO89" i="15"/>
  <c r="CP89" i="15" s="1"/>
  <c r="CO93" i="15"/>
  <c r="CP93" i="15" s="1"/>
  <c r="CO97" i="15"/>
  <c r="CP97" i="15" s="1"/>
  <c r="CO101" i="15"/>
  <c r="CP101" i="15" s="1"/>
  <c r="CO105" i="15"/>
  <c r="CP105" i="15" s="1"/>
  <c r="CO109" i="15"/>
  <c r="CP109" i="15" s="1"/>
  <c r="CO113" i="15"/>
  <c r="CP113" i="15" s="1"/>
  <c r="CO117" i="15"/>
  <c r="CP117" i="15" s="1"/>
  <c r="CO121" i="15"/>
  <c r="CP121" i="15" s="1"/>
  <c r="CO125" i="15"/>
  <c r="CP125" i="15" s="1"/>
  <c r="CO129" i="15"/>
  <c r="CP129" i="15" s="1"/>
  <c r="CO133" i="15"/>
  <c r="CP133" i="15" s="1"/>
  <c r="CO137" i="15"/>
  <c r="CP137" i="15" s="1"/>
  <c r="CO141" i="15"/>
  <c r="CP141" i="15" s="1"/>
  <c r="CO145" i="15"/>
  <c r="CP145" i="15" s="1"/>
  <c r="CO149" i="15"/>
  <c r="CP149" i="15" s="1"/>
  <c r="CO153" i="15"/>
  <c r="CP153" i="15" s="1"/>
  <c r="CO157" i="15"/>
  <c r="CP157" i="15" s="1"/>
  <c r="CO161" i="15"/>
  <c r="CP161" i="15" s="1"/>
  <c r="CO165" i="15"/>
  <c r="CP165" i="15" s="1"/>
  <c r="CO169" i="15"/>
  <c r="CP169" i="15" s="1"/>
  <c r="CO173" i="15"/>
  <c r="CP173" i="15" s="1"/>
  <c r="CO177" i="15"/>
  <c r="CP177" i="15" s="1"/>
  <c r="CO181" i="15"/>
  <c r="CP181" i="15" s="1"/>
  <c r="CO185" i="15"/>
  <c r="CP185" i="15" s="1"/>
  <c r="CO189" i="15"/>
  <c r="CP189" i="15" s="1"/>
  <c r="CO193" i="15"/>
  <c r="CP193" i="15" s="1"/>
  <c r="CO197" i="15"/>
  <c r="CP197" i="15" s="1"/>
  <c r="CO201" i="15"/>
  <c r="CP201" i="15" s="1"/>
  <c r="CO205" i="15"/>
  <c r="CP205" i="15" s="1"/>
  <c r="CO209" i="15"/>
  <c r="CP209" i="15" s="1"/>
  <c r="CO213" i="15"/>
  <c r="CP213" i="15" s="1"/>
  <c r="CO217" i="15"/>
  <c r="CP217" i="15" s="1"/>
  <c r="CO221" i="15"/>
  <c r="CP221" i="15" s="1"/>
  <c r="CO225" i="15"/>
  <c r="CP225" i="15" s="1"/>
  <c r="CO229" i="15"/>
  <c r="CP229" i="15" s="1"/>
  <c r="CO233" i="15"/>
  <c r="CP233" i="15" s="1"/>
  <c r="CO237" i="15"/>
  <c r="CP237" i="15" s="1"/>
  <c r="CO241" i="15"/>
  <c r="CP241" i="15" s="1"/>
  <c r="CO245" i="15"/>
  <c r="CP245" i="15" s="1"/>
  <c r="CO249" i="15"/>
  <c r="CP249" i="15" s="1"/>
  <c r="CO253" i="15"/>
  <c r="CP253" i="15" s="1"/>
  <c r="CO257" i="15"/>
  <c r="CP257" i="15" s="1"/>
  <c r="CO261" i="15"/>
  <c r="CP261" i="15" s="1"/>
  <c r="CO265" i="15"/>
  <c r="CP265" i="15" s="1"/>
  <c r="CO269" i="15"/>
  <c r="CP269" i="15" s="1"/>
  <c r="CO273" i="15"/>
  <c r="CP273" i="15" s="1"/>
  <c r="CO277" i="15"/>
  <c r="CP277" i="15" s="1"/>
  <c r="CO281" i="15"/>
  <c r="CP281" i="15" s="1"/>
  <c r="CO285" i="15"/>
  <c r="CP285" i="15" s="1"/>
  <c r="CO289" i="15"/>
  <c r="CP289" i="15" s="1"/>
  <c r="CO293" i="15"/>
  <c r="CP293" i="15" s="1"/>
  <c r="CO297" i="15"/>
  <c r="CP297" i="15" s="1"/>
  <c r="CO301" i="15"/>
  <c r="CP301" i="15" s="1"/>
  <c r="CO305" i="15"/>
  <c r="CP305" i="15" s="1"/>
  <c r="CO309" i="15"/>
  <c r="CP309" i="15" s="1"/>
  <c r="CO313" i="15"/>
  <c r="CP313" i="15" s="1"/>
  <c r="CO317" i="15"/>
  <c r="CP317" i="15" s="1"/>
  <c r="CO321" i="15"/>
  <c r="CP321" i="15" s="1"/>
  <c r="CO325" i="15"/>
  <c r="CP325" i="15" s="1"/>
  <c r="CO329" i="15"/>
  <c r="CP329" i="15" s="1"/>
  <c r="CO333" i="15"/>
  <c r="CP333" i="15" s="1"/>
  <c r="CO337" i="15"/>
  <c r="CP337" i="15" s="1"/>
  <c r="CO341" i="15"/>
  <c r="CP341" i="15" s="1"/>
  <c r="CO345" i="15"/>
  <c r="CP345" i="15" s="1"/>
  <c r="CO349" i="15"/>
  <c r="CP349" i="15" s="1"/>
  <c r="CO353" i="15"/>
  <c r="CP353" i="15" s="1"/>
  <c r="CO357" i="15"/>
  <c r="CP357" i="15" s="1"/>
  <c r="CO361" i="15"/>
  <c r="CP361" i="15" s="1"/>
  <c r="CO365" i="15"/>
  <c r="CP365" i="15" s="1"/>
  <c r="CO369" i="15"/>
  <c r="CP369" i="15" s="1"/>
  <c r="CO373" i="15"/>
  <c r="CP373" i="15" s="1"/>
  <c r="CO377" i="15"/>
  <c r="CP377" i="15" s="1"/>
  <c r="CO381" i="15"/>
  <c r="CP381" i="15" s="1"/>
  <c r="CO385" i="15"/>
  <c r="CP385" i="15" s="1"/>
  <c r="CO389" i="15"/>
  <c r="CP389" i="15" s="1"/>
  <c r="CO393" i="15"/>
  <c r="CP393" i="15" s="1"/>
  <c r="CO397" i="15"/>
  <c r="CP397" i="15" s="1"/>
  <c r="CO401" i="15"/>
  <c r="CP401" i="15" s="1"/>
  <c r="CO405" i="15"/>
  <c r="CP405" i="15" s="1"/>
  <c r="CO409" i="15"/>
  <c r="CP409" i="15" s="1"/>
  <c r="CO413" i="15"/>
  <c r="CP413" i="15" s="1"/>
  <c r="CO417" i="15"/>
  <c r="CP417" i="15" s="1"/>
  <c r="CO421" i="15"/>
  <c r="CP421" i="15" s="1"/>
  <c r="CO425" i="15"/>
  <c r="CP425" i="15" s="1"/>
  <c r="CO429" i="15"/>
  <c r="CP429" i="15" s="1"/>
  <c r="CO433" i="15"/>
  <c r="CP433" i="15" s="1"/>
  <c r="CO437" i="15"/>
  <c r="CP437" i="15" s="1"/>
  <c r="CO441" i="15"/>
  <c r="CP441" i="15" s="1"/>
  <c r="CO445" i="15"/>
  <c r="CP445" i="15" s="1"/>
  <c r="CO449" i="15"/>
  <c r="CP449" i="15" s="1"/>
  <c r="CO453" i="15"/>
  <c r="CP453" i="15" s="1"/>
  <c r="CO457" i="15"/>
  <c r="CP457" i="15" s="1"/>
  <c r="CO461" i="15"/>
  <c r="CP461" i="15" s="1"/>
  <c r="CO465" i="15"/>
  <c r="CP465" i="15" s="1"/>
  <c r="CO469" i="15"/>
  <c r="CP469" i="15" s="1"/>
  <c r="CO473" i="15"/>
  <c r="CP473" i="15" s="1"/>
  <c r="CO477" i="15"/>
  <c r="CP477" i="15" s="1"/>
  <c r="CO481" i="15"/>
  <c r="CP481" i="15" s="1"/>
  <c r="CO485" i="15"/>
  <c r="CP485" i="15" s="1"/>
  <c r="CO489" i="15"/>
  <c r="CP489" i="15" s="1"/>
  <c r="CO493" i="15"/>
  <c r="CP493" i="15" s="1"/>
  <c r="CO497" i="15"/>
  <c r="CP497" i="15" s="1"/>
  <c r="CO501" i="15"/>
  <c r="CP501" i="15" s="1"/>
  <c r="CO505" i="15"/>
  <c r="CP505" i="15" s="1"/>
  <c r="CO509" i="15"/>
  <c r="CP509" i="15" s="1"/>
  <c r="CO513" i="15"/>
  <c r="CP513" i="15" s="1"/>
  <c r="CO517" i="15"/>
  <c r="CP517" i="15" s="1"/>
  <c r="CO521" i="15"/>
  <c r="CP521" i="15" s="1"/>
  <c r="CO525" i="15"/>
  <c r="CP525" i="15" s="1"/>
  <c r="CO529" i="15"/>
  <c r="CP529" i="15" s="1"/>
  <c r="CO533" i="15"/>
  <c r="CP533" i="15" s="1"/>
  <c r="CO537" i="15"/>
  <c r="CP537" i="15" s="1"/>
  <c r="CO541" i="15"/>
  <c r="CP541" i="15" s="1"/>
  <c r="CO545" i="15"/>
  <c r="CP545" i="15" s="1"/>
  <c r="CO549" i="15"/>
  <c r="CP549" i="15" s="1"/>
  <c r="CO553" i="15"/>
  <c r="CP553" i="15" s="1"/>
  <c r="CO557" i="15"/>
  <c r="CP557" i="15" s="1"/>
  <c r="CO561" i="15"/>
  <c r="CP561" i="15" s="1"/>
  <c r="CO565" i="15"/>
  <c r="CP565" i="15" s="1"/>
  <c r="CO569" i="15"/>
  <c r="CP569" i="15" s="1"/>
  <c r="CO573" i="15"/>
  <c r="CP573" i="15" s="1"/>
  <c r="CO577" i="15"/>
  <c r="CP577" i="15" s="1"/>
  <c r="CO581" i="15"/>
  <c r="CP581" i="15" s="1"/>
  <c r="CO585" i="15"/>
  <c r="CP585" i="15" s="1"/>
  <c r="CO589" i="15"/>
  <c r="CP589" i="15" s="1"/>
  <c r="CO593" i="15"/>
  <c r="CP593" i="15" s="1"/>
  <c r="CO597" i="15"/>
  <c r="CP597" i="15" s="1"/>
  <c r="CO601" i="15"/>
  <c r="CP601" i="15" s="1"/>
  <c r="CO605" i="15"/>
  <c r="CP605" i="15" s="1"/>
  <c r="CO609" i="15"/>
  <c r="CP609" i="15" s="1"/>
  <c r="CO613" i="15"/>
  <c r="CP613" i="15" s="1"/>
  <c r="CO617" i="15"/>
  <c r="CP617" i="15" s="1"/>
  <c r="CO621" i="15"/>
  <c r="CP621" i="15" s="1"/>
  <c r="CO625" i="15"/>
  <c r="CP625" i="15" s="1"/>
  <c r="CO629" i="15"/>
  <c r="CP629" i="15" s="1"/>
  <c r="CO633" i="15"/>
  <c r="CP633" i="15" s="1"/>
  <c r="CO637" i="15"/>
  <c r="CP637" i="15" s="1"/>
  <c r="CO641" i="15"/>
  <c r="CP641" i="15" s="1"/>
  <c r="CO645" i="15"/>
  <c r="CP645" i="15" s="1"/>
  <c r="CO649" i="15"/>
  <c r="CP649" i="15" s="1"/>
  <c r="CO653" i="15"/>
  <c r="CP653" i="15" s="1"/>
  <c r="CO657" i="15"/>
  <c r="CP657" i="15" s="1"/>
  <c r="CO661" i="15"/>
  <c r="CP661" i="15" s="1"/>
  <c r="CO665" i="15"/>
  <c r="CP665" i="15" s="1"/>
  <c r="CO669" i="15"/>
  <c r="CP669" i="15" s="1"/>
  <c r="CO673" i="15"/>
  <c r="CP673" i="15" s="1"/>
  <c r="CO677" i="15"/>
  <c r="CP677" i="15" s="1"/>
  <c r="CO681" i="15"/>
  <c r="CP681" i="15" s="1"/>
  <c r="CO685" i="15"/>
  <c r="CP685" i="15" s="1"/>
  <c r="CO689" i="15"/>
  <c r="CP689" i="15" s="1"/>
  <c r="CO693" i="15"/>
  <c r="CP693" i="15" s="1"/>
  <c r="CO697" i="15"/>
  <c r="CP697" i="15" s="1"/>
  <c r="CO701" i="15"/>
  <c r="CP701" i="15" s="1"/>
  <c r="CO705" i="15"/>
  <c r="CP705" i="15" s="1"/>
  <c r="CO709" i="15"/>
  <c r="CP709" i="15" s="1"/>
  <c r="CO713" i="15"/>
  <c r="CP713" i="15" s="1"/>
  <c r="CO717" i="15"/>
  <c r="CP717" i="15" s="1"/>
  <c r="CO721" i="15"/>
  <c r="CP721" i="15" s="1"/>
  <c r="CO725" i="15"/>
  <c r="CP725" i="15" s="1"/>
  <c r="CO729" i="15"/>
  <c r="CP729" i="15" s="1"/>
  <c r="CO733" i="15"/>
  <c r="CP733" i="15" s="1"/>
  <c r="CO737" i="15"/>
  <c r="CP737" i="15" s="1"/>
  <c r="CO741" i="15"/>
  <c r="CP741" i="15" s="1"/>
  <c r="CO745" i="15"/>
  <c r="CP745" i="15" s="1"/>
  <c r="CO749" i="15"/>
  <c r="CP749" i="15" s="1"/>
  <c r="CO753" i="15"/>
  <c r="CP753" i="15" s="1"/>
  <c r="CO757" i="15"/>
  <c r="CP757" i="15" s="1"/>
  <c r="CO761" i="15"/>
  <c r="CP761" i="15" s="1"/>
  <c r="CO765" i="15"/>
  <c r="CP765" i="15" s="1"/>
  <c r="CO769" i="15"/>
  <c r="CP769" i="15" s="1"/>
  <c r="CO773" i="15"/>
  <c r="CP773" i="15" s="1"/>
  <c r="CO777" i="15"/>
  <c r="CP777" i="15" s="1"/>
  <c r="CO781" i="15"/>
  <c r="CP781" i="15" s="1"/>
  <c r="CO785" i="15"/>
  <c r="CP785" i="15" s="1"/>
  <c r="CO789" i="15"/>
  <c r="CP789" i="15" s="1"/>
  <c r="CO793" i="15"/>
  <c r="CP793" i="15" s="1"/>
  <c r="CO797" i="15"/>
  <c r="CP797" i="15" s="1"/>
  <c r="CO801" i="15"/>
  <c r="CP801" i="15" s="1"/>
  <c r="CO805" i="15"/>
  <c r="CP805" i="15" s="1"/>
  <c r="CO809" i="15"/>
  <c r="CP809" i="15" s="1"/>
  <c r="CO813" i="15"/>
  <c r="CP813" i="15" s="1"/>
  <c r="CO817" i="15"/>
  <c r="CP817" i="15" s="1"/>
  <c r="CO821" i="15"/>
  <c r="CP821" i="15" s="1"/>
  <c r="CO825" i="15"/>
  <c r="CP825" i="15" s="1"/>
  <c r="CO829" i="15"/>
  <c r="CP829" i="15" s="1"/>
  <c r="CO833" i="15"/>
  <c r="CP833" i="15" s="1"/>
  <c r="CO837" i="15"/>
  <c r="CP837" i="15" s="1"/>
  <c r="CO841" i="15"/>
  <c r="CP841" i="15" s="1"/>
  <c r="CO845" i="15"/>
  <c r="CP845" i="15" s="1"/>
  <c r="CO849" i="15"/>
  <c r="CP849" i="15" s="1"/>
  <c r="CO853" i="15"/>
  <c r="CP853" i="15" s="1"/>
  <c r="CO857" i="15"/>
  <c r="CP857" i="15" s="1"/>
  <c r="CO861" i="15"/>
  <c r="CP861" i="15" s="1"/>
  <c r="CO865" i="15"/>
  <c r="CP865" i="15" s="1"/>
  <c r="CO869" i="15"/>
  <c r="CP869" i="15" s="1"/>
  <c r="CO6" i="15"/>
  <c r="CP6" i="15" s="1"/>
  <c r="CO10" i="15"/>
  <c r="CP10" i="15" s="1"/>
  <c r="CO14" i="15"/>
  <c r="CP14" i="15" s="1"/>
  <c r="CO18" i="15"/>
  <c r="CP18" i="15" s="1"/>
  <c r="CO22" i="15"/>
  <c r="CP22" i="15" s="1"/>
  <c r="CO26" i="15"/>
  <c r="CP26" i="15" s="1"/>
  <c r="CO30" i="15"/>
  <c r="CP30" i="15" s="1"/>
  <c r="CO34" i="15"/>
  <c r="CP34" i="15" s="1"/>
  <c r="CO38" i="15"/>
  <c r="CP38" i="15" s="1"/>
  <c r="CO42" i="15"/>
  <c r="CP42" i="15" s="1"/>
  <c r="CO46" i="15"/>
  <c r="CP46" i="15" s="1"/>
  <c r="CO50" i="15"/>
  <c r="CP50" i="15" s="1"/>
  <c r="CO54" i="15"/>
  <c r="CP54" i="15" s="1"/>
  <c r="CO58" i="15"/>
  <c r="CP58" i="15" s="1"/>
  <c r="CO62" i="15"/>
  <c r="CP62" i="15" s="1"/>
  <c r="CO66" i="15"/>
  <c r="CP66" i="15" s="1"/>
  <c r="CO70" i="15"/>
  <c r="CP70" i="15" s="1"/>
  <c r="CO74" i="15"/>
  <c r="CP74" i="15" s="1"/>
  <c r="CO78" i="15"/>
  <c r="CP78" i="15" s="1"/>
  <c r="CO82" i="15"/>
  <c r="CP82" i="15" s="1"/>
  <c r="CO86" i="15"/>
  <c r="CP86" i="15" s="1"/>
  <c r="CO90" i="15"/>
  <c r="CP90" i="15" s="1"/>
  <c r="CO94" i="15"/>
  <c r="CP94" i="15" s="1"/>
  <c r="CO98" i="15"/>
  <c r="CP98" i="15" s="1"/>
  <c r="CO102" i="15"/>
  <c r="CP102" i="15" s="1"/>
  <c r="CO106" i="15"/>
  <c r="CP106" i="15" s="1"/>
  <c r="CO110" i="15"/>
  <c r="CP110" i="15" s="1"/>
  <c r="CO114" i="15"/>
  <c r="CP114" i="15" s="1"/>
  <c r="CO118" i="15"/>
  <c r="CP118" i="15" s="1"/>
  <c r="CO122" i="15"/>
  <c r="CP122" i="15" s="1"/>
  <c r="CO126" i="15"/>
  <c r="CP126" i="15" s="1"/>
  <c r="CO130" i="15"/>
  <c r="CP130" i="15" s="1"/>
  <c r="CO134" i="15"/>
  <c r="CP134" i="15" s="1"/>
  <c r="CO138" i="15"/>
  <c r="CP138" i="15" s="1"/>
  <c r="CO142" i="15"/>
  <c r="CP142" i="15" s="1"/>
  <c r="CO146" i="15"/>
  <c r="CP146" i="15" s="1"/>
  <c r="CO150" i="15"/>
  <c r="CP150" i="15" s="1"/>
  <c r="CO154" i="15"/>
  <c r="CP154" i="15" s="1"/>
  <c r="CO158" i="15"/>
  <c r="CP158" i="15" s="1"/>
  <c r="CO162" i="15"/>
  <c r="CP162" i="15" s="1"/>
  <c r="CO166" i="15"/>
  <c r="CP166" i="15" s="1"/>
  <c r="CO170" i="15"/>
  <c r="CP170" i="15" s="1"/>
  <c r="CO174" i="15"/>
  <c r="CP174" i="15" s="1"/>
  <c r="CO178" i="15"/>
  <c r="CP178" i="15" s="1"/>
  <c r="CO182" i="15"/>
  <c r="CP182" i="15" s="1"/>
  <c r="CO186" i="15"/>
  <c r="CP186" i="15" s="1"/>
  <c r="CO190" i="15"/>
  <c r="CP190" i="15" s="1"/>
  <c r="CO194" i="15"/>
  <c r="CP194" i="15" s="1"/>
  <c r="CO198" i="15"/>
  <c r="CP198" i="15" s="1"/>
  <c r="CO202" i="15"/>
  <c r="CP202" i="15" s="1"/>
  <c r="CO206" i="15"/>
  <c r="CP206" i="15" s="1"/>
  <c r="CO210" i="15"/>
  <c r="CP210" i="15" s="1"/>
  <c r="CO214" i="15"/>
  <c r="CP214" i="15" s="1"/>
  <c r="CO218" i="15"/>
  <c r="CP218" i="15" s="1"/>
  <c r="CO222" i="15"/>
  <c r="CP222" i="15" s="1"/>
  <c r="CO226" i="15"/>
  <c r="CP226" i="15" s="1"/>
  <c r="CO230" i="15"/>
  <c r="CP230" i="15" s="1"/>
  <c r="CO234" i="15"/>
  <c r="CP234" i="15" s="1"/>
  <c r="CO238" i="15"/>
  <c r="CP238" i="15" s="1"/>
  <c r="CO242" i="15"/>
  <c r="CP242" i="15" s="1"/>
  <c r="CO246" i="15"/>
  <c r="CP246" i="15" s="1"/>
  <c r="CO250" i="15"/>
  <c r="CP250" i="15" s="1"/>
  <c r="CO254" i="15"/>
  <c r="CP254" i="15" s="1"/>
  <c r="CO258" i="15"/>
  <c r="CP258" i="15" s="1"/>
  <c r="CO262" i="15"/>
  <c r="CP262" i="15" s="1"/>
  <c r="CO266" i="15"/>
  <c r="CP266" i="15" s="1"/>
  <c r="CO270" i="15"/>
  <c r="CP270" i="15" s="1"/>
  <c r="CO274" i="15"/>
  <c r="CP274" i="15" s="1"/>
  <c r="CO278" i="15"/>
  <c r="CP278" i="15" s="1"/>
  <c r="CO282" i="15"/>
  <c r="CP282" i="15" s="1"/>
  <c r="CO286" i="15"/>
  <c r="CP286" i="15" s="1"/>
  <c r="CO290" i="15"/>
  <c r="CP290" i="15" s="1"/>
  <c r="CO294" i="15"/>
  <c r="CP294" i="15" s="1"/>
  <c r="CO298" i="15"/>
  <c r="CP298" i="15" s="1"/>
  <c r="CO302" i="15"/>
  <c r="CP302" i="15" s="1"/>
  <c r="CO306" i="15"/>
  <c r="CP306" i="15" s="1"/>
  <c r="CO310" i="15"/>
  <c r="CP310" i="15" s="1"/>
  <c r="CO314" i="15"/>
  <c r="CP314" i="15" s="1"/>
  <c r="CO318" i="15"/>
  <c r="CP318" i="15" s="1"/>
  <c r="CO322" i="15"/>
  <c r="CP322" i="15" s="1"/>
  <c r="CO326" i="15"/>
  <c r="CP326" i="15" s="1"/>
  <c r="CO330" i="15"/>
  <c r="CP330" i="15" s="1"/>
  <c r="CO334" i="15"/>
  <c r="CP334" i="15" s="1"/>
  <c r="CO338" i="15"/>
  <c r="CP338" i="15" s="1"/>
  <c r="CO342" i="15"/>
  <c r="CP342" i="15" s="1"/>
  <c r="CO346" i="15"/>
  <c r="CP346" i="15" s="1"/>
  <c r="CO350" i="15"/>
  <c r="CP350" i="15" s="1"/>
  <c r="CO354" i="15"/>
  <c r="CP354" i="15" s="1"/>
  <c r="CO358" i="15"/>
  <c r="CP358" i="15" s="1"/>
  <c r="CO362" i="15"/>
  <c r="CP362" i="15" s="1"/>
  <c r="CO366" i="15"/>
  <c r="CP366" i="15" s="1"/>
  <c r="CO370" i="15"/>
  <c r="CP370" i="15" s="1"/>
  <c r="CO374" i="15"/>
  <c r="CP374" i="15" s="1"/>
  <c r="CO378" i="15"/>
  <c r="CP378" i="15" s="1"/>
  <c r="CO382" i="15"/>
  <c r="CP382" i="15" s="1"/>
  <c r="CO386" i="15"/>
  <c r="CP386" i="15" s="1"/>
  <c r="CO390" i="15"/>
  <c r="CP390" i="15" s="1"/>
  <c r="CO394" i="15"/>
  <c r="CP394" i="15" s="1"/>
  <c r="CO398" i="15"/>
  <c r="CP398" i="15" s="1"/>
  <c r="CO402" i="15"/>
  <c r="CP402" i="15" s="1"/>
  <c r="CO406" i="15"/>
  <c r="CP406" i="15" s="1"/>
  <c r="CO410" i="15"/>
  <c r="CP410" i="15" s="1"/>
  <c r="CO414" i="15"/>
  <c r="CP414" i="15" s="1"/>
  <c r="CO418" i="15"/>
  <c r="CP418" i="15" s="1"/>
  <c r="CO422" i="15"/>
  <c r="CP422" i="15" s="1"/>
  <c r="CO426" i="15"/>
  <c r="CP426" i="15" s="1"/>
  <c r="CO430" i="15"/>
  <c r="CP430" i="15" s="1"/>
  <c r="CO434" i="15"/>
  <c r="CP434" i="15" s="1"/>
  <c r="CO438" i="15"/>
  <c r="CP438" i="15" s="1"/>
  <c r="CO442" i="15"/>
  <c r="CP442" i="15" s="1"/>
  <c r="CO446" i="15"/>
  <c r="CP446" i="15" s="1"/>
  <c r="CO450" i="15"/>
  <c r="CP450" i="15" s="1"/>
  <c r="CO454" i="15"/>
  <c r="CP454" i="15" s="1"/>
  <c r="CO458" i="15"/>
  <c r="CP458" i="15" s="1"/>
  <c r="CO462" i="15"/>
  <c r="CP462" i="15" s="1"/>
  <c r="CO466" i="15"/>
  <c r="CP466" i="15" s="1"/>
  <c r="CO470" i="15"/>
  <c r="CP470" i="15" s="1"/>
  <c r="CO474" i="15"/>
  <c r="CP474" i="15" s="1"/>
  <c r="CO478" i="15"/>
  <c r="CP478" i="15" s="1"/>
  <c r="CO482" i="15"/>
  <c r="CP482" i="15" s="1"/>
  <c r="CO486" i="15"/>
  <c r="CP486" i="15" s="1"/>
  <c r="CO490" i="15"/>
  <c r="CP490" i="15" s="1"/>
  <c r="CO494" i="15"/>
  <c r="CP494" i="15" s="1"/>
  <c r="CO498" i="15"/>
  <c r="CP498" i="15" s="1"/>
  <c r="CO502" i="15"/>
  <c r="CP502" i="15" s="1"/>
  <c r="CO506" i="15"/>
  <c r="CP506" i="15" s="1"/>
  <c r="CO510" i="15"/>
  <c r="CP510" i="15" s="1"/>
  <c r="CO514" i="15"/>
  <c r="CP514" i="15" s="1"/>
  <c r="CO518" i="15"/>
  <c r="CP518" i="15" s="1"/>
  <c r="CO522" i="15"/>
  <c r="CP522" i="15" s="1"/>
  <c r="CO526" i="15"/>
  <c r="CP526" i="15" s="1"/>
  <c r="CO530" i="15"/>
  <c r="CP530" i="15" s="1"/>
  <c r="CO534" i="15"/>
  <c r="CP534" i="15" s="1"/>
  <c r="CO538" i="15"/>
  <c r="CP538" i="15" s="1"/>
  <c r="CO542" i="15"/>
  <c r="CP542" i="15" s="1"/>
  <c r="CO546" i="15"/>
  <c r="CP546" i="15" s="1"/>
  <c r="CO550" i="15"/>
  <c r="CP550" i="15" s="1"/>
  <c r="CO554" i="15"/>
  <c r="CP554" i="15" s="1"/>
  <c r="CO558" i="15"/>
  <c r="CP558" i="15" s="1"/>
  <c r="CO562" i="15"/>
  <c r="CP562" i="15" s="1"/>
  <c r="CO566" i="15"/>
  <c r="CP566" i="15" s="1"/>
  <c r="CO570" i="15"/>
  <c r="CP570" i="15" s="1"/>
  <c r="CO574" i="15"/>
  <c r="CP574" i="15" s="1"/>
  <c r="CO578" i="15"/>
  <c r="CP578" i="15" s="1"/>
  <c r="CO582" i="15"/>
  <c r="CP582" i="15" s="1"/>
  <c r="CO586" i="15"/>
  <c r="CP586" i="15" s="1"/>
  <c r="CO590" i="15"/>
  <c r="CP590" i="15" s="1"/>
  <c r="CO594" i="15"/>
  <c r="CP594" i="15" s="1"/>
  <c r="CO598" i="15"/>
  <c r="CP598" i="15" s="1"/>
  <c r="CO602" i="15"/>
  <c r="CP602" i="15" s="1"/>
  <c r="CO606" i="15"/>
  <c r="CP606" i="15" s="1"/>
  <c r="CO610" i="15"/>
  <c r="CP610" i="15" s="1"/>
  <c r="CO614" i="15"/>
  <c r="CP614" i="15" s="1"/>
  <c r="CO618" i="15"/>
  <c r="CP618" i="15" s="1"/>
  <c r="CO622" i="15"/>
  <c r="CP622" i="15" s="1"/>
  <c r="CO626" i="15"/>
  <c r="CP626" i="15" s="1"/>
  <c r="CO630" i="15"/>
  <c r="CP630" i="15" s="1"/>
  <c r="CO634" i="15"/>
  <c r="CP634" i="15" s="1"/>
  <c r="CO638" i="15"/>
  <c r="CP638" i="15" s="1"/>
  <c r="CO642" i="15"/>
  <c r="CP642" i="15" s="1"/>
  <c r="CO646" i="15"/>
  <c r="CP646" i="15" s="1"/>
  <c r="CO650" i="15"/>
  <c r="CP650" i="15" s="1"/>
  <c r="CO654" i="15"/>
  <c r="CP654" i="15" s="1"/>
  <c r="CO658" i="15"/>
  <c r="CP658" i="15" s="1"/>
  <c r="CO662" i="15"/>
  <c r="CP662" i="15" s="1"/>
  <c r="CO666" i="15"/>
  <c r="CP666" i="15" s="1"/>
  <c r="CO670" i="15"/>
  <c r="CP670" i="15" s="1"/>
  <c r="CO674" i="15"/>
  <c r="CP674" i="15" s="1"/>
  <c r="CO678" i="15"/>
  <c r="CP678" i="15" s="1"/>
  <c r="CO682" i="15"/>
  <c r="CP682" i="15" s="1"/>
  <c r="CO686" i="15"/>
  <c r="CP686" i="15" s="1"/>
  <c r="CO690" i="15"/>
  <c r="CP690" i="15" s="1"/>
  <c r="CO694" i="15"/>
  <c r="CP694" i="15" s="1"/>
  <c r="CO698" i="15"/>
  <c r="CP698" i="15" s="1"/>
  <c r="CO702" i="15"/>
  <c r="CP702" i="15" s="1"/>
  <c r="CO706" i="15"/>
  <c r="CP706" i="15" s="1"/>
  <c r="CO710" i="15"/>
  <c r="CP710" i="15" s="1"/>
  <c r="CO714" i="15"/>
  <c r="CP714" i="15" s="1"/>
  <c r="CO718" i="15"/>
  <c r="CP718" i="15" s="1"/>
  <c r="CO722" i="15"/>
  <c r="CP722" i="15" s="1"/>
  <c r="CO726" i="15"/>
  <c r="CP726" i="15" s="1"/>
  <c r="CO730" i="15"/>
  <c r="CP730" i="15" s="1"/>
  <c r="CO734" i="15"/>
  <c r="CP734" i="15" s="1"/>
  <c r="CO738" i="15"/>
  <c r="CP738" i="15" s="1"/>
  <c r="CO742" i="15"/>
  <c r="CP742" i="15" s="1"/>
  <c r="CO746" i="15"/>
  <c r="CP746" i="15" s="1"/>
  <c r="CO750" i="15"/>
  <c r="CP750" i="15" s="1"/>
  <c r="CO754" i="15"/>
  <c r="CP754" i="15" s="1"/>
  <c r="CO758" i="15"/>
  <c r="CP758" i="15" s="1"/>
  <c r="CO762" i="15"/>
  <c r="CP762" i="15" s="1"/>
  <c r="CO766" i="15"/>
  <c r="CP766" i="15" s="1"/>
  <c r="CO770" i="15"/>
  <c r="CP770" i="15" s="1"/>
  <c r="CO774" i="15"/>
  <c r="CP774" i="15" s="1"/>
  <c r="CO778" i="15"/>
  <c r="CP778" i="15" s="1"/>
  <c r="CO782" i="15"/>
  <c r="CP782" i="15" s="1"/>
  <c r="CO786" i="15"/>
  <c r="CP786" i="15" s="1"/>
  <c r="CO790" i="15"/>
  <c r="CP790" i="15" s="1"/>
  <c r="CO794" i="15"/>
  <c r="CP794" i="15" s="1"/>
  <c r="CO798" i="15"/>
  <c r="CP798" i="15" s="1"/>
  <c r="CO802" i="15"/>
  <c r="CP802" i="15" s="1"/>
  <c r="CO806" i="15"/>
  <c r="CP806" i="15" s="1"/>
  <c r="CO810" i="15"/>
  <c r="CP810" i="15" s="1"/>
  <c r="CO814" i="15"/>
  <c r="CP814" i="15" s="1"/>
  <c r="CO818" i="15"/>
  <c r="CP818" i="15" s="1"/>
  <c r="CO822" i="15"/>
  <c r="CP822" i="15" s="1"/>
  <c r="CO826" i="15"/>
  <c r="CP826" i="15" s="1"/>
  <c r="CO830" i="15"/>
  <c r="CP830" i="15" s="1"/>
  <c r="CO834" i="15"/>
  <c r="CP834" i="15" s="1"/>
  <c r="CO838" i="15"/>
  <c r="CP838" i="15" s="1"/>
  <c r="CO842" i="15"/>
  <c r="CP842" i="15" s="1"/>
  <c r="CO846" i="15"/>
  <c r="CP846" i="15" s="1"/>
  <c r="CO850" i="15"/>
  <c r="CP850" i="15" s="1"/>
  <c r="CO854" i="15"/>
  <c r="CP854" i="15" s="1"/>
  <c r="CO858" i="15"/>
  <c r="CP858" i="15" s="1"/>
  <c r="CO862" i="15"/>
  <c r="CP862" i="15" s="1"/>
  <c r="CO866" i="15"/>
  <c r="CP866" i="15" s="1"/>
  <c r="CO870" i="15"/>
  <c r="CP870" i="15" s="1"/>
  <c r="CO19" i="15"/>
  <c r="CP19" i="15" s="1"/>
  <c r="CO35" i="15"/>
  <c r="CP35" i="15" s="1"/>
  <c r="CO51" i="15"/>
  <c r="CP51" i="15" s="1"/>
  <c r="CO67" i="15"/>
  <c r="CP67" i="15" s="1"/>
  <c r="CO83" i="15"/>
  <c r="CP83" i="15" s="1"/>
  <c r="CO99" i="15"/>
  <c r="CP99" i="15" s="1"/>
  <c r="CO115" i="15"/>
  <c r="CP115" i="15" s="1"/>
  <c r="CO131" i="15"/>
  <c r="CP131" i="15" s="1"/>
  <c r="CO147" i="15"/>
  <c r="CP147" i="15" s="1"/>
  <c r="CO163" i="15"/>
  <c r="CP163" i="15" s="1"/>
  <c r="CO179" i="15"/>
  <c r="CP179" i="15" s="1"/>
  <c r="CO195" i="15"/>
  <c r="CP195" i="15" s="1"/>
  <c r="CO211" i="15"/>
  <c r="CP211" i="15" s="1"/>
  <c r="CO227" i="15"/>
  <c r="CP227" i="15" s="1"/>
  <c r="CO243" i="15"/>
  <c r="CP243" i="15" s="1"/>
  <c r="CO259" i="15"/>
  <c r="CP259" i="15" s="1"/>
  <c r="CO275" i="15"/>
  <c r="CP275" i="15" s="1"/>
  <c r="CO291" i="15"/>
  <c r="CP291" i="15" s="1"/>
  <c r="CO307" i="15"/>
  <c r="CP307" i="15" s="1"/>
  <c r="CO323" i="15"/>
  <c r="CP323" i="15" s="1"/>
  <c r="CO339" i="15"/>
  <c r="CP339" i="15" s="1"/>
  <c r="CO355" i="15"/>
  <c r="CP355" i="15" s="1"/>
  <c r="CO371" i="15"/>
  <c r="CP371" i="15" s="1"/>
  <c r="CO387" i="15"/>
  <c r="CP387" i="15" s="1"/>
  <c r="CO403" i="15"/>
  <c r="CP403" i="15" s="1"/>
  <c r="CO419" i="15"/>
  <c r="CP419" i="15" s="1"/>
  <c r="CO435" i="15"/>
  <c r="CP435" i="15" s="1"/>
  <c r="CO451" i="15"/>
  <c r="CP451" i="15" s="1"/>
  <c r="CO467" i="15"/>
  <c r="CP467" i="15" s="1"/>
  <c r="CO483" i="15"/>
  <c r="CP483" i="15" s="1"/>
  <c r="CO499" i="15"/>
  <c r="CP499" i="15" s="1"/>
  <c r="CO515" i="15"/>
  <c r="CP515" i="15" s="1"/>
  <c r="CO531" i="15"/>
  <c r="CP531" i="15" s="1"/>
  <c r="CO547" i="15"/>
  <c r="CP547" i="15" s="1"/>
  <c r="CO563" i="15"/>
  <c r="CP563" i="15" s="1"/>
  <c r="CO579" i="15"/>
  <c r="CP579" i="15" s="1"/>
  <c r="CO595" i="15"/>
  <c r="CP595" i="15" s="1"/>
  <c r="CO611" i="15"/>
  <c r="CP611" i="15" s="1"/>
  <c r="CO627" i="15"/>
  <c r="CP627" i="15" s="1"/>
  <c r="CO643" i="15"/>
  <c r="CP643" i="15" s="1"/>
  <c r="CO659" i="15"/>
  <c r="CP659" i="15" s="1"/>
  <c r="CO675" i="15"/>
  <c r="CP675" i="15" s="1"/>
  <c r="CO691" i="15"/>
  <c r="CP691" i="15" s="1"/>
  <c r="CO707" i="15"/>
  <c r="CP707" i="15" s="1"/>
  <c r="CO723" i="15"/>
  <c r="CP723" i="15" s="1"/>
  <c r="CO739" i="15"/>
  <c r="CP739" i="15" s="1"/>
  <c r="CO755" i="15"/>
  <c r="CP755" i="15" s="1"/>
  <c r="CO771" i="15"/>
  <c r="CP771" i="15" s="1"/>
  <c r="CO787" i="15"/>
  <c r="CP787" i="15" s="1"/>
  <c r="CO800" i="15"/>
  <c r="CP800" i="15" s="1"/>
  <c r="CO808" i="15"/>
  <c r="CP808" i="15" s="1"/>
  <c r="CO816" i="15"/>
  <c r="CP816" i="15" s="1"/>
  <c r="CO824" i="15"/>
  <c r="CP824" i="15" s="1"/>
  <c r="CO832" i="15"/>
  <c r="CP832" i="15" s="1"/>
  <c r="CO840" i="15"/>
  <c r="CP840" i="15" s="1"/>
  <c r="CO848" i="15"/>
  <c r="CP848" i="15" s="1"/>
  <c r="CO856" i="15"/>
  <c r="CP856" i="15" s="1"/>
  <c r="CO864" i="15"/>
  <c r="CP864" i="15" s="1"/>
  <c r="CO872" i="15"/>
  <c r="CP872" i="15" s="1"/>
  <c r="CO876" i="15"/>
  <c r="CP876" i="15" s="1"/>
  <c r="CO880" i="15"/>
  <c r="CP880" i="15" s="1"/>
  <c r="CO884" i="15"/>
  <c r="CP884" i="15" s="1"/>
  <c r="CO888" i="15"/>
  <c r="CP888" i="15" s="1"/>
  <c r="CO892" i="15"/>
  <c r="CP892" i="15" s="1"/>
  <c r="CO896" i="15"/>
  <c r="CP896" i="15" s="1"/>
  <c r="CO31" i="15"/>
  <c r="CP31" i="15" s="1"/>
  <c r="CO79" i="15"/>
  <c r="CP79" i="15" s="1"/>
  <c r="CO111" i="15"/>
  <c r="CP111" i="15" s="1"/>
  <c r="CO143" i="15"/>
  <c r="CP143" i="15" s="1"/>
  <c r="CO175" i="15"/>
  <c r="CP175" i="15" s="1"/>
  <c r="CO223" i="15"/>
  <c r="CP223" i="15" s="1"/>
  <c r="CO7" i="15"/>
  <c r="CP7" i="15" s="1"/>
  <c r="CO23" i="15"/>
  <c r="CP23" i="15" s="1"/>
  <c r="CO39" i="15"/>
  <c r="CP39" i="15" s="1"/>
  <c r="CO55" i="15"/>
  <c r="CP55" i="15" s="1"/>
  <c r="CO71" i="15"/>
  <c r="CP71" i="15" s="1"/>
  <c r="CO87" i="15"/>
  <c r="CP87" i="15" s="1"/>
  <c r="CO103" i="15"/>
  <c r="CP103" i="15" s="1"/>
  <c r="CO119" i="15"/>
  <c r="CP119" i="15" s="1"/>
  <c r="CO135" i="15"/>
  <c r="CP135" i="15" s="1"/>
  <c r="CO151" i="15"/>
  <c r="CP151" i="15" s="1"/>
  <c r="CO167" i="15"/>
  <c r="CP167" i="15" s="1"/>
  <c r="CO183" i="15"/>
  <c r="CP183" i="15" s="1"/>
  <c r="CO199" i="15"/>
  <c r="CP199" i="15" s="1"/>
  <c r="CO215" i="15"/>
  <c r="CP215" i="15" s="1"/>
  <c r="CO231" i="15"/>
  <c r="CP231" i="15" s="1"/>
  <c r="CO247" i="15"/>
  <c r="CP247" i="15" s="1"/>
  <c r="CO263" i="15"/>
  <c r="CP263" i="15" s="1"/>
  <c r="CO279" i="15"/>
  <c r="CP279" i="15" s="1"/>
  <c r="CO295" i="15"/>
  <c r="CP295" i="15" s="1"/>
  <c r="CO311" i="15"/>
  <c r="CP311" i="15" s="1"/>
  <c r="CO327" i="15"/>
  <c r="CP327" i="15" s="1"/>
  <c r="CO343" i="15"/>
  <c r="CP343" i="15" s="1"/>
  <c r="CO359" i="15"/>
  <c r="CP359" i="15" s="1"/>
  <c r="CO375" i="15"/>
  <c r="CP375" i="15" s="1"/>
  <c r="CO391" i="15"/>
  <c r="CP391" i="15" s="1"/>
  <c r="CO407" i="15"/>
  <c r="CP407" i="15" s="1"/>
  <c r="CO423" i="15"/>
  <c r="CP423" i="15" s="1"/>
  <c r="CO439" i="15"/>
  <c r="CP439" i="15" s="1"/>
  <c r="CO455" i="15"/>
  <c r="CP455" i="15" s="1"/>
  <c r="CO471" i="15"/>
  <c r="CP471" i="15" s="1"/>
  <c r="CO487" i="15"/>
  <c r="CP487" i="15" s="1"/>
  <c r="CO503" i="15"/>
  <c r="CP503" i="15" s="1"/>
  <c r="CO519" i="15"/>
  <c r="CP519" i="15" s="1"/>
  <c r="CO535" i="15"/>
  <c r="CP535" i="15" s="1"/>
  <c r="CO551" i="15"/>
  <c r="CP551" i="15" s="1"/>
  <c r="CO567" i="15"/>
  <c r="CP567" i="15" s="1"/>
  <c r="CO583" i="15"/>
  <c r="CP583" i="15" s="1"/>
  <c r="CO599" i="15"/>
  <c r="CP599" i="15" s="1"/>
  <c r="CO615" i="15"/>
  <c r="CP615" i="15" s="1"/>
  <c r="CO631" i="15"/>
  <c r="CP631" i="15" s="1"/>
  <c r="CO647" i="15"/>
  <c r="CP647" i="15" s="1"/>
  <c r="CO663" i="15"/>
  <c r="CP663" i="15" s="1"/>
  <c r="CO679" i="15"/>
  <c r="CP679" i="15" s="1"/>
  <c r="CO695" i="15"/>
  <c r="CP695" i="15" s="1"/>
  <c r="CO711" i="15"/>
  <c r="CP711" i="15" s="1"/>
  <c r="CO727" i="15"/>
  <c r="CP727" i="15" s="1"/>
  <c r="CO743" i="15"/>
  <c r="CP743" i="15" s="1"/>
  <c r="CO759" i="15"/>
  <c r="CP759" i="15" s="1"/>
  <c r="CO775" i="15"/>
  <c r="CP775" i="15" s="1"/>
  <c r="CO791" i="15"/>
  <c r="CP791" i="15" s="1"/>
  <c r="CO803" i="15"/>
  <c r="CP803" i="15" s="1"/>
  <c r="CO811" i="15"/>
  <c r="CP811" i="15" s="1"/>
  <c r="CO819" i="15"/>
  <c r="CP819" i="15" s="1"/>
  <c r="CO827" i="15"/>
  <c r="CP827" i="15" s="1"/>
  <c r="CO835" i="15"/>
  <c r="CP835" i="15" s="1"/>
  <c r="CO843" i="15"/>
  <c r="CP843" i="15" s="1"/>
  <c r="CO851" i="15"/>
  <c r="CP851" i="15" s="1"/>
  <c r="CO859" i="15"/>
  <c r="CP859" i="15" s="1"/>
  <c r="CO867" i="15"/>
  <c r="CP867" i="15" s="1"/>
  <c r="CO873" i="15"/>
  <c r="CP873" i="15" s="1"/>
  <c r="CO877" i="15"/>
  <c r="CP877" i="15" s="1"/>
  <c r="CO881" i="15"/>
  <c r="CP881" i="15" s="1"/>
  <c r="CO885" i="15"/>
  <c r="CP885" i="15" s="1"/>
  <c r="CO889" i="15"/>
  <c r="CP889" i="15" s="1"/>
  <c r="CO893" i="15"/>
  <c r="CP893" i="15" s="1"/>
  <c r="CO897" i="15"/>
  <c r="CP897" i="15" s="1"/>
  <c r="CO15" i="15"/>
  <c r="CP15" i="15" s="1"/>
  <c r="CO47" i="15"/>
  <c r="CP47" i="15" s="1"/>
  <c r="CO95" i="15"/>
  <c r="CP95" i="15" s="1"/>
  <c r="CO127" i="15"/>
  <c r="CP127" i="15" s="1"/>
  <c r="CO159" i="15"/>
  <c r="CP159" i="15" s="1"/>
  <c r="CO191" i="15"/>
  <c r="CP191" i="15" s="1"/>
  <c r="CO239" i="15"/>
  <c r="CP239" i="15" s="1"/>
  <c r="CO11" i="15"/>
  <c r="CP11" i="15" s="1"/>
  <c r="CO27" i="15"/>
  <c r="CP27" i="15" s="1"/>
  <c r="CO43" i="15"/>
  <c r="CP43" i="15" s="1"/>
  <c r="CO59" i="15"/>
  <c r="CP59" i="15" s="1"/>
  <c r="CO75" i="15"/>
  <c r="CP75" i="15" s="1"/>
  <c r="CO91" i="15"/>
  <c r="CP91" i="15" s="1"/>
  <c r="CO107" i="15"/>
  <c r="CP107" i="15" s="1"/>
  <c r="CO123" i="15"/>
  <c r="CP123" i="15" s="1"/>
  <c r="CO139" i="15"/>
  <c r="CP139" i="15" s="1"/>
  <c r="CO155" i="15"/>
  <c r="CP155" i="15" s="1"/>
  <c r="CO171" i="15"/>
  <c r="CP171" i="15" s="1"/>
  <c r="CO187" i="15"/>
  <c r="CP187" i="15" s="1"/>
  <c r="CO203" i="15"/>
  <c r="CP203" i="15" s="1"/>
  <c r="CO219" i="15"/>
  <c r="CP219" i="15" s="1"/>
  <c r="CO235" i="15"/>
  <c r="CP235" i="15" s="1"/>
  <c r="CO251" i="15"/>
  <c r="CP251" i="15" s="1"/>
  <c r="CO267" i="15"/>
  <c r="CP267" i="15" s="1"/>
  <c r="CO283" i="15"/>
  <c r="CP283" i="15" s="1"/>
  <c r="CO299" i="15"/>
  <c r="CP299" i="15" s="1"/>
  <c r="CO315" i="15"/>
  <c r="CP315" i="15" s="1"/>
  <c r="CO331" i="15"/>
  <c r="CP331" i="15" s="1"/>
  <c r="CO347" i="15"/>
  <c r="CP347" i="15" s="1"/>
  <c r="CO363" i="15"/>
  <c r="CP363" i="15" s="1"/>
  <c r="CO379" i="15"/>
  <c r="CP379" i="15" s="1"/>
  <c r="CO395" i="15"/>
  <c r="CP395" i="15" s="1"/>
  <c r="CO411" i="15"/>
  <c r="CP411" i="15" s="1"/>
  <c r="CO427" i="15"/>
  <c r="CP427" i="15" s="1"/>
  <c r="CO443" i="15"/>
  <c r="CP443" i="15" s="1"/>
  <c r="CO459" i="15"/>
  <c r="CP459" i="15" s="1"/>
  <c r="CO475" i="15"/>
  <c r="CP475" i="15" s="1"/>
  <c r="CO491" i="15"/>
  <c r="CP491" i="15" s="1"/>
  <c r="CO507" i="15"/>
  <c r="CP507" i="15" s="1"/>
  <c r="CO523" i="15"/>
  <c r="CP523" i="15" s="1"/>
  <c r="CO539" i="15"/>
  <c r="CP539" i="15" s="1"/>
  <c r="CO555" i="15"/>
  <c r="CP555" i="15" s="1"/>
  <c r="CO571" i="15"/>
  <c r="CP571" i="15" s="1"/>
  <c r="CO587" i="15"/>
  <c r="CP587" i="15" s="1"/>
  <c r="CO603" i="15"/>
  <c r="CP603" i="15" s="1"/>
  <c r="CO619" i="15"/>
  <c r="CP619" i="15" s="1"/>
  <c r="CO635" i="15"/>
  <c r="CP635" i="15" s="1"/>
  <c r="CO651" i="15"/>
  <c r="CP651" i="15" s="1"/>
  <c r="CO667" i="15"/>
  <c r="CP667" i="15" s="1"/>
  <c r="CO683" i="15"/>
  <c r="CP683" i="15" s="1"/>
  <c r="CO699" i="15"/>
  <c r="CP699" i="15" s="1"/>
  <c r="CO715" i="15"/>
  <c r="CP715" i="15" s="1"/>
  <c r="CO731" i="15"/>
  <c r="CP731" i="15" s="1"/>
  <c r="CO747" i="15"/>
  <c r="CP747" i="15" s="1"/>
  <c r="CO763" i="15"/>
  <c r="CP763" i="15" s="1"/>
  <c r="CO779" i="15"/>
  <c r="CP779" i="15" s="1"/>
  <c r="CO795" i="15"/>
  <c r="CP795" i="15" s="1"/>
  <c r="CO804" i="15"/>
  <c r="CP804" i="15" s="1"/>
  <c r="CO812" i="15"/>
  <c r="CP812" i="15" s="1"/>
  <c r="CO820" i="15"/>
  <c r="CP820" i="15" s="1"/>
  <c r="CO828" i="15"/>
  <c r="CP828" i="15" s="1"/>
  <c r="CO836" i="15"/>
  <c r="CP836" i="15" s="1"/>
  <c r="CO844" i="15"/>
  <c r="CP844" i="15" s="1"/>
  <c r="CO852" i="15"/>
  <c r="CP852" i="15" s="1"/>
  <c r="CO860" i="15"/>
  <c r="CP860" i="15" s="1"/>
  <c r="CO868" i="15"/>
  <c r="CP868" i="15" s="1"/>
  <c r="CO874" i="15"/>
  <c r="CP874" i="15" s="1"/>
  <c r="CO878" i="15"/>
  <c r="CP878" i="15" s="1"/>
  <c r="CO882" i="15"/>
  <c r="CP882" i="15" s="1"/>
  <c r="CO886" i="15"/>
  <c r="CP886" i="15" s="1"/>
  <c r="CO890" i="15"/>
  <c r="CP890" i="15" s="1"/>
  <c r="CO894" i="15"/>
  <c r="CP894" i="15" s="1"/>
  <c r="CO898" i="15"/>
  <c r="CP898" i="15" s="1"/>
  <c r="CO63" i="15"/>
  <c r="CP63" i="15" s="1"/>
  <c r="CO207" i="15"/>
  <c r="CP207" i="15" s="1"/>
  <c r="CO303" i="15"/>
  <c r="CP303" i="15" s="1"/>
  <c r="CO367" i="15"/>
  <c r="CP367" i="15" s="1"/>
  <c r="CO431" i="15"/>
  <c r="CP431" i="15" s="1"/>
  <c r="CO495" i="15"/>
  <c r="CP495" i="15" s="1"/>
  <c r="CO559" i="15"/>
  <c r="CP559" i="15" s="1"/>
  <c r="CO623" i="15"/>
  <c r="CP623" i="15" s="1"/>
  <c r="CO687" i="15"/>
  <c r="CP687" i="15" s="1"/>
  <c r="CO751" i="15"/>
  <c r="CP751" i="15" s="1"/>
  <c r="CO807" i="15"/>
  <c r="CP807" i="15" s="1"/>
  <c r="CO839" i="15"/>
  <c r="CP839" i="15" s="1"/>
  <c r="CO871" i="15"/>
  <c r="CP871" i="15" s="1"/>
  <c r="CO887" i="15"/>
  <c r="CP887" i="15" s="1"/>
  <c r="CO287" i="15"/>
  <c r="CP287" i="15" s="1"/>
  <c r="CO255" i="15"/>
  <c r="CP255" i="15" s="1"/>
  <c r="CO319" i="15"/>
  <c r="CP319" i="15" s="1"/>
  <c r="CO383" i="15"/>
  <c r="CP383" i="15" s="1"/>
  <c r="CO447" i="15"/>
  <c r="CP447" i="15" s="1"/>
  <c r="CO511" i="15"/>
  <c r="CP511" i="15" s="1"/>
  <c r="CO575" i="15"/>
  <c r="CP575" i="15" s="1"/>
  <c r="CO639" i="15"/>
  <c r="CP639" i="15" s="1"/>
  <c r="CO703" i="15"/>
  <c r="CP703" i="15" s="1"/>
  <c r="CO767" i="15"/>
  <c r="CP767" i="15" s="1"/>
  <c r="CO815" i="15"/>
  <c r="CP815" i="15" s="1"/>
  <c r="CO847" i="15"/>
  <c r="CP847" i="15" s="1"/>
  <c r="CO875" i="15"/>
  <c r="CP875" i="15" s="1"/>
  <c r="CO891" i="15"/>
  <c r="CP891" i="15" s="1"/>
  <c r="CO415" i="15"/>
  <c r="CP415" i="15" s="1"/>
  <c r="CO543" i="15"/>
  <c r="CP543" i="15" s="1"/>
  <c r="CO671" i="15"/>
  <c r="CP671" i="15" s="1"/>
  <c r="CO735" i="15"/>
  <c r="CP735" i="15" s="1"/>
  <c r="CO831" i="15"/>
  <c r="CP831" i="15" s="1"/>
  <c r="CO883" i="15"/>
  <c r="CP883" i="15" s="1"/>
  <c r="CO271" i="15"/>
  <c r="CP271" i="15" s="1"/>
  <c r="CO335" i="15"/>
  <c r="CP335" i="15" s="1"/>
  <c r="CO399" i="15"/>
  <c r="CP399" i="15" s="1"/>
  <c r="CO463" i="15"/>
  <c r="CP463" i="15" s="1"/>
  <c r="CO527" i="15"/>
  <c r="CP527" i="15" s="1"/>
  <c r="CO591" i="15"/>
  <c r="CP591" i="15" s="1"/>
  <c r="CO655" i="15"/>
  <c r="CP655" i="15" s="1"/>
  <c r="CO719" i="15"/>
  <c r="CP719" i="15" s="1"/>
  <c r="CO783" i="15"/>
  <c r="CP783" i="15" s="1"/>
  <c r="CO823" i="15"/>
  <c r="CP823" i="15" s="1"/>
  <c r="CO855" i="15"/>
  <c r="CP855" i="15" s="1"/>
  <c r="CO879" i="15"/>
  <c r="CP879" i="15" s="1"/>
  <c r="CO895" i="15"/>
  <c r="CP895" i="15" s="1"/>
  <c r="CO351" i="15"/>
  <c r="CP351" i="15" s="1"/>
  <c r="CO479" i="15"/>
  <c r="CP479" i="15" s="1"/>
  <c r="CO607" i="15"/>
  <c r="CP607" i="15" s="1"/>
  <c r="CO799" i="15"/>
  <c r="CP799" i="15" s="1"/>
  <c r="CO863" i="15"/>
  <c r="CP863" i="15" s="1"/>
  <c r="CR8" i="15"/>
  <c r="CS8" i="15" s="1"/>
  <c r="CR13" i="15"/>
  <c r="CS13" i="15" s="1"/>
  <c r="CR17" i="15"/>
  <c r="CS17" i="15" s="1"/>
  <c r="CR21" i="15"/>
  <c r="CS21" i="15" s="1"/>
  <c r="CR25" i="15"/>
  <c r="CS25" i="15" s="1"/>
  <c r="CR29" i="15"/>
  <c r="CS29" i="15" s="1"/>
  <c r="CR33" i="15"/>
  <c r="CS33" i="15" s="1"/>
  <c r="CR39" i="15"/>
  <c r="CS39" i="15" s="1"/>
  <c r="CR43" i="15"/>
  <c r="CS43" i="15" s="1"/>
  <c r="CR48" i="15"/>
  <c r="CS48" i="15" s="1"/>
  <c r="CR52" i="15"/>
  <c r="CS52" i="15" s="1"/>
  <c r="CR56" i="15"/>
  <c r="CS56" i="15" s="1"/>
  <c r="CR60" i="15"/>
  <c r="CS60" i="15" s="1"/>
  <c r="CR64" i="15"/>
  <c r="CS64" i="15" s="1"/>
  <c r="CR70" i="15"/>
  <c r="CS70" i="15" s="1"/>
  <c r="CR74" i="15"/>
  <c r="CS74" i="15" s="1"/>
  <c r="CR78" i="15"/>
  <c r="CS78" i="15" s="1"/>
  <c r="CR82" i="15"/>
  <c r="CS82" i="15" s="1"/>
  <c r="CR87" i="15"/>
  <c r="CS87" i="15" s="1"/>
  <c r="CR92" i="15"/>
  <c r="CS92" i="15" s="1"/>
  <c r="CR96" i="15"/>
  <c r="CS96" i="15" s="1"/>
  <c r="CR100" i="15"/>
  <c r="CS100" i="15" s="1"/>
  <c r="CR106" i="15"/>
  <c r="CS106" i="15" s="1"/>
  <c r="CR110" i="15"/>
  <c r="CS110" i="15" s="1"/>
  <c r="CR114" i="15"/>
  <c r="CS114" i="15" s="1"/>
  <c r="CR118" i="15"/>
  <c r="CS118" i="15" s="1"/>
  <c r="CR122" i="15"/>
  <c r="CS122" i="15" s="1"/>
  <c r="CR126" i="15"/>
  <c r="CS126" i="15" s="1"/>
  <c r="CR131" i="15"/>
  <c r="CS131" i="15" s="1"/>
  <c r="CR136" i="15"/>
  <c r="CS136" i="15" s="1"/>
  <c r="CR140" i="15"/>
  <c r="CS140" i="15" s="1"/>
  <c r="CR144" i="15"/>
  <c r="CS144" i="15" s="1"/>
  <c r="CR148" i="15"/>
  <c r="CS148" i="15" s="1"/>
  <c r="CR154" i="15"/>
  <c r="CS154" i="15" s="1"/>
  <c r="CR158" i="15"/>
  <c r="CS158" i="15" s="1"/>
  <c r="CR162" i="15"/>
  <c r="CS162" i="15" s="1"/>
  <c r="CR166" i="15"/>
  <c r="CS166" i="15" s="1"/>
  <c r="CR170" i="15"/>
  <c r="CS170" i="15" s="1"/>
  <c r="CR174" i="15"/>
  <c r="CS174" i="15" s="1"/>
  <c r="CR180" i="15"/>
  <c r="CS180" i="15" s="1"/>
  <c r="CR184" i="15"/>
  <c r="CS184" i="15" s="1"/>
  <c r="CR188" i="15"/>
  <c r="CS188" i="15" s="1"/>
  <c r="CR192" i="15"/>
  <c r="CS192" i="15" s="1"/>
  <c r="CR196" i="15"/>
  <c r="CS196" i="15" s="1"/>
  <c r="CR202" i="15"/>
  <c r="CS202" i="15" s="1"/>
  <c r="CR206" i="15"/>
  <c r="CS206" i="15" s="1"/>
  <c r="CR210" i="15"/>
  <c r="CS210" i="15" s="1"/>
  <c r="CR214" i="15"/>
  <c r="CS214" i="15" s="1"/>
  <c r="CR218" i="15"/>
  <c r="CS218" i="15" s="1"/>
  <c r="CR222" i="15"/>
  <c r="CS222" i="15" s="1"/>
  <c r="CR226" i="15"/>
  <c r="CS226" i="15" s="1"/>
  <c r="CR232" i="15"/>
  <c r="CS232" i="15" s="1"/>
  <c r="CR236" i="15"/>
  <c r="CS236" i="15" s="1"/>
  <c r="CR9" i="15"/>
  <c r="CS9" i="15" s="1"/>
  <c r="CR14" i="15"/>
  <c r="CS14" i="15" s="1"/>
  <c r="CR18" i="15"/>
  <c r="CS18" i="15" s="1"/>
  <c r="CR22" i="15"/>
  <c r="CS22" i="15" s="1"/>
  <c r="CR26" i="15"/>
  <c r="CS26" i="15" s="1"/>
  <c r="CR30" i="15"/>
  <c r="CS30" i="15" s="1"/>
  <c r="CR35" i="15"/>
  <c r="CS35" i="15" s="1"/>
  <c r="CR40" i="15"/>
  <c r="CS40" i="15" s="1"/>
  <c r="CR44" i="15"/>
  <c r="CS44" i="15" s="1"/>
  <c r="CR49" i="15"/>
  <c r="CS49" i="15" s="1"/>
  <c r="CR53" i="15"/>
  <c r="CS53" i="15" s="1"/>
  <c r="CR57" i="15"/>
  <c r="CS57" i="15" s="1"/>
  <c r="CR61" i="15"/>
  <c r="CS61" i="15" s="1"/>
  <c r="CR65" i="15"/>
  <c r="CS65" i="15" s="1"/>
  <c r="CR71" i="15"/>
  <c r="CS71" i="15" s="1"/>
  <c r="CR75" i="15"/>
  <c r="CS75" i="15" s="1"/>
  <c r="CR79" i="15"/>
  <c r="CS79" i="15" s="1"/>
  <c r="CR83" i="15"/>
  <c r="CS83" i="15" s="1"/>
  <c r="CR89" i="15"/>
  <c r="CS89" i="15" s="1"/>
  <c r="CR93" i="15"/>
  <c r="CS93" i="15" s="1"/>
  <c r="CR97" i="15"/>
  <c r="CS97" i="15" s="1"/>
  <c r="CR101" i="15"/>
  <c r="CS101" i="15" s="1"/>
  <c r="CR107" i="15"/>
  <c r="CS107" i="15" s="1"/>
  <c r="CR111" i="15"/>
  <c r="CS111" i="15" s="1"/>
  <c r="CR115" i="15"/>
  <c r="CS115" i="15" s="1"/>
  <c r="CR119" i="15"/>
  <c r="CS119" i="15" s="1"/>
  <c r="CR123" i="15"/>
  <c r="CS123" i="15" s="1"/>
  <c r="CR127" i="15"/>
  <c r="CS127" i="15" s="1"/>
  <c r="CR133" i="15"/>
  <c r="CS133" i="15" s="1"/>
  <c r="CR137" i="15"/>
  <c r="CS137" i="15" s="1"/>
  <c r="CR141" i="15"/>
  <c r="CS141" i="15" s="1"/>
  <c r="CR145" i="15"/>
  <c r="CS145" i="15" s="1"/>
  <c r="CR149" i="15"/>
  <c r="CS149" i="15" s="1"/>
  <c r="CR155" i="15"/>
  <c r="CS155" i="15" s="1"/>
  <c r="CR159" i="15"/>
  <c r="CS159" i="15" s="1"/>
  <c r="CR163" i="15"/>
  <c r="CS163" i="15" s="1"/>
  <c r="CR167" i="15"/>
  <c r="CS167" i="15" s="1"/>
  <c r="CR171" i="15"/>
  <c r="CS171" i="15" s="1"/>
  <c r="CR176" i="15"/>
  <c r="CS176" i="15" s="1"/>
  <c r="CR181" i="15"/>
  <c r="CS181" i="15" s="1"/>
  <c r="CR185" i="15"/>
  <c r="CS185" i="15" s="1"/>
  <c r="CR189" i="15"/>
  <c r="CS189" i="15" s="1"/>
  <c r="CR193" i="15"/>
  <c r="CS193" i="15" s="1"/>
  <c r="CR197" i="15"/>
  <c r="CS197" i="15" s="1"/>
  <c r="CR203" i="15"/>
  <c r="CS203" i="15" s="1"/>
  <c r="CR207" i="15"/>
  <c r="CS207" i="15" s="1"/>
  <c r="CR211" i="15"/>
  <c r="CS211" i="15" s="1"/>
  <c r="CR215" i="15"/>
  <c r="CS215" i="15" s="1"/>
  <c r="CR219" i="15"/>
  <c r="CS219" i="15" s="1"/>
  <c r="CR223" i="15"/>
  <c r="CS223" i="15" s="1"/>
  <c r="CR227" i="15"/>
  <c r="CS227" i="15" s="1"/>
  <c r="CR233" i="15"/>
  <c r="CS233" i="15" s="1"/>
  <c r="CR237" i="15"/>
  <c r="CS237" i="15" s="1"/>
  <c r="CR241" i="15"/>
  <c r="CS241" i="15" s="1"/>
  <c r="CR247" i="15"/>
  <c r="CS247" i="15" s="1"/>
  <c r="CR11" i="15"/>
  <c r="CS11" i="15" s="1"/>
  <c r="CR15" i="15"/>
  <c r="CS15" i="15" s="1"/>
  <c r="CR19" i="15"/>
  <c r="CS19" i="15" s="1"/>
  <c r="CR23" i="15"/>
  <c r="CS23" i="15" s="1"/>
  <c r="CR27" i="15"/>
  <c r="CS27" i="15" s="1"/>
  <c r="CR31" i="15"/>
  <c r="CS31" i="15" s="1"/>
  <c r="CR37" i="15"/>
  <c r="CS37" i="15" s="1"/>
  <c r="CR41" i="15"/>
  <c r="CS41" i="15" s="1"/>
  <c r="CR46" i="15"/>
  <c r="CS46" i="15" s="1"/>
  <c r="CR50" i="15"/>
  <c r="CS50" i="15" s="1"/>
  <c r="CR54" i="15"/>
  <c r="CS54" i="15" s="1"/>
  <c r="CR58" i="15"/>
  <c r="CS58" i="15" s="1"/>
  <c r="CR62" i="15"/>
  <c r="CS62" i="15" s="1"/>
  <c r="CR66" i="15"/>
  <c r="CS66" i="15" s="1"/>
  <c r="CR72" i="15"/>
  <c r="CS72" i="15" s="1"/>
  <c r="CR76" i="15"/>
  <c r="CS76" i="15" s="1"/>
  <c r="CR80" i="15"/>
  <c r="CS80" i="15" s="1"/>
  <c r="CR84" i="15"/>
  <c r="CS84" i="15" s="1"/>
  <c r="CR90" i="15"/>
  <c r="CS90" i="15" s="1"/>
  <c r="CR94" i="15"/>
  <c r="CS94" i="15" s="1"/>
  <c r="CR98" i="15"/>
  <c r="CS98" i="15" s="1"/>
  <c r="CR103" i="15"/>
  <c r="CS103" i="15" s="1"/>
  <c r="CR108" i="15"/>
  <c r="CS108" i="15" s="1"/>
  <c r="CR112" i="15"/>
  <c r="CS112" i="15" s="1"/>
  <c r="CR116" i="15"/>
  <c r="CS116" i="15" s="1"/>
  <c r="CR120" i="15"/>
  <c r="CS120" i="15" s="1"/>
  <c r="CR124" i="15"/>
  <c r="CS124" i="15" s="1"/>
  <c r="CR128" i="15"/>
  <c r="CS128" i="15" s="1"/>
  <c r="CR134" i="15"/>
  <c r="CS134" i="15" s="1"/>
  <c r="CR138" i="15"/>
  <c r="CS138" i="15" s="1"/>
  <c r="CR142" i="15"/>
  <c r="CS142" i="15" s="1"/>
  <c r="CR146" i="15"/>
  <c r="CS146" i="15" s="1"/>
  <c r="CR151" i="15"/>
  <c r="CS151" i="15" s="1"/>
  <c r="CR156" i="15"/>
  <c r="CS156" i="15" s="1"/>
  <c r="CR160" i="15"/>
  <c r="CS160" i="15" s="1"/>
  <c r="CR164" i="15"/>
  <c r="CS164" i="15" s="1"/>
  <c r="CR168" i="15"/>
  <c r="CS168" i="15" s="1"/>
  <c r="CR172" i="15"/>
  <c r="CS172" i="15" s="1"/>
  <c r="CR178" i="15"/>
  <c r="CS178" i="15" s="1"/>
  <c r="CR182" i="15"/>
  <c r="CS182" i="15" s="1"/>
  <c r="CR186" i="15"/>
  <c r="CS186" i="15" s="1"/>
  <c r="CR190" i="15"/>
  <c r="CS190" i="15" s="1"/>
  <c r="CR194" i="15"/>
  <c r="CS194" i="15" s="1"/>
  <c r="CR199" i="15"/>
  <c r="CS199" i="15" s="1"/>
  <c r="CR204" i="15"/>
  <c r="CS204" i="15" s="1"/>
  <c r="CR208" i="15"/>
  <c r="CS208" i="15" s="1"/>
  <c r="CR212" i="15"/>
  <c r="CS212" i="15" s="1"/>
  <c r="CR216" i="15"/>
  <c r="CS216" i="15" s="1"/>
  <c r="CR220" i="15"/>
  <c r="CS220" i="15" s="1"/>
  <c r="CR224" i="15"/>
  <c r="CS224" i="15" s="1"/>
  <c r="CR229" i="15"/>
  <c r="CS229" i="15" s="1"/>
  <c r="CR234" i="15"/>
  <c r="CS234" i="15" s="1"/>
  <c r="CR238" i="15"/>
  <c r="CS238" i="15" s="1"/>
  <c r="CR243" i="15"/>
  <c r="CS243" i="15" s="1"/>
  <c r="CR248" i="15"/>
  <c r="CS248" i="15" s="1"/>
  <c r="CR12" i="15"/>
  <c r="CS12" i="15" s="1"/>
  <c r="CR28" i="15"/>
  <c r="CS28" i="15" s="1"/>
  <c r="CR47" i="15"/>
  <c r="CS47" i="15" s="1"/>
  <c r="CR63" i="15"/>
  <c r="CS63" i="15" s="1"/>
  <c r="CR81" i="15"/>
  <c r="CS81" i="15" s="1"/>
  <c r="CR99" i="15"/>
  <c r="CS99" i="15" s="1"/>
  <c r="CR117" i="15"/>
  <c r="CS117" i="15" s="1"/>
  <c r="CR135" i="15"/>
  <c r="CS135" i="15" s="1"/>
  <c r="CR152" i="15"/>
  <c r="CS152" i="15" s="1"/>
  <c r="CR169" i="15"/>
  <c r="CS169" i="15" s="1"/>
  <c r="CR187" i="15"/>
  <c r="CS187" i="15" s="1"/>
  <c r="CR205" i="15"/>
  <c r="CS205" i="15" s="1"/>
  <c r="CR221" i="15"/>
  <c r="CS221" i="15" s="1"/>
  <c r="CR239" i="15"/>
  <c r="CS239" i="15" s="1"/>
  <c r="CR249" i="15"/>
  <c r="CS249" i="15" s="1"/>
  <c r="CR253" i="15"/>
  <c r="CS253" i="15" s="1"/>
  <c r="CR257" i="15"/>
  <c r="CS257" i="15" s="1"/>
  <c r="CR261" i="15"/>
  <c r="CS261" i="15" s="1"/>
  <c r="CR267" i="15"/>
  <c r="CS267" i="15" s="1"/>
  <c r="CR271" i="15"/>
  <c r="CS271" i="15" s="1"/>
  <c r="CR275" i="15"/>
  <c r="CS275" i="15" s="1"/>
  <c r="CR279" i="15"/>
  <c r="CS279" i="15" s="1"/>
  <c r="CR284" i="15"/>
  <c r="CS284" i="15" s="1"/>
  <c r="CR289" i="15"/>
  <c r="CS289" i="15" s="1"/>
  <c r="CR293" i="15"/>
  <c r="CS293" i="15" s="1"/>
  <c r="CR297" i="15"/>
  <c r="CS297" i="15" s="1"/>
  <c r="CR301" i="15"/>
  <c r="CS301" i="15" s="1"/>
  <c r="CR305" i="15"/>
  <c r="CS305" i="15" s="1"/>
  <c r="CR309" i="15"/>
  <c r="CS309" i="15" s="1"/>
  <c r="CR314" i="15"/>
  <c r="CS314" i="15" s="1"/>
  <c r="CR319" i="15"/>
  <c r="CS319" i="15" s="1"/>
  <c r="CR323" i="15"/>
  <c r="CS323" i="15" s="1"/>
  <c r="CR327" i="15"/>
  <c r="CS327" i="15" s="1"/>
  <c r="CR331" i="15"/>
  <c r="CS331" i="15" s="1"/>
  <c r="CR335" i="15"/>
  <c r="CS335" i="15" s="1"/>
  <c r="CR340" i="15"/>
  <c r="CS340" i="15" s="1"/>
  <c r="CR345" i="15"/>
  <c r="CS345" i="15" s="1"/>
  <c r="CR349" i="15"/>
  <c r="CS349" i="15" s="1"/>
  <c r="CR353" i="15"/>
  <c r="CS353" i="15" s="1"/>
  <c r="CR357" i="15"/>
  <c r="CS357" i="15" s="1"/>
  <c r="CR361" i="15"/>
  <c r="CS361" i="15" s="1"/>
  <c r="CR365" i="15"/>
  <c r="CS365" i="15" s="1"/>
  <c r="CR369" i="15"/>
  <c r="CS369" i="15" s="1"/>
  <c r="CR373" i="15"/>
  <c r="CS373" i="15" s="1"/>
  <c r="CR377" i="15"/>
  <c r="CS377" i="15" s="1"/>
  <c r="CR381" i="15"/>
  <c r="CS381" i="15" s="1"/>
  <c r="CR385" i="15"/>
  <c r="CS385" i="15" s="1"/>
  <c r="CR391" i="15"/>
  <c r="CS391" i="15" s="1"/>
  <c r="CR395" i="15"/>
  <c r="CS395" i="15" s="1"/>
  <c r="CR399" i="15"/>
  <c r="CS399" i="15" s="1"/>
  <c r="CR403" i="15"/>
  <c r="CS403" i="15" s="1"/>
  <c r="CR407" i="15"/>
  <c r="CS407" i="15" s="1"/>
  <c r="CR411" i="15"/>
  <c r="CS411" i="15" s="1"/>
  <c r="CR415" i="15"/>
  <c r="CS415" i="15" s="1"/>
  <c r="CR419" i="15"/>
  <c r="CS419" i="15" s="1"/>
  <c r="CR424" i="15"/>
  <c r="CS424" i="15" s="1"/>
  <c r="CR429" i="15"/>
  <c r="CS429" i="15" s="1"/>
  <c r="CR433" i="15"/>
  <c r="CS433" i="15" s="1"/>
  <c r="CR437" i="15"/>
  <c r="CS437" i="15" s="1"/>
  <c r="CR441" i="15"/>
  <c r="CS441" i="15" s="1"/>
  <c r="CR445" i="15"/>
  <c r="CS445" i="15" s="1"/>
  <c r="CR451" i="15"/>
  <c r="CS451" i="15" s="1"/>
  <c r="CR455" i="15"/>
  <c r="CS455" i="15" s="1"/>
  <c r="CR459" i="15"/>
  <c r="CS459" i="15" s="1"/>
  <c r="CR463" i="15"/>
  <c r="CS463" i="15" s="1"/>
  <c r="CR467" i="15"/>
  <c r="CS467" i="15" s="1"/>
  <c r="CR471" i="15"/>
  <c r="CS471" i="15" s="1"/>
  <c r="CR477" i="15"/>
  <c r="CS477" i="15" s="1"/>
  <c r="CR481" i="15"/>
  <c r="CS481" i="15" s="1"/>
  <c r="CR485" i="15"/>
  <c r="CS485" i="15" s="1"/>
  <c r="CR489" i="15"/>
  <c r="CS489" i="15" s="1"/>
  <c r="CR495" i="15"/>
  <c r="CS495" i="15" s="1"/>
  <c r="CR499" i="15"/>
  <c r="CS499" i="15" s="1"/>
  <c r="CR503" i="15"/>
  <c r="CS503" i="15" s="1"/>
  <c r="CR507" i="15"/>
  <c r="CS507" i="15" s="1"/>
  <c r="CR512" i="15"/>
  <c r="CS512" i="15" s="1"/>
  <c r="CR517" i="15"/>
  <c r="CS517" i="15" s="1"/>
  <c r="CR521" i="15"/>
  <c r="CS521" i="15" s="1"/>
  <c r="CR525" i="15"/>
  <c r="CS525" i="15" s="1"/>
  <c r="CR529" i="15"/>
  <c r="CS529" i="15" s="1"/>
  <c r="CR533" i="15"/>
  <c r="CS533" i="15" s="1"/>
  <c r="CR539" i="15"/>
  <c r="CS539" i="15" s="1"/>
  <c r="CR543" i="15"/>
  <c r="CS543" i="15" s="1"/>
  <c r="CR547" i="15"/>
  <c r="CS547" i="15" s="1"/>
  <c r="CR552" i="15"/>
  <c r="CS552" i="15" s="1"/>
  <c r="CR557" i="15"/>
  <c r="CS557" i="15" s="1"/>
  <c r="CR561" i="15"/>
  <c r="CS561" i="15" s="1"/>
  <c r="CR565" i="15"/>
  <c r="CS565" i="15" s="1"/>
  <c r="CR569" i="15"/>
  <c r="CS569" i="15" s="1"/>
  <c r="CR575" i="15"/>
  <c r="CS575" i="15" s="1"/>
  <c r="CR579" i="15"/>
  <c r="CS579" i="15" s="1"/>
  <c r="CR583" i="15"/>
  <c r="CS583" i="15" s="1"/>
  <c r="CR587" i="15"/>
  <c r="CS587" i="15" s="1"/>
  <c r="CR591" i="15"/>
  <c r="CS591" i="15" s="1"/>
  <c r="CR595" i="15"/>
  <c r="CS595" i="15" s="1"/>
  <c r="CR599" i="15"/>
  <c r="CS599" i="15" s="1"/>
  <c r="CR605" i="15"/>
  <c r="CS605" i="15" s="1"/>
  <c r="CR609" i="15"/>
  <c r="CS609" i="15" s="1"/>
  <c r="CR613" i="15"/>
  <c r="CS613" i="15" s="1"/>
  <c r="CR617" i="15"/>
  <c r="CS617" i="15" s="1"/>
  <c r="CR621" i="15"/>
  <c r="CS621" i="15" s="1"/>
  <c r="CR625" i="15"/>
  <c r="CS625" i="15" s="1"/>
  <c r="CR629" i="15"/>
  <c r="CS629" i="15" s="1"/>
  <c r="CR633" i="15"/>
  <c r="CS633" i="15" s="1"/>
  <c r="CR639" i="15"/>
  <c r="CS639" i="15" s="1"/>
  <c r="CR643" i="15"/>
  <c r="CS643" i="15" s="1"/>
  <c r="CR648" i="15"/>
  <c r="CS648" i="15" s="1"/>
  <c r="CR653" i="15"/>
  <c r="CS653" i="15" s="1"/>
  <c r="CR657" i="15"/>
  <c r="CS657" i="15" s="1"/>
  <c r="CR661" i="15"/>
  <c r="CS661" i="15" s="1"/>
  <c r="CR665" i="15"/>
  <c r="CS665" i="15" s="1"/>
  <c r="CR671" i="15"/>
  <c r="CS671" i="15" s="1"/>
  <c r="CR675" i="15"/>
  <c r="CS675" i="15" s="1"/>
  <c r="CR679" i="15"/>
  <c r="CS679" i="15" s="1"/>
  <c r="CR683" i="15"/>
  <c r="CS683" i="15" s="1"/>
  <c r="CR687" i="15"/>
  <c r="CS687" i="15" s="1"/>
  <c r="CR691" i="15"/>
  <c r="CS691" i="15" s="1"/>
  <c r="CR695" i="15"/>
  <c r="CS695" i="15" s="1"/>
  <c r="CR701" i="15"/>
  <c r="CS701" i="15" s="1"/>
  <c r="CR705" i="15"/>
  <c r="CS705" i="15" s="1"/>
  <c r="CR709" i="15"/>
  <c r="CS709" i="15" s="1"/>
  <c r="CR713" i="15"/>
  <c r="CS713" i="15" s="1"/>
  <c r="CR718" i="15"/>
  <c r="CS718" i="15" s="1"/>
  <c r="CR723" i="15"/>
  <c r="CS723" i="15" s="1"/>
  <c r="CR727" i="15"/>
  <c r="CS727" i="15" s="1"/>
  <c r="CR731" i="15"/>
  <c r="CS731" i="15" s="1"/>
  <c r="CR735" i="15"/>
  <c r="CS735" i="15" s="1"/>
  <c r="CR739" i="15"/>
  <c r="CS739" i="15" s="1"/>
  <c r="CR744" i="15"/>
  <c r="CS744" i="15" s="1"/>
  <c r="CR749" i="15"/>
  <c r="CS749" i="15" s="1"/>
  <c r="CR753" i="15"/>
  <c r="CS753" i="15" s="1"/>
  <c r="CR757" i="15"/>
  <c r="CS757" i="15" s="1"/>
  <c r="CR761" i="15"/>
  <c r="CS761" i="15" s="1"/>
  <c r="CR767" i="15"/>
  <c r="CS767" i="15" s="1"/>
  <c r="CR771" i="15"/>
  <c r="CS771" i="15" s="1"/>
  <c r="CR775" i="15"/>
  <c r="CS775" i="15" s="1"/>
  <c r="CR779" i="15"/>
  <c r="CS779" i="15" s="1"/>
  <c r="CR783" i="15"/>
  <c r="CS783" i="15" s="1"/>
  <c r="CR789" i="15"/>
  <c r="CS789" i="15" s="1"/>
  <c r="CR793" i="15"/>
  <c r="CS793" i="15" s="1"/>
  <c r="CR797" i="15"/>
  <c r="CS797" i="15" s="1"/>
  <c r="CR801" i="15"/>
  <c r="CS801" i="15" s="1"/>
  <c r="CR16" i="15"/>
  <c r="CS16" i="15" s="1"/>
  <c r="CR32" i="15"/>
  <c r="CS32" i="15" s="1"/>
  <c r="CR51" i="15"/>
  <c r="CS51" i="15" s="1"/>
  <c r="CR68" i="15"/>
  <c r="CS68" i="15" s="1"/>
  <c r="CR85" i="15"/>
  <c r="CS85" i="15" s="1"/>
  <c r="CR105" i="15"/>
  <c r="CS105" i="15" s="1"/>
  <c r="CR121" i="15"/>
  <c r="CS121" i="15" s="1"/>
  <c r="CR139" i="15"/>
  <c r="CS139" i="15" s="1"/>
  <c r="CR157" i="15"/>
  <c r="CS157" i="15" s="1"/>
  <c r="CR173" i="15"/>
  <c r="CS173" i="15" s="1"/>
  <c r="CR191" i="15"/>
  <c r="CS191" i="15" s="1"/>
  <c r="CR209" i="15"/>
  <c r="CS209" i="15" s="1"/>
  <c r="CR225" i="15"/>
  <c r="CS225" i="15" s="1"/>
  <c r="CR240" i="15"/>
  <c r="CS240" i="15" s="1"/>
  <c r="CR250" i="15"/>
  <c r="CS250" i="15" s="1"/>
  <c r="CR254" i="15"/>
  <c r="CS254" i="15" s="1"/>
  <c r="CR258" i="15"/>
  <c r="CS258" i="15" s="1"/>
  <c r="CR263" i="15"/>
  <c r="CS263" i="15" s="1"/>
  <c r="CR268" i="15"/>
  <c r="CS268" i="15" s="1"/>
  <c r="CR272" i="15"/>
  <c r="CS272" i="15" s="1"/>
  <c r="CR276" i="15"/>
  <c r="CS276" i="15" s="1"/>
  <c r="CR280" i="15"/>
  <c r="CS280" i="15" s="1"/>
  <c r="CR286" i="15"/>
  <c r="CS286" i="15" s="1"/>
  <c r="CR290" i="15"/>
  <c r="CS290" i="15" s="1"/>
  <c r="CR294" i="15"/>
  <c r="CS294" i="15" s="1"/>
  <c r="CR298" i="15"/>
  <c r="CS298" i="15" s="1"/>
  <c r="CR302" i="15"/>
  <c r="CS302" i="15" s="1"/>
  <c r="CR306" i="15"/>
  <c r="CS306" i="15" s="1"/>
  <c r="CR310" i="15"/>
  <c r="CS310" i="15" s="1"/>
  <c r="CR316" i="15"/>
  <c r="CS316" i="15" s="1"/>
  <c r="CR320" i="15"/>
  <c r="CS320" i="15" s="1"/>
  <c r="CR324" i="15"/>
  <c r="CS324" i="15" s="1"/>
  <c r="CR328" i="15"/>
  <c r="CS328" i="15" s="1"/>
  <c r="CR332" i="15"/>
  <c r="CS332" i="15" s="1"/>
  <c r="CR336" i="15"/>
  <c r="CS336" i="15" s="1"/>
  <c r="CR342" i="15"/>
  <c r="CS342" i="15" s="1"/>
  <c r="CR346" i="15"/>
  <c r="CS346" i="15" s="1"/>
  <c r="CR350" i="15"/>
  <c r="CS350" i="15" s="1"/>
  <c r="CR354" i="15"/>
  <c r="CS354" i="15" s="1"/>
  <c r="CR358" i="15"/>
  <c r="CS358" i="15" s="1"/>
  <c r="CR362" i="15"/>
  <c r="CS362" i="15" s="1"/>
  <c r="CR366" i="15"/>
  <c r="CS366" i="15" s="1"/>
  <c r="CR370" i="15"/>
  <c r="CS370" i="15" s="1"/>
  <c r="CR374" i="15"/>
  <c r="CS374" i="15" s="1"/>
  <c r="CR378" i="15"/>
  <c r="CS378" i="15" s="1"/>
  <c r="CR382" i="15"/>
  <c r="CS382" i="15" s="1"/>
  <c r="CR387" i="15"/>
  <c r="CS387" i="15" s="1"/>
  <c r="CR392" i="15"/>
  <c r="CS392" i="15" s="1"/>
  <c r="CR396" i="15"/>
  <c r="CS396" i="15" s="1"/>
  <c r="CR400" i="15"/>
  <c r="CS400" i="15" s="1"/>
  <c r="CR404" i="15"/>
  <c r="CS404" i="15" s="1"/>
  <c r="CR408" i="15"/>
  <c r="CS408" i="15" s="1"/>
  <c r="CR412" i="15"/>
  <c r="CS412" i="15" s="1"/>
  <c r="CR416" i="15"/>
  <c r="CS416" i="15" s="1"/>
  <c r="CR420" i="15"/>
  <c r="CS420" i="15" s="1"/>
  <c r="CR426" i="15"/>
  <c r="CS426" i="15" s="1"/>
  <c r="CR430" i="15"/>
  <c r="CS430" i="15" s="1"/>
  <c r="CR434" i="15"/>
  <c r="CS434" i="15" s="1"/>
  <c r="CR438" i="15"/>
  <c r="CS438" i="15" s="1"/>
  <c r="CR442" i="15"/>
  <c r="CS442" i="15" s="1"/>
  <c r="CR446" i="15"/>
  <c r="CS446" i="15" s="1"/>
  <c r="CR452" i="15"/>
  <c r="CS452" i="15" s="1"/>
  <c r="CR456" i="15"/>
  <c r="CS456" i="15" s="1"/>
  <c r="CR460" i="15"/>
  <c r="CS460" i="15" s="1"/>
  <c r="CR464" i="15"/>
  <c r="CS464" i="15" s="1"/>
  <c r="CR468" i="15"/>
  <c r="CS468" i="15" s="1"/>
  <c r="CR472" i="15"/>
  <c r="CS472" i="15" s="1"/>
  <c r="CR478" i="15"/>
  <c r="CS478" i="15" s="1"/>
  <c r="CR482" i="15"/>
  <c r="CS482" i="15" s="1"/>
  <c r="CR486" i="15"/>
  <c r="CS486" i="15" s="1"/>
  <c r="CR491" i="15"/>
  <c r="CS491" i="15" s="1"/>
  <c r="CR496" i="15"/>
  <c r="CS496" i="15" s="1"/>
  <c r="CR500" i="15"/>
  <c r="CS500" i="15" s="1"/>
  <c r="CR504" i="15"/>
  <c r="CS504" i="15" s="1"/>
  <c r="CR508" i="15"/>
  <c r="CS508" i="15" s="1"/>
  <c r="CR514" i="15"/>
  <c r="CS514" i="15" s="1"/>
  <c r="CR518" i="15"/>
  <c r="CS518" i="15" s="1"/>
  <c r="CR522" i="15"/>
  <c r="CS522" i="15" s="1"/>
  <c r="CR526" i="15"/>
  <c r="CS526" i="15" s="1"/>
  <c r="CR530" i="15"/>
  <c r="CS530" i="15" s="1"/>
  <c r="CR534" i="15"/>
  <c r="CS534" i="15" s="1"/>
  <c r="CR540" i="15"/>
  <c r="CS540" i="15" s="1"/>
  <c r="CR544" i="15"/>
  <c r="CS544" i="15" s="1"/>
  <c r="CR548" i="15"/>
  <c r="CS548" i="15" s="1"/>
  <c r="CR554" i="15"/>
  <c r="CS554" i="15" s="1"/>
  <c r="CR558" i="15"/>
  <c r="CS558" i="15" s="1"/>
  <c r="CR562" i="15"/>
  <c r="CS562" i="15" s="1"/>
  <c r="CR566" i="15"/>
  <c r="CS566" i="15" s="1"/>
  <c r="CR570" i="15"/>
  <c r="CS570" i="15" s="1"/>
  <c r="CR576" i="15"/>
  <c r="CS576" i="15" s="1"/>
  <c r="CR580" i="15"/>
  <c r="CS580" i="15" s="1"/>
  <c r="CR584" i="15"/>
  <c r="CS584" i="15" s="1"/>
  <c r="CR588" i="15"/>
  <c r="CS588" i="15" s="1"/>
  <c r="CR592" i="15"/>
  <c r="CS592" i="15" s="1"/>
  <c r="CR596" i="15"/>
  <c r="CS596" i="15" s="1"/>
  <c r="CR600" i="15"/>
  <c r="CS600" i="15" s="1"/>
  <c r="CR606" i="15"/>
  <c r="CS606" i="15" s="1"/>
  <c r="CR610" i="15"/>
  <c r="CS610" i="15" s="1"/>
  <c r="CR614" i="15"/>
  <c r="CS614" i="15" s="1"/>
  <c r="CR618" i="15"/>
  <c r="CS618" i="15" s="1"/>
  <c r="CR622" i="15"/>
  <c r="CS622" i="15" s="1"/>
  <c r="CR626" i="15"/>
  <c r="CS626" i="15" s="1"/>
  <c r="CR630" i="15"/>
  <c r="CS630" i="15" s="1"/>
  <c r="CR634" i="15"/>
  <c r="CS634" i="15" s="1"/>
  <c r="CR640" i="15"/>
  <c r="CS640" i="15" s="1"/>
  <c r="CR644" i="15"/>
  <c r="CS644" i="15" s="1"/>
  <c r="CR650" i="15"/>
  <c r="CS650" i="15" s="1"/>
  <c r="CR654" i="15"/>
  <c r="CS654" i="15" s="1"/>
  <c r="CR658" i="15"/>
  <c r="CS658" i="15" s="1"/>
  <c r="CR662" i="15"/>
  <c r="CS662" i="15" s="1"/>
  <c r="CR666" i="15"/>
  <c r="CS666" i="15" s="1"/>
  <c r="CR672" i="15"/>
  <c r="CS672" i="15" s="1"/>
  <c r="CR676" i="15"/>
  <c r="CS676" i="15" s="1"/>
  <c r="CR680" i="15"/>
  <c r="CS680" i="15" s="1"/>
  <c r="CR684" i="15"/>
  <c r="CS684" i="15" s="1"/>
  <c r="CR688" i="15"/>
  <c r="CS688" i="15" s="1"/>
  <c r="CR692" i="15"/>
  <c r="CS692" i="15" s="1"/>
  <c r="CR697" i="15"/>
  <c r="CS697" i="15" s="1"/>
  <c r="CR702" i="15"/>
  <c r="CS702" i="15" s="1"/>
  <c r="CR706" i="15"/>
  <c r="CS706" i="15" s="1"/>
  <c r="CR710" i="15"/>
  <c r="CS710" i="15" s="1"/>
  <c r="CR714" i="15"/>
  <c r="CS714" i="15" s="1"/>
  <c r="CR720" i="15"/>
  <c r="CS720" i="15" s="1"/>
  <c r="CR724" i="15"/>
  <c r="CS724" i="15" s="1"/>
  <c r="CR728" i="15"/>
  <c r="CS728" i="15" s="1"/>
  <c r="CR732" i="15"/>
  <c r="CS732" i="15" s="1"/>
  <c r="CR736" i="15"/>
  <c r="CS736" i="15" s="1"/>
  <c r="CR740" i="15"/>
  <c r="CS740" i="15" s="1"/>
  <c r="CR745" i="15"/>
  <c r="CS745" i="15" s="1"/>
  <c r="CR750" i="15"/>
  <c r="CS750" i="15" s="1"/>
  <c r="CR754" i="15"/>
  <c r="CS754" i="15" s="1"/>
  <c r="CR758" i="15"/>
  <c r="CS758" i="15" s="1"/>
  <c r="CR762" i="15"/>
  <c r="CS762" i="15" s="1"/>
  <c r="CR768" i="15"/>
  <c r="CS768" i="15" s="1"/>
  <c r="CR772" i="15"/>
  <c r="CS772" i="15" s="1"/>
  <c r="CR776" i="15"/>
  <c r="CS776" i="15" s="1"/>
  <c r="CR780" i="15"/>
  <c r="CS780" i="15" s="1"/>
  <c r="CR784" i="15"/>
  <c r="CS784" i="15" s="1"/>
  <c r="CR790" i="15"/>
  <c r="CS790" i="15" s="1"/>
  <c r="CR794" i="15"/>
  <c r="CS794" i="15" s="1"/>
  <c r="CR798" i="15"/>
  <c r="CS798" i="15" s="1"/>
  <c r="CR802" i="15"/>
  <c r="CS802" i="15" s="1"/>
  <c r="CR20" i="15"/>
  <c r="CS20" i="15" s="1"/>
  <c r="CR38" i="15"/>
  <c r="CS38" i="15" s="1"/>
  <c r="CR55" i="15"/>
  <c r="CS55" i="15" s="1"/>
  <c r="CR73" i="15"/>
  <c r="CS73" i="15" s="1"/>
  <c r="CR91" i="15"/>
  <c r="CS91" i="15" s="1"/>
  <c r="CR109" i="15"/>
  <c r="CS109" i="15" s="1"/>
  <c r="CR125" i="15"/>
  <c r="CS125" i="15" s="1"/>
  <c r="CR143" i="15"/>
  <c r="CS143" i="15" s="1"/>
  <c r="CR161" i="15"/>
  <c r="CS161" i="15" s="1"/>
  <c r="CR179" i="15"/>
  <c r="CS179" i="15" s="1"/>
  <c r="CR195" i="15"/>
  <c r="CS195" i="15" s="1"/>
  <c r="CR213" i="15"/>
  <c r="CS213" i="15" s="1"/>
  <c r="CR231" i="15"/>
  <c r="CS231" i="15" s="1"/>
  <c r="CR245" i="15"/>
  <c r="CS245" i="15" s="1"/>
  <c r="CR251" i="15"/>
  <c r="CS251" i="15" s="1"/>
  <c r="CR255" i="15"/>
  <c r="CS255" i="15" s="1"/>
  <c r="CR259" i="15"/>
  <c r="CS259" i="15" s="1"/>
  <c r="CR265" i="15"/>
  <c r="CS265" i="15" s="1"/>
  <c r="CR269" i="15"/>
  <c r="CS269" i="15" s="1"/>
  <c r="CR273" i="15"/>
  <c r="CS273" i="15" s="1"/>
  <c r="CR277" i="15"/>
  <c r="CS277" i="15" s="1"/>
  <c r="CR281" i="15"/>
  <c r="CS281" i="15" s="1"/>
  <c r="CR287" i="15"/>
  <c r="CS287" i="15" s="1"/>
  <c r="CR291" i="15"/>
  <c r="CS291" i="15" s="1"/>
  <c r="CR295" i="15"/>
  <c r="CS295" i="15" s="1"/>
  <c r="CR299" i="15"/>
  <c r="CS299" i="15" s="1"/>
  <c r="CR303" i="15"/>
  <c r="CS303" i="15" s="1"/>
  <c r="CR307" i="15"/>
  <c r="CS307" i="15" s="1"/>
  <c r="CR311" i="15"/>
  <c r="CS311" i="15" s="1"/>
  <c r="CR317" i="15"/>
  <c r="CS317" i="15" s="1"/>
  <c r="CR321" i="15"/>
  <c r="CS321" i="15" s="1"/>
  <c r="CR325" i="15"/>
  <c r="CS325" i="15" s="1"/>
  <c r="CR329" i="15"/>
  <c r="CS329" i="15" s="1"/>
  <c r="CR333" i="15"/>
  <c r="CS333" i="15" s="1"/>
  <c r="CR337" i="15"/>
  <c r="CS337" i="15" s="1"/>
  <c r="CR343" i="15"/>
  <c r="CS343" i="15" s="1"/>
  <c r="CR347" i="15"/>
  <c r="CS347" i="15" s="1"/>
  <c r="CR351" i="15"/>
  <c r="CS351" i="15" s="1"/>
  <c r="CR355" i="15"/>
  <c r="CS355" i="15" s="1"/>
  <c r="CR359" i="15"/>
  <c r="CS359" i="15" s="1"/>
  <c r="CR363" i="15"/>
  <c r="CS363" i="15" s="1"/>
  <c r="CR367" i="15"/>
  <c r="CS367" i="15" s="1"/>
  <c r="CR371" i="15"/>
  <c r="CS371" i="15" s="1"/>
  <c r="CR375" i="15"/>
  <c r="CS375" i="15" s="1"/>
  <c r="CR379" i="15"/>
  <c r="CS379" i="15" s="1"/>
  <c r="CR383" i="15"/>
  <c r="CS383" i="15" s="1"/>
  <c r="CR389" i="15"/>
  <c r="CS389" i="15" s="1"/>
  <c r="CR393" i="15"/>
  <c r="CS393" i="15" s="1"/>
  <c r="CR397" i="15"/>
  <c r="CS397" i="15" s="1"/>
  <c r="CR401" i="15"/>
  <c r="CS401" i="15" s="1"/>
  <c r="CR405" i="15"/>
  <c r="CS405" i="15" s="1"/>
  <c r="CR409" i="15"/>
  <c r="CS409" i="15" s="1"/>
  <c r="CR413" i="15"/>
  <c r="CS413" i="15" s="1"/>
  <c r="CR417" i="15"/>
  <c r="CS417" i="15" s="1"/>
  <c r="CR421" i="15"/>
  <c r="CS421" i="15" s="1"/>
  <c r="CR427" i="15"/>
  <c r="CS427" i="15" s="1"/>
  <c r="CR431" i="15"/>
  <c r="CS431" i="15" s="1"/>
  <c r="CR435" i="15"/>
  <c r="CS435" i="15" s="1"/>
  <c r="CR439" i="15"/>
  <c r="CS439" i="15" s="1"/>
  <c r="CR443" i="15"/>
  <c r="CS443" i="15" s="1"/>
  <c r="CR448" i="15"/>
  <c r="CS448" i="15" s="1"/>
  <c r="CR453" i="15"/>
  <c r="CS453" i="15" s="1"/>
  <c r="CR457" i="15"/>
  <c r="CS457" i="15" s="1"/>
  <c r="CR461" i="15"/>
  <c r="CS461" i="15" s="1"/>
  <c r="CR465" i="15"/>
  <c r="CS465" i="15" s="1"/>
  <c r="CR469" i="15"/>
  <c r="CS469" i="15" s="1"/>
  <c r="CR474" i="15"/>
  <c r="CS474" i="15" s="1"/>
  <c r="CR479" i="15"/>
  <c r="CS479" i="15" s="1"/>
  <c r="CR483" i="15"/>
  <c r="CS483" i="15" s="1"/>
  <c r="CR487" i="15"/>
  <c r="CS487" i="15" s="1"/>
  <c r="CR492" i="15"/>
  <c r="CS492" i="15" s="1"/>
  <c r="CR497" i="15"/>
  <c r="CS497" i="15" s="1"/>
  <c r="CR501" i="15"/>
  <c r="CS501" i="15" s="1"/>
  <c r="CR505" i="15"/>
  <c r="CS505" i="15" s="1"/>
  <c r="CR509" i="15"/>
  <c r="CS509" i="15" s="1"/>
  <c r="CR515" i="15"/>
  <c r="CS515" i="15" s="1"/>
  <c r="CR519" i="15"/>
  <c r="CS519" i="15" s="1"/>
  <c r="CR523" i="15"/>
  <c r="CS523" i="15" s="1"/>
  <c r="CR527" i="15"/>
  <c r="CS527" i="15" s="1"/>
  <c r="CR531" i="15"/>
  <c r="CS531" i="15" s="1"/>
  <c r="CR536" i="15"/>
  <c r="CS536" i="15" s="1"/>
  <c r="CR541" i="15"/>
  <c r="CS541" i="15" s="1"/>
  <c r="CR545" i="15"/>
  <c r="CS545" i="15" s="1"/>
  <c r="CR549" i="15"/>
  <c r="CS549" i="15" s="1"/>
  <c r="CR555" i="15"/>
  <c r="CS555" i="15" s="1"/>
  <c r="CR559" i="15"/>
  <c r="CS559" i="15" s="1"/>
  <c r="CR563" i="15"/>
  <c r="CS563" i="15" s="1"/>
  <c r="CR567" i="15"/>
  <c r="CS567" i="15" s="1"/>
  <c r="CR572" i="15"/>
  <c r="CS572" i="15" s="1"/>
  <c r="CR577" i="15"/>
  <c r="CS577" i="15" s="1"/>
  <c r="CR581" i="15"/>
  <c r="CS581" i="15" s="1"/>
  <c r="CR585" i="15"/>
  <c r="CS585" i="15" s="1"/>
  <c r="CR589" i="15"/>
  <c r="CS589" i="15" s="1"/>
  <c r="CR593" i="15"/>
  <c r="CS593" i="15" s="1"/>
  <c r="CR597" i="15"/>
  <c r="CS597" i="15" s="1"/>
  <c r="CR602" i="15"/>
  <c r="CS602" i="15" s="1"/>
  <c r="CR607" i="15"/>
  <c r="CS607" i="15" s="1"/>
  <c r="CR611" i="15"/>
  <c r="CS611" i="15" s="1"/>
  <c r="CR615" i="15"/>
  <c r="CS615" i="15" s="1"/>
  <c r="CR619" i="15"/>
  <c r="CS619" i="15" s="1"/>
  <c r="CR623" i="15"/>
  <c r="CS623" i="15" s="1"/>
  <c r="CR627" i="15"/>
  <c r="CS627" i="15" s="1"/>
  <c r="CR631" i="15"/>
  <c r="CS631" i="15" s="1"/>
  <c r="CR635" i="15"/>
  <c r="CS635" i="15" s="1"/>
  <c r="CR641" i="15"/>
  <c r="CS641" i="15" s="1"/>
  <c r="CR645" i="15"/>
  <c r="CS645" i="15" s="1"/>
  <c r="CR651" i="15"/>
  <c r="CS651" i="15" s="1"/>
  <c r="CR655" i="15"/>
  <c r="CS655" i="15" s="1"/>
  <c r="CR659" i="15"/>
  <c r="CS659" i="15" s="1"/>
  <c r="CR663" i="15"/>
  <c r="CS663" i="15" s="1"/>
  <c r="CR667" i="15"/>
  <c r="CS667" i="15" s="1"/>
  <c r="CR673" i="15"/>
  <c r="CS673" i="15" s="1"/>
  <c r="CR677" i="15"/>
  <c r="CS677" i="15" s="1"/>
  <c r="CR681" i="15"/>
  <c r="CS681" i="15" s="1"/>
  <c r="CR685" i="15"/>
  <c r="CS685" i="15" s="1"/>
  <c r="CR689" i="15"/>
  <c r="CS689" i="15" s="1"/>
  <c r="CR693" i="15"/>
  <c r="CS693" i="15" s="1"/>
  <c r="CR699" i="15"/>
  <c r="CS699" i="15" s="1"/>
  <c r="CR703" i="15"/>
  <c r="CS703" i="15" s="1"/>
  <c r="CR707" i="15"/>
  <c r="CS707" i="15" s="1"/>
  <c r="CR711" i="15"/>
  <c r="CS711" i="15" s="1"/>
  <c r="CR715" i="15"/>
  <c r="CS715" i="15" s="1"/>
  <c r="CR721" i="15"/>
  <c r="CS721" i="15" s="1"/>
  <c r="CR725" i="15"/>
  <c r="CS725" i="15" s="1"/>
  <c r="CR729" i="15"/>
  <c r="CS729" i="15" s="1"/>
  <c r="CR733" i="15"/>
  <c r="CS733" i="15" s="1"/>
  <c r="CR737" i="15"/>
  <c r="CS737" i="15" s="1"/>
  <c r="CR741" i="15"/>
  <c r="CS741" i="15" s="1"/>
  <c r="CR747" i="15"/>
  <c r="CS747" i="15" s="1"/>
  <c r="CR751" i="15"/>
  <c r="CS751" i="15" s="1"/>
  <c r="CR755" i="15"/>
  <c r="CS755" i="15" s="1"/>
  <c r="CR759" i="15"/>
  <c r="CS759" i="15" s="1"/>
  <c r="CR764" i="15"/>
  <c r="CS764" i="15" s="1"/>
  <c r="CR769" i="15"/>
  <c r="CS769" i="15" s="1"/>
  <c r="CR773" i="15"/>
  <c r="CS773" i="15" s="1"/>
  <c r="CR777" i="15"/>
  <c r="CS777" i="15" s="1"/>
  <c r="CR781" i="15"/>
  <c r="CS781" i="15" s="1"/>
  <c r="CR785" i="15"/>
  <c r="CS785" i="15" s="1"/>
  <c r="CR791" i="15"/>
  <c r="CS791" i="15" s="1"/>
  <c r="CR795" i="15"/>
  <c r="CS795" i="15" s="1"/>
  <c r="CR799" i="15"/>
  <c r="CS799" i="15" s="1"/>
  <c r="CR803" i="15"/>
  <c r="CS803" i="15" s="1"/>
  <c r="CR807" i="15"/>
  <c r="CS807" i="15" s="1"/>
  <c r="CR813" i="15"/>
  <c r="CS813" i="15" s="1"/>
  <c r="CR817" i="15"/>
  <c r="CS817" i="15" s="1"/>
  <c r="CR821" i="15"/>
  <c r="CS821" i="15" s="1"/>
  <c r="CR825" i="15"/>
  <c r="CS825" i="15" s="1"/>
  <c r="CR829" i="15"/>
  <c r="CS829" i="15" s="1"/>
  <c r="CR835" i="15"/>
  <c r="CS835" i="15" s="1"/>
  <c r="CR839" i="15"/>
  <c r="CS839" i="15" s="1"/>
  <c r="CR843" i="15"/>
  <c r="CS843" i="15" s="1"/>
  <c r="CR847" i="15"/>
  <c r="CS847" i="15" s="1"/>
  <c r="CR851" i="15"/>
  <c r="CS851" i="15" s="1"/>
  <c r="CR855" i="15"/>
  <c r="CS855" i="15" s="1"/>
  <c r="CR859" i="15"/>
  <c r="CS859" i="15" s="1"/>
  <c r="CR864" i="15"/>
  <c r="CS864" i="15" s="1"/>
  <c r="CR869" i="15"/>
  <c r="CS869" i="15" s="1"/>
  <c r="CR873" i="15"/>
  <c r="CS873" i="15" s="1"/>
  <c r="CR877" i="15"/>
  <c r="CS877" i="15" s="1"/>
  <c r="CR881" i="15"/>
  <c r="CS881" i="15" s="1"/>
  <c r="CR885" i="15"/>
  <c r="CS885" i="15" s="1"/>
  <c r="CR889" i="15"/>
  <c r="CS889" i="15" s="1"/>
  <c r="CR893" i="15"/>
  <c r="CS893" i="15" s="1"/>
  <c r="CR897" i="15"/>
  <c r="CS897" i="15" s="1"/>
  <c r="CR59" i="15"/>
  <c r="CS59" i="15" s="1"/>
  <c r="CR129" i="15"/>
  <c r="CS129" i="15" s="1"/>
  <c r="CR201" i="15"/>
  <c r="CS201" i="15" s="1"/>
  <c r="CR252" i="15"/>
  <c r="CS252" i="15" s="1"/>
  <c r="CR270" i="15"/>
  <c r="CS270" i="15" s="1"/>
  <c r="CR288" i="15"/>
  <c r="CS288" i="15" s="1"/>
  <c r="CR304" i="15"/>
  <c r="CS304" i="15" s="1"/>
  <c r="CR322" i="15"/>
  <c r="CS322" i="15" s="1"/>
  <c r="CR338" i="15"/>
  <c r="CS338" i="15" s="1"/>
  <c r="CR356" i="15"/>
  <c r="CS356" i="15" s="1"/>
  <c r="CR372" i="15"/>
  <c r="CS372" i="15" s="1"/>
  <c r="CR390" i="15"/>
  <c r="CS390" i="15" s="1"/>
  <c r="CR406" i="15"/>
  <c r="CS406" i="15" s="1"/>
  <c r="CR422" i="15"/>
  <c r="CS422" i="15" s="1"/>
  <c r="CR440" i="15"/>
  <c r="CS440" i="15" s="1"/>
  <c r="CR458" i="15"/>
  <c r="CS458" i="15" s="1"/>
  <c r="CR476" i="15"/>
  <c r="CS476" i="15" s="1"/>
  <c r="CR494" i="15"/>
  <c r="CS494" i="15" s="1"/>
  <c r="CR510" i="15"/>
  <c r="CS510" i="15" s="1"/>
  <c r="CR528" i="15"/>
  <c r="CS528" i="15" s="1"/>
  <c r="CR546" i="15"/>
  <c r="CS546" i="15" s="1"/>
  <c r="CR564" i="15"/>
  <c r="CS564" i="15" s="1"/>
  <c r="CR582" i="15"/>
  <c r="CS582" i="15" s="1"/>
  <c r="CR598" i="15"/>
  <c r="CS598" i="15" s="1"/>
  <c r="CR616" i="15"/>
  <c r="CS616" i="15" s="1"/>
  <c r="CR632" i="15"/>
  <c r="CS632" i="15" s="1"/>
  <c r="CR652" i="15"/>
  <c r="CS652" i="15" s="1"/>
  <c r="CR669" i="15"/>
  <c r="CS669" i="15" s="1"/>
  <c r="CR686" i="15"/>
  <c r="CS686" i="15" s="1"/>
  <c r="CR704" i="15"/>
  <c r="CS704" i="15" s="1"/>
  <c r="CR722" i="15"/>
  <c r="CS722" i="15" s="1"/>
  <c r="CR738" i="15"/>
  <c r="CS738" i="15" s="1"/>
  <c r="CR756" i="15"/>
  <c r="CS756" i="15" s="1"/>
  <c r="CR774" i="15"/>
  <c r="CS774" i="15" s="1"/>
  <c r="CR792" i="15"/>
  <c r="CS792" i="15" s="1"/>
  <c r="CR805" i="15"/>
  <c r="CS805" i="15" s="1"/>
  <c r="CR812" i="15"/>
  <c r="CS812" i="15" s="1"/>
  <c r="CR818" i="15"/>
  <c r="CS818" i="15" s="1"/>
  <c r="CR823" i="15"/>
  <c r="CS823" i="15" s="1"/>
  <c r="CR828" i="15"/>
  <c r="CS828" i="15" s="1"/>
  <c r="CR836" i="15"/>
  <c r="CS836" i="15" s="1"/>
  <c r="CR841" i="15"/>
  <c r="CS841" i="15" s="1"/>
  <c r="CR846" i="15"/>
  <c r="CS846" i="15" s="1"/>
  <c r="CR852" i="15"/>
  <c r="CS852" i="15" s="1"/>
  <c r="CR857" i="15"/>
  <c r="CS857" i="15" s="1"/>
  <c r="CR862" i="15"/>
  <c r="CS862" i="15" s="1"/>
  <c r="CR870" i="15"/>
  <c r="CS870" i="15" s="1"/>
  <c r="CR875" i="15"/>
  <c r="CS875" i="15" s="1"/>
  <c r="CR880" i="15"/>
  <c r="CS880" i="15" s="1"/>
  <c r="CR886" i="15"/>
  <c r="CS886" i="15" s="1"/>
  <c r="CR891" i="15"/>
  <c r="CS891" i="15" s="1"/>
  <c r="CR896" i="15"/>
  <c r="CS896" i="15" s="1"/>
  <c r="CR42" i="15"/>
  <c r="CS42" i="15" s="1"/>
  <c r="CR113" i="15"/>
  <c r="CS113" i="15" s="1"/>
  <c r="CR183" i="15"/>
  <c r="CS183" i="15" s="1"/>
  <c r="CR246" i="15"/>
  <c r="CS246" i="15" s="1"/>
  <c r="CR266" i="15"/>
  <c r="CS266" i="15" s="1"/>
  <c r="CR283" i="15"/>
  <c r="CS283" i="15" s="1"/>
  <c r="CR300" i="15"/>
  <c r="CS300" i="15" s="1"/>
  <c r="CR318" i="15"/>
  <c r="CS318" i="15" s="1"/>
  <c r="CR334" i="15"/>
  <c r="CS334" i="15" s="1"/>
  <c r="CR352" i="15"/>
  <c r="CS352" i="15" s="1"/>
  <c r="CR402" i="15"/>
  <c r="CS402" i="15" s="1"/>
  <c r="CR418" i="15"/>
  <c r="CS418" i="15" s="1"/>
  <c r="CR436" i="15"/>
  <c r="CS436" i="15" s="1"/>
  <c r="CR454" i="15"/>
  <c r="CS454" i="15" s="1"/>
  <c r="CR470" i="15"/>
  <c r="CS470" i="15" s="1"/>
  <c r="CR488" i="15"/>
  <c r="CS488" i="15" s="1"/>
  <c r="CR506" i="15"/>
  <c r="CS506" i="15" s="1"/>
  <c r="CR524" i="15"/>
  <c r="CS524" i="15" s="1"/>
  <c r="CR542" i="15"/>
  <c r="CS542" i="15" s="1"/>
  <c r="CR578" i="15"/>
  <c r="CS578" i="15" s="1"/>
  <c r="CR612" i="15"/>
  <c r="CS612" i="15" s="1"/>
  <c r="CR664" i="15"/>
  <c r="CS664" i="15" s="1"/>
  <c r="CR716" i="15"/>
  <c r="CS716" i="15" s="1"/>
  <c r="CR787" i="15"/>
  <c r="CS787" i="15" s="1"/>
  <c r="CR822" i="15"/>
  <c r="CS822" i="15" s="1"/>
  <c r="CR840" i="15"/>
  <c r="CS840" i="15" s="1"/>
  <c r="CR856" i="15"/>
  <c r="CS856" i="15" s="1"/>
  <c r="CR874" i="15"/>
  <c r="CS874" i="15" s="1"/>
  <c r="CR890" i="15"/>
  <c r="CS890" i="15" s="1"/>
  <c r="CR6" i="15"/>
  <c r="CS6" i="15" s="1"/>
  <c r="CR77" i="15"/>
  <c r="CS77" i="15" s="1"/>
  <c r="CR147" i="15"/>
  <c r="CS147" i="15" s="1"/>
  <c r="CR217" i="15"/>
  <c r="CS217" i="15" s="1"/>
  <c r="CR256" i="15"/>
  <c r="CS256" i="15" s="1"/>
  <c r="CR274" i="15"/>
  <c r="CS274" i="15" s="1"/>
  <c r="CR292" i="15"/>
  <c r="CS292" i="15" s="1"/>
  <c r="CR308" i="15"/>
  <c r="CS308" i="15" s="1"/>
  <c r="CR326" i="15"/>
  <c r="CS326" i="15" s="1"/>
  <c r="CR344" i="15"/>
  <c r="CS344" i="15" s="1"/>
  <c r="CR360" i="15"/>
  <c r="CS360" i="15" s="1"/>
  <c r="CR376" i="15"/>
  <c r="CS376" i="15" s="1"/>
  <c r="CR394" i="15"/>
  <c r="CS394" i="15" s="1"/>
  <c r="CR410" i="15"/>
  <c r="CS410" i="15" s="1"/>
  <c r="CR428" i="15"/>
  <c r="CS428" i="15" s="1"/>
  <c r="CR444" i="15"/>
  <c r="CS444" i="15" s="1"/>
  <c r="CR462" i="15"/>
  <c r="CS462" i="15" s="1"/>
  <c r="CR480" i="15"/>
  <c r="CS480" i="15" s="1"/>
  <c r="CR498" i="15"/>
  <c r="CS498" i="15" s="1"/>
  <c r="CR516" i="15"/>
  <c r="CS516" i="15" s="1"/>
  <c r="CR532" i="15"/>
  <c r="CS532" i="15" s="1"/>
  <c r="CR550" i="15"/>
  <c r="CS550" i="15" s="1"/>
  <c r="CR568" i="15"/>
  <c r="CS568" i="15" s="1"/>
  <c r="CR586" i="15"/>
  <c r="CS586" i="15" s="1"/>
  <c r="CR603" i="15"/>
  <c r="CS603" i="15" s="1"/>
  <c r="CR620" i="15"/>
  <c r="CS620" i="15" s="1"/>
  <c r="CR637" i="15"/>
  <c r="CS637" i="15" s="1"/>
  <c r="CR656" i="15"/>
  <c r="CS656" i="15" s="1"/>
  <c r="CR674" i="15"/>
  <c r="CS674" i="15" s="1"/>
  <c r="CR690" i="15"/>
  <c r="CS690" i="15" s="1"/>
  <c r="CR708" i="15"/>
  <c r="CS708" i="15" s="1"/>
  <c r="CR726" i="15"/>
  <c r="CS726" i="15" s="1"/>
  <c r="CR742" i="15"/>
  <c r="CS742" i="15" s="1"/>
  <c r="CR760" i="15"/>
  <c r="CS760" i="15" s="1"/>
  <c r="CR778" i="15"/>
  <c r="CS778" i="15" s="1"/>
  <c r="CR796" i="15"/>
  <c r="CS796" i="15" s="1"/>
  <c r="CR806" i="15"/>
  <c r="CS806" i="15" s="1"/>
  <c r="CR814" i="15"/>
  <c r="CS814" i="15" s="1"/>
  <c r="CR819" i="15"/>
  <c r="CS819" i="15" s="1"/>
  <c r="CR824" i="15"/>
  <c r="CS824" i="15" s="1"/>
  <c r="CR831" i="15"/>
  <c r="CS831" i="15" s="1"/>
  <c r="CR837" i="15"/>
  <c r="CS837" i="15" s="1"/>
  <c r="CR842" i="15"/>
  <c r="CS842" i="15" s="1"/>
  <c r="CR848" i="15"/>
  <c r="CS848" i="15" s="1"/>
  <c r="CR853" i="15"/>
  <c r="CS853" i="15" s="1"/>
  <c r="CR858" i="15"/>
  <c r="CS858" i="15" s="1"/>
  <c r="CR866" i="15"/>
  <c r="CS866" i="15" s="1"/>
  <c r="CR871" i="15"/>
  <c r="CS871" i="15" s="1"/>
  <c r="CR876" i="15"/>
  <c r="CS876" i="15" s="1"/>
  <c r="CR882" i="15"/>
  <c r="CS882" i="15" s="1"/>
  <c r="CR887" i="15"/>
  <c r="CS887" i="15" s="1"/>
  <c r="CR892" i="15"/>
  <c r="CS892" i="15" s="1"/>
  <c r="CR898" i="15"/>
  <c r="CS898" i="15" s="1"/>
  <c r="CR384" i="15"/>
  <c r="CS384" i="15" s="1"/>
  <c r="CR560" i="15"/>
  <c r="CS560" i="15" s="1"/>
  <c r="CR628" i="15"/>
  <c r="CS628" i="15" s="1"/>
  <c r="CR700" i="15"/>
  <c r="CS700" i="15" s="1"/>
  <c r="CR752" i="15"/>
  <c r="CS752" i="15" s="1"/>
  <c r="CR770" i="15"/>
  <c r="CS770" i="15" s="1"/>
  <c r="CR810" i="15"/>
  <c r="CS810" i="15" s="1"/>
  <c r="CR827" i="15"/>
  <c r="CS827" i="15" s="1"/>
  <c r="CR845" i="15"/>
  <c r="CS845" i="15" s="1"/>
  <c r="CR868" i="15"/>
  <c r="CS868" i="15" s="1"/>
  <c r="CR884" i="15"/>
  <c r="CS884" i="15" s="1"/>
  <c r="CR24" i="15"/>
  <c r="CS24" i="15" s="1"/>
  <c r="CR95" i="15"/>
  <c r="CS95" i="15" s="1"/>
  <c r="CR165" i="15"/>
  <c r="CS165" i="15" s="1"/>
  <c r="CR235" i="15"/>
  <c r="CS235" i="15" s="1"/>
  <c r="CR260" i="15"/>
  <c r="CS260" i="15" s="1"/>
  <c r="CR278" i="15"/>
  <c r="CS278" i="15" s="1"/>
  <c r="CR296" i="15"/>
  <c r="CS296" i="15" s="1"/>
  <c r="CR312" i="15"/>
  <c r="CS312" i="15" s="1"/>
  <c r="CR330" i="15"/>
  <c r="CS330" i="15" s="1"/>
  <c r="CR348" i="15"/>
  <c r="CS348" i="15" s="1"/>
  <c r="CR364" i="15"/>
  <c r="CS364" i="15" s="1"/>
  <c r="CR380" i="15"/>
  <c r="CS380" i="15" s="1"/>
  <c r="CR398" i="15"/>
  <c r="CS398" i="15" s="1"/>
  <c r="CR414" i="15"/>
  <c r="CS414" i="15" s="1"/>
  <c r="CR432" i="15"/>
  <c r="CS432" i="15" s="1"/>
  <c r="CR450" i="15"/>
  <c r="CS450" i="15" s="1"/>
  <c r="CR466" i="15"/>
  <c r="CS466" i="15" s="1"/>
  <c r="CR484" i="15"/>
  <c r="CS484" i="15" s="1"/>
  <c r="CR502" i="15"/>
  <c r="CS502" i="15" s="1"/>
  <c r="CR520" i="15"/>
  <c r="CS520" i="15" s="1"/>
  <c r="CR538" i="15"/>
  <c r="CS538" i="15" s="1"/>
  <c r="CR556" i="15"/>
  <c r="CS556" i="15" s="1"/>
  <c r="CR574" i="15"/>
  <c r="CS574" i="15" s="1"/>
  <c r="CR590" i="15"/>
  <c r="CS590" i="15" s="1"/>
  <c r="CR608" i="15"/>
  <c r="CS608" i="15" s="1"/>
  <c r="CR624" i="15"/>
  <c r="CS624" i="15" s="1"/>
  <c r="CR642" i="15"/>
  <c r="CS642" i="15" s="1"/>
  <c r="CR660" i="15"/>
  <c r="CS660" i="15" s="1"/>
  <c r="CR678" i="15"/>
  <c r="CS678" i="15" s="1"/>
  <c r="CR694" i="15"/>
  <c r="CS694" i="15" s="1"/>
  <c r="CR712" i="15"/>
  <c r="CS712" i="15" s="1"/>
  <c r="CR730" i="15"/>
  <c r="CS730" i="15" s="1"/>
  <c r="CR748" i="15"/>
  <c r="CS748" i="15" s="1"/>
  <c r="CR766" i="15"/>
  <c r="CS766" i="15" s="1"/>
  <c r="CR782" i="15"/>
  <c r="CS782" i="15" s="1"/>
  <c r="CR800" i="15"/>
  <c r="CS800" i="15" s="1"/>
  <c r="CR808" i="15"/>
  <c r="CS808" i="15" s="1"/>
  <c r="CR815" i="15"/>
  <c r="CS815" i="15" s="1"/>
  <c r="CR820" i="15"/>
  <c r="CS820" i="15" s="1"/>
  <c r="CR826" i="15"/>
  <c r="CS826" i="15" s="1"/>
  <c r="CR833" i="15"/>
  <c r="CS833" i="15" s="1"/>
  <c r="CR838" i="15"/>
  <c r="CS838" i="15" s="1"/>
  <c r="CR844" i="15"/>
  <c r="CS844" i="15" s="1"/>
  <c r="CR849" i="15"/>
  <c r="CS849" i="15" s="1"/>
  <c r="CR854" i="15"/>
  <c r="CS854" i="15" s="1"/>
  <c r="CR860" i="15"/>
  <c r="CS860" i="15" s="1"/>
  <c r="CR867" i="15"/>
  <c r="CS867" i="15" s="1"/>
  <c r="CR872" i="15"/>
  <c r="CS872" i="15" s="1"/>
  <c r="CR878" i="15"/>
  <c r="CS878" i="15" s="1"/>
  <c r="CR883" i="15"/>
  <c r="CS883" i="15" s="1"/>
  <c r="CR888" i="15"/>
  <c r="CS888" i="15" s="1"/>
  <c r="CR894" i="15"/>
  <c r="CS894" i="15" s="1"/>
  <c r="CR368" i="15"/>
  <c r="CS368" i="15" s="1"/>
  <c r="CR594" i="15"/>
  <c r="CS594" i="15" s="1"/>
  <c r="CR646" i="15"/>
  <c r="CS646" i="15" s="1"/>
  <c r="CR682" i="15"/>
  <c r="CS682" i="15" s="1"/>
  <c r="CR734" i="15"/>
  <c r="CS734" i="15" s="1"/>
  <c r="CR804" i="15"/>
  <c r="CS804" i="15" s="1"/>
  <c r="CR816" i="15"/>
  <c r="CS816" i="15" s="1"/>
  <c r="CR834" i="15"/>
  <c r="CS834" i="15" s="1"/>
  <c r="CR850" i="15"/>
  <c r="CS850" i="15" s="1"/>
  <c r="CR861" i="15"/>
  <c r="CS861" i="15" s="1"/>
  <c r="CR879" i="15"/>
  <c r="CS879" i="15" s="1"/>
  <c r="CR895" i="15"/>
  <c r="CS895" i="15" s="1"/>
  <c r="AJ482" i="1"/>
  <c r="AJ493" i="1"/>
  <c r="AJ391" i="1"/>
  <c r="AJ431" i="1"/>
  <c r="AJ576" i="1"/>
  <c r="AJ413" i="1"/>
  <c r="AJ530" i="1"/>
  <c r="AJ522" i="1"/>
  <c r="AJ583" i="1"/>
  <c r="AJ411" i="1"/>
  <c r="AJ353" i="1"/>
  <c r="AJ444" i="1"/>
  <c r="AJ427" i="1"/>
  <c r="AJ458" i="1"/>
  <c r="AJ107" i="1"/>
  <c r="AJ461" i="1"/>
  <c r="AJ429" i="1"/>
  <c r="AJ380" i="1"/>
  <c r="AJ540" i="1"/>
  <c r="AJ585" i="1"/>
  <c r="AJ479" i="1"/>
  <c r="AJ523" i="1"/>
  <c r="AJ372" i="1"/>
  <c r="AJ437" i="1"/>
  <c r="AJ581" i="1"/>
  <c r="AJ322" i="1"/>
  <c r="AJ347" i="1"/>
  <c r="AJ573" i="1"/>
  <c r="AJ451" i="1"/>
  <c r="AJ478" i="1"/>
  <c r="AJ533" i="1"/>
  <c r="AJ324" i="1"/>
  <c r="AJ529" i="1"/>
  <c r="AJ481" i="1"/>
  <c r="AJ580" i="1"/>
  <c r="AJ524" i="1"/>
  <c r="AJ531" i="1"/>
  <c r="AJ562" i="1"/>
  <c r="AJ485" i="1"/>
  <c r="AJ384" i="1"/>
  <c r="AJ348" i="1"/>
  <c r="AJ323" i="1"/>
  <c r="AJ346" i="1"/>
  <c r="AJ519" i="1"/>
  <c r="AJ574" i="1"/>
  <c r="AJ450" i="1"/>
  <c r="AJ433" i="1"/>
  <c r="AJ104" i="1"/>
  <c r="AD107" i="1"/>
  <c r="AJ471" i="1"/>
  <c r="AD461" i="1"/>
  <c r="AJ521" i="1"/>
  <c r="AD471" i="1"/>
  <c r="AJ443" i="1"/>
  <c r="AJ465" i="1"/>
  <c r="AD519" i="1"/>
  <c r="AJ463" i="1"/>
  <c r="AJ274" i="1"/>
  <c r="AJ455" i="1"/>
  <c r="AJ410" i="1"/>
  <c r="AJ352" i="1"/>
  <c r="AD351" i="1"/>
  <c r="AD432" i="1"/>
  <c r="AD463" i="1"/>
  <c r="AJ570" i="1"/>
  <c r="AJ474" i="1"/>
  <c r="AJ354" i="1"/>
  <c r="AJ457" i="1"/>
  <c r="AJ396" i="1"/>
  <c r="AJ517" i="1"/>
  <c r="AJ518" i="1"/>
  <c r="AD395" i="1"/>
  <c r="AJ432" i="1"/>
  <c r="AD570" i="1"/>
  <c r="AJ515" i="1"/>
  <c r="AJ302" i="1"/>
  <c r="AJ473" i="1"/>
  <c r="AJ571" i="1"/>
  <c r="AJ422" i="1"/>
  <c r="AJ371" i="1"/>
  <c r="AJ470" i="1"/>
  <c r="AJ468" i="1"/>
  <c r="AJ425" i="1"/>
  <c r="AJ462" i="1"/>
  <c r="AD464" i="1"/>
  <c r="AE464" i="1"/>
  <c r="AJ395" i="1"/>
  <c r="AD441" i="1"/>
  <c r="AJ560" i="1"/>
  <c r="AJ456" i="1"/>
  <c r="AJ368" i="1"/>
  <c r="AJ506" i="1"/>
  <c r="AJ454" i="1"/>
  <c r="AJ505" i="1"/>
  <c r="AJ407" i="1"/>
  <c r="AJ513" i="1"/>
  <c r="AJ406" i="1"/>
  <c r="AJ572" i="1"/>
  <c r="AJ459" i="1"/>
  <c r="AJ428" i="1"/>
  <c r="AJ314" i="1"/>
  <c r="AJ467" i="1"/>
  <c r="AJ313" i="1"/>
  <c r="AJ321" i="1"/>
  <c r="AJ383" i="1"/>
  <c r="AJ421" i="1"/>
  <c r="AJ397" i="1"/>
  <c r="AJ382" i="1"/>
  <c r="AJ469" i="1"/>
  <c r="AJ476" i="1"/>
  <c r="AJ551" i="1"/>
  <c r="AJ561" i="1"/>
  <c r="AJ351" i="1"/>
  <c r="AJ441" i="1"/>
  <c r="AD474" i="1"/>
  <c r="AJ115" i="1"/>
  <c r="AD115" i="1"/>
  <c r="AJ113" i="1"/>
  <c r="AD16" i="1"/>
  <c r="AD270" i="1"/>
  <c r="AD105" i="1"/>
  <c r="AJ16" i="1"/>
  <c r="AJ270" i="1"/>
  <c r="AJ105" i="1"/>
  <c r="AD113" i="1"/>
  <c r="CP9" i="15" l="1"/>
  <c r="CP8" i="15" s="1"/>
  <c r="CQ881" i="15"/>
  <c r="CQ817" i="15"/>
  <c r="CQ753" i="15"/>
  <c r="CQ689" i="15"/>
  <c r="CQ625" i="15"/>
  <c r="CQ561" i="15"/>
  <c r="CQ497" i="15"/>
  <c r="CQ433" i="15"/>
  <c r="CQ369" i="15"/>
  <c r="CQ305" i="15"/>
  <c r="CQ241" i="15"/>
  <c r="CQ177" i="15"/>
  <c r="CQ113" i="15"/>
  <c r="CQ49" i="15"/>
  <c r="CQ853" i="15"/>
  <c r="CQ725" i="15"/>
  <c r="CQ613" i="15"/>
  <c r="CQ469" i="15"/>
  <c r="CQ357" i="15"/>
  <c r="CQ245" i="15"/>
  <c r="CQ149" i="15"/>
  <c r="CQ69" i="15"/>
  <c r="CQ893" i="15"/>
  <c r="CQ829" i="15"/>
  <c r="CQ765" i="15"/>
  <c r="CQ701" i="15"/>
  <c r="CQ637" i="15"/>
  <c r="CQ573" i="15"/>
  <c r="CQ509" i="15"/>
  <c r="CQ445" i="15"/>
  <c r="CQ381" i="15"/>
  <c r="CQ317" i="15"/>
  <c r="CQ253" i="15"/>
  <c r="CQ189" i="15"/>
  <c r="CQ125" i="15"/>
  <c r="CQ61" i="15"/>
  <c r="CQ869" i="15"/>
  <c r="CQ741" i="15"/>
  <c r="CQ597" i="15"/>
  <c r="CQ485" i="15"/>
  <c r="CQ341" i="15"/>
  <c r="CQ181" i="15"/>
  <c r="CQ857" i="15"/>
  <c r="CQ793" i="15"/>
  <c r="CQ729" i="15"/>
  <c r="CQ665" i="15"/>
  <c r="CQ601" i="15"/>
  <c r="CQ537" i="15"/>
  <c r="CQ473" i="15"/>
  <c r="CQ409" i="15"/>
  <c r="CQ345" i="15"/>
  <c r="CQ281" i="15"/>
  <c r="CQ217" i="15"/>
  <c r="CQ153" i="15"/>
  <c r="CQ89" i="15"/>
  <c r="CQ25" i="15"/>
  <c r="CQ888" i="15"/>
  <c r="CQ872" i="15"/>
  <c r="CQ856" i="15"/>
  <c r="CQ840" i="15"/>
  <c r="CQ824" i="15"/>
  <c r="CQ808" i="15"/>
  <c r="CQ792" i="15"/>
  <c r="CQ776" i="15"/>
  <c r="CQ760" i="15"/>
  <c r="CQ744" i="15"/>
  <c r="CQ728" i="15"/>
  <c r="CQ712" i="15"/>
  <c r="CQ696" i="15"/>
  <c r="CQ680" i="15"/>
  <c r="CQ664" i="15"/>
  <c r="CQ648" i="15"/>
  <c r="CQ632" i="15"/>
  <c r="CQ616" i="15"/>
  <c r="CQ600" i="15"/>
  <c r="CQ584" i="15"/>
  <c r="CQ568" i="15"/>
  <c r="CQ552" i="15"/>
  <c r="CQ536" i="15"/>
  <c r="CQ520" i="15"/>
  <c r="CQ504" i="15"/>
  <c r="CQ488" i="15"/>
  <c r="CQ472" i="15"/>
  <c r="CQ456" i="15"/>
  <c r="CQ440" i="15"/>
  <c r="CQ424" i="15"/>
  <c r="CQ408" i="15"/>
  <c r="CQ392" i="15"/>
  <c r="CQ376" i="15"/>
  <c r="CQ360" i="15"/>
  <c r="CQ344" i="15"/>
  <c r="CQ328" i="15"/>
  <c r="CQ312" i="15"/>
  <c r="CQ296" i="15"/>
  <c r="CQ280" i="15"/>
  <c r="CQ264" i="15"/>
  <c r="CQ248" i="15"/>
  <c r="CQ232" i="15"/>
  <c r="CQ216" i="15"/>
  <c r="CQ200" i="15"/>
  <c r="CQ184" i="15"/>
  <c r="CQ168" i="15"/>
  <c r="CQ152" i="15"/>
  <c r="CQ136" i="15"/>
  <c r="CQ120" i="15"/>
  <c r="CQ104" i="15"/>
  <c r="CQ88" i="15"/>
  <c r="CQ72" i="15"/>
  <c r="CQ56" i="15"/>
  <c r="CQ40" i="15"/>
  <c r="CQ24" i="15"/>
  <c r="CQ883" i="15"/>
  <c r="CQ867" i="15"/>
  <c r="CQ851" i="15"/>
  <c r="CQ835" i="15"/>
  <c r="CQ819" i="15"/>
  <c r="CQ803" i="15"/>
  <c r="CQ787" i="15"/>
  <c r="CQ771" i="15"/>
  <c r="CQ755" i="15"/>
  <c r="CQ739" i="15"/>
  <c r="CQ723" i="15"/>
  <c r="CQ707" i="15"/>
  <c r="CQ691" i="15"/>
  <c r="CQ675" i="15"/>
  <c r="CQ659" i="15"/>
  <c r="CQ643" i="15"/>
  <c r="CQ627" i="15"/>
  <c r="CQ611" i="15"/>
  <c r="CQ595" i="15"/>
  <c r="CQ579" i="15"/>
  <c r="CQ563" i="15"/>
  <c r="CQ547" i="15"/>
  <c r="CQ531" i="15"/>
  <c r="CQ515" i="15"/>
  <c r="CQ499" i="15"/>
  <c r="CQ483" i="15"/>
  <c r="CQ865" i="15"/>
  <c r="CQ801" i="15"/>
  <c r="CQ737" i="15"/>
  <c r="CQ673" i="15"/>
  <c r="CQ609" i="15"/>
  <c r="CQ545" i="15"/>
  <c r="CQ481" i="15"/>
  <c r="CQ417" i="15"/>
  <c r="CQ353" i="15"/>
  <c r="CQ289" i="15"/>
  <c r="CQ225" i="15"/>
  <c r="CQ161" i="15"/>
  <c r="CQ97" i="15"/>
  <c r="CQ33" i="15"/>
  <c r="CQ821" i="15"/>
  <c r="CQ693" i="15"/>
  <c r="CQ581" i="15"/>
  <c r="CQ437" i="15"/>
  <c r="CQ325" i="15"/>
  <c r="CQ213" i="15"/>
  <c r="CQ133" i="15"/>
  <c r="CQ53" i="15"/>
  <c r="CQ877" i="15"/>
  <c r="CQ813" i="15"/>
  <c r="CQ749" i="15"/>
  <c r="CQ685" i="15"/>
  <c r="CQ621" i="15"/>
  <c r="CQ557" i="15"/>
  <c r="CQ493" i="15"/>
  <c r="CQ429" i="15"/>
  <c r="CQ365" i="15"/>
  <c r="CQ301" i="15"/>
  <c r="CQ237" i="15"/>
  <c r="CQ173" i="15"/>
  <c r="CQ109" i="15"/>
  <c r="CQ45" i="15"/>
  <c r="CQ837" i="15"/>
  <c r="CQ709" i="15"/>
  <c r="CQ565" i="15"/>
  <c r="CQ453" i="15"/>
  <c r="CQ293" i="15"/>
  <c r="CQ117" i="15"/>
  <c r="CQ841" i="15"/>
  <c r="CQ777" i="15"/>
  <c r="CQ713" i="15"/>
  <c r="CQ649" i="15"/>
  <c r="CQ585" i="15"/>
  <c r="CQ521" i="15"/>
  <c r="CQ457" i="15"/>
  <c r="CQ393" i="15"/>
  <c r="CQ329" i="15"/>
  <c r="CQ265" i="15"/>
  <c r="CQ201" i="15"/>
  <c r="CQ137" i="15"/>
  <c r="CQ73" i="15"/>
  <c r="CQ884" i="15"/>
  <c r="CQ868" i="15"/>
  <c r="CQ852" i="15"/>
  <c r="CQ836" i="15"/>
  <c r="CQ820" i="15"/>
  <c r="CQ804" i="15"/>
  <c r="CQ788" i="15"/>
  <c r="CQ772" i="15"/>
  <c r="CQ756" i="15"/>
  <c r="CQ740" i="15"/>
  <c r="CQ724" i="15"/>
  <c r="CQ708" i="15"/>
  <c r="CQ692" i="15"/>
  <c r="CQ676" i="15"/>
  <c r="CQ660" i="15"/>
  <c r="CQ644" i="15"/>
  <c r="CQ628" i="15"/>
  <c r="CQ612" i="15"/>
  <c r="CQ596" i="15"/>
  <c r="CQ580" i="15"/>
  <c r="CQ564" i="15"/>
  <c r="CQ548" i="15"/>
  <c r="CQ532" i="15"/>
  <c r="CQ516" i="15"/>
  <c r="CQ500" i="15"/>
  <c r="CQ484" i="15"/>
  <c r="CQ468" i="15"/>
  <c r="CQ452" i="15"/>
  <c r="CQ436" i="15"/>
  <c r="CQ420" i="15"/>
  <c r="CQ404" i="15"/>
  <c r="CQ388" i="15"/>
  <c r="CQ372" i="15"/>
  <c r="CQ356" i="15"/>
  <c r="CQ340" i="15"/>
  <c r="CQ324" i="15"/>
  <c r="CQ308" i="15"/>
  <c r="CQ292" i="15"/>
  <c r="CQ276" i="15"/>
  <c r="CQ260" i="15"/>
  <c r="CQ244" i="15"/>
  <c r="CQ228" i="15"/>
  <c r="CQ212" i="15"/>
  <c r="CQ196" i="15"/>
  <c r="CQ180" i="15"/>
  <c r="CQ164" i="15"/>
  <c r="CQ148" i="15"/>
  <c r="CQ132" i="15"/>
  <c r="CQ116" i="15"/>
  <c r="CQ100" i="15"/>
  <c r="CQ84" i="15"/>
  <c r="CQ68" i="15"/>
  <c r="CQ52" i="15"/>
  <c r="CQ36" i="15"/>
  <c r="CQ20" i="15"/>
  <c r="CQ895" i="15"/>
  <c r="CQ879" i="15"/>
  <c r="CQ863" i="15"/>
  <c r="CQ847" i="15"/>
  <c r="CQ831" i="15"/>
  <c r="CQ815" i="15"/>
  <c r="CQ799" i="15"/>
  <c r="CQ783" i="15"/>
  <c r="CQ767" i="15"/>
  <c r="CQ751" i="15"/>
  <c r="CQ735" i="15"/>
  <c r="CQ719" i="15"/>
  <c r="CQ703" i="15"/>
  <c r="CQ687" i="15"/>
  <c r="CQ671" i="15"/>
  <c r="CQ655" i="15"/>
  <c r="CQ639" i="15"/>
  <c r="CQ623" i="15"/>
  <c r="CQ607" i="15"/>
  <c r="CQ591" i="15"/>
  <c r="CQ575" i="15"/>
  <c r="CQ559" i="15"/>
  <c r="CQ543" i="15"/>
  <c r="CQ527" i="15"/>
  <c r="CQ511" i="15"/>
  <c r="CQ495" i="15"/>
  <c r="CQ479" i="15"/>
  <c r="CQ463" i="15"/>
  <c r="CQ447" i="15"/>
  <c r="CQ431" i="15"/>
  <c r="CQ415" i="15"/>
  <c r="CQ399" i="15"/>
  <c r="CQ383" i="15"/>
  <c r="CQ367" i="15"/>
  <c r="CQ351" i="15"/>
  <c r="CQ335" i="15"/>
  <c r="CQ849" i="15"/>
  <c r="CQ785" i="15"/>
  <c r="CQ721" i="15"/>
  <c r="CQ657" i="15"/>
  <c r="CQ593" i="15"/>
  <c r="CQ529" i="15"/>
  <c r="CQ465" i="15"/>
  <c r="CQ401" i="15"/>
  <c r="CQ337" i="15"/>
  <c r="CQ273" i="15"/>
  <c r="CQ209" i="15"/>
  <c r="CQ145" i="15"/>
  <c r="CQ81" i="15"/>
  <c r="CQ17" i="15"/>
  <c r="CQ789" i="15"/>
  <c r="CQ661" i="15"/>
  <c r="CQ549" i="15"/>
  <c r="CQ421" i="15"/>
  <c r="CQ309" i="15"/>
  <c r="CQ197" i="15"/>
  <c r="CQ101" i="15"/>
  <c r="CQ37" i="15"/>
  <c r="CQ861" i="15"/>
  <c r="CQ797" i="15"/>
  <c r="CQ733" i="15"/>
  <c r="CQ669" i="15"/>
  <c r="CQ605" i="15"/>
  <c r="CQ541" i="15"/>
  <c r="CQ477" i="15"/>
  <c r="CQ413" i="15"/>
  <c r="CQ349" i="15"/>
  <c r="CQ285" i="15"/>
  <c r="CQ221" i="15"/>
  <c r="CQ157" i="15"/>
  <c r="CQ93" i="15"/>
  <c r="CQ29" i="15"/>
  <c r="CQ805" i="15"/>
  <c r="CQ677" i="15"/>
  <c r="CQ533" i="15"/>
  <c r="CQ405" i="15"/>
  <c r="CQ261" i="15"/>
  <c r="CQ889" i="15"/>
  <c r="CQ825" i="15"/>
  <c r="CQ761" i="15"/>
  <c r="CQ697" i="15"/>
  <c r="CQ633" i="15"/>
  <c r="CQ569" i="15"/>
  <c r="CQ505" i="15"/>
  <c r="CQ441" i="15"/>
  <c r="CQ377" i="15"/>
  <c r="CQ313" i="15"/>
  <c r="CQ249" i="15"/>
  <c r="CQ185" i="15"/>
  <c r="CQ121" i="15"/>
  <c r="CQ57" i="15"/>
  <c r="CQ896" i="15"/>
  <c r="CQ880" i="15"/>
  <c r="CQ864" i="15"/>
  <c r="CQ848" i="15"/>
  <c r="CQ832" i="15"/>
  <c r="CQ816" i="15"/>
  <c r="CQ800" i="15"/>
  <c r="CQ784" i="15"/>
  <c r="CQ768" i="15"/>
  <c r="CQ752" i="15"/>
  <c r="CQ736" i="15"/>
  <c r="CQ720" i="15"/>
  <c r="CQ704" i="15"/>
  <c r="CQ688" i="15"/>
  <c r="CQ672" i="15"/>
  <c r="CQ656" i="15"/>
  <c r="CQ640" i="15"/>
  <c r="CQ624" i="15"/>
  <c r="CQ608" i="15"/>
  <c r="CQ592" i="15"/>
  <c r="CQ576" i="15"/>
  <c r="CQ560" i="15"/>
  <c r="CQ544" i="15"/>
  <c r="CQ528" i="15"/>
  <c r="CQ512" i="15"/>
  <c r="CQ496" i="15"/>
  <c r="CQ480" i="15"/>
  <c r="CQ464" i="15"/>
  <c r="CQ448" i="15"/>
  <c r="CQ432" i="15"/>
  <c r="CQ416" i="15"/>
  <c r="CQ400" i="15"/>
  <c r="CQ384" i="15"/>
  <c r="CQ368" i="15"/>
  <c r="CQ352" i="15"/>
  <c r="CQ336" i="15"/>
  <c r="CQ320" i="15"/>
  <c r="CQ304" i="15"/>
  <c r="CQ288" i="15"/>
  <c r="CQ272" i="15"/>
  <c r="CQ256" i="15"/>
  <c r="CQ240" i="15"/>
  <c r="CQ224" i="15"/>
  <c r="CQ208" i="15"/>
  <c r="CQ192" i="15"/>
  <c r="CQ176" i="15"/>
  <c r="CQ160" i="15"/>
  <c r="CQ144" i="15"/>
  <c r="CQ128" i="15"/>
  <c r="CQ112" i="15"/>
  <c r="CQ96" i="15"/>
  <c r="CQ80" i="15"/>
  <c r="CQ64" i="15"/>
  <c r="CQ48" i="15"/>
  <c r="CQ32" i="15"/>
  <c r="CQ16" i="15"/>
  <c r="CQ891" i="15"/>
  <c r="CQ875" i="15"/>
  <c r="CQ859" i="15"/>
  <c r="CQ843" i="15"/>
  <c r="CQ827" i="15"/>
  <c r="CQ811" i="15"/>
  <c r="CQ795" i="15"/>
  <c r="CQ779" i="15"/>
  <c r="CQ763" i="15"/>
  <c r="CQ747" i="15"/>
  <c r="CQ731" i="15"/>
  <c r="CQ715" i="15"/>
  <c r="CQ699" i="15"/>
  <c r="CQ683" i="15"/>
  <c r="CQ667" i="15"/>
  <c r="CQ651" i="15"/>
  <c r="CQ635" i="15"/>
  <c r="CQ619" i="15"/>
  <c r="CQ603" i="15"/>
  <c r="CQ587" i="15"/>
  <c r="CQ571" i="15"/>
  <c r="CQ555" i="15"/>
  <c r="CQ539" i="15"/>
  <c r="CQ523" i="15"/>
  <c r="CQ507" i="15"/>
  <c r="CQ491" i="15"/>
  <c r="CQ475" i="15"/>
  <c r="CQ897" i="15"/>
  <c r="CQ833" i="15"/>
  <c r="CQ769" i="15"/>
  <c r="CQ705" i="15"/>
  <c r="CQ641" i="15"/>
  <c r="CQ577" i="15"/>
  <c r="CQ513" i="15"/>
  <c r="CQ449" i="15"/>
  <c r="CQ385" i="15"/>
  <c r="CQ321" i="15"/>
  <c r="CQ257" i="15"/>
  <c r="CQ193" i="15"/>
  <c r="CQ129" i="15"/>
  <c r="CQ65" i="15"/>
  <c r="CQ885" i="15"/>
  <c r="CQ757" i="15"/>
  <c r="CQ629" i="15"/>
  <c r="CQ517" i="15"/>
  <c r="CQ389" i="15"/>
  <c r="CQ277" i="15"/>
  <c r="CQ165" i="15"/>
  <c r="CQ85" i="15"/>
  <c r="CQ21" i="15"/>
  <c r="CQ845" i="15"/>
  <c r="CQ781" i="15"/>
  <c r="CQ717" i="15"/>
  <c r="CQ653" i="15"/>
  <c r="CQ589" i="15"/>
  <c r="CQ525" i="15"/>
  <c r="CQ461" i="15"/>
  <c r="CQ397" i="15"/>
  <c r="CQ333" i="15"/>
  <c r="CQ269" i="15"/>
  <c r="CQ205" i="15"/>
  <c r="CQ141" i="15"/>
  <c r="CQ77" i="15"/>
  <c r="CQ13" i="15"/>
  <c r="CQ773" i="15"/>
  <c r="CQ645" i="15"/>
  <c r="CQ501" i="15"/>
  <c r="CQ373" i="15"/>
  <c r="CQ229" i="15"/>
  <c r="CQ873" i="15"/>
  <c r="CQ809" i="15"/>
  <c r="CQ745" i="15"/>
  <c r="CQ681" i="15"/>
  <c r="CQ617" i="15"/>
  <c r="CQ553" i="15"/>
  <c r="CQ489" i="15"/>
  <c r="CQ425" i="15"/>
  <c r="CQ361" i="15"/>
  <c r="CQ297" i="15"/>
  <c r="CQ233" i="15"/>
  <c r="CQ169" i="15"/>
  <c r="CQ105" i="15"/>
  <c r="CQ41" i="15"/>
  <c r="CQ892" i="15"/>
  <c r="CQ876" i="15"/>
  <c r="CQ860" i="15"/>
  <c r="CQ844" i="15"/>
  <c r="CQ828" i="15"/>
  <c r="CQ812" i="15"/>
  <c r="CQ796" i="15"/>
  <c r="CQ780" i="15"/>
  <c r="CQ764" i="15"/>
  <c r="CQ748" i="15"/>
  <c r="CQ732" i="15"/>
  <c r="CQ716" i="15"/>
  <c r="CQ700" i="15"/>
  <c r="CQ684" i="15"/>
  <c r="CQ668" i="15"/>
  <c r="CQ652" i="15"/>
  <c r="CQ636" i="15"/>
  <c r="CQ620" i="15"/>
  <c r="CQ604" i="15"/>
  <c r="CQ588" i="15"/>
  <c r="CQ572" i="15"/>
  <c r="CQ556" i="15"/>
  <c r="CQ540" i="15"/>
  <c r="CQ524" i="15"/>
  <c r="CQ508" i="15"/>
  <c r="CQ492" i="15"/>
  <c r="CQ476" i="15"/>
  <c r="CQ460" i="15"/>
  <c r="CQ444" i="15"/>
  <c r="CQ428" i="15"/>
  <c r="CQ412" i="15"/>
  <c r="CQ396" i="15"/>
  <c r="CQ380" i="15"/>
  <c r="CQ364" i="15"/>
  <c r="CQ348" i="15"/>
  <c r="CQ332" i="15"/>
  <c r="CQ316" i="15"/>
  <c r="CQ300" i="15"/>
  <c r="CQ284" i="15"/>
  <c r="CQ268" i="15"/>
  <c r="CQ252" i="15"/>
  <c r="CQ236" i="15"/>
  <c r="CQ220" i="15"/>
  <c r="CQ204" i="15"/>
  <c r="CQ188" i="15"/>
  <c r="CQ172" i="15"/>
  <c r="CQ156" i="15"/>
  <c r="CQ140" i="15"/>
  <c r="CQ124" i="15"/>
  <c r="CQ108" i="15"/>
  <c r="CQ92" i="15"/>
  <c r="CQ76" i="15"/>
  <c r="CQ60" i="15"/>
  <c r="CQ44" i="15"/>
  <c r="CQ28" i="15"/>
  <c r="CQ12" i="15"/>
  <c r="CQ887" i="15"/>
  <c r="CQ871" i="15"/>
  <c r="CQ855" i="15"/>
  <c r="CQ839" i="15"/>
  <c r="CQ823" i="15"/>
  <c r="CQ807" i="15"/>
  <c r="CQ791" i="15"/>
  <c r="CQ775" i="15"/>
  <c r="CQ759" i="15"/>
  <c r="CQ743" i="15"/>
  <c r="CQ727" i="15"/>
  <c r="CQ711" i="15"/>
  <c r="CQ695" i="15"/>
  <c r="CQ679" i="15"/>
  <c r="CQ663" i="15"/>
  <c r="CQ647" i="15"/>
  <c r="CQ631" i="15"/>
  <c r="CQ615" i="15"/>
  <c r="CQ599" i="15"/>
  <c r="CQ583" i="15"/>
  <c r="CQ567" i="15"/>
  <c r="CQ551" i="15"/>
  <c r="CQ535" i="15"/>
  <c r="CQ519" i="15"/>
  <c r="CQ503" i="15"/>
  <c r="CQ487" i="15"/>
  <c r="CQ471" i="15"/>
  <c r="CQ455" i="15"/>
  <c r="CQ439" i="15"/>
  <c r="CQ423" i="15"/>
  <c r="CQ407" i="15"/>
  <c r="CQ391" i="15"/>
  <c r="CQ375" i="15"/>
  <c r="CQ359" i="15"/>
  <c r="CQ343" i="15"/>
  <c r="CQ467" i="15"/>
  <c r="CQ451" i="15"/>
  <c r="CQ435" i="15"/>
  <c r="CQ419" i="15"/>
  <c r="CQ403" i="15"/>
  <c r="CQ387" i="15"/>
  <c r="CQ371" i="15"/>
  <c r="CQ355" i="15"/>
  <c r="CQ339" i="15"/>
  <c r="CQ323" i="15"/>
  <c r="CQ307" i="15"/>
  <c r="CQ291" i="15"/>
  <c r="CQ275" i="15"/>
  <c r="CQ259" i="15"/>
  <c r="CQ243" i="15"/>
  <c r="CQ227" i="15"/>
  <c r="CQ211" i="15"/>
  <c r="CQ195" i="15"/>
  <c r="CQ179" i="15"/>
  <c r="CQ163" i="15"/>
  <c r="CQ147" i="15"/>
  <c r="CQ131" i="15"/>
  <c r="CQ115" i="15"/>
  <c r="CQ99" i="15"/>
  <c r="CQ83" i="15"/>
  <c r="CQ67" i="15"/>
  <c r="CQ51" i="15"/>
  <c r="CQ35" i="15"/>
  <c r="CQ19" i="15"/>
  <c r="CQ898" i="15"/>
  <c r="CQ882" i="15"/>
  <c r="CQ866" i="15"/>
  <c r="CQ850" i="15"/>
  <c r="CQ834" i="15"/>
  <c r="CQ818" i="15"/>
  <c r="CQ802" i="15"/>
  <c r="CQ786" i="15"/>
  <c r="CQ770" i="15"/>
  <c r="CQ754" i="15"/>
  <c r="CQ738" i="15"/>
  <c r="CQ722" i="15"/>
  <c r="CQ706" i="15"/>
  <c r="CQ690" i="15"/>
  <c r="CQ674" i="15"/>
  <c r="CQ658" i="15"/>
  <c r="CQ642" i="15"/>
  <c r="CQ626" i="15"/>
  <c r="CQ610" i="15"/>
  <c r="CQ594" i="15"/>
  <c r="CQ578" i="15"/>
  <c r="CQ562" i="15"/>
  <c r="CQ546" i="15"/>
  <c r="CQ530" i="15"/>
  <c r="CQ514" i="15"/>
  <c r="CQ498" i="15"/>
  <c r="CQ482" i="15"/>
  <c r="CQ466" i="15"/>
  <c r="CQ450" i="15"/>
  <c r="CQ434" i="15"/>
  <c r="CQ418" i="15"/>
  <c r="CQ402" i="15"/>
  <c r="CQ386" i="15"/>
  <c r="CQ370" i="15"/>
  <c r="CQ354" i="15"/>
  <c r="CQ338" i="15"/>
  <c r="CQ322" i="15"/>
  <c r="CQ306" i="15"/>
  <c r="CQ290" i="15"/>
  <c r="CQ274" i="15"/>
  <c r="CQ258" i="15"/>
  <c r="CQ242" i="15"/>
  <c r="CQ226" i="15"/>
  <c r="CQ210" i="15"/>
  <c r="CQ194" i="15"/>
  <c r="CQ178" i="15"/>
  <c r="CQ162" i="15"/>
  <c r="CQ146" i="15"/>
  <c r="CQ130" i="15"/>
  <c r="CQ114" i="15"/>
  <c r="CQ98" i="15"/>
  <c r="CQ82" i="15"/>
  <c r="CQ66" i="15"/>
  <c r="CQ50" i="15"/>
  <c r="CQ34" i="15"/>
  <c r="CQ18" i="15"/>
  <c r="CQ319" i="15"/>
  <c r="CQ303" i="15"/>
  <c r="CQ287" i="15"/>
  <c r="CQ271" i="15"/>
  <c r="CQ255" i="15"/>
  <c r="CQ239" i="15"/>
  <c r="CQ223" i="15"/>
  <c r="CQ207" i="15"/>
  <c r="CQ191" i="15"/>
  <c r="CQ175" i="15"/>
  <c r="CQ159" i="15"/>
  <c r="CQ143" i="15"/>
  <c r="CQ127" i="15"/>
  <c r="CQ111" i="15"/>
  <c r="CQ95" i="15"/>
  <c r="CQ79" i="15"/>
  <c r="CQ63" i="15"/>
  <c r="CQ47" i="15"/>
  <c r="CQ31" i="15"/>
  <c r="CQ15" i="15"/>
  <c r="CQ894" i="15"/>
  <c r="CQ878" i="15"/>
  <c r="CQ862" i="15"/>
  <c r="CQ846" i="15"/>
  <c r="CQ830" i="15"/>
  <c r="CQ814" i="15"/>
  <c r="CQ798" i="15"/>
  <c r="CQ782" i="15"/>
  <c r="CQ766" i="15"/>
  <c r="CQ750" i="15"/>
  <c r="CQ734" i="15"/>
  <c r="CQ718" i="15"/>
  <c r="CQ702" i="15"/>
  <c r="CQ686" i="15"/>
  <c r="CQ670" i="15"/>
  <c r="CQ654" i="15"/>
  <c r="CQ638" i="15"/>
  <c r="CQ622" i="15"/>
  <c r="CQ606" i="15"/>
  <c r="CQ590" i="15"/>
  <c r="CQ574" i="15"/>
  <c r="CQ558" i="15"/>
  <c r="CQ542" i="15"/>
  <c r="CQ526" i="15"/>
  <c r="CQ510" i="15"/>
  <c r="CQ494" i="15"/>
  <c r="CQ478" i="15"/>
  <c r="CQ462" i="15"/>
  <c r="CQ446" i="15"/>
  <c r="CQ430" i="15"/>
  <c r="CQ414" i="15"/>
  <c r="CQ398" i="15"/>
  <c r="CQ382" i="15"/>
  <c r="CQ366" i="15"/>
  <c r="CQ350" i="15"/>
  <c r="CQ334" i="15"/>
  <c r="CQ318" i="15"/>
  <c r="CQ302" i="15"/>
  <c r="CQ286" i="15"/>
  <c r="CQ270" i="15"/>
  <c r="CQ254" i="15"/>
  <c r="CQ238" i="15"/>
  <c r="CQ222" i="15"/>
  <c r="CQ206" i="15"/>
  <c r="CQ190" i="15"/>
  <c r="CQ174" i="15"/>
  <c r="CQ158" i="15"/>
  <c r="CQ142" i="15"/>
  <c r="CQ126" i="15"/>
  <c r="CQ110" i="15"/>
  <c r="CQ94" i="15"/>
  <c r="CQ78" i="15"/>
  <c r="CQ62" i="15"/>
  <c r="CQ46" i="15"/>
  <c r="CQ30" i="15"/>
  <c r="CQ14" i="15"/>
  <c r="CQ459" i="15"/>
  <c r="CQ443" i="15"/>
  <c r="CQ427" i="15"/>
  <c r="CQ411" i="15"/>
  <c r="CQ395" i="15"/>
  <c r="CQ379" i="15"/>
  <c r="CQ363" i="15"/>
  <c r="CQ347" i="15"/>
  <c r="CQ331" i="15"/>
  <c r="CQ315" i="15"/>
  <c r="CQ299" i="15"/>
  <c r="CQ283" i="15"/>
  <c r="CQ267" i="15"/>
  <c r="CQ251" i="15"/>
  <c r="CQ235" i="15"/>
  <c r="CQ219" i="15"/>
  <c r="CQ203" i="15"/>
  <c r="CQ187" i="15"/>
  <c r="CQ171" i="15"/>
  <c r="CQ155" i="15"/>
  <c r="CQ139" i="15"/>
  <c r="CQ123" i="15"/>
  <c r="CQ107" i="15"/>
  <c r="CQ91" i="15"/>
  <c r="CQ75" i="15"/>
  <c r="CQ59" i="15"/>
  <c r="CQ43" i="15"/>
  <c r="CQ27" i="15"/>
  <c r="CQ11" i="15"/>
  <c r="CN9" i="15"/>
  <c r="CQ890" i="15"/>
  <c r="CQ874" i="15"/>
  <c r="CQ858" i="15"/>
  <c r="CQ842" i="15"/>
  <c r="CQ826" i="15"/>
  <c r="CQ810" i="15"/>
  <c r="CQ794" i="15"/>
  <c r="CQ778" i="15"/>
  <c r="CQ762" i="15"/>
  <c r="CQ746" i="15"/>
  <c r="CQ730" i="15"/>
  <c r="CQ714" i="15"/>
  <c r="CQ698" i="15"/>
  <c r="CQ682" i="15"/>
  <c r="CQ666" i="15"/>
  <c r="CQ650" i="15"/>
  <c r="CQ634" i="15"/>
  <c r="CQ618" i="15"/>
  <c r="CQ602" i="15"/>
  <c r="CQ586" i="15"/>
  <c r="CQ570" i="15"/>
  <c r="CQ554" i="15"/>
  <c r="CQ538" i="15"/>
  <c r="CQ522" i="15"/>
  <c r="CQ506" i="15"/>
  <c r="CQ490" i="15"/>
  <c r="CQ474" i="15"/>
  <c r="CQ458" i="15"/>
  <c r="CQ442" i="15"/>
  <c r="CQ426" i="15"/>
  <c r="CQ410" i="15"/>
  <c r="CQ394" i="15"/>
  <c r="CQ378" i="15"/>
  <c r="CQ362" i="15"/>
  <c r="CQ346" i="15"/>
  <c r="CQ330" i="15"/>
  <c r="CQ314" i="15"/>
  <c r="CQ298" i="15"/>
  <c r="CQ282" i="15"/>
  <c r="CQ266" i="15"/>
  <c r="CQ250" i="15"/>
  <c r="CQ234" i="15"/>
  <c r="CQ218" i="15"/>
  <c r="CQ202" i="15"/>
  <c r="CQ186" i="15"/>
  <c r="CQ170" i="15"/>
  <c r="CQ154" i="15"/>
  <c r="CQ138" i="15"/>
  <c r="CQ122" i="15"/>
  <c r="CQ106" i="15"/>
  <c r="CQ90" i="15"/>
  <c r="CQ74" i="15"/>
  <c r="CQ58" i="15"/>
  <c r="CQ42" i="15"/>
  <c r="CQ26" i="15"/>
  <c r="CQ10" i="15"/>
  <c r="CQ327" i="15"/>
  <c r="CQ311" i="15"/>
  <c r="CQ295" i="15"/>
  <c r="CQ279" i="15"/>
  <c r="CQ263" i="15"/>
  <c r="CQ247" i="15"/>
  <c r="CQ231" i="15"/>
  <c r="CQ215" i="15"/>
  <c r="CQ199" i="15"/>
  <c r="CQ183" i="15"/>
  <c r="CQ167" i="15"/>
  <c r="CQ151" i="15"/>
  <c r="CQ135" i="15"/>
  <c r="CQ119" i="15"/>
  <c r="CQ103" i="15"/>
  <c r="CQ87" i="15"/>
  <c r="CQ71" i="15"/>
  <c r="CQ55" i="15"/>
  <c r="CQ39" i="15"/>
  <c r="CQ23" i="15"/>
  <c r="CQ7" i="15"/>
  <c r="CQ886" i="15"/>
  <c r="CQ870" i="15"/>
  <c r="CQ854" i="15"/>
  <c r="CQ838" i="15"/>
  <c r="CQ822" i="15"/>
  <c r="CQ806" i="15"/>
  <c r="CQ790" i="15"/>
  <c r="CQ774" i="15"/>
  <c r="CQ758" i="15"/>
  <c r="CQ742" i="15"/>
  <c r="CQ726" i="15"/>
  <c r="CQ710" i="15"/>
  <c r="CQ694" i="15"/>
  <c r="CQ678" i="15"/>
  <c r="CQ662" i="15"/>
  <c r="CQ646" i="15"/>
  <c r="CQ630" i="15"/>
  <c r="CQ614" i="15"/>
  <c r="CQ598" i="15"/>
  <c r="CQ582" i="15"/>
  <c r="CQ566" i="15"/>
  <c r="CQ550" i="15"/>
  <c r="CQ534" i="15"/>
  <c r="CQ518" i="15"/>
  <c r="CQ502" i="15"/>
  <c r="CQ486" i="15"/>
  <c r="CQ470" i="15"/>
  <c r="CQ454" i="15"/>
  <c r="CQ438" i="15"/>
  <c r="CQ422" i="15"/>
  <c r="CQ406" i="15"/>
  <c r="CQ390" i="15"/>
  <c r="CQ374" i="15"/>
  <c r="CQ358" i="15"/>
  <c r="CQ342" i="15"/>
  <c r="CQ326" i="15"/>
  <c r="CQ310" i="15"/>
  <c r="CQ294" i="15"/>
  <c r="CQ278" i="15"/>
  <c r="CQ262" i="15"/>
  <c r="CQ246" i="15"/>
  <c r="CQ230" i="15"/>
  <c r="CQ214" i="15"/>
  <c r="CQ198" i="15"/>
  <c r="CQ182" i="15"/>
  <c r="CQ166" i="15"/>
  <c r="CQ150" i="15"/>
  <c r="CQ134" i="15"/>
  <c r="CQ118" i="15"/>
  <c r="CQ102" i="15"/>
  <c r="CQ86" i="15"/>
  <c r="CQ70" i="15"/>
  <c r="CQ54" i="15"/>
  <c r="CQ38" i="15"/>
  <c r="CQ22" i="15"/>
  <c r="CQ6" i="15"/>
  <c r="AJ464" i="1"/>
  <c r="AD296" i="1"/>
  <c r="AD295" i="1"/>
  <c r="AJ295" i="1"/>
  <c r="AJ296" i="1"/>
  <c r="CQ9" i="15" l="1"/>
  <c r="CN8" i="15"/>
  <c r="CQ8" i="15" s="1"/>
  <c r="Y5" i="1"/>
  <c r="H3" i="7"/>
  <c r="G6" i="13"/>
  <c r="AG129" i="1"/>
  <c r="N18" i="13" l="1"/>
  <c r="Z46" i="1"/>
  <c r="Z45" i="1" s="1"/>
  <c r="AA46" i="1"/>
  <c r="AA45" i="1" s="1"/>
  <c r="AB46" i="1"/>
  <c r="AB45" i="1" s="1"/>
  <c r="AC46" i="1"/>
  <c r="AC45" i="1" s="1"/>
  <c r="Y46" i="1"/>
  <c r="Y45" i="1" s="1"/>
  <c r="AA98" i="1"/>
  <c r="AC98" i="1"/>
  <c r="AC178" i="1"/>
  <c r="Z179" i="1"/>
  <c r="AF179" i="1" s="1"/>
  <c r="Y98" i="1"/>
  <c r="Y178" i="1"/>
  <c r="AA179" i="1"/>
  <c r="AG179" i="1" s="1"/>
  <c r="AB179" i="1"/>
  <c r="AH179" i="1" s="1"/>
  <c r="Z178" i="1"/>
  <c r="AC179" i="1"/>
  <c r="AI179" i="1" s="1"/>
  <c r="Z98" i="1"/>
  <c r="AB98" i="1"/>
  <c r="Y179" i="1"/>
  <c r="AA178" i="1"/>
  <c r="AB178" i="1"/>
  <c r="AC39" i="1"/>
  <c r="Z39" i="1"/>
  <c r="AB39" i="1"/>
  <c r="Y39" i="1"/>
  <c r="AA39" i="1"/>
  <c r="Z40" i="1"/>
  <c r="AF40" i="1" s="1"/>
  <c r="AB40" i="1"/>
  <c r="AH40" i="1" s="1"/>
  <c r="Y40" i="1"/>
  <c r="AA40" i="1"/>
  <c r="AG40" i="1" s="1"/>
  <c r="AC40" i="1"/>
  <c r="AI40" i="1" s="1"/>
  <c r="Z36" i="1"/>
  <c r="AF36" i="1" s="1"/>
  <c r="AC36" i="1"/>
  <c r="AI36" i="1" s="1"/>
  <c r="AA36" i="1"/>
  <c r="AG36" i="1" s="1"/>
  <c r="AB36" i="1"/>
  <c r="AH36" i="1" s="1"/>
  <c r="Y36" i="1"/>
  <c r="AE36" i="1" s="1"/>
  <c r="N34" i="1"/>
  <c r="Y34" i="1"/>
  <c r="AB34" i="1"/>
  <c r="AC34" i="1"/>
  <c r="AA34" i="1"/>
  <c r="Z34" i="1"/>
  <c r="Y61" i="1"/>
  <c r="Z73" i="1"/>
  <c r="AC73" i="1"/>
  <c r="AI73" i="1" s="1"/>
  <c r="AB73" i="1"/>
  <c r="AH73" i="1" s="1"/>
  <c r="AB120" i="1"/>
  <c r="Y73" i="1"/>
  <c r="AB61" i="1"/>
  <c r="AH61" i="1" s="1"/>
  <c r="Y120" i="1"/>
  <c r="AC61" i="1"/>
  <c r="AI61" i="1" s="1"/>
  <c r="AC49" i="1"/>
  <c r="AA73" i="1"/>
  <c r="AG73" i="1" s="1"/>
  <c r="Y27" i="1"/>
  <c r="AA27" i="1"/>
  <c r="AC27" i="1"/>
  <c r="AB49" i="1"/>
  <c r="AA120" i="1"/>
  <c r="AA49" i="1"/>
  <c r="Z61" i="1"/>
  <c r="AF61" i="1" s="1"/>
  <c r="Z49" i="1"/>
  <c r="AC120" i="1"/>
  <c r="AA61" i="1"/>
  <c r="AG61" i="1" s="1"/>
  <c r="Y49" i="1"/>
  <c r="Z120" i="1"/>
  <c r="Z27" i="1"/>
  <c r="AB27" i="1"/>
  <c r="AA62" i="1"/>
  <c r="Y117" i="1"/>
  <c r="Y50" i="1"/>
  <c r="AC74" i="1"/>
  <c r="AI74" i="1" s="1"/>
  <c r="Y126" i="1"/>
  <c r="AB62" i="1"/>
  <c r="AC131" i="1"/>
  <c r="AB74" i="1"/>
  <c r="AH74" i="1" s="1"/>
  <c r="Z135" i="1"/>
  <c r="Z134" i="1" s="1"/>
  <c r="AC62" i="1"/>
  <c r="Z117" i="1"/>
  <c r="Z131" i="1"/>
  <c r="AA50" i="1"/>
  <c r="AG50" i="1" s="1"/>
  <c r="AA74" i="1"/>
  <c r="AG74" i="1" s="1"/>
  <c r="Z126" i="1"/>
  <c r="AF126" i="1" s="1"/>
  <c r="AA135" i="1"/>
  <c r="AA134" i="1" s="1"/>
  <c r="Y131" i="1"/>
  <c r="Z74" i="1"/>
  <c r="AA126" i="1"/>
  <c r="AG126" i="1" s="1"/>
  <c r="AB135" i="1"/>
  <c r="AB134" i="1" s="1"/>
  <c r="AC117" i="1"/>
  <c r="AB117" i="1"/>
  <c r="AB131" i="1"/>
  <c r="AC50" i="1"/>
  <c r="AI50" i="1" s="1"/>
  <c r="Y74" i="1"/>
  <c r="AB126" i="1"/>
  <c r="AH126" i="1" s="1"/>
  <c r="AC135" i="1"/>
  <c r="AI135" i="1" s="1"/>
  <c r="Z50" i="1"/>
  <c r="AF50" i="1" s="1"/>
  <c r="Y62" i="1"/>
  <c r="AC126" i="1"/>
  <c r="Y135" i="1"/>
  <c r="Y134" i="1" s="1"/>
  <c r="Z62" i="1"/>
  <c r="AA117" i="1"/>
  <c r="AA131" i="1"/>
  <c r="AB50" i="1"/>
  <c r="AH50" i="1" s="1"/>
  <c r="N31" i="1"/>
  <c r="AC31" i="1"/>
  <c r="AB31" i="1"/>
  <c r="AA31" i="1"/>
  <c r="Z31" i="1"/>
  <c r="Y31" i="1"/>
  <c r="AB15" i="1"/>
  <c r="AH15" i="1" s="1"/>
  <c r="AA15" i="1"/>
  <c r="AG15" i="1" s="1"/>
  <c r="Y15" i="1"/>
  <c r="AE15" i="1" s="1"/>
  <c r="AC15" i="1"/>
  <c r="AI15" i="1" s="1"/>
  <c r="Z15" i="1"/>
  <c r="AF15" i="1" s="1"/>
  <c r="AC100" i="1"/>
  <c r="AC99" i="1" s="1"/>
  <c r="Y100" i="1"/>
  <c r="Y99" i="1" s="1"/>
  <c r="Z100" i="1"/>
  <c r="Z99" i="1" s="1"/>
  <c r="AA100" i="1"/>
  <c r="AA99" i="1" s="1"/>
  <c r="AB100" i="1"/>
  <c r="AB99" i="1" s="1"/>
  <c r="AB32" i="1"/>
  <c r="Z32" i="1"/>
  <c r="Y32" i="1"/>
  <c r="AC32" i="1"/>
  <c r="AA32" i="1"/>
  <c r="N181" i="1"/>
  <c r="AA181" i="1"/>
  <c r="AC181" i="1"/>
  <c r="Z181" i="1"/>
  <c r="Y181" i="1"/>
  <c r="Y180" i="1" s="1"/>
  <c r="AB181" i="1"/>
  <c r="AC33" i="1"/>
  <c r="Y33" i="1"/>
  <c r="AB33" i="1"/>
  <c r="Z33" i="1"/>
  <c r="AA33" i="1"/>
  <c r="Y38" i="1"/>
  <c r="Z38" i="1"/>
  <c r="AF38" i="1" s="1"/>
  <c r="AA38" i="1"/>
  <c r="AG38" i="1" s="1"/>
  <c r="AB38" i="1"/>
  <c r="AH38" i="1" s="1"/>
  <c r="AC38" i="1"/>
  <c r="AI38" i="1" s="1"/>
  <c r="AB42" i="1"/>
  <c r="Y42" i="1"/>
  <c r="AA42" i="1"/>
  <c r="AC42" i="1"/>
  <c r="Z42" i="1"/>
  <c r="AB127" i="1"/>
  <c r="Y127" i="1"/>
  <c r="AB70" i="1"/>
  <c r="AB82" i="1"/>
  <c r="Y70" i="1"/>
  <c r="AC70" i="1"/>
  <c r="Z132" i="1"/>
  <c r="AF132" i="1" s="1"/>
  <c r="AB132" i="1"/>
  <c r="AH132" i="1" s="1"/>
  <c r="AA58" i="1"/>
  <c r="AA82" i="1"/>
  <c r="Y132" i="1"/>
  <c r="Z82" i="1"/>
  <c r="AA127" i="1"/>
  <c r="Y118" i="1"/>
  <c r="AC58" i="1"/>
  <c r="Y82" i="1"/>
  <c r="Z118" i="1"/>
  <c r="Z58" i="1"/>
  <c r="AC127" i="1"/>
  <c r="AA118" i="1"/>
  <c r="AA132" i="1"/>
  <c r="AG132" i="1" s="1"/>
  <c r="AC132" i="1"/>
  <c r="AI132" i="1" s="1"/>
  <c r="Z127" i="1"/>
  <c r="Z70" i="1"/>
  <c r="AB118" i="1"/>
  <c r="AB58" i="1"/>
  <c r="AA70" i="1"/>
  <c r="AC118" i="1"/>
  <c r="Y58" i="1"/>
  <c r="AC82" i="1"/>
  <c r="AA69" i="1"/>
  <c r="AG69" i="1" s="1"/>
  <c r="Y69" i="1"/>
  <c r="AC57" i="1"/>
  <c r="AB81" i="1"/>
  <c r="AH81" i="1" s="1"/>
  <c r="AB57" i="1"/>
  <c r="Y81" i="1"/>
  <c r="AA57" i="1"/>
  <c r="Z57" i="1"/>
  <c r="AA81" i="1"/>
  <c r="AG81" i="1" s="1"/>
  <c r="AC69" i="1"/>
  <c r="AI69" i="1" s="1"/>
  <c r="AB69" i="1"/>
  <c r="AH69" i="1" s="1"/>
  <c r="Y57" i="1"/>
  <c r="Z69" i="1"/>
  <c r="AF69" i="1" s="1"/>
  <c r="AC81" i="1"/>
  <c r="AI81" i="1" s="1"/>
  <c r="Z81" i="1"/>
  <c r="AF81" i="1" s="1"/>
  <c r="Z63" i="1"/>
  <c r="AA75" i="1"/>
  <c r="AG75" i="1" s="1"/>
  <c r="AB119" i="1"/>
  <c r="AB63" i="1"/>
  <c r="Y119" i="1"/>
  <c r="AC75" i="1"/>
  <c r="AI75" i="1" s="1"/>
  <c r="AA128" i="1"/>
  <c r="Y63" i="1"/>
  <c r="Z51" i="1"/>
  <c r="AF51" i="1" s="1"/>
  <c r="AB51" i="1"/>
  <c r="AH51" i="1" s="1"/>
  <c r="Z75" i="1"/>
  <c r="AF75" i="1" s="1"/>
  <c r="AA119" i="1"/>
  <c r="AC128" i="1"/>
  <c r="AA63" i="1"/>
  <c r="AB75" i="1"/>
  <c r="AH75" i="1" s="1"/>
  <c r="Z128" i="1"/>
  <c r="AC119" i="1"/>
  <c r="Y75" i="1"/>
  <c r="Z119" i="1"/>
  <c r="AC63" i="1"/>
  <c r="Y51" i="1"/>
  <c r="AA51" i="1"/>
  <c r="AG51" i="1" s="1"/>
  <c r="AC51" i="1"/>
  <c r="AI51" i="1" s="1"/>
  <c r="Y128" i="1"/>
  <c r="AB128" i="1"/>
  <c r="AC21" i="1"/>
  <c r="AI21" i="1" s="1"/>
  <c r="Z21" i="1"/>
  <c r="AF21" i="1" s="1"/>
  <c r="AB21" i="1"/>
  <c r="AH21" i="1" s="1"/>
  <c r="Y21" i="1"/>
  <c r="AA21" i="1"/>
  <c r="AG21" i="1" s="1"/>
  <c r="AC41" i="1"/>
  <c r="AI41" i="1" s="1"/>
  <c r="AB41" i="1"/>
  <c r="AH41" i="1" s="1"/>
  <c r="AA41" i="1"/>
  <c r="AG41" i="1" s="1"/>
  <c r="Z41" i="1"/>
  <c r="AF41" i="1" s="1"/>
  <c r="Y41" i="1"/>
  <c r="Y44" i="1"/>
  <c r="AA44" i="1"/>
  <c r="AG44" i="1" s="1"/>
  <c r="AC44" i="1"/>
  <c r="AI44" i="1" s="1"/>
  <c r="Z44" i="1"/>
  <c r="AF44" i="1" s="1"/>
  <c r="AB44" i="1"/>
  <c r="AH44" i="1" s="1"/>
  <c r="AB35" i="1"/>
  <c r="AH35" i="1" s="1"/>
  <c r="AC35" i="1"/>
  <c r="AI35" i="1" s="1"/>
  <c r="AA35" i="1"/>
  <c r="AG35" i="1" s="1"/>
  <c r="Z35" i="1"/>
  <c r="Y35" i="1"/>
  <c r="AE35" i="1" s="1"/>
  <c r="Y43" i="1"/>
  <c r="AA43" i="1"/>
  <c r="AC43" i="1"/>
  <c r="Z43" i="1"/>
  <c r="AB43" i="1"/>
  <c r="Y13" i="1"/>
  <c r="AA103" i="1"/>
  <c r="AA102" i="1" s="1"/>
  <c r="AG102" i="1" s="1"/>
  <c r="Y19" i="1"/>
  <c r="AC19" i="1"/>
  <c r="Z103" i="1"/>
  <c r="Z102" i="1" s="1"/>
  <c r="AF102" i="1" s="1"/>
  <c r="Y103" i="1"/>
  <c r="Y102" i="1" s="1"/>
  <c r="Z19" i="1"/>
  <c r="AC13" i="1"/>
  <c r="AB13" i="1"/>
  <c r="AA19" i="1"/>
  <c r="AA13" i="1"/>
  <c r="AC103" i="1"/>
  <c r="AC102" i="1" s="1"/>
  <c r="AI102" i="1" s="1"/>
  <c r="Z13" i="1"/>
  <c r="AB103" i="1"/>
  <c r="AB102" i="1" s="1"/>
  <c r="AH102" i="1" s="1"/>
  <c r="AB19" i="1"/>
  <c r="N118" i="1"/>
  <c r="N127" i="1"/>
  <c r="N132" i="1"/>
  <c r="N63" i="1"/>
  <c r="N75" i="1"/>
  <c r="N119" i="1"/>
  <c r="N128" i="1"/>
  <c r="N103" i="1"/>
  <c r="N100" i="1"/>
  <c r="N38" i="1"/>
  <c r="N32" i="1"/>
  <c r="N33" i="1"/>
  <c r="N178" i="1"/>
  <c r="N179" i="1"/>
  <c r="N27" i="1"/>
  <c r="N73" i="1"/>
  <c r="N61" i="1"/>
  <c r="N126" i="1"/>
  <c r="N131" i="1"/>
  <c r="N135" i="1"/>
  <c r="N117" i="1"/>
  <c r="N74" i="1"/>
  <c r="N62" i="1"/>
  <c r="N36" i="1"/>
  <c r="N378" i="1"/>
  <c r="AH378" i="1"/>
  <c r="AI378" i="1"/>
  <c r="AG378" i="1"/>
  <c r="AF378" i="1"/>
  <c r="N42" i="1"/>
  <c r="N387" i="1"/>
  <c r="N336" i="1"/>
  <c r="AH336" i="1"/>
  <c r="AI336" i="1"/>
  <c r="AF336" i="1"/>
  <c r="AG336" i="1"/>
  <c r="N283" i="1"/>
  <c r="N122" i="1"/>
  <c r="N28" i="1"/>
  <c r="N50" i="1"/>
  <c r="N379" i="1"/>
  <c r="AG379" i="1"/>
  <c r="AH379" i="1"/>
  <c r="AF379" i="1"/>
  <c r="N344" i="1"/>
  <c r="N46" i="1"/>
  <c r="N15" i="1"/>
  <c r="N308" i="1"/>
  <c r="N424" i="1"/>
  <c r="N293" i="1"/>
  <c r="AH424" i="1"/>
  <c r="AG424" i="1"/>
  <c r="AF424" i="1"/>
  <c r="AI424" i="1"/>
  <c r="N54" i="1"/>
  <c r="N120" i="1"/>
  <c r="N412" i="1"/>
  <c r="N440" i="1"/>
  <c r="N488" i="1"/>
  <c r="N449" i="1"/>
  <c r="N294" i="1"/>
  <c r="N390" i="1"/>
  <c r="N542" i="1"/>
  <c r="N435" i="1"/>
  <c r="N539" i="1"/>
  <c r="N547" i="1"/>
  <c r="AF547" i="1"/>
  <c r="AH547" i="1"/>
  <c r="AI547" i="1"/>
  <c r="AG547" i="1"/>
  <c r="AG449" i="1"/>
  <c r="AI539" i="1"/>
  <c r="AH539" i="1"/>
  <c r="AG539" i="1"/>
  <c r="AH449" i="1"/>
  <c r="AF293" i="1"/>
  <c r="AF488" i="1"/>
  <c r="AI449" i="1"/>
  <c r="AG294" i="1"/>
  <c r="AG488" i="1"/>
  <c r="AI293" i="1"/>
  <c r="AH488" i="1"/>
  <c r="AH440" i="1"/>
  <c r="AH293" i="1"/>
  <c r="AI440" i="1"/>
  <c r="N57" i="1"/>
  <c r="N69" i="1"/>
  <c r="N81" i="1"/>
  <c r="N174" i="1"/>
  <c r="N356" i="1"/>
  <c r="N500" i="1"/>
  <c r="N512" i="1"/>
  <c r="N301" i="1"/>
  <c r="N365" i="1"/>
  <c r="N35" i="1"/>
  <c r="N394" i="1"/>
  <c r="N419" i="1"/>
  <c r="AE419" i="1"/>
  <c r="AG419" i="1"/>
  <c r="AH419" i="1"/>
  <c r="AI419" i="1"/>
  <c r="AF500" i="1"/>
  <c r="AG500" i="1"/>
  <c r="AH500" i="1"/>
  <c r="AI500" i="1"/>
  <c r="AF512" i="1"/>
  <c r="AF394" i="1"/>
  <c r="AI512" i="1"/>
  <c r="AG512" i="1"/>
  <c r="AH394" i="1"/>
  <c r="AH512" i="1"/>
  <c r="AI174" i="1"/>
  <c r="AH174" i="1"/>
  <c r="AG394" i="1"/>
  <c r="AF174" i="1"/>
  <c r="AI394" i="1"/>
  <c r="N376" i="1"/>
  <c r="N404" i="1"/>
  <c r="N416" i="1"/>
  <c r="N556" i="1"/>
  <c r="N58" i="1"/>
  <c r="N70" i="1"/>
  <c r="N82" i="1"/>
  <c r="N171" i="1"/>
  <c r="N401" i="1"/>
  <c r="N497" i="1"/>
  <c r="N509" i="1"/>
  <c r="N182" i="1"/>
  <c r="N298" i="1"/>
  <c r="N362" i="1"/>
  <c r="N554" i="1"/>
  <c r="AI404" i="1"/>
  <c r="AH404" i="1"/>
  <c r="AG404" i="1"/>
  <c r="AF404" i="1"/>
  <c r="AI182" i="1"/>
  <c r="AI376" i="1"/>
  <c r="AI556" i="1"/>
  <c r="AF556" i="1"/>
  <c r="AG556" i="1"/>
  <c r="AH556" i="1"/>
  <c r="N44" i="1"/>
  <c r="N399" i="1"/>
  <c r="N49" i="1"/>
  <c r="N39" i="1"/>
  <c r="N52" i="1"/>
  <c r="AG52" i="1"/>
  <c r="AI52" i="1"/>
  <c r="AH52" i="1"/>
  <c r="N66" i="1"/>
  <c r="N78" i="1"/>
  <c r="N95" i="1"/>
  <c r="N377" i="1"/>
  <c r="N417" i="1"/>
  <c r="N557" i="1"/>
  <c r="N172" i="1"/>
  <c r="N402" i="1"/>
  <c r="N498" i="1"/>
  <c r="N510" i="1"/>
  <c r="N183" i="1"/>
  <c r="N299" i="1"/>
  <c r="N363" i="1"/>
  <c r="N555" i="1"/>
  <c r="AI402" i="1"/>
  <c r="AG402" i="1"/>
  <c r="AH402" i="1"/>
  <c r="AE402" i="1"/>
  <c r="AF183" i="1"/>
  <c r="AG183" i="1"/>
  <c r="AH183" i="1"/>
  <c r="AI183" i="1"/>
  <c r="AH377" i="1"/>
  <c r="AF377" i="1"/>
  <c r="AI377" i="1"/>
  <c r="AG377" i="1"/>
  <c r="AF417" i="1"/>
  <c r="AI417" i="1"/>
  <c r="AG417" i="1"/>
  <c r="AH417" i="1"/>
  <c r="AF557" i="1"/>
  <c r="AG557" i="1"/>
  <c r="AG363" i="1"/>
  <c r="AE66" i="1"/>
  <c r="AG555" i="1"/>
  <c r="AH555" i="1"/>
  <c r="AH557" i="1"/>
  <c r="AH299" i="1"/>
  <c r="AF363" i="1"/>
  <c r="AH510" i="1"/>
  <c r="AI557" i="1"/>
  <c r="AG298" i="1"/>
  <c r="AI363" i="1"/>
  <c r="AG498" i="1"/>
  <c r="AG510" i="1"/>
  <c r="AI555" i="1"/>
  <c r="AI299" i="1"/>
  <c r="AF498" i="1"/>
  <c r="AF510" i="1"/>
  <c r="AH363" i="1"/>
  <c r="AI510" i="1"/>
  <c r="AF555" i="1"/>
  <c r="AF299" i="1"/>
  <c r="AH498" i="1"/>
  <c r="N43" i="1"/>
  <c r="N184" i="1"/>
  <c r="N300" i="1"/>
  <c r="N364" i="1"/>
  <c r="N59" i="1"/>
  <c r="N71" i="1"/>
  <c r="N83" i="1"/>
  <c r="N418" i="1"/>
  <c r="N558" i="1"/>
  <c r="N173" i="1"/>
  <c r="N403" i="1"/>
  <c r="N499" i="1"/>
  <c r="N511" i="1"/>
  <c r="N559" i="1"/>
  <c r="AF71" i="1"/>
  <c r="AH71" i="1"/>
  <c r="AG71" i="1"/>
  <c r="AI71" i="1"/>
  <c r="AF499" i="1"/>
  <c r="AH499" i="1"/>
  <c r="AI499" i="1"/>
  <c r="AG499" i="1"/>
  <c r="AG511" i="1"/>
  <c r="AI558" i="1"/>
  <c r="AF511" i="1"/>
  <c r="AH558" i="1"/>
  <c r="AF558" i="1"/>
  <c r="AI511" i="1"/>
  <c r="AG558" i="1"/>
  <c r="AH511" i="1"/>
  <c r="AF418" i="1"/>
  <c r="AI300" i="1"/>
  <c r="AI403" i="1"/>
  <c r="AI59" i="1"/>
  <c r="AF184" i="1"/>
  <c r="AF300" i="1"/>
  <c r="AH403" i="1"/>
  <c r="AF364" i="1"/>
  <c r="AF559" i="1"/>
  <c r="AH559" i="1"/>
  <c r="AF59" i="1"/>
  <c r="AH184" i="1"/>
  <c r="AH364" i="1"/>
  <c r="AI364" i="1"/>
  <c r="AI418" i="1"/>
  <c r="AF403" i="1"/>
  <c r="AG403" i="1"/>
  <c r="AI559" i="1"/>
  <c r="AH59" i="1"/>
  <c r="AG300" i="1"/>
  <c r="AG559" i="1"/>
  <c r="AG59" i="1"/>
  <c r="AG184" i="1"/>
  <c r="AG364" i="1"/>
  <c r="AH300" i="1"/>
  <c r="AG418" i="1"/>
  <c r="AH418" i="1"/>
  <c r="N21" i="1"/>
  <c r="N26" i="1"/>
  <c r="N47" i="1"/>
  <c r="N65" i="1"/>
  <c r="N77" i="1"/>
  <c r="N89" i="1"/>
  <c r="N273" i="1"/>
  <c r="AG77" i="1"/>
  <c r="AI77" i="1"/>
  <c r="AH65" i="1"/>
  <c r="AF77" i="1"/>
  <c r="AH77" i="1"/>
  <c r="AG273" i="1"/>
  <c r="AF273" i="1"/>
  <c r="AI273" i="1"/>
  <c r="AH273" i="1"/>
  <c r="N334" i="1"/>
  <c r="N335" i="1"/>
  <c r="AI335" i="1"/>
  <c r="AG335" i="1"/>
  <c r="AF335" i="1"/>
  <c r="AH335" i="1"/>
  <c r="N359" i="1"/>
  <c r="N569" i="1"/>
  <c r="N345" i="1"/>
  <c r="AI345" i="1"/>
  <c r="AH345" i="1"/>
  <c r="AF345" i="1"/>
  <c r="AG345" i="1"/>
  <c r="N40" i="1"/>
  <c r="N51" i="1"/>
  <c r="N41" i="1"/>
  <c r="N292" i="1"/>
  <c r="N312" i="1"/>
  <c r="N332" i="1"/>
  <c r="N448" i="1"/>
  <c r="N125" i="1"/>
  <c r="N289" i="1"/>
  <c r="N453" i="1"/>
  <c r="N13" i="1"/>
  <c r="N538" i="1"/>
  <c r="N546" i="1"/>
  <c r="N550" i="1"/>
  <c r="N19" i="1"/>
  <c r="N23" i="1"/>
  <c r="N439" i="1"/>
  <c r="N487" i="1"/>
  <c r="N491" i="1"/>
  <c r="AF23" i="1"/>
  <c r="AI23" i="1"/>
  <c r="AH23" i="1"/>
  <c r="AG23" i="1"/>
  <c r="N48" i="1"/>
  <c r="H18" i="13"/>
  <c r="AF28" i="1"/>
  <c r="AF360" i="1"/>
  <c r="AH360" i="1"/>
  <c r="AI360" i="1"/>
  <c r="AG360" i="1"/>
  <c r="AG64" i="1"/>
  <c r="AH64" i="1"/>
  <c r="AI64" i="1"/>
  <c r="AF64" i="1"/>
  <c r="AF52" i="1"/>
  <c r="AH319" i="1"/>
  <c r="AH329" i="1"/>
  <c r="AF319" i="1"/>
  <c r="AF329" i="1"/>
  <c r="AG329" i="1"/>
  <c r="AI319" i="1"/>
  <c r="AG319" i="1"/>
  <c r="AI329" i="1"/>
  <c r="AF76" i="1"/>
  <c r="AH76" i="1"/>
  <c r="AG76" i="1"/>
  <c r="AI76" i="1"/>
  <c r="AF30" i="1"/>
  <c r="AG320" i="1"/>
  <c r="AG330" i="1"/>
  <c r="AI320" i="1"/>
  <c r="AI330" i="1"/>
  <c r="AH320" i="1"/>
  <c r="AH330" i="1"/>
  <c r="AF320" i="1"/>
  <c r="AF330" i="1"/>
  <c r="AF305" i="1"/>
  <c r="AG305" i="1"/>
  <c r="AI305" i="1"/>
  <c r="AH305" i="1"/>
  <c r="AG285" i="1"/>
  <c r="AH285" i="1"/>
  <c r="AI285" i="1"/>
  <c r="AF285" i="1"/>
  <c r="AG279" i="1"/>
  <c r="AI279" i="1"/>
  <c r="AH279" i="1"/>
  <c r="AF279" i="1"/>
  <c r="AG84" i="1"/>
  <c r="AH84" i="1"/>
  <c r="AI84" i="1"/>
  <c r="AF84" i="1"/>
  <c r="AH318" i="1"/>
  <c r="AH328" i="1"/>
  <c r="AI318" i="1"/>
  <c r="AF328" i="1"/>
  <c r="AG318" i="1"/>
  <c r="AG328" i="1"/>
  <c r="AI328" i="1"/>
  <c r="AF318" i="1"/>
  <c r="AH129" i="1"/>
  <c r="H13" i="13"/>
  <c r="AE28" i="1"/>
  <c r="AE29" i="1"/>
  <c r="AG29" i="1"/>
  <c r="AI29" i="1"/>
  <c r="AF29" i="1"/>
  <c r="AH29" i="1"/>
  <c r="AH28" i="1"/>
  <c r="AF129" i="1"/>
  <c r="AE129" i="1"/>
  <c r="AI129" i="1"/>
  <c r="AE30" i="1"/>
  <c r="AG30" i="1"/>
  <c r="AI30" i="1"/>
  <c r="AH30" i="1"/>
  <c r="Y18" i="1" l="1"/>
  <c r="AG46" i="1"/>
  <c r="AG135" i="1"/>
  <c r="AH46" i="1"/>
  <c r="AF46" i="1"/>
  <c r="AF135" i="1"/>
  <c r="AH135" i="1"/>
  <c r="Z18" i="1"/>
  <c r="AF18" i="1" s="1"/>
  <c r="AA9" i="1"/>
  <c r="AG9" i="1" s="1"/>
  <c r="Z9" i="1"/>
  <c r="AF9" i="1" s="1"/>
  <c r="AB9" i="1"/>
  <c r="AH9" i="1" s="1"/>
  <c r="Y9" i="1"/>
  <c r="AC9" i="1"/>
  <c r="AI9" i="1" s="1"/>
  <c r="AI46" i="1"/>
  <c r="AA18" i="1"/>
  <c r="AG18" i="1" s="1"/>
  <c r="AA37" i="1"/>
  <c r="AG37" i="1" s="1"/>
  <c r="AC125" i="1"/>
  <c r="AI125" i="1" s="1"/>
  <c r="AH103" i="1"/>
  <c r="AB37" i="1"/>
  <c r="AH37" i="1" s="1"/>
  <c r="AB180" i="1"/>
  <c r="AB125" i="1"/>
  <c r="AH125" i="1" s="1"/>
  <c r="AB114" i="1"/>
  <c r="AB116" i="1"/>
  <c r="AB47" i="1"/>
  <c r="AB48" i="1"/>
  <c r="AB60" i="1"/>
  <c r="Z97" i="1"/>
  <c r="AF97" i="1" s="1"/>
  <c r="Z96" i="1"/>
  <c r="AF96" i="1" s="1"/>
  <c r="Z95" i="1"/>
  <c r="AC171" i="1"/>
  <c r="AC172" i="1"/>
  <c r="AC173" i="1"/>
  <c r="AB10" i="1"/>
  <c r="AB8" i="1"/>
  <c r="AB11" i="1"/>
  <c r="AB12" i="1"/>
  <c r="Y8" i="1"/>
  <c r="Y11" i="1"/>
  <c r="Y10" i="1"/>
  <c r="Y12" i="1"/>
  <c r="Z37" i="1"/>
  <c r="AF37" i="1" s="1"/>
  <c r="AC114" i="1"/>
  <c r="Y125" i="1"/>
  <c r="AE125" i="1" s="1"/>
  <c r="Y47" i="1"/>
  <c r="Y48" i="1"/>
  <c r="AC22" i="1"/>
  <c r="AC26" i="1"/>
  <c r="Y72" i="1"/>
  <c r="AC95" i="1"/>
  <c r="AC96" i="1"/>
  <c r="AI96" i="1" s="1"/>
  <c r="AC97" i="1"/>
  <c r="AI97" i="1" s="1"/>
  <c r="AC8" i="1"/>
  <c r="AC10" i="1"/>
  <c r="AC11" i="1"/>
  <c r="AC12" i="1"/>
  <c r="Y37" i="1"/>
  <c r="AE37" i="1" s="1"/>
  <c r="Z180" i="1"/>
  <c r="Z116" i="1"/>
  <c r="Z130" i="1"/>
  <c r="AF130" i="1" s="1"/>
  <c r="AA60" i="1"/>
  <c r="AA22" i="1"/>
  <c r="AA26" i="1"/>
  <c r="Z171" i="1"/>
  <c r="Z172" i="1"/>
  <c r="Z173" i="1"/>
  <c r="Z177" i="1"/>
  <c r="AA97" i="1"/>
  <c r="AG97" i="1" s="1"/>
  <c r="AA95" i="1"/>
  <c r="AA96" i="1"/>
  <c r="AG96" i="1" s="1"/>
  <c r="AB18" i="1"/>
  <c r="AH18" i="1" s="1"/>
  <c r="AC18" i="1"/>
  <c r="AI18" i="1" s="1"/>
  <c r="AC177" i="1"/>
  <c r="AC134" i="1"/>
  <c r="AI134" i="1" s="1"/>
  <c r="AC116" i="1"/>
  <c r="AC180" i="1"/>
  <c r="AA125" i="1"/>
  <c r="AG125" i="1" s="1"/>
  <c r="Z114" i="1"/>
  <c r="Y22" i="1"/>
  <c r="Y26" i="1"/>
  <c r="AB72" i="1"/>
  <c r="AG103" i="1"/>
  <c r="AI126" i="1"/>
  <c r="AA180" i="1"/>
  <c r="AA130" i="1"/>
  <c r="AG130" i="1" s="1"/>
  <c r="Y114" i="1"/>
  <c r="Y116" i="1"/>
  <c r="Z47" i="1"/>
  <c r="Z48" i="1"/>
  <c r="AA72" i="1"/>
  <c r="AC72" i="1"/>
  <c r="AB171" i="1"/>
  <c r="AB173" i="1"/>
  <c r="AB172" i="1"/>
  <c r="AB177" i="1"/>
  <c r="Z8" i="1"/>
  <c r="Z10" i="1"/>
  <c r="Z11" i="1"/>
  <c r="Z12" i="1"/>
  <c r="AA114" i="1"/>
  <c r="AA116" i="1"/>
  <c r="Y130" i="1"/>
  <c r="Z60" i="1"/>
  <c r="AC47" i="1"/>
  <c r="AC48" i="1"/>
  <c r="Z72" i="1"/>
  <c r="AA171" i="1"/>
  <c r="AA172" i="1"/>
  <c r="AA173" i="1"/>
  <c r="AA177" i="1"/>
  <c r="Y171" i="1"/>
  <c r="Y172" i="1"/>
  <c r="Y173" i="1"/>
  <c r="Y177" i="1"/>
  <c r="AE177" i="1" s="1"/>
  <c r="AC37" i="1"/>
  <c r="AI37" i="1" s="1"/>
  <c r="AB22" i="1"/>
  <c r="AB26" i="1"/>
  <c r="AA47" i="1"/>
  <c r="AA48" i="1"/>
  <c r="AC60" i="1"/>
  <c r="Y60" i="1"/>
  <c r="Y97" i="1"/>
  <c r="Y95" i="1"/>
  <c r="Y96" i="1"/>
  <c r="AA8" i="1"/>
  <c r="AA10" i="1"/>
  <c r="AA11" i="1"/>
  <c r="AA12" i="1"/>
  <c r="AB130" i="1"/>
  <c r="AH130" i="1" s="1"/>
  <c r="Z125" i="1"/>
  <c r="AC130" i="1"/>
  <c r="AI130" i="1" s="1"/>
  <c r="Z22" i="1"/>
  <c r="Z26" i="1"/>
  <c r="AB95" i="1"/>
  <c r="AB96" i="1"/>
  <c r="AH96" i="1" s="1"/>
  <c r="AB97" i="1"/>
  <c r="AH97" i="1" s="1"/>
  <c r="AI28" i="1"/>
  <c r="AG131" i="1"/>
  <c r="AE131" i="1"/>
  <c r="AD131" i="1"/>
  <c r="AG100" i="1"/>
  <c r="AG99" i="1"/>
  <c r="AF100" i="1"/>
  <c r="AF99" i="1"/>
  <c r="AF131" i="1"/>
  <c r="AI131" i="1"/>
  <c r="AH131" i="1"/>
  <c r="AE61" i="1"/>
  <c r="AD61" i="1"/>
  <c r="AH99" i="1"/>
  <c r="AH100" i="1"/>
  <c r="AE135" i="1"/>
  <c r="AD135" i="1"/>
  <c r="AD100" i="1"/>
  <c r="AE100" i="1"/>
  <c r="AE102" i="1"/>
  <c r="AD102" i="1"/>
  <c r="AE132" i="1"/>
  <c r="AD132" i="1"/>
  <c r="AI99" i="1"/>
  <c r="AI100" i="1"/>
  <c r="AE126" i="1"/>
  <c r="AD126" i="1"/>
  <c r="AG28" i="1"/>
  <c r="AI89" i="1"/>
  <c r="AI65" i="1"/>
  <c r="AG39" i="1"/>
  <c r="AG89" i="1"/>
  <c r="AG87" i="1"/>
  <c r="AH89" i="1"/>
  <c r="AH87" i="1"/>
  <c r="AF65" i="1"/>
  <c r="AF89" i="1"/>
  <c r="AF87" i="1"/>
  <c r="AG65" i="1"/>
  <c r="AH39" i="1"/>
  <c r="AF39" i="1"/>
  <c r="AE290" i="1"/>
  <c r="AI298" i="1"/>
  <c r="AG293" i="1"/>
  <c r="J13" i="13"/>
  <c r="J11" i="13"/>
  <c r="AE453" i="1"/>
  <c r="AD453" i="1"/>
  <c r="AE289" i="1"/>
  <c r="AE286" i="1"/>
  <c r="AD289" i="1"/>
  <c r="AF453" i="1"/>
  <c r="AF452" i="1"/>
  <c r="AI487" i="1"/>
  <c r="AI486" i="1"/>
  <c r="AI483" i="1"/>
  <c r="AG453" i="1"/>
  <c r="AG452" i="1"/>
  <c r="AF289" i="1"/>
  <c r="AF545" i="1"/>
  <c r="AF546" i="1"/>
  <c r="AF543" i="1"/>
  <c r="AD487" i="1"/>
  <c r="AE487" i="1"/>
  <c r="AH546" i="1"/>
  <c r="AH543" i="1"/>
  <c r="AH545" i="1"/>
  <c r="AI332" i="1"/>
  <c r="AI327" i="1"/>
  <c r="AI331" i="1"/>
  <c r="AH124" i="1"/>
  <c r="AI448" i="1"/>
  <c r="AI445" i="1"/>
  <c r="AI447" i="1"/>
  <c r="AI446" i="1"/>
  <c r="AE448" i="1"/>
  <c r="AD448" i="1"/>
  <c r="AF568" i="1"/>
  <c r="AF569" i="1"/>
  <c r="AE334" i="1"/>
  <c r="AD334" i="1"/>
  <c r="AD273" i="1"/>
  <c r="AE273" i="1"/>
  <c r="AE300" i="1"/>
  <c r="AD300" i="1"/>
  <c r="AE418" i="1"/>
  <c r="AD418" i="1"/>
  <c r="AE511" i="1"/>
  <c r="AD511" i="1"/>
  <c r="AG297" i="1"/>
  <c r="AG299" i="1"/>
  <c r="AE299" i="1"/>
  <c r="AD299" i="1"/>
  <c r="AI34" i="1"/>
  <c r="AI39" i="1"/>
  <c r="AH399" i="1"/>
  <c r="AH398" i="1"/>
  <c r="AH509" i="1"/>
  <c r="AH508" i="1"/>
  <c r="AF509" i="1"/>
  <c r="AF508" i="1"/>
  <c r="AG509" i="1"/>
  <c r="AG508" i="1"/>
  <c r="AH497" i="1"/>
  <c r="AH495" i="1"/>
  <c r="AH496" i="1"/>
  <c r="AF401" i="1"/>
  <c r="AF400" i="1"/>
  <c r="AF298" i="1"/>
  <c r="AF297" i="1"/>
  <c r="AE298" i="1"/>
  <c r="AH298" i="1"/>
  <c r="AH297" i="1"/>
  <c r="AI416" i="1"/>
  <c r="AI415" i="1"/>
  <c r="AI414" i="1"/>
  <c r="AF182" i="1"/>
  <c r="AH376" i="1"/>
  <c r="AH375" i="1"/>
  <c r="AH182" i="1"/>
  <c r="AF376" i="1"/>
  <c r="AF375" i="1"/>
  <c r="AH361" i="1"/>
  <c r="AG174" i="1"/>
  <c r="AE512" i="1"/>
  <c r="AD512" i="1"/>
  <c r="AD500" i="1"/>
  <c r="AE500" i="1"/>
  <c r="AG349" i="1"/>
  <c r="AG355" i="1"/>
  <c r="AG390" i="1"/>
  <c r="AG388" i="1"/>
  <c r="AG389" i="1"/>
  <c r="AD539" i="1"/>
  <c r="AE539" i="1"/>
  <c r="AD440" i="1"/>
  <c r="AE440" i="1"/>
  <c r="AF390" i="1"/>
  <c r="AF389" i="1"/>
  <c r="AF388" i="1"/>
  <c r="AD542" i="1"/>
  <c r="AE542" i="1"/>
  <c r="AF447" i="1"/>
  <c r="AF449" i="1"/>
  <c r="AD547" i="1"/>
  <c r="AE547" i="1"/>
  <c r="AG117" i="1"/>
  <c r="AG118" i="1"/>
  <c r="AE412" i="1"/>
  <c r="AD412" i="1"/>
  <c r="AI412" i="1"/>
  <c r="AI408" i="1"/>
  <c r="AF341" i="1"/>
  <c r="AF343" i="1"/>
  <c r="AF344" i="1"/>
  <c r="AG122" i="1"/>
  <c r="AG121" i="1"/>
  <c r="AF281" i="1"/>
  <c r="AF282" i="1"/>
  <c r="AD387" i="1"/>
  <c r="AE387" i="1"/>
  <c r="AF550" i="1"/>
  <c r="AF549" i="1"/>
  <c r="AH311" i="1"/>
  <c r="AH312" i="1"/>
  <c r="AG550" i="1"/>
  <c r="AG549" i="1"/>
  <c r="AF486" i="1"/>
  <c r="AF484" i="1"/>
  <c r="AF483" i="1"/>
  <c r="AF487" i="1"/>
  <c r="AG490" i="1"/>
  <c r="AG491" i="1"/>
  <c r="AE550" i="1"/>
  <c r="AD550" i="1"/>
  <c r="AE312" i="1"/>
  <c r="AD312" i="1"/>
  <c r="AI453" i="1"/>
  <c r="AI452" i="1"/>
  <c r="AE491" i="1"/>
  <c r="AD491" i="1"/>
  <c r="AH452" i="1"/>
  <c r="AH453" i="1"/>
  <c r="AF490" i="1"/>
  <c r="AF491" i="1"/>
  <c r="AG332" i="1"/>
  <c r="AG331" i="1"/>
  <c r="AG327" i="1"/>
  <c r="AG124" i="1"/>
  <c r="AF124" i="1"/>
  <c r="AI439" i="1"/>
  <c r="AI436" i="1"/>
  <c r="AI438" i="1"/>
  <c r="AF448" i="1"/>
  <c r="AF446" i="1"/>
  <c r="AF445" i="1"/>
  <c r="AE41" i="1"/>
  <c r="AD41" i="1"/>
  <c r="AE40" i="1"/>
  <c r="AD40" i="1"/>
  <c r="AI568" i="1"/>
  <c r="AI569" i="1"/>
  <c r="AH568" i="1"/>
  <c r="AH569" i="1"/>
  <c r="AG334" i="1"/>
  <c r="AG333" i="1"/>
  <c r="AF334" i="1"/>
  <c r="AF333" i="1"/>
  <c r="AE89" i="1"/>
  <c r="AD89" i="1"/>
  <c r="AE59" i="1"/>
  <c r="AD59" i="1"/>
  <c r="AD557" i="1"/>
  <c r="AE557" i="1"/>
  <c r="AF398" i="1"/>
  <c r="AF399" i="1"/>
  <c r="AI399" i="1"/>
  <c r="AI398" i="1"/>
  <c r="AI554" i="1"/>
  <c r="AI553" i="1"/>
  <c r="AI552" i="1"/>
  <c r="AE554" i="1"/>
  <c r="AD554" i="1"/>
  <c r="AG554" i="1"/>
  <c r="AG552" i="1"/>
  <c r="AG553" i="1"/>
  <c r="AE556" i="1"/>
  <c r="AD556" i="1"/>
  <c r="AH401" i="1"/>
  <c r="AH400" i="1"/>
  <c r="AF554" i="1"/>
  <c r="AF552" i="1"/>
  <c r="AF553" i="1"/>
  <c r="AF134" i="1"/>
  <c r="AI297" i="1"/>
  <c r="AH416" i="1"/>
  <c r="AH414" i="1"/>
  <c r="AH415" i="1"/>
  <c r="AG182" i="1"/>
  <c r="AE404" i="1"/>
  <c r="AD404" i="1"/>
  <c r="AF361" i="1"/>
  <c r="AF355" i="1"/>
  <c r="AF349" i="1"/>
  <c r="AF34" i="1"/>
  <c r="AH80" i="1"/>
  <c r="AH34" i="1"/>
  <c r="AG541" i="1"/>
  <c r="AG542" i="1"/>
  <c r="AI390" i="1"/>
  <c r="AI388" i="1"/>
  <c r="AI389" i="1"/>
  <c r="AE390" i="1"/>
  <c r="AD390" i="1"/>
  <c r="AG438" i="1"/>
  <c r="AG440" i="1"/>
  <c r="AH541" i="1"/>
  <c r="AH542" i="1"/>
  <c r="AG435" i="1"/>
  <c r="AG434" i="1"/>
  <c r="AE118" i="1"/>
  <c r="AF412" i="1"/>
  <c r="AF408" i="1"/>
  <c r="AE293" i="1"/>
  <c r="AE424" i="1"/>
  <c r="AD424" i="1"/>
  <c r="AD344" i="1"/>
  <c r="AE344" i="1"/>
  <c r="AH341" i="1"/>
  <c r="AH343" i="1"/>
  <c r="AH344" i="1"/>
  <c r="AI375" i="1"/>
  <c r="AI379" i="1"/>
  <c r="AE122" i="1"/>
  <c r="AD122" i="1"/>
  <c r="AH281" i="1"/>
  <c r="AH282" i="1"/>
  <c r="AG281" i="1"/>
  <c r="AG282" i="1"/>
  <c r="AF387" i="1"/>
  <c r="AF386" i="1"/>
  <c r="AI386" i="1"/>
  <c r="AI387" i="1"/>
  <c r="AD378" i="1"/>
  <c r="AE378" i="1"/>
  <c r="AI289" i="1"/>
  <c r="AI490" i="1"/>
  <c r="AI491" i="1"/>
  <c r="AF312" i="1"/>
  <c r="AF311" i="1"/>
  <c r="AI537" i="1"/>
  <c r="AI538" i="1"/>
  <c r="AI536" i="1"/>
  <c r="AI535" i="1"/>
  <c r="AH486" i="1"/>
  <c r="AH483" i="1"/>
  <c r="AH487" i="1"/>
  <c r="AH484" i="1"/>
  <c r="AI550" i="1"/>
  <c r="AI549" i="1"/>
  <c r="AE538" i="1"/>
  <c r="AD538" i="1"/>
  <c r="AH550" i="1"/>
  <c r="AH549" i="1"/>
  <c r="AH537" i="1"/>
  <c r="AH538" i="1"/>
  <c r="AH535" i="1"/>
  <c r="AH536" i="1"/>
  <c r="AH332" i="1"/>
  <c r="AH331" i="1"/>
  <c r="AE291" i="1"/>
  <c r="AH439" i="1"/>
  <c r="AH436" i="1"/>
  <c r="AH438" i="1"/>
  <c r="AD439" i="1"/>
  <c r="AE439" i="1"/>
  <c r="AG448" i="1"/>
  <c r="AG447" i="1"/>
  <c r="AG445" i="1"/>
  <c r="AG446" i="1"/>
  <c r="AE569" i="1"/>
  <c r="AD569" i="1"/>
  <c r="AI334" i="1"/>
  <c r="AI333" i="1"/>
  <c r="AD364" i="1"/>
  <c r="AE364" i="1"/>
  <c r="AD559" i="1"/>
  <c r="AE559" i="1"/>
  <c r="AD403" i="1"/>
  <c r="AE403" i="1"/>
  <c r="AE558" i="1"/>
  <c r="AD558" i="1"/>
  <c r="AI496" i="1"/>
  <c r="AI498" i="1"/>
  <c r="AD498" i="1"/>
  <c r="AE498" i="1"/>
  <c r="AD510" i="1"/>
  <c r="AE510" i="1"/>
  <c r="AE377" i="1"/>
  <c r="AD377" i="1"/>
  <c r="AD402" i="1"/>
  <c r="AF402" i="1"/>
  <c r="AE39" i="1"/>
  <c r="AD39" i="1"/>
  <c r="AG398" i="1"/>
  <c r="AG399" i="1"/>
  <c r="AH554" i="1"/>
  <c r="AH553" i="1"/>
  <c r="AH552" i="1"/>
  <c r="AG401" i="1"/>
  <c r="AG400" i="1"/>
  <c r="AI509" i="1"/>
  <c r="AI508" i="1"/>
  <c r="AF80" i="1"/>
  <c r="AE509" i="1"/>
  <c r="AD509" i="1"/>
  <c r="AG134" i="1"/>
  <c r="AF416" i="1"/>
  <c r="AF415" i="1"/>
  <c r="AF414" i="1"/>
  <c r="AG416" i="1"/>
  <c r="AG414" i="1"/>
  <c r="AG415" i="1"/>
  <c r="AE182" i="1"/>
  <c r="AE181" i="1"/>
  <c r="AD182" i="1"/>
  <c r="AG361" i="1"/>
  <c r="AI355" i="1"/>
  <c r="AI349" i="1"/>
  <c r="AH349" i="1"/>
  <c r="AH355" i="1"/>
  <c r="AI80" i="1"/>
  <c r="AG34" i="1"/>
  <c r="AD419" i="1"/>
  <c r="AF419" i="1"/>
  <c r="AI484" i="1"/>
  <c r="AI488" i="1"/>
  <c r="AF438" i="1"/>
  <c r="AF440" i="1"/>
  <c r="AD488" i="1"/>
  <c r="AE488" i="1"/>
  <c r="AF542" i="1"/>
  <c r="AF541" i="1"/>
  <c r="AH435" i="1"/>
  <c r="AH434" i="1"/>
  <c r="AI435" i="1"/>
  <c r="AI434" i="1"/>
  <c r="AF435" i="1"/>
  <c r="AF434" i="1"/>
  <c r="AH119" i="1"/>
  <c r="AH117" i="1"/>
  <c r="AG412" i="1"/>
  <c r="AG408" i="1"/>
  <c r="AI341" i="1"/>
  <c r="AI344" i="1"/>
  <c r="AI343" i="1"/>
  <c r="AH118" i="1"/>
  <c r="AH122" i="1"/>
  <c r="AH121" i="1"/>
  <c r="AH386" i="1"/>
  <c r="AH387" i="1"/>
  <c r="AG312" i="1"/>
  <c r="AG311" i="1"/>
  <c r="AF538" i="1"/>
  <c r="AF535" i="1"/>
  <c r="AF536" i="1"/>
  <c r="AG546" i="1"/>
  <c r="AG543" i="1"/>
  <c r="AG545" i="1"/>
  <c r="AG537" i="1"/>
  <c r="AG538" i="1"/>
  <c r="AG536" i="1"/>
  <c r="AG535" i="1"/>
  <c r="AI546" i="1"/>
  <c r="AI543" i="1"/>
  <c r="AI545" i="1"/>
  <c r="AI312" i="1"/>
  <c r="AI311" i="1"/>
  <c r="AH491" i="1"/>
  <c r="AH490" i="1"/>
  <c r="AE546" i="1"/>
  <c r="AD546" i="1"/>
  <c r="AG289" i="1"/>
  <c r="AG288" i="1"/>
  <c r="AG287" i="1"/>
  <c r="AG286" i="1"/>
  <c r="AG487" i="1"/>
  <c r="AG483" i="1"/>
  <c r="AG484" i="1"/>
  <c r="AG486" i="1"/>
  <c r="AH289" i="1"/>
  <c r="AF332" i="1"/>
  <c r="AF327" i="1"/>
  <c r="AF331" i="1"/>
  <c r="AE327" i="1"/>
  <c r="AD332" i="1"/>
  <c r="AE332" i="1"/>
  <c r="AI124" i="1"/>
  <c r="AG439" i="1"/>
  <c r="AG436" i="1"/>
  <c r="AF439" i="1"/>
  <c r="AF436" i="1"/>
  <c r="AH448" i="1"/>
  <c r="AH446" i="1"/>
  <c r="AH447" i="1"/>
  <c r="AH445" i="1"/>
  <c r="AE345" i="1"/>
  <c r="AD345" i="1"/>
  <c r="AG568" i="1"/>
  <c r="AG569" i="1"/>
  <c r="AE335" i="1"/>
  <c r="AD335" i="1"/>
  <c r="AH334" i="1"/>
  <c r="AH333" i="1"/>
  <c r="AE184" i="1"/>
  <c r="AD184" i="1"/>
  <c r="AI184" i="1"/>
  <c r="AE499" i="1"/>
  <c r="AD499" i="1"/>
  <c r="AD363" i="1"/>
  <c r="AE363" i="1"/>
  <c r="AD555" i="1"/>
  <c r="AE555" i="1"/>
  <c r="AE417" i="1"/>
  <c r="AD417" i="1"/>
  <c r="AE183" i="1"/>
  <c r="AD183" i="1"/>
  <c r="AD399" i="1"/>
  <c r="AE399" i="1"/>
  <c r="AE401" i="1"/>
  <c r="AD401" i="1"/>
  <c r="AF497" i="1"/>
  <c r="AF496" i="1"/>
  <c r="AF495" i="1"/>
  <c r="AI401" i="1"/>
  <c r="AI400" i="1"/>
  <c r="AI497" i="1"/>
  <c r="AI495" i="1"/>
  <c r="AD497" i="1"/>
  <c r="AE497" i="1"/>
  <c r="AG497" i="1"/>
  <c r="AG496" i="1"/>
  <c r="AG495" i="1"/>
  <c r="AH136" i="1"/>
  <c r="AD416" i="1"/>
  <c r="AE416" i="1"/>
  <c r="AG376" i="1"/>
  <c r="AG375" i="1"/>
  <c r="AE376" i="1"/>
  <c r="AD376" i="1"/>
  <c r="AI361" i="1"/>
  <c r="AD394" i="1"/>
  <c r="AE394" i="1"/>
  <c r="AE174" i="1"/>
  <c r="AD174" i="1"/>
  <c r="AG80" i="1"/>
  <c r="AE80" i="1"/>
  <c r="AE34" i="1"/>
  <c r="AH288" i="1"/>
  <c r="AH294" i="1"/>
  <c r="L11" i="13"/>
  <c r="AI294" i="1"/>
  <c r="AI541" i="1"/>
  <c r="AI542" i="1"/>
  <c r="AF294" i="1"/>
  <c r="AF537" i="1"/>
  <c r="AF539" i="1"/>
  <c r="AE294" i="1"/>
  <c r="AD294" i="1"/>
  <c r="AD449" i="1"/>
  <c r="AE449" i="1"/>
  <c r="AH390" i="1"/>
  <c r="AH389" i="1"/>
  <c r="AH388" i="1"/>
  <c r="AE435" i="1"/>
  <c r="AD435" i="1"/>
  <c r="AI119" i="1"/>
  <c r="AI117" i="1"/>
  <c r="AF119" i="1"/>
  <c r="AH412" i="1"/>
  <c r="AH408" i="1"/>
  <c r="AG344" i="1"/>
  <c r="AG341" i="1"/>
  <c r="AG343" i="1"/>
  <c r="AD379" i="1"/>
  <c r="AE379" i="1"/>
  <c r="AF118" i="1"/>
  <c r="AF122" i="1"/>
  <c r="AF121" i="1"/>
  <c r="AI118" i="1"/>
  <c r="AI122" i="1"/>
  <c r="AI121" i="1"/>
  <c r="AI281" i="1"/>
  <c r="AI282" i="1"/>
  <c r="AD336" i="1"/>
  <c r="AE336" i="1"/>
  <c r="AG387" i="1"/>
  <c r="AG386" i="1"/>
  <c r="AE67" i="1"/>
  <c r="AG54" i="1"/>
  <c r="AG53" i="1"/>
  <c r="AH54" i="1"/>
  <c r="AH53" i="1"/>
  <c r="AH272" i="1"/>
  <c r="AI272" i="1"/>
  <c r="AE51" i="1"/>
  <c r="AD51" i="1"/>
  <c r="AG43" i="1"/>
  <c r="AG42" i="1"/>
  <c r="AI43" i="1"/>
  <c r="AI42" i="1"/>
  <c r="AF19" i="1"/>
  <c r="AE74" i="1"/>
  <c r="AD74" i="1"/>
  <c r="AE317" i="1"/>
  <c r="AD317" i="1"/>
  <c r="AI317" i="1"/>
  <c r="AI307" i="1"/>
  <c r="AI308" i="1"/>
  <c r="AI315" i="1"/>
  <c r="AI316" i="1"/>
  <c r="AH63" i="1"/>
  <c r="AH62" i="1"/>
  <c r="AG63" i="1"/>
  <c r="AG62" i="1"/>
  <c r="AE305" i="1"/>
  <c r="AD305" i="1"/>
  <c r="AF362" i="1"/>
  <c r="AG362" i="1"/>
  <c r="AH120" i="1"/>
  <c r="AE111" i="1"/>
  <c r="AD111" i="1"/>
  <c r="AF83" i="1"/>
  <c r="AF82" i="1"/>
  <c r="AF86" i="1"/>
  <c r="AF85" i="1"/>
  <c r="AH86" i="1"/>
  <c r="AH85" i="1"/>
  <c r="AE76" i="1"/>
  <c r="AD76" i="1"/>
  <c r="AD329" i="1"/>
  <c r="AE329" i="1"/>
  <c r="AF178" i="1"/>
  <c r="AF58" i="1"/>
  <c r="AF57" i="1"/>
  <c r="AG98" i="1"/>
  <c r="AF98" i="1"/>
  <c r="AH49" i="1"/>
  <c r="AE21" i="1"/>
  <c r="AD21" i="1"/>
  <c r="AI277" i="1"/>
  <c r="AI278" i="1"/>
  <c r="AI276" i="1"/>
  <c r="AI304" i="1"/>
  <c r="AI301" i="1"/>
  <c r="AI292" i="1"/>
  <c r="AI303" i="1"/>
  <c r="AG359" i="1"/>
  <c r="AG356" i="1"/>
  <c r="AG357" i="1"/>
  <c r="AG358" i="1"/>
  <c r="AI367" i="1"/>
  <c r="AI365" i="1"/>
  <c r="AI366" i="1"/>
  <c r="AE367" i="1"/>
  <c r="AD367" i="1"/>
  <c r="AE44" i="1"/>
  <c r="AD44" i="1"/>
  <c r="AG112" i="1"/>
  <c r="AI79" i="1"/>
  <c r="AI78" i="1"/>
  <c r="AF370" i="1"/>
  <c r="AF369" i="1"/>
  <c r="AG370" i="1"/>
  <c r="AG369" i="1"/>
  <c r="AI370" i="1"/>
  <c r="AI369" i="1"/>
  <c r="AD318" i="1"/>
  <c r="AE318" i="1"/>
  <c r="AI54" i="1"/>
  <c r="AI53" i="1"/>
  <c r="AG272" i="1"/>
  <c r="AE38" i="1"/>
  <c r="AD38" i="1"/>
  <c r="AH43" i="1"/>
  <c r="AH42" i="1"/>
  <c r="AI19" i="1"/>
  <c r="AH317" i="1"/>
  <c r="AH307" i="1"/>
  <c r="AH308" i="1"/>
  <c r="AH315" i="1"/>
  <c r="AH316" i="1"/>
  <c r="AG326" i="1"/>
  <c r="AG325" i="1"/>
  <c r="AF325" i="1"/>
  <c r="AF326" i="1"/>
  <c r="AF63" i="1"/>
  <c r="AF62" i="1"/>
  <c r="AH362" i="1"/>
  <c r="AG120" i="1"/>
  <c r="AG119" i="1"/>
  <c r="AI120" i="1"/>
  <c r="AE330" i="1"/>
  <c r="AD330" i="1"/>
  <c r="AF111" i="1"/>
  <c r="AF109" i="1"/>
  <c r="AH83" i="1"/>
  <c r="AH82" i="1"/>
  <c r="AE86" i="1"/>
  <c r="AD86" i="1"/>
  <c r="AD319" i="1"/>
  <c r="AE319" i="1"/>
  <c r="AH178" i="1"/>
  <c r="AE58" i="1"/>
  <c r="AD58" i="1"/>
  <c r="AH98" i="1"/>
  <c r="AI49" i="1"/>
  <c r="AE52" i="1"/>
  <c r="AD52" i="1"/>
  <c r="AF284" i="1"/>
  <c r="AF283" i="1"/>
  <c r="AI284" i="1"/>
  <c r="AI283" i="1"/>
  <c r="AG284" i="1"/>
  <c r="AG283" i="1"/>
  <c r="AH304" i="1"/>
  <c r="AH301" i="1"/>
  <c r="AH292" i="1"/>
  <c r="AH303" i="1"/>
  <c r="AE81" i="1"/>
  <c r="AD81" i="1"/>
  <c r="AH367" i="1"/>
  <c r="AH365" i="1"/>
  <c r="AH366" i="1"/>
  <c r="AF367" i="1"/>
  <c r="AF366" i="1"/>
  <c r="AF365" i="1"/>
  <c r="AG367" i="1"/>
  <c r="AG365" i="1"/>
  <c r="AG366" i="1"/>
  <c r="AE73" i="1"/>
  <c r="AH112" i="1"/>
  <c r="AF112" i="1"/>
  <c r="AE79" i="1"/>
  <c r="AD79" i="1"/>
  <c r="AG79" i="1"/>
  <c r="AG78" i="1"/>
  <c r="AH370" i="1"/>
  <c r="AH369" i="1"/>
  <c r="AD328" i="1"/>
  <c r="AE328" i="1"/>
  <c r="AE54" i="1"/>
  <c r="AD54" i="1"/>
  <c r="AF272" i="1"/>
  <c r="AE84" i="1"/>
  <c r="AD84" i="1"/>
  <c r="AE43" i="1"/>
  <c r="AD43" i="1"/>
  <c r="AE19" i="1"/>
  <c r="AD19" i="1"/>
  <c r="AG19" i="1"/>
  <c r="AF74" i="1"/>
  <c r="AF73" i="1"/>
  <c r="AG317" i="1"/>
  <c r="AG307" i="1"/>
  <c r="AG308" i="1"/>
  <c r="AG315" i="1"/>
  <c r="AG316" i="1"/>
  <c r="AE279" i="1"/>
  <c r="AD279" i="1"/>
  <c r="AE63" i="1"/>
  <c r="AD63" i="1"/>
  <c r="AE285" i="1"/>
  <c r="AD285" i="1"/>
  <c r="AF120" i="1"/>
  <c r="AI109" i="1"/>
  <c r="AI111" i="1"/>
  <c r="AG109" i="1"/>
  <c r="AG111" i="1"/>
  <c r="AE83" i="1"/>
  <c r="AD83" i="1"/>
  <c r="AG83" i="1"/>
  <c r="AG82" i="1"/>
  <c r="AG86" i="1"/>
  <c r="AG85" i="1"/>
  <c r="AD179" i="1"/>
  <c r="AE179" i="1"/>
  <c r="AE178" i="1"/>
  <c r="AD178" i="1"/>
  <c r="AG178" i="1"/>
  <c r="AI58" i="1"/>
  <c r="AI57" i="1"/>
  <c r="AG58" i="1"/>
  <c r="AG57" i="1"/>
  <c r="AE98" i="1"/>
  <c r="AD98" i="1"/>
  <c r="AF49" i="1"/>
  <c r="AE49" i="1"/>
  <c r="AD49" i="1"/>
  <c r="AE46" i="1"/>
  <c r="AD46" i="1"/>
  <c r="AE64" i="1"/>
  <c r="AD64" i="1"/>
  <c r="AE284" i="1"/>
  <c r="AD284" i="1"/>
  <c r="AH276" i="1"/>
  <c r="AH277" i="1"/>
  <c r="AH278" i="1"/>
  <c r="AG277" i="1"/>
  <c r="AG278" i="1"/>
  <c r="AG276" i="1"/>
  <c r="AG304" i="1"/>
  <c r="AG301" i="1"/>
  <c r="AG303" i="1"/>
  <c r="AG292" i="1"/>
  <c r="AD304" i="1"/>
  <c r="AE304" i="1"/>
  <c r="AD359" i="1"/>
  <c r="AE359" i="1"/>
  <c r="AH359" i="1"/>
  <c r="AH356" i="1"/>
  <c r="AH357" i="1"/>
  <c r="AH358" i="1"/>
  <c r="AE50" i="1"/>
  <c r="AD50" i="1"/>
  <c r="AI112" i="1"/>
  <c r="AH79" i="1"/>
  <c r="AH78" i="1"/>
  <c r="AE75" i="1"/>
  <c r="AD75" i="1"/>
  <c r="AF54" i="1"/>
  <c r="AF53" i="1"/>
  <c r="AE272" i="1"/>
  <c r="AD272" i="1"/>
  <c r="AE23" i="1"/>
  <c r="AD23" i="1"/>
  <c r="AF43" i="1"/>
  <c r="AF42" i="1"/>
  <c r="AH19" i="1"/>
  <c r="AH327" i="1"/>
  <c r="AH325" i="1"/>
  <c r="AH326" i="1"/>
  <c r="AI325" i="1"/>
  <c r="AI326" i="1"/>
  <c r="AF317" i="1"/>
  <c r="AF307" i="1"/>
  <c r="AF308" i="1"/>
  <c r="AF315" i="1"/>
  <c r="AF316" i="1"/>
  <c r="AI63" i="1"/>
  <c r="AI62" i="1"/>
  <c r="AE362" i="1"/>
  <c r="AD362" i="1"/>
  <c r="AI362" i="1"/>
  <c r="AE120" i="1"/>
  <c r="AD120" i="1"/>
  <c r="AE77" i="1"/>
  <c r="AD77" i="1"/>
  <c r="AE320" i="1"/>
  <c r="AD320" i="1"/>
  <c r="AH109" i="1"/>
  <c r="AH111" i="1"/>
  <c r="AI83" i="1"/>
  <c r="AI82" i="1"/>
  <c r="AI86" i="1"/>
  <c r="AI85" i="1"/>
  <c r="AE71" i="1"/>
  <c r="AD71" i="1"/>
  <c r="AE65" i="1"/>
  <c r="AD65" i="1"/>
  <c r="AI178" i="1"/>
  <c r="AH58" i="1"/>
  <c r="AH57" i="1"/>
  <c r="AI98" i="1"/>
  <c r="AI87" i="1"/>
  <c r="AG49" i="1"/>
  <c r="AH284" i="1"/>
  <c r="AH283" i="1"/>
  <c r="AE69" i="1"/>
  <c r="AD69" i="1"/>
  <c r="AE278" i="1"/>
  <c r="AD278" i="1"/>
  <c r="AF278" i="1"/>
  <c r="AF277" i="1"/>
  <c r="AF276" i="1"/>
  <c r="AF304" i="1"/>
  <c r="AF301" i="1"/>
  <c r="AF292" i="1"/>
  <c r="AF303" i="1"/>
  <c r="AI359" i="1"/>
  <c r="AI356" i="1"/>
  <c r="AI358" i="1"/>
  <c r="AI357" i="1"/>
  <c r="AF359" i="1"/>
  <c r="AF356" i="1"/>
  <c r="AF357" i="1"/>
  <c r="AF358" i="1"/>
  <c r="AF79" i="1"/>
  <c r="AF78" i="1"/>
  <c r="AD370" i="1"/>
  <c r="AE370" i="1"/>
  <c r="AD360" i="1"/>
  <c r="AE360" i="1"/>
  <c r="AH127" i="1"/>
  <c r="AH33" i="1"/>
  <c r="AF35" i="1"/>
  <c r="AI33" i="1"/>
  <c r="AE33" i="1"/>
  <c r="AG33" i="1"/>
  <c r="AE70" i="1"/>
  <c r="AF33" i="1"/>
  <c r="AG128" i="1"/>
  <c r="AH123" i="1"/>
  <c r="AF66" i="1"/>
  <c r="AG127" i="1"/>
  <c r="AF67" i="1"/>
  <c r="AH128" i="1"/>
  <c r="AF70" i="1"/>
  <c r="AG123" i="1"/>
  <c r="AI14" i="1"/>
  <c r="AI103" i="1"/>
  <c r="I13" i="13"/>
  <c r="I12" i="13"/>
  <c r="P12" i="13"/>
  <c r="J12" i="13"/>
  <c r="AJ36" i="1"/>
  <c r="AD36" i="1"/>
  <c r="L13" i="13"/>
  <c r="AD15" i="1"/>
  <c r="AE14" i="1"/>
  <c r="AD28" i="1"/>
  <c r="AE27" i="1"/>
  <c r="AE25" i="1"/>
  <c r="K13" i="13"/>
  <c r="AD35" i="1"/>
  <c r="H12" i="13"/>
  <c r="L12" i="13"/>
  <c r="AJ30" i="1"/>
  <c r="AD30" i="1"/>
  <c r="AD129" i="1"/>
  <c r="H11" i="13"/>
  <c r="AE123" i="1"/>
  <c r="AE127" i="1"/>
  <c r="AF103" i="1"/>
  <c r="I11" i="13"/>
  <c r="K12" i="13"/>
  <c r="AJ29" i="1"/>
  <c r="AD29" i="1"/>
  <c r="AE32" i="1"/>
  <c r="CJ68" i="15" l="1"/>
  <c r="CJ9" i="15"/>
  <c r="CJ10" i="15"/>
  <c r="CJ6" i="15"/>
  <c r="CK6" i="15" s="1"/>
  <c r="CJ8" i="15"/>
  <c r="CJ46" i="15"/>
  <c r="CK46" i="15" s="1"/>
  <c r="CL46" i="15" s="1"/>
  <c r="CJ37" i="15"/>
  <c r="CK37" i="15" s="1"/>
  <c r="CL37" i="15" s="1"/>
  <c r="CJ70" i="15"/>
  <c r="CK70" i="15" s="1"/>
  <c r="CL70" i="15" s="1"/>
  <c r="CJ397" i="15"/>
  <c r="CK397" i="15" s="1"/>
  <c r="CL397" i="15" s="1"/>
  <c r="CJ11" i="15"/>
  <c r="CK11" i="15" s="1"/>
  <c r="CL11" i="15" s="1"/>
  <c r="CJ15" i="15"/>
  <c r="CK15" i="15" s="1"/>
  <c r="CL15" i="15" s="1"/>
  <c r="CJ19" i="15"/>
  <c r="CK19" i="15" s="1"/>
  <c r="CL19" i="15" s="1"/>
  <c r="CJ23" i="15"/>
  <c r="CK23" i="15" s="1"/>
  <c r="CL23" i="15" s="1"/>
  <c r="CJ27" i="15"/>
  <c r="CK27" i="15" s="1"/>
  <c r="CL27" i="15" s="1"/>
  <c r="CJ31" i="15"/>
  <c r="CK31" i="15" s="1"/>
  <c r="CL31" i="15" s="1"/>
  <c r="CJ41" i="15"/>
  <c r="CK41" i="15" s="1"/>
  <c r="CL41" i="15" s="1"/>
  <c r="CJ47" i="15"/>
  <c r="CK47" i="15" s="1"/>
  <c r="CL47" i="15" s="1"/>
  <c r="CJ51" i="15"/>
  <c r="CK51" i="15" s="1"/>
  <c r="CL51" i="15" s="1"/>
  <c r="CJ55" i="15"/>
  <c r="CK55" i="15" s="1"/>
  <c r="CL55" i="15" s="1"/>
  <c r="CJ59" i="15"/>
  <c r="CK59" i="15" s="1"/>
  <c r="CL59" i="15" s="1"/>
  <c r="CJ63" i="15"/>
  <c r="CK63" i="15" s="1"/>
  <c r="CL63" i="15" s="1"/>
  <c r="CJ73" i="15"/>
  <c r="CK73" i="15" s="1"/>
  <c r="CL73" i="15" s="1"/>
  <c r="CJ77" i="15"/>
  <c r="CK77" i="15" s="1"/>
  <c r="CL77" i="15" s="1"/>
  <c r="CJ81" i="15"/>
  <c r="CK81" i="15" s="1"/>
  <c r="CL81" i="15" s="1"/>
  <c r="CJ85" i="15"/>
  <c r="CK85" i="15" s="1"/>
  <c r="CL85" i="15" s="1"/>
  <c r="CJ91" i="15"/>
  <c r="CK91" i="15" s="1"/>
  <c r="CL91" i="15" s="1"/>
  <c r="CJ95" i="15"/>
  <c r="CK95" i="15" s="1"/>
  <c r="CL95" i="15" s="1"/>
  <c r="CJ99" i="15"/>
  <c r="CK99" i="15" s="1"/>
  <c r="CL99" i="15" s="1"/>
  <c r="CJ105" i="15"/>
  <c r="CK105" i="15" s="1"/>
  <c r="CL105" i="15" s="1"/>
  <c r="CJ109" i="15"/>
  <c r="CK109" i="15" s="1"/>
  <c r="CL109" i="15" s="1"/>
  <c r="CJ113" i="15"/>
  <c r="CK113" i="15" s="1"/>
  <c r="CL113" i="15" s="1"/>
  <c r="CJ117" i="15"/>
  <c r="CK117" i="15" s="1"/>
  <c r="CL117" i="15" s="1"/>
  <c r="CJ121" i="15"/>
  <c r="CK121" i="15" s="1"/>
  <c r="CL121" i="15" s="1"/>
  <c r="CJ125" i="15"/>
  <c r="CK125" i="15" s="1"/>
  <c r="CL125" i="15" s="1"/>
  <c r="CJ129" i="15"/>
  <c r="CK129" i="15" s="1"/>
  <c r="CL129" i="15" s="1"/>
  <c r="CJ135" i="15"/>
  <c r="CK135" i="15" s="1"/>
  <c r="CL135" i="15" s="1"/>
  <c r="CJ139" i="15"/>
  <c r="CK139" i="15" s="1"/>
  <c r="CL139" i="15" s="1"/>
  <c r="CJ143" i="15"/>
  <c r="CK143" i="15" s="1"/>
  <c r="CL143" i="15" s="1"/>
  <c r="CJ147" i="15"/>
  <c r="CK147" i="15" s="1"/>
  <c r="CL147" i="15" s="1"/>
  <c r="CJ151" i="15"/>
  <c r="CJ156" i="15"/>
  <c r="CK156" i="15" s="1"/>
  <c r="CL156" i="15" s="1"/>
  <c r="CJ160" i="15"/>
  <c r="CK160" i="15" s="1"/>
  <c r="CL160" i="15" s="1"/>
  <c r="CJ164" i="15"/>
  <c r="CK164" i="15" s="1"/>
  <c r="CL164" i="15" s="1"/>
  <c r="CJ168" i="15"/>
  <c r="CK168" i="15" s="1"/>
  <c r="CL168" i="15" s="1"/>
  <c r="CJ172" i="15"/>
  <c r="CK172" i="15" s="1"/>
  <c r="CL172" i="15" s="1"/>
  <c r="CJ178" i="15"/>
  <c r="CK178" i="15" s="1"/>
  <c r="CJ182" i="15"/>
  <c r="CK182" i="15" s="1"/>
  <c r="CL182" i="15" s="1"/>
  <c r="CJ186" i="15"/>
  <c r="CK186" i="15" s="1"/>
  <c r="CL186" i="15" s="1"/>
  <c r="CJ190" i="15"/>
  <c r="CK190" i="15" s="1"/>
  <c r="CL190" i="15" s="1"/>
  <c r="CJ194" i="15"/>
  <c r="CK194" i="15" s="1"/>
  <c r="CL194" i="15" s="1"/>
  <c r="CJ199" i="15"/>
  <c r="CJ204" i="15"/>
  <c r="CK204" i="15" s="1"/>
  <c r="CL204" i="15" s="1"/>
  <c r="CJ208" i="15"/>
  <c r="CK208" i="15" s="1"/>
  <c r="CL208" i="15" s="1"/>
  <c r="CJ212" i="15"/>
  <c r="CK212" i="15" s="1"/>
  <c r="CL212" i="15" s="1"/>
  <c r="CJ216" i="15"/>
  <c r="CK216" i="15" s="1"/>
  <c r="CL216" i="15" s="1"/>
  <c r="CJ220" i="15"/>
  <c r="CK220" i="15" s="1"/>
  <c r="CL220" i="15" s="1"/>
  <c r="CJ224" i="15"/>
  <c r="CK224" i="15" s="1"/>
  <c r="CL224" i="15" s="1"/>
  <c r="CJ229" i="15"/>
  <c r="CJ234" i="15"/>
  <c r="CK234" i="15" s="1"/>
  <c r="CL234" i="15" s="1"/>
  <c r="CJ238" i="15"/>
  <c r="CK238" i="15" s="1"/>
  <c r="CL238" i="15" s="1"/>
  <c r="CJ243" i="15"/>
  <c r="CJ248" i="15"/>
  <c r="CK248" i="15" s="1"/>
  <c r="CL248" i="15" s="1"/>
  <c r="CJ252" i="15"/>
  <c r="CK252" i="15" s="1"/>
  <c r="CL252" i="15" s="1"/>
  <c r="CJ256" i="15"/>
  <c r="CK256" i="15" s="1"/>
  <c r="CL256" i="15" s="1"/>
  <c r="CJ260" i="15"/>
  <c r="CK260" i="15" s="1"/>
  <c r="CL260" i="15" s="1"/>
  <c r="CJ266" i="15"/>
  <c r="CK266" i="15" s="1"/>
  <c r="CL266" i="15" s="1"/>
  <c r="CJ270" i="15"/>
  <c r="CK270" i="15" s="1"/>
  <c r="CL270" i="15" s="1"/>
  <c r="CJ274" i="15"/>
  <c r="CK274" i="15" s="1"/>
  <c r="CL274" i="15" s="1"/>
  <c r="CJ278" i="15"/>
  <c r="CK278" i="15" s="1"/>
  <c r="CL278" i="15" s="1"/>
  <c r="CJ287" i="15"/>
  <c r="CK287" i="15" s="1"/>
  <c r="CL287" i="15" s="1"/>
  <c r="CJ291" i="15"/>
  <c r="CK291" i="15" s="1"/>
  <c r="CL291" i="15" s="1"/>
  <c r="CJ295" i="15"/>
  <c r="CK295" i="15" s="1"/>
  <c r="CL295" i="15" s="1"/>
  <c r="CJ299" i="15"/>
  <c r="CK299" i="15" s="1"/>
  <c r="CL299" i="15" s="1"/>
  <c r="CJ303" i="15"/>
  <c r="CK303" i="15" s="1"/>
  <c r="CL303" i="15" s="1"/>
  <c r="CJ307" i="15"/>
  <c r="CK307" i="15" s="1"/>
  <c r="CL307" i="15" s="1"/>
  <c r="CJ311" i="15"/>
  <c r="CK311" i="15" s="1"/>
  <c r="CL311" i="15" s="1"/>
  <c r="CJ317" i="15"/>
  <c r="CK317" i="15" s="1"/>
  <c r="CL317" i="15" s="1"/>
  <c r="CJ321" i="15"/>
  <c r="CK321" i="15" s="1"/>
  <c r="CL321" i="15" s="1"/>
  <c r="CJ325" i="15"/>
  <c r="CK325" i="15" s="1"/>
  <c r="CL325" i="15" s="1"/>
  <c r="CJ329" i="15"/>
  <c r="CK329" i="15" s="1"/>
  <c r="CL329" i="15" s="1"/>
  <c r="CJ333" i="15"/>
  <c r="CK333" i="15" s="1"/>
  <c r="CL333" i="15" s="1"/>
  <c r="CJ337" i="15"/>
  <c r="CK337" i="15" s="1"/>
  <c r="CL337" i="15" s="1"/>
  <c r="CJ343" i="15"/>
  <c r="CK343" i="15" s="1"/>
  <c r="CL343" i="15" s="1"/>
  <c r="CJ347" i="15"/>
  <c r="CK347" i="15" s="1"/>
  <c r="CL347" i="15" s="1"/>
  <c r="CJ351" i="15"/>
  <c r="CK351" i="15" s="1"/>
  <c r="CL351" i="15" s="1"/>
  <c r="CJ355" i="15"/>
  <c r="CK355" i="15" s="1"/>
  <c r="CL355" i="15" s="1"/>
  <c r="CJ359" i="15"/>
  <c r="CK359" i="15" s="1"/>
  <c r="CL359" i="15" s="1"/>
  <c r="CJ363" i="15"/>
  <c r="CK363" i="15" s="1"/>
  <c r="CL363" i="15" s="1"/>
  <c r="CJ367" i="15"/>
  <c r="CK367" i="15" s="1"/>
  <c r="CL367" i="15" s="1"/>
  <c r="CJ371" i="15"/>
  <c r="CK371" i="15" s="1"/>
  <c r="CL371" i="15" s="1"/>
  <c r="CJ375" i="15"/>
  <c r="CK375" i="15" s="1"/>
  <c r="CL375" i="15" s="1"/>
  <c r="CJ12" i="15"/>
  <c r="CK12" i="15" s="1"/>
  <c r="CL12" i="15" s="1"/>
  <c r="CJ16" i="15"/>
  <c r="CK16" i="15" s="1"/>
  <c r="CL16" i="15" s="1"/>
  <c r="CJ20" i="15"/>
  <c r="CK20" i="15" s="1"/>
  <c r="CL20" i="15" s="1"/>
  <c r="CJ24" i="15"/>
  <c r="CK24" i="15" s="1"/>
  <c r="CL24" i="15" s="1"/>
  <c r="CJ28" i="15"/>
  <c r="CK28" i="15" s="1"/>
  <c r="CL28" i="15" s="1"/>
  <c r="CJ32" i="15"/>
  <c r="CK32" i="15" s="1"/>
  <c r="CL32" i="15" s="1"/>
  <c r="CJ38" i="15"/>
  <c r="CK38" i="15" s="1"/>
  <c r="CL38" i="15" s="1"/>
  <c r="CJ42" i="15"/>
  <c r="CK42" i="15" s="1"/>
  <c r="CL42" i="15" s="1"/>
  <c r="CJ48" i="15"/>
  <c r="CK48" i="15" s="1"/>
  <c r="CL48" i="15" s="1"/>
  <c r="CJ52" i="15"/>
  <c r="CK52" i="15" s="1"/>
  <c r="CL52" i="15" s="1"/>
  <c r="CJ56" i="15"/>
  <c r="CK56" i="15" s="1"/>
  <c r="CL56" i="15" s="1"/>
  <c r="CJ60" i="15"/>
  <c r="CK60" i="15" s="1"/>
  <c r="CL60" i="15" s="1"/>
  <c r="CJ64" i="15"/>
  <c r="CK64" i="15" s="1"/>
  <c r="CL64" i="15" s="1"/>
  <c r="CJ74" i="15"/>
  <c r="CK74" i="15" s="1"/>
  <c r="CL74" i="15" s="1"/>
  <c r="CJ78" i="15"/>
  <c r="CK78" i="15" s="1"/>
  <c r="CL78" i="15" s="1"/>
  <c r="CJ82" i="15"/>
  <c r="CK82" i="15" s="1"/>
  <c r="CL82" i="15" s="1"/>
  <c r="CJ87" i="15"/>
  <c r="CJ92" i="15"/>
  <c r="CK92" i="15" s="1"/>
  <c r="CL92" i="15" s="1"/>
  <c r="CJ96" i="15"/>
  <c r="CK96" i="15" s="1"/>
  <c r="CL96" i="15" s="1"/>
  <c r="CJ100" i="15"/>
  <c r="CK100" i="15" s="1"/>
  <c r="CL100" i="15" s="1"/>
  <c r="CJ106" i="15"/>
  <c r="CK106" i="15" s="1"/>
  <c r="CL106" i="15" s="1"/>
  <c r="CJ110" i="15"/>
  <c r="CK110" i="15" s="1"/>
  <c r="CL110" i="15" s="1"/>
  <c r="CJ114" i="15"/>
  <c r="CK114" i="15" s="1"/>
  <c r="CL114" i="15" s="1"/>
  <c r="CJ118" i="15"/>
  <c r="CK118" i="15" s="1"/>
  <c r="CL118" i="15" s="1"/>
  <c r="CJ122" i="15"/>
  <c r="CK122" i="15" s="1"/>
  <c r="CL122" i="15" s="1"/>
  <c r="CJ126" i="15"/>
  <c r="CK126" i="15" s="1"/>
  <c r="CL126" i="15" s="1"/>
  <c r="CJ131" i="15"/>
  <c r="CJ136" i="15"/>
  <c r="CK136" i="15" s="1"/>
  <c r="CL136" i="15" s="1"/>
  <c r="CJ140" i="15"/>
  <c r="CK140" i="15" s="1"/>
  <c r="CL140" i="15" s="1"/>
  <c r="CJ144" i="15"/>
  <c r="CK144" i="15" s="1"/>
  <c r="CL144" i="15" s="1"/>
  <c r="CJ148" i="15"/>
  <c r="CK148" i="15" s="1"/>
  <c r="CL148" i="15" s="1"/>
  <c r="CJ152" i="15"/>
  <c r="CJ157" i="15"/>
  <c r="CK157" i="15" s="1"/>
  <c r="CL157" i="15" s="1"/>
  <c r="CJ161" i="15"/>
  <c r="CK161" i="15" s="1"/>
  <c r="CL161" i="15" s="1"/>
  <c r="CJ165" i="15"/>
  <c r="CK165" i="15" s="1"/>
  <c r="CL165" i="15" s="1"/>
  <c r="CJ169" i="15"/>
  <c r="CK169" i="15" s="1"/>
  <c r="CL169" i="15" s="1"/>
  <c r="CJ173" i="15"/>
  <c r="CK173" i="15" s="1"/>
  <c r="CL173" i="15" s="1"/>
  <c r="CJ179" i="15"/>
  <c r="CK179" i="15" s="1"/>
  <c r="CL179" i="15" s="1"/>
  <c r="CJ183" i="15"/>
  <c r="CK183" i="15" s="1"/>
  <c r="CL183" i="15" s="1"/>
  <c r="CJ187" i="15"/>
  <c r="CK187" i="15" s="1"/>
  <c r="CL187" i="15" s="1"/>
  <c r="CJ191" i="15"/>
  <c r="CK191" i="15" s="1"/>
  <c r="CL191" i="15" s="1"/>
  <c r="CJ195" i="15"/>
  <c r="CK195" i="15" s="1"/>
  <c r="CL195" i="15" s="1"/>
  <c r="CJ201" i="15"/>
  <c r="CK201" i="15" s="1"/>
  <c r="CJ205" i="15"/>
  <c r="CK205" i="15" s="1"/>
  <c r="CL205" i="15" s="1"/>
  <c r="CJ209" i="15"/>
  <c r="CK209" i="15" s="1"/>
  <c r="CL209" i="15" s="1"/>
  <c r="CJ213" i="15"/>
  <c r="CK213" i="15" s="1"/>
  <c r="CL213" i="15" s="1"/>
  <c r="CJ217" i="15"/>
  <c r="CK217" i="15" s="1"/>
  <c r="CL217" i="15" s="1"/>
  <c r="CJ221" i="15"/>
  <c r="CK221" i="15" s="1"/>
  <c r="CL221" i="15" s="1"/>
  <c r="CJ225" i="15"/>
  <c r="CK225" i="15" s="1"/>
  <c r="CL225" i="15" s="1"/>
  <c r="CJ231" i="15"/>
  <c r="CK231" i="15" s="1"/>
  <c r="CJ235" i="15"/>
  <c r="CK235" i="15" s="1"/>
  <c r="CL235" i="15" s="1"/>
  <c r="CJ239" i="15"/>
  <c r="CK239" i="15" s="1"/>
  <c r="CL239" i="15" s="1"/>
  <c r="CJ245" i="15"/>
  <c r="CK245" i="15" s="1"/>
  <c r="CJ249" i="15"/>
  <c r="CK249" i="15" s="1"/>
  <c r="CL249" i="15" s="1"/>
  <c r="CJ253" i="15"/>
  <c r="CK253" i="15" s="1"/>
  <c r="CL253" i="15" s="1"/>
  <c r="CJ257" i="15"/>
  <c r="CK257" i="15" s="1"/>
  <c r="CL257" i="15" s="1"/>
  <c r="CJ261" i="15"/>
  <c r="CK261" i="15" s="1"/>
  <c r="CL261" i="15" s="1"/>
  <c r="CJ267" i="15"/>
  <c r="CK267" i="15" s="1"/>
  <c r="CL267" i="15" s="1"/>
  <c r="CJ271" i="15"/>
  <c r="CK271" i="15" s="1"/>
  <c r="CL271" i="15" s="1"/>
  <c r="CJ275" i="15"/>
  <c r="CK275" i="15" s="1"/>
  <c r="CL275" i="15" s="1"/>
  <c r="CJ279" i="15"/>
  <c r="CK279" i="15" s="1"/>
  <c r="CL279" i="15" s="1"/>
  <c r="CJ283" i="15"/>
  <c r="CJ288" i="15"/>
  <c r="CK288" i="15" s="1"/>
  <c r="CL288" i="15" s="1"/>
  <c r="CJ292" i="15"/>
  <c r="CK292" i="15" s="1"/>
  <c r="CL292" i="15" s="1"/>
  <c r="CJ296" i="15"/>
  <c r="CK296" i="15" s="1"/>
  <c r="CL296" i="15" s="1"/>
  <c r="CJ300" i="15"/>
  <c r="CK300" i="15" s="1"/>
  <c r="CL300" i="15" s="1"/>
  <c r="CJ304" i="15"/>
  <c r="CK304" i="15" s="1"/>
  <c r="CL304" i="15" s="1"/>
  <c r="CJ308" i="15"/>
  <c r="CK308" i="15" s="1"/>
  <c r="CL308" i="15" s="1"/>
  <c r="CJ312" i="15"/>
  <c r="CK312" i="15" s="1"/>
  <c r="CL312" i="15" s="1"/>
  <c r="CJ318" i="15"/>
  <c r="CK318" i="15" s="1"/>
  <c r="CL318" i="15" s="1"/>
  <c r="CJ322" i="15"/>
  <c r="CK322" i="15" s="1"/>
  <c r="CL322" i="15" s="1"/>
  <c r="CJ326" i="15"/>
  <c r="CK326" i="15" s="1"/>
  <c r="CL326" i="15" s="1"/>
  <c r="CJ330" i="15"/>
  <c r="CK330" i="15" s="1"/>
  <c r="CL330" i="15" s="1"/>
  <c r="CJ334" i="15"/>
  <c r="CK334" i="15" s="1"/>
  <c r="CL334" i="15" s="1"/>
  <c r="CJ338" i="15"/>
  <c r="CK338" i="15" s="1"/>
  <c r="CL338" i="15" s="1"/>
  <c r="CJ344" i="15"/>
  <c r="CK344" i="15" s="1"/>
  <c r="CL344" i="15" s="1"/>
  <c r="CJ348" i="15"/>
  <c r="CK348" i="15" s="1"/>
  <c r="CL348" i="15" s="1"/>
  <c r="CJ352" i="15"/>
  <c r="CK352" i="15" s="1"/>
  <c r="CL352" i="15" s="1"/>
  <c r="CJ356" i="15"/>
  <c r="CK356" i="15" s="1"/>
  <c r="CL356" i="15" s="1"/>
  <c r="CJ360" i="15"/>
  <c r="CK360" i="15" s="1"/>
  <c r="CL360" i="15" s="1"/>
  <c r="CJ364" i="15"/>
  <c r="CK364" i="15" s="1"/>
  <c r="CL364" i="15" s="1"/>
  <c r="CJ368" i="15"/>
  <c r="CK368" i="15" s="1"/>
  <c r="CL368" i="15" s="1"/>
  <c r="CJ372" i="15"/>
  <c r="CK372" i="15" s="1"/>
  <c r="CL372" i="15" s="1"/>
  <c r="CJ376" i="15"/>
  <c r="CK376" i="15" s="1"/>
  <c r="CL376" i="15" s="1"/>
  <c r="CJ13" i="15"/>
  <c r="CK13" i="15" s="1"/>
  <c r="CL13" i="15" s="1"/>
  <c r="CJ17" i="15"/>
  <c r="CK17" i="15" s="1"/>
  <c r="CL17" i="15" s="1"/>
  <c r="CJ21" i="15"/>
  <c r="CK21" i="15" s="1"/>
  <c r="CL21" i="15" s="1"/>
  <c r="CJ25" i="15"/>
  <c r="CK25" i="15" s="1"/>
  <c r="CL25" i="15" s="1"/>
  <c r="CJ29" i="15"/>
  <c r="CK29" i="15" s="1"/>
  <c r="CL29" i="15" s="1"/>
  <c r="CJ33" i="15"/>
  <c r="CK33" i="15" s="1"/>
  <c r="CL33" i="15" s="1"/>
  <c r="CJ39" i="15"/>
  <c r="CK39" i="15" s="1"/>
  <c r="CL39" i="15" s="1"/>
  <c r="CJ44" i="15"/>
  <c r="CJ49" i="15"/>
  <c r="CK49" i="15" s="1"/>
  <c r="CL49" i="15" s="1"/>
  <c r="CJ53" i="15"/>
  <c r="CK53" i="15" s="1"/>
  <c r="CL53" i="15" s="1"/>
  <c r="CJ57" i="15"/>
  <c r="CK57" i="15" s="1"/>
  <c r="CL57" i="15" s="1"/>
  <c r="CJ61" i="15"/>
  <c r="CK61" i="15" s="1"/>
  <c r="CL61" i="15" s="1"/>
  <c r="CJ65" i="15"/>
  <c r="CK65" i="15" s="1"/>
  <c r="CL65" i="15" s="1"/>
  <c r="CJ71" i="15"/>
  <c r="CK71" i="15" s="1"/>
  <c r="CL71" i="15" s="1"/>
  <c r="CJ75" i="15"/>
  <c r="CK75" i="15" s="1"/>
  <c r="CL75" i="15" s="1"/>
  <c r="CJ79" i="15"/>
  <c r="CK79" i="15" s="1"/>
  <c r="CL79" i="15" s="1"/>
  <c r="CJ83" i="15"/>
  <c r="CK83" i="15" s="1"/>
  <c r="CL83" i="15" s="1"/>
  <c r="CJ89" i="15"/>
  <c r="CK89" i="15" s="1"/>
  <c r="CL89" i="15" s="1"/>
  <c r="CJ93" i="15"/>
  <c r="CK93" i="15" s="1"/>
  <c r="CL93" i="15" s="1"/>
  <c r="CJ97" i="15"/>
  <c r="CK97" i="15" s="1"/>
  <c r="CL97" i="15" s="1"/>
  <c r="CJ101" i="15"/>
  <c r="CK101" i="15" s="1"/>
  <c r="CL101" i="15" s="1"/>
  <c r="CJ107" i="15"/>
  <c r="CK107" i="15" s="1"/>
  <c r="CL107" i="15" s="1"/>
  <c r="CJ111" i="15"/>
  <c r="CK111" i="15" s="1"/>
  <c r="CL111" i="15" s="1"/>
  <c r="CJ115" i="15"/>
  <c r="CK115" i="15" s="1"/>
  <c r="CL115" i="15" s="1"/>
  <c r="CJ119" i="15"/>
  <c r="CK119" i="15" s="1"/>
  <c r="CL119" i="15" s="1"/>
  <c r="CJ123" i="15"/>
  <c r="CK123" i="15" s="1"/>
  <c r="CL123" i="15" s="1"/>
  <c r="CJ127" i="15"/>
  <c r="CK127" i="15" s="1"/>
  <c r="CL127" i="15" s="1"/>
  <c r="CJ133" i="15"/>
  <c r="CK133" i="15" s="1"/>
  <c r="CL133" i="15" s="1"/>
  <c r="CJ137" i="15"/>
  <c r="CK137" i="15" s="1"/>
  <c r="CL137" i="15" s="1"/>
  <c r="CJ141" i="15"/>
  <c r="CK141" i="15" s="1"/>
  <c r="CL141" i="15" s="1"/>
  <c r="CJ145" i="15"/>
  <c r="CK145" i="15" s="1"/>
  <c r="CL145" i="15" s="1"/>
  <c r="CJ149" i="15"/>
  <c r="CK149" i="15" s="1"/>
  <c r="CL149" i="15" s="1"/>
  <c r="CJ154" i="15"/>
  <c r="CK154" i="15" s="1"/>
  <c r="CL154" i="15" s="1"/>
  <c r="CJ158" i="15"/>
  <c r="CK158" i="15" s="1"/>
  <c r="CL158" i="15" s="1"/>
  <c r="CJ162" i="15"/>
  <c r="CK162" i="15" s="1"/>
  <c r="CL162" i="15" s="1"/>
  <c r="CJ166" i="15"/>
  <c r="CK166" i="15" s="1"/>
  <c r="CL166" i="15" s="1"/>
  <c r="CJ170" i="15"/>
  <c r="CK170" i="15" s="1"/>
  <c r="CL170" i="15" s="1"/>
  <c r="CJ174" i="15"/>
  <c r="CK174" i="15" s="1"/>
  <c r="CL174" i="15" s="1"/>
  <c r="CJ180" i="15"/>
  <c r="CK180" i="15" s="1"/>
  <c r="CL180" i="15" s="1"/>
  <c r="CJ184" i="15"/>
  <c r="CK184" i="15" s="1"/>
  <c r="CL184" i="15" s="1"/>
  <c r="CJ188" i="15"/>
  <c r="CK188" i="15" s="1"/>
  <c r="CL188" i="15" s="1"/>
  <c r="CJ192" i="15"/>
  <c r="CK192" i="15" s="1"/>
  <c r="CL192" i="15" s="1"/>
  <c r="CJ196" i="15"/>
  <c r="CK196" i="15" s="1"/>
  <c r="CL196" i="15" s="1"/>
  <c r="CJ202" i="15"/>
  <c r="CK202" i="15" s="1"/>
  <c r="CL202" i="15" s="1"/>
  <c r="CJ206" i="15"/>
  <c r="CK206" i="15" s="1"/>
  <c r="CL206" i="15" s="1"/>
  <c r="CJ210" i="15"/>
  <c r="CK210" i="15" s="1"/>
  <c r="CL210" i="15" s="1"/>
  <c r="CJ214" i="15"/>
  <c r="CK214" i="15" s="1"/>
  <c r="CL214" i="15" s="1"/>
  <c r="CJ218" i="15"/>
  <c r="CK218" i="15" s="1"/>
  <c r="CL218" i="15" s="1"/>
  <c r="CJ222" i="15"/>
  <c r="CK222" i="15" s="1"/>
  <c r="CL222" i="15" s="1"/>
  <c r="CJ226" i="15"/>
  <c r="CK226" i="15" s="1"/>
  <c r="CL226" i="15" s="1"/>
  <c r="CJ232" i="15"/>
  <c r="CK232" i="15" s="1"/>
  <c r="CL232" i="15" s="1"/>
  <c r="CJ236" i="15"/>
  <c r="CK236" i="15" s="1"/>
  <c r="CL236" i="15" s="1"/>
  <c r="CJ240" i="15"/>
  <c r="CK240" i="15" s="1"/>
  <c r="CL240" i="15" s="1"/>
  <c r="CJ246" i="15"/>
  <c r="CK246" i="15" s="1"/>
  <c r="CL246" i="15" s="1"/>
  <c r="CJ250" i="15"/>
  <c r="CK250" i="15" s="1"/>
  <c r="CL250" i="15" s="1"/>
  <c r="CJ254" i="15"/>
  <c r="CK254" i="15" s="1"/>
  <c r="CL254" i="15" s="1"/>
  <c r="CJ258" i="15"/>
  <c r="CK258" i="15" s="1"/>
  <c r="CL258" i="15" s="1"/>
  <c r="CJ263" i="15"/>
  <c r="CJ268" i="15"/>
  <c r="CK268" i="15" s="1"/>
  <c r="CL268" i="15" s="1"/>
  <c r="CJ272" i="15"/>
  <c r="CK272" i="15" s="1"/>
  <c r="CL272" i="15" s="1"/>
  <c r="CJ276" i="15"/>
  <c r="CK276" i="15" s="1"/>
  <c r="CL276" i="15" s="1"/>
  <c r="CJ280" i="15"/>
  <c r="CK280" i="15" s="1"/>
  <c r="CL280" i="15" s="1"/>
  <c r="CJ284" i="15"/>
  <c r="CJ289" i="15"/>
  <c r="CK289" i="15" s="1"/>
  <c r="CL289" i="15" s="1"/>
  <c r="CJ293" i="15"/>
  <c r="CK293" i="15" s="1"/>
  <c r="CL293" i="15" s="1"/>
  <c r="CJ297" i="15"/>
  <c r="CK297" i="15" s="1"/>
  <c r="CL297" i="15" s="1"/>
  <c r="CJ301" i="15"/>
  <c r="CK301" i="15" s="1"/>
  <c r="CL301" i="15" s="1"/>
  <c r="CJ305" i="15"/>
  <c r="CK305" i="15" s="1"/>
  <c r="CL305" i="15" s="1"/>
  <c r="CJ309" i="15"/>
  <c r="CK309" i="15" s="1"/>
  <c r="CL309" i="15" s="1"/>
  <c r="CJ314" i="15"/>
  <c r="CJ319" i="15"/>
  <c r="CK319" i="15" s="1"/>
  <c r="CL319" i="15" s="1"/>
  <c r="CJ323" i="15"/>
  <c r="CK323" i="15" s="1"/>
  <c r="CL323" i="15" s="1"/>
  <c r="CJ327" i="15"/>
  <c r="CK327" i="15" s="1"/>
  <c r="CL327" i="15" s="1"/>
  <c r="CJ331" i="15"/>
  <c r="CK331" i="15" s="1"/>
  <c r="CL331" i="15" s="1"/>
  <c r="CJ335" i="15"/>
  <c r="CK335" i="15" s="1"/>
  <c r="CL335" i="15" s="1"/>
  <c r="CJ340" i="15"/>
  <c r="CJ345" i="15"/>
  <c r="CK345" i="15" s="1"/>
  <c r="CL345" i="15" s="1"/>
  <c r="CJ349" i="15"/>
  <c r="CK349" i="15" s="1"/>
  <c r="CL349" i="15" s="1"/>
  <c r="CJ353" i="15"/>
  <c r="CK353" i="15" s="1"/>
  <c r="CL353" i="15" s="1"/>
  <c r="CJ357" i="15"/>
  <c r="CK357" i="15" s="1"/>
  <c r="CL357" i="15" s="1"/>
  <c r="CJ361" i="15"/>
  <c r="CK361" i="15" s="1"/>
  <c r="CL361" i="15" s="1"/>
  <c r="CJ365" i="15"/>
  <c r="CK365" i="15" s="1"/>
  <c r="CL365" i="15" s="1"/>
  <c r="CJ369" i="15"/>
  <c r="CK369" i="15" s="1"/>
  <c r="CL369" i="15" s="1"/>
  <c r="CJ373" i="15"/>
  <c r="CK373" i="15" s="1"/>
  <c r="CL373" i="15" s="1"/>
  <c r="CJ377" i="15"/>
  <c r="CK377" i="15" s="1"/>
  <c r="CL377" i="15" s="1"/>
  <c r="CJ14" i="15"/>
  <c r="CK14" i="15" s="1"/>
  <c r="CL14" i="15" s="1"/>
  <c r="CJ30" i="15"/>
  <c r="CK30" i="15" s="1"/>
  <c r="CL30" i="15" s="1"/>
  <c r="CJ50" i="15"/>
  <c r="CK50" i="15" s="1"/>
  <c r="CL50" i="15" s="1"/>
  <c r="CJ66" i="15"/>
  <c r="CK66" i="15" s="1"/>
  <c r="CL66" i="15" s="1"/>
  <c r="CJ84" i="15"/>
  <c r="CK84" i="15" s="1"/>
  <c r="CL84" i="15" s="1"/>
  <c r="CJ103" i="15"/>
  <c r="CJ120" i="15"/>
  <c r="CK120" i="15" s="1"/>
  <c r="CL120" i="15" s="1"/>
  <c r="CJ138" i="15"/>
  <c r="CK138" i="15" s="1"/>
  <c r="CL138" i="15" s="1"/>
  <c r="CJ155" i="15"/>
  <c r="CK155" i="15" s="1"/>
  <c r="CL155" i="15" s="1"/>
  <c r="CJ171" i="15"/>
  <c r="CK171" i="15" s="1"/>
  <c r="CL171" i="15" s="1"/>
  <c r="CJ189" i="15"/>
  <c r="CK189" i="15" s="1"/>
  <c r="CL189" i="15" s="1"/>
  <c r="CJ207" i="15"/>
  <c r="CK207" i="15" s="1"/>
  <c r="CL207" i="15" s="1"/>
  <c r="CJ223" i="15"/>
  <c r="CK223" i="15" s="1"/>
  <c r="CL223" i="15" s="1"/>
  <c r="CJ241" i="15"/>
  <c r="CK241" i="15" s="1"/>
  <c r="CL241" i="15" s="1"/>
  <c r="CJ259" i="15"/>
  <c r="CK259" i="15" s="1"/>
  <c r="CL259" i="15" s="1"/>
  <c r="CJ277" i="15"/>
  <c r="CK277" i="15" s="1"/>
  <c r="CL277" i="15" s="1"/>
  <c r="CJ294" i="15"/>
  <c r="CK294" i="15" s="1"/>
  <c r="CL294" i="15" s="1"/>
  <c r="CJ310" i="15"/>
  <c r="CK310" i="15" s="1"/>
  <c r="CL310" i="15" s="1"/>
  <c r="CJ328" i="15"/>
  <c r="CK328" i="15" s="1"/>
  <c r="CL328" i="15" s="1"/>
  <c r="CJ346" i="15"/>
  <c r="CK346" i="15" s="1"/>
  <c r="CL346" i="15" s="1"/>
  <c r="CJ362" i="15"/>
  <c r="CK362" i="15" s="1"/>
  <c r="CL362" i="15" s="1"/>
  <c r="CJ378" i="15"/>
  <c r="CK378" i="15" s="1"/>
  <c r="CL378" i="15" s="1"/>
  <c r="CJ382" i="15"/>
  <c r="CK382" i="15" s="1"/>
  <c r="CL382" i="15" s="1"/>
  <c r="CJ387" i="15"/>
  <c r="CJ392" i="15"/>
  <c r="CK392" i="15" s="1"/>
  <c r="CL392" i="15" s="1"/>
  <c r="CJ395" i="15"/>
  <c r="CK395" i="15" s="1"/>
  <c r="CL395" i="15" s="1"/>
  <c r="CJ400" i="15"/>
  <c r="CK400" i="15" s="1"/>
  <c r="CL400" i="15" s="1"/>
  <c r="CJ404" i="15"/>
  <c r="CK404" i="15" s="1"/>
  <c r="CL404" i="15" s="1"/>
  <c r="CJ408" i="15"/>
  <c r="CK408" i="15" s="1"/>
  <c r="CL408" i="15" s="1"/>
  <c r="CJ412" i="15"/>
  <c r="CK412" i="15" s="1"/>
  <c r="CL412" i="15" s="1"/>
  <c r="CJ416" i="15"/>
  <c r="CK416" i="15" s="1"/>
  <c r="CL416" i="15" s="1"/>
  <c r="CJ420" i="15"/>
  <c r="CK420" i="15" s="1"/>
  <c r="CL420" i="15" s="1"/>
  <c r="CJ426" i="15"/>
  <c r="CK426" i="15" s="1"/>
  <c r="CJ430" i="15"/>
  <c r="CK430" i="15" s="1"/>
  <c r="CL430" i="15" s="1"/>
  <c r="CJ434" i="15"/>
  <c r="CK434" i="15" s="1"/>
  <c r="CL434" i="15" s="1"/>
  <c r="CJ438" i="15"/>
  <c r="CK438" i="15" s="1"/>
  <c r="CL438" i="15" s="1"/>
  <c r="CJ442" i="15"/>
  <c r="CK442" i="15" s="1"/>
  <c r="CL442" i="15" s="1"/>
  <c r="CJ446" i="15"/>
  <c r="CK446" i="15" s="1"/>
  <c r="CL446" i="15" s="1"/>
  <c r="CJ452" i="15"/>
  <c r="CK452" i="15" s="1"/>
  <c r="CL452" i="15" s="1"/>
  <c r="CJ456" i="15"/>
  <c r="CK456" i="15" s="1"/>
  <c r="CL456" i="15" s="1"/>
  <c r="CJ460" i="15"/>
  <c r="CK460" i="15" s="1"/>
  <c r="CL460" i="15" s="1"/>
  <c r="CJ464" i="15"/>
  <c r="CK464" i="15" s="1"/>
  <c r="CL464" i="15" s="1"/>
  <c r="CJ468" i="15"/>
  <c r="CK468" i="15" s="1"/>
  <c r="CL468" i="15" s="1"/>
  <c r="CJ472" i="15"/>
  <c r="CK472" i="15" s="1"/>
  <c r="CL472" i="15" s="1"/>
  <c r="CJ478" i="15"/>
  <c r="CK478" i="15" s="1"/>
  <c r="CL478" i="15" s="1"/>
  <c r="CJ482" i="15"/>
  <c r="CK482" i="15" s="1"/>
  <c r="CL482" i="15" s="1"/>
  <c r="CJ486" i="15"/>
  <c r="CK486" i="15" s="1"/>
  <c r="CL486" i="15" s="1"/>
  <c r="CJ490" i="15"/>
  <c r="CK490" i="15" s="1"/>
  <c r="CL490" i="15" s="1"/>
  <c r="CJ495" i="15"/>
  <c r="CK495" i="15" s="1"/>
  <c r="CL495" i="15" s="1"/>
  <c r="CJ499" i="15"/>
  <c r="CK499" i="15" s="1"/>
  <c r="CL499" i="15" s="1"/>
  <c r="CJ503" i="15"/>
  <c r="CK503" i="15" s="1"/>
  <c r="CL503" i="15" s="1"/>
  <c r="CJ507" i="15"/>
  <c r="CK507" i="15" s="1"/>
  <c r="CL507" i="15" s="1"/>
  <c r="CJ512" i="15"/>
  <c r="CJ517" i="15"/>
  <c r="CK517" i="15" s="1"/>
  <c r="CL517" i="15" s="1"/>
  <c r="CJ521" i="15"/>
  <c r="CK521" i="15" s="1"/>
  <c r="CL521" i="15" s="1"/>
  <c r="CJ525" i="15"/>
  <c r="CK525" i="15" s="1"/>
  <c r="CL525" i="15" s="1"/>
  <c r="CJ529" i="15"/>
  <c r="CK529" i="15" s="1"/>
  <c r="CL529" i="15" s="1"/>
  <c r="CJ533" i="15"/>
  <c r="CK533" i="15" s="1"/>
  <c r="CL533" i="15" s="1"/>
  <c r="CJ539" i="15"/>
  <c r="CK539" i="15" s="1"/>
  <c r="CL539" i="15" s="1"/>
  <c r="CJ543" i="15"/>
  <c r="CK543" i="15" s="1"/>
  <c r="CL543" i="15" s="1"/>
  <c r="CJ547" i="15"/>
  <c r="CK547" i="15" s="1"/>
  <c r="CL547" i="15" s="1"/>
  <c r="CJ552" i="15"/>
  <c r="CJ557" i="15"/>
  <c r="CK557" i="15" s="1"/>
  <c r="CL557" i="15" s="1"/>
  <c r="CJ561" i="15"/>
  <c r="CK561" i="15" s="1"/>
  <c r="CL561" i="15" s="1"/>
  <c r="CJ565" i="15"/>
  <c r="CK565" i="15" s="1"/>
  <c r="CL565" i="15" s="1"/>
  <c r="CJ569" i="15"/>
  <c r="CK569" i="15" s="1"/>
  <c r="CL569" i="15" s="1"/>
  <c r="CJ575" i="15"/>
  <c r="CK575" i="15" s="1"/>
  <c r="CL575" i="15" s="1"/>
  <c r="CJ579" i="15"/>
  <c r="CK579" i="15" s="1"/>
  <c r="CL579" i="15" s="1"/>
  <c r="CJ583" i="15"/>
  <c r="CK583" i="15" s="1"/>
  <c r="CL583" i="15" s="1"/>
  <c r="CJ587" i="15"/>
  <c r="CK587" i="15" s="1"/>
  <c r="CL587" i="15" s="1"/>
  <c r="CJ591" i="15"/>
  <c r="CK591" i="15" s="1"/>
  <c r="CL591" i="15" s="1"/>
  <c r="CJ595" i="15"/>
  <c r="CK595" i="15" s="1"/>
  <c r="CL595" i="15" s="1"/>
  <c r="CJ599" i="15"/>
  <c r="CK599" i="15" s="1"/>
  <c r="CL599" i="15" s="1"/>
  <c r="CJ603" i="15"/>
  <c r="CJ608" i="15"/>
  <c r="CK608" i="15" s="1"/>
  <c r="CL608" i="15" s="1"/>
  <c r="CJ612" i="15"/>
  <c r="CK612" i="15" s="1"/>
  <c r="CL612" i="15" s="1"/>
  <c r="CJ616" i="15"/>
  <c r="CK616" i="15" s="1"/>
  <c r="CL616" i="15" s="1"/>
  <c r="CJ620" i="15"/>
  <c r="CK620" i="15" s="1"/>
  <c r="CL620" i="15" s="1"/>
  <c r="CJ624" i="15"/>
  <c r="CK624" i="15" s="1"/>
  <c r="CL624" i="15" s="1"/>
  <c r="CJ628" i="15"/>
  <c r="CK628" i="15" s="1"/>
  <c r="CL628" i="15" s="1"/>
  <c r="CJ632" i="15"/>
  <c r="CK632" i="15" s="1"/>
  <c r="CL632" i="15" s="1"/>
  <c r="CJ637" i="15"/>
  <c r="CJ642" i="15"/>
  <c r="CK642" i="15" s="1"/>
  <c r="CL642" i="15" s="1"/>
  <c r="CJ646" i="15"/>
  <c r="CK646" i="15" s="1"/>
  <c r="CL646" i="15" s="1"/>
  <c r="CJ652" i="15"/>
  <c r="CK652" i="15" s="1"/>
  <c r="CL652" i="15" s="1"/>
  <c r="CJ656" i="15"/>
  <c r="CK656" i="15" s="1"/>
  <c r="CL656" i="15" s="1"/>
  <c r="CJ660" i="15"/>
  <c r="CK660" i="15" s="1"/>
  <c r="CL660" i="15" s="1"/>
  <c r="CJ664" i="15"/>
  <c r="CK664" i="15" s="1"/>
  <c r="CL664" i="15" s="1"/>
  <c r="CJ669" i="15"/>
  <c r="CJ674" i="15"/>
  <c r="CK674" i="15" s="1"/>
  <c r="CL674" i="15" s="1"/>
  <c r="CJ678" i="15"/>
  <c r="CK678" i="15" s="1"/>
  <c r="CL678" i="15" s="1"/>
  <c r="CJ682" i="15"/>
  <c r="CK682" i="15" s="1"/>
  <c r="CL682" i="15" s="1"/>
  <c r="CJ686" i="15"/>
  <c r="CK686" i="15" s="1"/>
  <c r="CL686" i="15" s="1"/>
  <c r="CJ690" i="15"/>
  <c r="CK690" i="15" s="1"/>
  <c r="CL690" i="15" s="1"/>
  <c r="CJ694" i="15"/>
  <c r="CK694" i="15" s="1"/>
  <c r="CL694" i="15" s="1"/>
  <c r="CJ700" i="15"/>
  <c r="CK700" i="15" s="1"/>
  <c r="CL700" i="15" s="1"/>
  <c r="CJ704" i="15"/>
  <c r="CK704" i="15" s="1"/>
  <c r="CL704" i="15" s="1"/>
  <c r="CJ708" i="15"/>
  <c r="CK708" i="15" s="1"/>
  <c r="CL708" i="15" s="1"/>
  <c r="CJ712" i="15"/>
  <c r="CK712" i="15" s="1"/>
  <c r="CL712" i="15" s="1"/>
  <c r="CJ716" i="15"/>
  <c r="CK716" i="15" s="1"/>
  <c r="CL716" i="15" s="1"/>
  <c r="CJ722" i="15"/>
  <c r="CK722" i="15" s="1"/>
  <c r="CL722" i="15" s="1"/>
  <c r="CJ726" i="15"/>
  <c r="CK726" i="15" s="1"/>
  <c r="CL726" i="15" s="1"/>
  <c r="CJ730" i="15"/>
  <c r="CK730" i="15" s="1"/>
  <c r="CL730" i="15" s="1"/>
  <c r="CJ734" i="15"/>
  <c r="CK734" i="15" s="1"/>
  <c r="CL734" i="15" s="1"/>
  <c r="CJ738" i="15"/>
  <c r="CK738" i="15" s="1"/>
  <c r="CL738" i="15" s="1"/>
  <c r="CJ742" i="15"/>
  <c r="CK742" i="15" s="1"/>
  <c r="CL742" i="15" s="1"/>
  <c r="CJ747" i="15"/>
  <c r="CK747" i="15" s="1"/>
  <c r="CJ751" i="15"/>
  <c r="CK751" i="15" s="1"/>
  <c r="CL751" i="15" s="1"/>
  <c r="CJ755" i="15"/>
  <c r="CK755" i="15" s="1"/>
  <c r="CL755" i="15" s="1"/>
  <c r="CJ759" i="15"/>
  <c r="CK759" i="15" s="1"/>
  <c r="CL759" i="15" s="1"/>
  <c r="CJ764" i="15"/>
  <c r="CJ769" i="15"/>
  <c r="CK769" i="15" s="1"/>
  <c r="CL769" i="15" s="1"/>
  <c r="CJ773" i="15"/>
  <c r="CK773" i="15" s="1"/>
  <c r="CL773" i="15" s="1"/>
  <c r="CJ777" i="15"/>
  <c r="CK777" i="15" s="1"/>
  <c r="CL777" i="15" s="1"/>
  <c r="CJ781" i="15"/>
  <c r="CK781" i="15" s="1"/>
  <c r="CL781" i="15" s="1"/>
  <c r="CJ785" i="15"/>
  <c r="CK785" i="15" s="1"/>
  <c r="CL785" i="15" s="1"/>
  <c r="CJ791" i="15"/>
  <c r="CK791" i="15" s="1"/>
  <c r="CL791" i="15" s="1"/>
  <c r="CJ795" i="15"/>
  <c r="CK795" i="15" s="1"/>
  <c r="CL795" i="15" s="1"/>
  <c r="CJ799" i="15"/>
  <c r="CK799" i="15" s="1"/>
  <c r="CL799" i="15" s="1"/>
  <c r="CJ803" i="15"/>
  <c r="CK803" i="15" s="1"/>
  <c r="CL803" i="15" s="1"/>
  <c r="CJ807" i="15"/>
  <c r="CK807" i="15" s="1"/>
  <c r="CL807" i="15" s="1"/>
  <c r="CJ813" i="15"/>
  <c r="CK813" i="15" s="1"/>
  <c r="CL813" i="15" s="1"/>
  <c r="CJ817" i="15"/>
  <c r="CK817" i="15" s="1"/>
  <c r="CL817" i="15" s="1"/>
  <c r="CJ821" i="15"/>
  <c r="CK821" i="15" s="1"/>
  <c r="CL821" i="15" s="1"/>
  <c r="CJ825" i="15"/>
  <c r="CK825" i="15" s="1"/>
  <c r="CL825" i="15" s="1"/>
  <c r="CJ829" i="15"/>
  <c r="CK829" i="15" s="1"/>
  <c r="CL829" i="15" s="1"/>
  <c r="CJ835" i="15"/>
  <c r="CK835" i="15" s="1"/>
  <c r="CL835" i="15" s="1"/>
  <c r="CJ839" i="15"/>
  <c r="CK839" i="15" s="1"/>
  <c r="CL839" i="15" s="1"/>
  <c r="CJ843" i="15"/>
  <c r="CK843" i="15" s="1"/>
  <c r="CL843" i="15" s="1"/>
  <c r="CJ847" i="15"/>
  <c r="CK847" i="15" s="1"/>
  <c r="CL847" i="15" s="1"/>
  <c r="CJ851" i="15"/>
  <c r="CK851" i="15" s="1"/>
  <c r="CL851" i="15" s="1"/>
  <c r="CJ855" i="15"/>
  <c r="CK855" i="15" s="1"/>
  <c r="CL855" i="15" s="1"/>
  <c r="CJ859" i="15"/>
  <c r="CK859" i="15" s="1"/>
  <c r="CL859" i="15" s="1"/>
  <c r="CJ864" i="15"/>
  <c r="CJ869" i="15"/>
  <c r="CK869" i="15" s="1"/>
  <c r="CL869" i="15" s="1"/>
  <c r="CJ873" i="15"/>
  <c r="CK873" i="15" s="1"/>
  <c r="CL873" i="15" s="1"/>
  <c r="CJ877" i="15"/>
  <c r="CK877" i="15" s="1"/>
  <c r="CL877" i="15" s="1"/>
  <c r="CJ881" i="15"/>
  <c r="CK881" i="15" s="1"/>
  <c r="CL881" i="15" s="1"/>
  <c r="CJ885" i="15"/>
  <c r="CK885" i="15" s="1"/>
  <c r="CL885" i="15" s="1"/>
  <c r="CJ889" i="15"/>
  <c r="CK889" i="15" s="1"/>
  <c r="CL889" i="15" s="1"/>
  <c r="CJ893" i="15"/>
  <c r="CK893" i="15" s="1"/>
  <c r="CL893" i="15" s="1"/>
  <c r="CJ897" i="15"/>
  <c r="CK897" i="15" s="1"/>
  <c r="CL897" i="15" s="1"/>
  <c r="CJ40" i="15"/>
  <c r="CK40" i="15" s="1"/>
  <c r="CL40" i="15" s="1"/>
  <c r="CJ269" i="15"/>
  <c r="CK269" i="15" s="1"/>
  <c r="CL269" i="15" s="1"/>
  <c r="CJ320" i="15"/>
  <c r="CK320" i="15" s="1"/>
  <c r="CL320" i="15" s="1"/>
  <c r="CJ354" i="15"/>
  <c r="CK354" i="15" s="1"/>
  <c r="CL354" i="15" s="1"/>
  <c r="CJ380" i="15"/>
  <c r="CK380" i="15" s="1"/>
  <c r="CL380" i="15" s="1"/>
  <c r="CJ390" i="15"/>
  <c r="CK390" i="15" s="1"/>
  <c r="CL390" i="15" s="1"/>
  <c r="CJ398" i="15"/>
  <c r="CK398" i="15" s="1"/>
  <c r="CL398" i="15" s="1"/>
  <c r="CJ406" i="15"/>
  <c r="CK406" i="15" s="1"/>
  <c r="CL406" i="15" s="1"/>
  <c r="CJ414" i="15"/>
  <c r="CK414" i="15" s="1"/>
  <c r="CL414" i="15" s="1"/>
  <c r="CJ422" i="15"/>
  <c r="CK422" i="15" s="1"/>
  <c r="CL422" i="15" s="1"/>
  <c r="CJ432" i="15"/>
  <c r="CK432" i="15" s="1"/>
  <c r="CL432" i="15" s="1"/>
  <c r="CJ440" i="15"/>
  <c r="CK440" i="15" s="1"/>
  <c r="CL440" i="15" s="1"/>
  <c r="CJ450" i="15"/>
  <c r="CK450" i="15" s="1"/>
  <c r="CJ458" i="15"/>
  <c r="CK458" i="15" s="1"/>
  <c r="CL458" i="15" s="1"/>
  <c r="CJ466" i="15"/>
  <c r="CK466" i="15" s="1"/>
  <c r="CL466" i="15" s="1"/>
  <c r="CJ476" i="15"/>
  <c r="CK476" i="15" s="1"/>
  <c r="CJ18" i="15"/>
  <c r="CK18" i="15" s="1"/>
  <c r="CL18" i="15" s="1"/>
  <c r="CJ35" i="15"/>
  <c r="CJ54" i="15"/>
  <c r="CK54" i="15" s="1"/>
  <c r="CL54" i="15" s="1"/>
  <c r="CJ72" i="15"/>
  <c r="CK72" i="15" s="1"/>
  <c r="CL72" i="15" s="1"/>
  <c r="CJ90" i="15"/>
  <c r="CK90" i="15" s="1"/>
  <c r="CL90" i="15" s="1"/>
  <c r="CJ108" i="15"/>
  <c r="CK108" i="15" s="1"/>
  <c r="CL108" i="15" s="1"/>
  <c r="CJ124" i="15"/>
  <c r="CK124" i="15" s="1"/>
  <c r="CL124" i="15" s="1"/>
  <c r="CJ142" i="15"/>
  <c r="CK142" i="15" s="1"/>
  <c r="CL142" i="15" s="1"/>
  <c r="CJ159" i="15"/>
  <c r="CK159" i="15" s="1"/>
  <c r="CL159" i="15" s="1"/>
  <c r="CJ176" i="15"/>
  <c r="CJ193" i="15"/>
  <c r="CK193" i="15" s="1"/>
  <c r="CL193" i="15" s="1"/>
  <c r="CJ211" i="15"/>
  <c r="CK211" i="15" s="1"/>
  <c r="CL211" i="15" s="1"/>
  <c r="CJ227" i="15"/>
  <c r="CK227" i="15" s="1"/>
  <c r="CL227" i="15" s="1"/>
  <c r="CJ247" i="15"/>
  <c r="CK247" i="15" s="1"/>
  <c r="CL247" i="15" s="1"/>
  <c r="CJ265" i="15"/>
  <c r="CK265" i="15" s="1"/>
  <c r="CJ281" i="15"/>
  <c r="CK281" i="15" s="1"/>
  <c r="CL281" i="15" s="1"/>
  <c r="CJ298" i="15"/>
  <c r="CK298" i="15" s="1"/>
  <c r="CL298" i="15" s="1"/>
  <c r="CJ316" i="15"/>
  <c r="CK316" i="15" s="1"/>
  <c r="CL316" i="15" s="1"/>
  <c r="CJ332" i="15"/>
  <c r="CK332" i="15" s="1"/>
  <c r="CL332" i="15" s="1"/>
  <c r="CJ350" i="15"/>
  <c r="CK350" i="15" s="1"/>
  <c r="CL350" i="15" s="1"/>
  <c r="CJ366" i="15"/>
  <c r="CK366" i="15" s="1"/>
  <c r="CL366" i="15" s="1"/>
  <c r="CJ379" i="15"/>
  <c r="CK379" i="15" s="1"/>
  <c r="CL379" i="15" s="1"/>
  <c r="CJ383" i="15"/>
  <c r="CK383" i="15" s="1"/>
  <c r="CL383" i="15" s="1"/>
  <c r="CJ389" i="15"/>
  <c r="CK389" i="15" s="1"/>
  <c r="CJ393" i="15"/>
  <c r="CK393" i="15" s="1"/>
  <c r="CL393" i="15" s="1"/>
  <c r="CJ396" i="15"/>
  <c r="CK396" i="15" s="1"/>
  <c r="CL396" i="15" s="1"/>
  <c r="CJ401" i="15"/>
  <c r="CK401" i="15" s="1"/>
  <c r="CL401" i="15" s="1"/>
  <c r="CJ405" i="15"/>
  <c r="CK405" i="15" s="1"/>
  <c r="CL405" i="15" s="1"/>
  <c r="CJ409" i="15"/>
  <c r="CK409" i="15" s="1"/>
  <c r="CL409" i="15" s="1"/>
  <c r="CJ413" i="15"/>
  <c r="CK413" i="15" s="1"/>
  <c r="CL413" i="15" s="1"/>
  <c r="CJ417" i="15"/>
  <c r="CK417" i="15" s="1"/>
  <c r="CL417" i="15" s="1"/>
  <c r="CJ421" i="15"/>
  <c r="CK421" i="15" s="1"/>
  <c r="CL421" i="15" s="1"/>
  <c r="CJ427" i="15"/>
  <c r="CK427" i="15" s="1"/>
  <c r="CL427" i="15" s="1"/>
  <c r="CJ431" i="15"/>
  <c r="CK431" i="15" s="1"/>
  <c r="CL431" i="15" s="1"/>
  <c r="CJ435" i="15"/>
  <c r="CK435" i="15" s="1"/>
  <c r="CL435" i="15" s="1"/>
  <c r="CJ439" i="15"/>
  <c r="CK439" i="15" s="1"/>
  <c r="CL439" i="15" s="1"/>
  <c r="CJ443" i="15"/>
  <c r="CK443" i="15" s="1"/>
  <c r="CL443" i="15" s="1"/>
  <c r="CJ448" i="15"/>
  <c r="CJ453" i="15"/>
  <c r="CK453" i="15" s="1"/>
  <c r="CL453" i="15" s="1"/>
  <c r="CJ457" i="15"/>
  <c r="CK457" i="15" s="1"/>
  <c r="CL457" i="15" s="1"/>
  <c r="CJ461" i="15"/>
  <c r="CK461" i="15" s="1"/>
  <c r="CL461" i="15" s="1"/>
  <c r="CJ465" i="15"/>
  <c r="CK465" i="15" s="1"/>
  <c r="CL465" i="15" s="1"/>
  <c r="CJ469" i="15"/>
  <c r="CK469" i="15" s="1"/>
  <c r="CL469" i="15" s="1"/>
  <c r="CJ474" i="15"/>
  <c r="CJ479" i="15"/>
  <c r="CK479" i="15" s="1"/>
  <c r="CL479" i="15" s="1"/>
  <c r="CJ483" i="15"/>
  <c r="CK483" i="15" s="1"/>
  <c r="CL483" i="15" s="1"/>
  <c r="CJ487" i="15"/>
  <c r="CK487" i="15" s="1"/>
  <c r="CL487" i="15" s="1"/>
  <c r="CJ491" i="15"/>
  <c r="CJ496" i="15"/>
  <c r="CK496" i="15" s="1"/>
  <c r="CL496" i="15" s="1"/>
  <c r="CJ500" i="15"/>
  <c r="CK500" i="15" s="1"/>
  <c r="CL500" i="15" s="1"/>
  <c r="CJ504" i="15"/>
  <c r="CK504" i="15" s="1"/>
  <c r="CL504" i="15" s="1"/>
  <c r="CJ508" i="15"/>
  <c r="CK508" i="15" s="1"/>
  <c r="CL508" i="15" s="1"/>
  <c r="CJ514" i="15"/>
  <c r="CK514" i="15" s="1"/>
  <c r="CJ518" i="15"/>
  <c r="CK518" i="15" s="1"/>
  <c r="CL518" i="15" s="1"/>
  <c r="CJ522" i="15"/>
  <c r="CK522" i="15" s="1"/>
  <c r="CL522" i="15" s="1"/>
  <c r="CJ526" i="15"/>
  <c r="CK526" i="15" s="1"/>
  <c r="CL526" i="15" s="1"/>
  <c r="CJ530" i="15"/>
  <c r="CK530" i="15" s="1"/>
  <c r="CL530" i="15" s="1"/>
  <c r="CJ534" i="15"/>
  <c r="CK534" i="15" s="1"/>
  <c r="CL534" i="15" s="1"/>
  <c r="CJ540" i="15"/>
  <c r="CK540" i="15" s="1"/>
  <c r="CL540" i="15" s="1"/>
  <c r="CJ544" i="15"/>
  <c r="CK544" i="15" s="1"/>
  <c r="CL544" i="15" s="1"/>
  <c r="CJ548" i="15"/>
  <c r="CK548" i="15" s="1"/>
  <c r="CL548" i="15" s="1"/>
  <c r="CJ554" i="15"/>
  <c r="CK554" i="15" s="1"/>
  <c r="CJ558" i="15"/>
  <c r="CK558" i="15" s="1"/>
  <c r="CL558" i="15" s="1"/>
  <c r="CJ562" i="15"/>
  <c r="CK562" i="15" s="1"/>
  <c r="CL562" i="15" s="1"/>
  <c r="CJ566" i="15"/>
  <c r="CK566" i="15" s="1"/>
  <c r="CL566" i="15" s="1"/>
  <c r="CJ570" i="15"/>
  <c r="CK570" i="15" s="1"/>
  <c r="CL570" i="15" s="1"/>
  <c r="CJ576" i="15"/>
  <c r="CK576" i="15" s="1"/>
  <c r="CL576" i="15" s="1"/>
  <c r="CJ580" i="15"/>
  <c r="CK580" i="15" s="1"/>
  <c r="CL580" i="15" s="1"/>
  <c r="CJ584" i="15"/>
  <c r="CK584" i="15" s="1"/>
  <c r="CL584" i="15" s="1"/>
  <c r="CJ588" i="15"/>
  <c r="CK588" i="15" s="1"/>
  <c r="CL588" i="15" s="1"/>
  <c r="CJ592" i="15"/>
  <c r="CK592" i="15" s="1"/>
  <c r="CL592" i="15" s="1"/>
  <c r="CJ596" i="15"/>
  <c r="CK596" i="15" s="1"/>
  <c r="CL596" i="15" s="1"/>
  <c r="CJ600" i="15"/>
  <c r="CK600" i="15" s="1"/>
  <c r="CL600" i="15" s="1"/>
  <c r="CJ605" i="15"/>
  <c r="CK605" i="15" s="1"/>
  <c r="CJ609" i="15"/>
  <c r="CK609" i="15" s="1"/>
  <c r="CL609" i="15" s="1"/>
  <c r="CJ613" i="15"/>
  <c r="CK613" i="15" s="1"/>
  <c r="CL613" i="15" s="1"/>
  <c r="CJ617" i="15"/>
  <c r="CK617" i="15" s="1"/>
  <c r="CL617" i="15" s="1"/>
  <c r="CJ621" i="15"/>
  <c r="CK621" i="15" s="1"/>
  <c r="CL621" i="15" s="1"/>
  <c r="CJ625" i="15"/>
  <c r="CK625" i="15" s="1"/>
  <c r="CL625" i="15" s="1"/>
  <c r="CJ629" i="15"/>
  <c r="CK629" i="15" s="1"/>
  <c r="CL629" i="15" s="1"/>
  <c r="CJ633" i="15"/>
  <c r="CK633" i="15" s="1"/>
  <c r="CL633" i="15" s="1"/>
  <c r="CJ639" i="15"/>
  <c r="CK639" i="15" s="1"/>
  <c r="CJ643" i="15"/>
  <c r="CK643" i="15" s="1"/>
  <c r="CL643" i="15" s="1"/>
  <c r="CJ648" i="15"/>
  <c r="CJ653" i="15"/>
  <c r="CK653" i="15" s="1"/>
  <c r="CL653" i="15" s="1"/>
  <c r="CJ657" i="15"/>
  <c r="CK657" i="15" s="1"/>
  <c r="CL657" i="15" s="1"/>
  <c r="CJ661" i="15"/>
  <c r="CK661" i="15" s="1"/>
  <c r="CL661" i="15" s="1"/>
  <c r="CJ665" i="15"/>
  <c r="CK665" i="15" s="1"/>
  <c r="CL665" i="15" s="1"/>
  <c r="CJ671" i="15"/>
  <c r="CK671" i="15" s="1"/>
  <c r="CJ675" i="15"/>
  <c r="CK675" i="15" s="1"/>
  <c r="CL675" i="15" s="1"/>
  <c r="CJ679" i="15"/>
  <c r="CK679" i="15" s="1"/>
  <c r="CL679" i="15" s="1"/>
  <c r="CJ683" i="15"/>
  <c r="CK683" i="15" s="1"/>
  <c r="CL683" i="15" s="1"/>
  <c r="CJ687" i="15"/>
  <c r="CK687" i="15" s="1"/>
  <c r="CL687" i="15" s="1"/>
  <c r="CJ691" i="15"/>
  <c r="CK691" i="15" s="1"/>
  <c r="CL691" i="15" s="1"/>
  <c r="CJ695" i="15"/>
  <c r="CK695" i="15" s="1"/>
  <c r="CL695" i="15" s="1"/>
  <c r="CJ701" i="15"/>
  <c r="CK701" i="15" s="1"/>
  <c r="CL701" i="15" s="1"/>
  <c r="CJ705" i="15"/>
  <c r="CK705" i="15" s="1"/>
  <c r="CL705" i="15" s="1"/>
  <c r="CJ709" i="15"/>
  <c r="CK709" i="15" s="1"/>
  <c r="CL709" i="15" s="1"/>
  <c r="CJ713" i="15"/>
  <c r="CK713" i="15" s="1"/>
  <c r="CL713" i="15" s="1"/>
  <c r="CJ718" i="15"/>
  <c r="CJ723" i="15"/>
  <c r="CK723" i="15" s="1"/>
  <c r="CL723" i="15" s="1"/>
  <c r="CJ727" i="15"/>
  <c r="CK727" i="15" s="1"/>
  <c r="CL727" i="15" s="1"/>
  <c r="CJ731" i="15"/>
  <c r="CK731" i="15" s="1"/>
  <c r="CL731" i="15" s="1"/>
  <c r="CJ735" i="15"/>
  <c r="CK735" i="15" s="1"/>
  <c r="CL735" i="15" s="1"/>
  <c r="CJ739" i="15"/>
  <c r="CK739" i="15" s="1"/>
  <c r="CL739" i="15" s="1"/>
  <c r="CJ748" i="15"/>
  <c r="CK748" i="15" s="1"/>
  <c r="CL748" i="15" s="1"/>
  <c r="CJ752" i="15"/>
  <c r="CK752" i="15" s="1"/>
  <c r="CL752" i="15" s="1"/>
  <c r="CJ756" i="15"/>
  <c r="CK756" i="15" s="1"/>
  <c r="CL756" i="15" s="1"/>
  <c r="CJ760" i="15"/>
  <c r="CK760" i="15" s="1"/>
  <c r="CL760" i="15" s="1"/>
  <c r="CJ766" i="15"/>
  <c r="CK766" i="15" s="1"/>
  <c r="CJ770" i="15"/>
  <c r="CK770" i="15" s="1"/>
  <c r="CL770" i="15" s="1"/>
  <c r="CJ774" i="15"/>
  <c r="CK774" i="15" s="1"/>
  <c r="CL774" i="15" s="1"/>
  <c r="CJ778" i="15"/>
  <c r="CK778" i="15" s="1"/>
  <c r="CL778" i="15" s="1"/>
  <c r="CJ782" i="15"/>
  <c r="CK782" i="15" s="1"/>
  <c r="CL782" i="15" s="1"/>
  <c r="CJ787" i="15"/>
  <c r="CJ792" i="15"/>
  <c r="CK792" i="15" s="1"/>
  <c r="CL792" i="15" s="1"/>
  <c r="CJ796" i="15"/>
  <c r="CK796" i="15" s="1"/>
  <c r="CL796" i="15" s="1"/>
  <c r="CJ800" i="15"/>
  <c r="CK800" i="15" s="1"/>
  <c r="CL800" i="15" s="1"/>
  <c r="CJ804" i="15"/>
  <c r="CK804" i="15" s="1"/>
  <c r="CL804" i="15" s="1"/>
  <c r="CJ808" i="15"/>
  <c r="CK808" i="15" s="1"/>
  <c r="CL808" i="15" s="1"/>
  <c r="CJ814" i="15"/>
  <c r="CK814" i="15" s="1"/>
  <c r="CL814" i="15" s="1"/>
  <c r="CJ818" i="15"/>
  <c r="CK818" i="15" s="1"/>
  <c r="CL818" i="15" s="1"/>
  <c r="CJ822" i="15"/>
  <c r="CK822" i="15" s="1"/>
  <c r="CL822" i="15" s="1"/>
  <c r="CJ826" i="15"/>
  <c r="CK826" i="15" s="1"/>
  <c r="CL826" i="15" s="1"/>
  <c r="CJ831" i="15"/>
  <c r="CJ836" i="15"/>
  <c r="CK836" i="15" s="1"/>
  <c r="CL836" i="15" s="1"/>
  <c r="CJ840" i="15"/>
  <c r="CK840" i="15" s="1"/>
  <c r="CL840" i="15" s="1"/>
  <c r="CJ844" i="15"/>
  <c r="CK844" i="15" s="1"/>
  <c r="CL844" i="15" s="1"/>
  <c r="CJ848" i="15"/>
  <c r="CK848" i="15" s="1"/>
  <c r="CL848" i="15" s="1"/>
  <c r="CJ852" i="15"/>
  <c r="CK852" i="15" s="1"/>
  <c r="CL852" i="15" s="1"/>
  <c r="CJ856" i="15"/>
  <c r="CK856" i="15" s="1"/>
  <c r="CL856" i="15" s="1"/>
  <c r="CJ860" i="15"/>
  <c r="CK860" i="15" s="1"/>
  <c r="CL860" i="15" s="1"/>
  <c r="CJ866" i="15"/>
  <c r="CK866" i="15" s="1"/>
  <c r="CJ870" i="15"/>
  <c r="CK870" i="15" s="1"/>
  <c r="CL870" i="15" s="1"/>
  <c r="CJ874" i="15"/>
  <c r="CK874" i="15" s="1"/>
  <c r="CL874" i="15" s="1"/>
  <c r="CJ878" i="15"/>
  <c r="CK878" i="15" s="1"/>
  <c r="CL878" i="15" s="1"/>
  <c r="CJ882" i="15"/>
  <c r="CK882" i="15" s="1"/>
  <c r="CL882" i="15" s="1"/>
  <c r="CJ886" i="15"/>
  <c r="CK886" i="15" s="1"/>
  <c r="CL886" i="15" s="1"/>
  <c r="CJ890" i="15"/>
  <c r="CK890" i="15" s="1"/>
  <c r="CL890" i="15" s="1"/>
  <c r="CJ894" i="15"/>
  <c r="CK894" i="15" s="1"/>
  <c r="CL894" i="15" s="1"/>
  <c r="CJ898" i="15"/>
  <c r="CK898" i="15" s="1"/>
  <c r="CL898" i="15" s="1"/>
  <c r="CJ22" i="15"/>
  <c r="CK22" i="15" s="1"/>
  <c r="CL22" i="15" s="1"/>
  <c r="CJ58" i="15"/>
  <c r="CK58" i="15" s="1"/>
  <c r="CL58" i="15" s="1"/>
  <c r="CJ76" i="15"/>
  <c r="CK76" i="15" s="1"/>
  <c r="CL76" i="15" s="1"/>
  <c r="CJ94" i="15"/>
  <c r="CK94" i="15" s="1"/>
  <c r="CL94" i="15" s="1"/>
  <c r="CJ112" i="15"/>
  <c r="CK112" i="15" s="1"/>
  <c r="CL112" i="15" s="1"/>
  <c r="CJ128" i="15"/>
  <c r="CK128" i="15" s="1"/>
  <c r="CL128" i="15" s="1"/>
  <c r="CJ146" i="15"/>
  <c r="CK146" i="15" s="1"/>
  <c r="CL146" i="15" s="1"/>
  <c r="CJ163" i="15"/>
  <c r="CK163" i="15" s="1"/>
  <c r="CL163" i="15" s="1"/>
  <c r="CJ181" i="15"/>
  <c r="CK181" i="15" s="1"/>
  <c r="CL181" i="15" s="1"/>
  <c r="CJ197" i="15"/>
  <c r="CK197" i="15" s="1"/>
  <c r="CL197" i="15" s="1"/>
  <c r="CJ215" i="15"/>
  <c r="CK215" i="15" s="1"/>
  <c r="CL215" i="15" s="1"/>
  <c r="CJ233" i="15"/>
  <c r="CK233" i="15" s="1"/>
  <c r="CL233" i="15" s="1"/>
  <c r="CJ251" i="15"/>
  <c r="CK251" i="15" s="1"/>
  <c r="CL251" i="15" s="1"/>
  <c r="CJ286" i="15"/>
  <c r="CK286" i="15" s="1"/>
  <c r="CL286" i="15" s="1"/>
  <c r="CJ302" i="15"/>
  <c r="CK302" i="15" s="1"/>
  <c r="CL302" i="15" s="1"/>
  <c r="CJ336" i="15"/>
  <c r="CK336" i="15" s="1"/>
  <c r="CL336" i="15" s="1"/>
  <c r="CJ370" i="15"/>
  <c r="CK370" i="15" s="1"/>
  <c r="CL370" i="15" s="1"/>
  <c r="CJ384" i="15"/>
  <c r="CK384" i="15" s="1"/>
  <c r="CL384" i="15" s="1"/>
  <c r="CJ394" i="15"/>
  <c r="CK394" i="15" s="1"/>
  <c r="CL394" i="15" s="1"/>
  <c r="CJ402" i="15"/>
  <c r="CK402" i="15" s="1"/>
  <c r="CL402" i="15" s="1"/>
  <c r="CJ410" i="15"/>
  <c r="CK410" i="15" s="1"/>
  <c r="CL410" i="15" s="1"/>
  <c r="CJ418" i="15"/>
  <c r="CK418" i="15" s="1"/>
  <c r="CL418" i="15" s="1"/>
  <c r="CJ428" i="15"/>
  <c r="CK428" i="15" s="1"/>
  <c r="CL428" i="15" s="1"/>
  <c r="CJ436" i="15"/>
  <c r="CK436" i="15" s="1"/>
  <c r="CL436" i="15" s="1"/>
  <c r="CJ444" i="15"/>
  <c r="CK444" i="15" s="1"/>
  <c r="CL444" i="15" s="1"/>
  <c r="CJ454" i="15"/>
  <c r="CK454" i="15" s="1"/>
  <c r="CL454" i="15" s="1"/>
  <c r="CJ462" i="15"/>
  <c r="CK462" i="15" s="1"/>
  <c r="CL462" i="15" s="1"/>
  <c r="CJ470" i="15"/>
  <c r="CK470" i="15" s="1"/>
  <c r="CL470" i="15" s="1"/>
  <c r="CJ26" i="15"/>
  <c r="CK26" i="15" s="1"/>
  <c r="CL26" i="15" s="1"/>
  <c r="CJ98" i="15"/>
  <c r="CK98" i="15" s="1"/>
  <c r="CL98" i="15" s="1"/>
  <c r="CJ167" i="15"/>
  <c r="CK167" i="15" s="1"/>
  <c r="CL167" i="15" s="1"/>
  <c r="CJ237" i="15"/>
  <c r="CK237" i="15" s="1"/>
  <c r="CL237" i="15" s="1"/>
  <c r="CJ306" i="15"/>
  <c r="CK306" i="15" s="1"/>
  <c r="CL306" i="15" s="1"/>
  <c r="CJ374" i="15"/>
  <c r="CK374" i="15" s="1"/>
  <c r="CL374" i="15" s="1"/>
  <c r="CJ411" i="15"/>
  <c r="CK411" i="15" s="1"/>
  <c r="CL411" i="15" s="1"/>
  <c r="CJ429" i="15"/>
  <c r="CK429" i="15" s="1"/>
  <c r="CL429" i="15" s="1"/>
  <c r="CJ445" i="15"/>
  <c r="CK445" i="15" s="1"/>
  <c r="CL445" i="15" s="1"/>
  <c r="CJ463" i="15"/>
  <c r="CK463" i="15" s="1"/>
  <c r="CL463" i="15" s="1"/>
  <c r="CJ480" i="15"/>
  <c r="CK480" i="15" s="1"/>
  <c r="CL480" i="15" s="1"/>
  <c r="CJ488" i="15"/>
  <c r="CK488" i="15" s="1"/>
  <c r="CL488" i="15" s="1"/>
  <c r="CJ497" i="15"/>
  <c r="CK497" i="15" s="1"/>
  <c r="CL497" i="15" s="1"/>
  <c r="CJ505" i="15"/>
  <c r="CK505" i="15" s="1"/>
  <c r="CL505" i="15" s="1"/>
  <c r="CJ515" i="15"/>
  <c r="CK515" i="15" s="1"/>
  <c r="CL515" i="15" s="1"/>
  <c r="CJ523" i="15"/>
  <c r="CK523" i="15" s="1"/>
  <c r="CL523" i="15" s="1"/>
  <c r="CJ531" i="15"/>
  <c r="CK531" i="15" s="1"/>
  <c r="CL531" i="15" s="1"/>
  <c r="CJ541" i="15"/>
  <c r="CK541" i="15" s="1"/>
  <c r="CL541" i="15" s="1"/>
  <c r="CJ549" i="15"/>
  <c r="CK549" i="15" s="1"/>
  <c r="CL549" i="15" s="1"/>
  <c r="CJ559" i="15"/>
  <c r="CK559" i="15" s="1"/>
  <c r="CL559" i="15" s="1"/>
  <c r="CJ567" i="15"/>
  <c r="CK567" i="15" s="1"/>
  <c r="CL567" i="15" s="1"/>
  <c r="CJ577" i="15"/>
  <c r="CK577" i="15" s="1"/>
  <c r="CL577" i="15" s="1"/>
  <c r="CJ585" i="15"/>
  <c r="CK585" i="15" s="1"/>
  <c r="CL585" i="15" s="1"/>
  <c r="CJ593" i="15"/>
  <c r="CK593" i="15" s="1"/>
  <c r="CL593" i="15" s="1"/>
  <c r="CJ601" i="15"/>
  <c r="CK601" i="15" s="1"/>
  <c r="CL601" i="15" s="1"/>
  <c r="CJ610" i="15"/>
  <c r="CK610" i="15" s="1"/>
  <c r="CL610" i="15" s="1"/>
  <c r="CJ618" i="15"/>
  <c r="CK618" i="15" s="1"/>
  <c r="CL618" i="15" s="1"/>
  <c r="CJ626" i="15"/>
  <c r="CK626" i="15" s="1"/>
  <c r="CL626" i="15" s="1"/>
  <c r="CJ634" i="15"/>
  <c r="CK634" i="15" s="1"/>
  <c r="CL634" i="15" s="1"/>
  <c r="CJ644" i="15"/>
  <c r="CK644" i="15" s="1"/>
  <c r="CL644" i="15" s="1"/>
  <c r="CJ654" i="15"/>
  <c r="CK654" i="15" s="1"/>
  <c r="CL654" i="15" s="1"/>
  <c r="CJ662" i="15"/>
  <c r="CK662" i="15" s="1"/>
  <c r="CL662" i="15" s="1"/>
  <c r="CJ672" i="15"/>
  <c r="CK672" i="15" s="1"/>
  <c r="CL672" i="15" s="1"/>
  <c r="CJ680" i="15"/>
  <c r="CK680" i="15" s="1"/>
  <c r="CL680" i="15" s="1"/>
  <c r="CJ688" i="15"/>
  <c r="CK688" i="15" s="1"/>
  <c r="CL688" i="15" s="1"/>
  <c r="CJ697" i="15"/>
  <c r="CJ706" i="15"/>
  <c r="CK706" i="15" s="1"/>
  <c r="CL706" i="15" s="1"/>
  <c r="CJ714" i="15"/>
  <c r="CK714" i="15" s="1"/>
  <c r="CL714" i="15" s="1"/>
  <c r="CJ724" i="15"/>
  <c r="CK724" i="15" s="1"/>
  <c r="CL724" i="15" s="1"/>
  <c r="CJ732" i="15"/>
  <c r="CK732" i="15" s="1"/>
  <c r="CL732" i="15" s="1"/>
  <c r="CJ740" i="15"/>
  <c r="CK740" i="15" s="1"/>
  <c r="CL740" i="15" s="1"/>
  <c r="CJ749" i="15"/>
  <c r="CK749" i="15" s="1"/>
  <c r="CL749" i="15" s="1"/>
  <c r="CJ757" i="15"/>
  <c r="CK757" i="15" s="1"/>
  <c r="CL757" i="15" s="1"/>
  <c r="CJ767" i="15"/>
  <c r="CK767" i="15" s="1"/>
  <c r="CL767" i="15" s="1"/>
  <c r="CJ775" i="15"/>
  <c r="CK775" i="15" s="1"/>
  <c r="CL775" i="15" s="1"/>
  <c r="CJ783" i="15"/>
  <c r="CK783" i="15" s="1"/>
  <c r="CL783" i="15" s="1"/>
  <c r="CJ793" i="15"/>
  <c r="CK793" i="15" s="1"/>
  <c r="CL793" i="15" s="1"/>
  <c r="CJ801" i="15"/>
  <c r="CK801" i="15" s="1"/>
  <c r="CL801" i="15" s="1"/>
  <c r="CJ810" i="15"/>
  <c r="CJ819" i="15"/>
  <c r="CK819" i="15" s="1"/>
  <c r="CL819" i="15" s="1"/>
  <c r="CJ827" i="15"/>
  <c r="CK827" i="15" s="1"/>
  <c r="CL827" i="15" s="1"/>
  <c r="CJ837" i="15"/>
  <c r="CK837" i="15" s="1"/>
  <c r="CL837" i="15" s="1"/>
  <c r="CJ845" i="15"/>
  <c r="CK845" i="15" s="1"/>
  <c r="CL845" i="15" s="1"/>
  <c r="CJ853" i="15"/>
  <c r="CK853" i="15" s="1"/>
  <c r="CL853" i="15" s="1"/>
  <c r="CJ861" i="15"/>
  <c r="CK861" i="15" s="1"/>
  <c r="CL861" i="15" s="1"/>
  <c r="CJ871" i="15"/>
  <c r="CK871" i="15" s="1"/>
  <c r="CL871" i="15" s="1"/>
  <c r="CJ879" i="15"/>
  <c r="CK879" i="15" s="1"/>
  <c r="CL879" i="15" s="1"/>
  <c r="CJ887" i="15"/>
  <c r="CK887" i="15" s="1"/>
  <c r="CL887" i="15" s="1"/>
  <c r="CJ895" i="15"/>
  <c r="CK895" i="15" s="1"/>
  <c r="CL895" i="15" s="1"/>
  <c r="CJ846" i="15"/>
  <c r="CK846" i="15" s="1"/>
  <c r="CL846" i="15" s="1"/>
  <c r="CJ862" i="15"/>
  <c r="CK862" i="15" s="1"/>
  <c r="CL862" i="15" s="1"/>
  <c r="CJ880" i="15"/>
  <c r="CK880" i="15" s="1"/>
  <c r="CL880" i="15" s="1"/>
  <c r="CJ896" i="15"/>
  <c r="CK896" i="15" s="1"/>
  <c r="CL896" i="15" s="1"/>
  <c r="CJ62" i="15"/>
  <c r="CK62" i="15" s="1"/>
  <c r="CL62" i="15" s="1"/>
  <c r="CJ203" i="15"/>
  <c r="CK203" i="15" s="1"/>
  <c r="CL203" i="15" s="1"/>
  <c r="CJ342" i="15"/>
  <c r="CK342" i="15" s="1"/>
  <c r="CL342" i="15" s="1"/>
  <c r="CJ403" i="15"/>
  <c r="CK403" i="15" s="1"/>
  <c r="CL403" i="15" s="1"/>
  <c r="CJ437" i="15"/>
  <c r="CK437" i="15" s="1"/>
  <c r="CL437" i="15" s="1"/>
  <c r="CJ471" i="15"/>
  <c r="CK471" i="15" s="1"/>
  <c r="CL471" i="15" s="1"/>
  <c r="CJ492" i="15"/>
  <c r="CJ509" i="15"/>
  <c r="CK509" i="15" s="1"/>
  <c r="CL509" i="15" s="1"/>
  <c r="CJ527" i="15"/>
  <c r="CK527" i="15" s="1"/>
  <c r="CL527" i="15" s="1"/>
  <c r="CJ545" i="15"/>
  <c r="CK545" i="15" s="1"/>
  <c r="CL545" i="15" s="1"/>
  <c r="CJ563" i="15"/>
  <c r="CK563" i="15" s="1"/>
  <c r="CL563" i="15" s="1"/>
  <c r="CJ116" i="15"/>
  <c r="CK116" i="15" s="1"/>
  <c r="CL116" i="15" s="1"/>
  <c r="CJ185" i="15"/>
  <c r="CK185" i="15" s="1"/>
  <c r="CL185" i="15" s="1"/>
  <c r="CJ255" i="15"/>
  <c r="CK255" i="15" s="1"/>
  <c r="CL255" i="15" s="1"/>
  <c r="CJ324" i="15"/>
  <c r="CK324" i="15" s="1"/>
  <c r="CL324" i="15" s="1"/>
  <c r="CJ381" i="15"/>
  <c r="CK381" i="15" s="1"/>
  <c r="CL381" i="15" s="1"/>
  <c r="CJ399" i="15"/>
  <c r="CK399" i="15" s="1"/>
  <c r="CL399" i="15" s="1"/>
  <c r="CJ415" i="15"/>
  <c r="CK415" i="15" s="1"/>
  <c r="CL415" i="15" s="1"/>
  <c r="CJ433" i="15"/>
  <c r="CK433" i="15" s="1"/>
  <c r="CL433" i="15" s="1"/>
  <c r="CJ451" i="15"/>
  <c r="CK451" i="15" s="1"/>
  <c r="CL451" i="15" s="1"/>
  <c r="CJ467" i="15"/>
  <c r="CK467" i="15" s="1"/>
  <c r="CL467" i="15" s="1"/>
  <c r="CJ481" i="15"/>
  <c r="CK481" i="15" s="1"/>
  <c r="CL481" i="15" s="1"/>
  <c r="CJ489" i="15"/>
  <c r="CK489" i="15" s="1"/>
  <c r="CL489" i="15" s="1"/>
  <c r="CJ498" i="15"/>
  <c r="CK498" i="15" s="1"/>
  <c r="CL498" i="15" s="1"/>
  <c r="CJ506" i="15"/>
  <c r="CK506" i="15" s="1"/>
  <c r="CL506" i="15" s="1"/>
  <c r="CJ516" i="15"/>
  <c r="CK516" i="15" s="1"/>
  <c r="CL516" i="15" s="1"/>
  <c r="CJ524" i="15"/>
  <c r="CK524" i="15" s="1"/>
  <c r="CL524" i="15" s="1"/>
  <c r="CJ532" i="15"/>
  <c r="CK532" i="15" s="1"/>
  <c r="CL532" i="15" s="1"/>
  <c r="CJ542" i="15"/>
  <c r="CK542" i="15" s="1"/>
  <c r="CL542" i="15" s="1"/>
  <c r="CJ550" i="15"/>
  <c r="CK550" i="15" s="1"/>
  <c r="CL550" i="15" s="1"/>
  <c r="CJ560" i="15"/>
  <c r="CK560" i="15" s="1"/>
  <c r="CL560" i="15" s="1"/>
  <c r="CJ568" i="15"/>
  <c r="CK568" i="15" s="1"/>
  <c r="CL568" i="15" s="1"/>
  <c r="CJ578" i="15"/>
  <c r="CK578" i="15" s="1"/>
  <c r="CL578" i="15" s="1"/>
  <c r="CJ586" i="15"/>
  <c r="CK586" i="15" s="1"/>
  <c r="CL586" i="15" s="1"/>
  <c r="CJ594" i="15"/>
  <c r="CK594" i="15" s="1"/>
  <c r="CL594" i="15" s="1"/>
  <c r="CJ602" i="15"/>
  <c r="CJ611" i="15"/>
  <c r="CK611" i="15" s="1"/>
  <c r="CL611" i="15" s="1"/>
  <c r="CJ619" i="15"/>
  <c r="CK619" i="15" s="1"/>
  <c r="CL619" i="15" s="1"/>
  <c r="CJ627" i="15"/>
  <c r="CK627" i="15" s="1"/>
  <c r="CL627" i="15" s="1"/>
  <c r="CJ635" i="15"/>
  <c r="CK635" i="15" s="1"/>
  <c r="CL635" i="15" s="1"/>
  <c r="CJ645" i="15"/>
  <c r="CK645" i="15" s="1"/>
  <c r="CL645" i="15" s="1"/>
  <c r="CJ655" i="15"/>
  <c r="CK655" i="15" s="1"/>
  <c r="CL655" i="15" s="1"/>
  <c r="CJ663" i="15"/>
  <c r="CK663" i="15" s="1"/>
  <c r="CL663" i="15" s="1"/>
  <c r="CJ673" i="15"/>
  <c r="CK673" i="15" s="1"/>
  <c r="CL673" i="15" s="1"/>
  <c r="CJ681" i="15"/>
  <c r="CK681" i="15" s="1"/>
  <c r="CL681" i="15" s="1"/>
  <c r="CJ689" i="15"/>
  <c r="CK689" i="15" s="1"/>
  <c r="CL689" i="15" s="1"/>
  <c r="CJ699" i="15"/>
  <c r="CK699" i="15" s="1"/>
  <c r="CJ707" i="15"/>
  <c r="CK707" i="15" s="1"/>
  <c r="CL707" i="15" s="1"/>
  <c r="CJ715" i="15"/>
  <c r="CK715" i="15" s="1"/>
  <c r="CL715" i="15" s="1"/>
  <c r="CJ725" i="15"/>
  <c r="CK725" i="15" s="1"/>
  <c r="CL725" i="15" s="1"/>
  <c r="CJ733" i="15"/>
  <c r="CK733" i="15" s="1"/>
  <c r="CL733" i="15" s="1"/>
  <c r="CJ741" i="15"/>
  <c r="CK741" i="15" s="1"/>
  <c r="CL741" i="15" s="1"/>
  <c r="CJ750" i="15"/>
  <c r="CK750" i="15" s="1"/>
  <c r="CL750" i="15" s="1"/>
  <c r="CJ758" i="15"/>
  <c r="CK758" i="15" s="1"/>
  <c r="CL758" i="15" s="1"/>
  <c r="CJ768" i="15"/>
  <c r="CK768" i="15" s="1"/>
  <c r="CL768" i="15" s="1"/>
  <c r="CJ776" i="15"/>
  <c r="CK776" i="15" s="1"/>
  <c r="CL776" i="15" s="1"/>
  <c r="CJ784" i="15"/>
  <c r="CK784" i="15" s="1"/>
  <c r="CL784" i="15" s="1"/>
  <c r="CJ794" i="15"/>
  <c r="CK794" i="15" s="1"/>
  <c r="CL794" i="15" s="1"/>
  <c r="CJ802" i="15"/>
  <c r="CK802" i="15" s="1"/>
  <c r="CL802" i="15" s="1"/>
  <c r="CJ812" i="15"/>
  <c r="CK812" i="15" s="1"/>
  <c r="CJ820" i="15"/>
  <c r="CK820" i="15" s="1"/>
  <c r="CL820" i="15" s="1"/>
  <c r="CJ828" i="15"/>
  <c r="CK828" i="15" s="1"/>
  <c r="CL828" i="15" s="1"/>
  <c r="CJ838" i="15"/>
  <c r="CK838" i="15" s="1"/>
  <c r="CL838" i="15" s="1"/>
  <c r="CJ854" i="15"/>
  <c r="CK854" i="15" s="1"/>
  <c r="CL854" i="15" s="1"/>
  <c r="CJ872" i="15"/>
  <c r="CK872" i="15" s="1"/>
  <c r="CL872" i="15" s="1"/>
  <c r="CJ888" i="15"/>
  <c r="CK888" i="15" s="1"/>
  <c r="CL888" i="15" s="1"/>
  <c r="CJ134" i="15"/>
  <c r="CK134" i="15" s="1"/>
  <c r="CL134" i="15" s="1"/>
  <c r="CJ273" i="15"/>
  <c r="CK273" i="15" s="1"/>
  <c r="CL273" i="15" s="1"/>
  <c r="CJ385" i="15"/>
  <c r="CK385" i="15" s="1"/>
  <c r="CL385" i="15" s="1"/>
  <c r="CJ419" i="15"/>
  <c r="CK419" i="15" s="1"/>
  <c r="CL419" i="15" s="1"/>
  <c r="CJ455" i="15"/>
  <c r="CK455" i="15" s="1"/>
  <c r="CL455" i="15" s="1"/>
  <c r="CJ484" i="15"/>
  <c r="CK484" i="15" s="1"/>
  <c r="CL484" i="15" s="1"/>
  <c r="CJ501" i="15"/>
  <c r="CK501" i="15" s="1"/>
  <c r="CL501" i="15" s="1"/>
  <c r="CJ519" i="15"/>
  <c r="CK519" i="15" s="1"/>
  <c r="CL519" i="15" s="1"/>
  <c r="CJ536" i="15"/>
  <c r="CJ555" i="15"/>
  <c r="CK555" i="15" s="1"/>
  <c r="CL555" i="15" s="1"/>
  <c r="CJ572" i="15"/>
  <c r="CJ581" i="15"/>
  <c r="CK581" i="15" s="1"/>
  <c r="CL581" i="15" s="1"/>
  <c r="CJ589" i="15"/>
  <c r="CK589" i="15" s="1"/>
  <c r="CL589" i="15" s="1"/>
  <c r="CJ597" i="15"/>
  <c r="CK597" i="15" s="1"/>
  <c r="CL597" i="15" s="1"/>
  <c r="CJ606" i="15"/>
  <c r="CK606" i="15" s="1"/>
  <c r="CL606" i="15" s="1"/>
  <c r="CJ614" i="15"/>
  <c r="CK614" i="15" s="1"/>
  <c r="CL614" i="15" s="1"/>
  <c r="CJ622" i="15"/>
  <c r="CK622" i="15" s="1"/>
  <c r="CL622" i="15" s="1"/>
  <c r="CJ630" i="15"/>
  <c r="CK630" i="15" s="1"/>
  <c r="CL630" i="15" s="1"/>
  <c r="CJ640" i="15"/>
  <c r="CK640" i="15" s="1"/>
  <c r="CL640" i="15" s="1"/>
  <c r="CJ650" i="15"/>
  <c r="CK650" i="15" s="1"/>
  <c r="CJ658" i="15"/>
  <c r="CK658" i="15" s="1"/>
  <c r="CL658" i="15" s="1"/>
  <c r="CJ666" i="15"/>
  <c r="CK666" i="15" s="1"/>
  <c r="CL666" i="15" s="1"/>
  <c r="CJ676" i="15"/>
  <c r="CK676" i="15" s="1"/>
  <c r="CL676" i="15" s="1"/>
  <c r="CJ684" i="15"/>
  <c r="CK684" i="15" s="1"/>
  <c r="CL684" i="15" s="1"/>
  <c r="CJ692" i="15"/>
  <c r="CK692" i="15" s="1"/>
  <c r="CL692" i="15" s="1"/>
  <c r="CJ702" i="15"/>
  <c r="CK702" i="15" s="1"/>
  <c r="CL702" i="15" s="1"/>
  <c r="CJ710" i="15"/>
  <c r="CK710" i="15" s="1"/>
  <c r="CL710" i="15" s="1"/>
  <c r="CJ720" i="15"/>
  <c r="CK720" i="15" s="1"/>
  <c r="CJ728" i="15"/>
  <c r="CK728" i="15" s="1"/>
  <c r="CL728" i="15" s="1"/>
  <c r="CJ736" i="15"/>
  <c r="CK736" i="15" s="1"/>
  <c r="CL736" i="15" s="1"/>
  <c r="CJ744" i="15"/>
  <c r="CJ753" i="15"/>
  <c r="CK753" i="15" s="1"/>
  <c r="CL753" i="15" s="1"/>
  <c r="CJ761" i="15"/>
  <c r="CK761" i="15" s="1"/>
  <c r="CL761" i="15" s="1"/>
  <c r="CJ771" i="15"/>
  <c r="CK771" i="15" s="1"/>
  <c r="CL771" i="15" s="1"/>
  <c r="CJ779" i="15"/>
  <c r="CK779" i="15" s="1"/>
  <c r="CL779" i="15" s="1"/>
  <c r="CJ789" i="15"/>
  <c r="CK789" i="15" s="1"/>
  <c r="CJ797" i="15"/>
  <c r="CK797" i="15" s="1"/>
  <c r="CL797" i="15" s="1"/>
  <c r="CJ805" i="15"/>
  <c r="CK805" i="15" s="1"/>
  <c r="CL805" i="15" s="1"/>
  <c r="CJ815" i="15"/>
  <c r="CK815" i="15" s="1"/>
  <c r="CL815" i="15" s="1"/>
  <c r="CJ823" i="15"/>
  <c r="CK823" i="15" s="1"/>
  <c r="CL823" i="15" s="1"/>
  <c r="CJ833" i="15"/>
  <c r="CK833" i="15" s="1"/>
  <c r="CJ841" i="15"/>
  <c r="CK841" i="15" s="1"/>
  <c r="CL841" i="15" s="1"/>
  <c r="CJ849" i="15"/>
  <c r="CK849" i="15" s="1"/>
  <c r="CL849" i="15" s="1"/>
  <c r="CJ857" i="15"/>
  <c r="CK857" i="15" s="1"/>
  <c r="CL857" i="15" s="1"/>
  <c r="CJ867" i="15"/>
  <c r="CK867" i="15" s="1"/>
  <c r="CL867" i="15" s="1"/>
  <c r="CJ875" i="15"/>
  <c r="CK875" i="15" s="1"/>
  <c r="CL875" i="15" s="1"/>
  <c r="CJ883" i="15"/>
  <c r="CK883" i="15" s="1"/>
  <c r="CL883" i="15" s="1"/>
  <c r="CJ891" i="15"/>
  <c r="CK891" i="15" s="1"/>
  <c r="CL891" i="15" s="1"/>
  <c r="CJ80" i="15"/>
  <c r="CK80" i="15" s="1"/>
  <c r="CL80" i="15" s="1"/>
  <c r="CJ219" i="15"/>
  <c r="CK219" i="15" s="1"/>
  <c r="CL219" i="15" s="1"/>
  <c r="CJ290" i="15"/>
  <c r="CK290" i="15" s="1"/>
  <c r="CL290" i="15" s="1"/>
  <c r="CJ358" i="15"/>
  <c r="CK358" i="15" s="1"/>
  <c r="CL358" i="15" s="1"/>
  <c r="CJ391" i="15"/>
  <c r="CK391" i="15" s="1"/>
  <c r="CL391" i="15" s="1"/>
  <c r="CJ407" i="15"/>
  <c r="CK407" i="15" s="1"/>
  <c r="CL407" i="15" s="1"/>
  <c r="CJ424" i="15"/>
  <c r="CJ441" i="15"/>
  <c r="CK441" i="15" s="1"/>
  <c r="CL441" i="15" s="1"/>
  <c r="CJ459" i="15"/>
  <c r="CK459" i="15" s="1"/>
  <c r="CL459" i="15" s="1"/>
  <c r="CJ477" i="15"/>
  <c r="CK477" i="15" s="1"/>
  <c r="CL477" i="15" s="1"/>
  <c r="CJ485" i="15"/>
  <c r="CK485" i="15" s="1"/>
  <c r="CL485" i="15" s="1"/>
  <c r="CJ494" i="15"/>
  <c r="CK494" i="15" s="1"/>
  <c r="CJ502" i="15"/>
  <c r="CK502" i="15" s="1"/>
  <c r="CL502" i="15" s="1"/>
  <c r="CJ510" i="15"/>
  <c r="CK510" i="15" s="1"/>
  <c r="CL510" i="15" s="1"/>
  <c r="CJ520" i="15"/>
  <c r="CK520" i="15" s="1"/>
  <c r="CL520" i="15" s="1"/>
  <c r="CJ528" i="15"/>
  <c r="CK528" i="15" s="1"/>
  <c r="CL528" i="15" s="1"/>
  <c r="CJ538" i="15"/>
  <c r="CK538" i="15" s="1"/>
  <c r="CJ546" i="15"/>
  <c r="CK546" i="15" s="1"/>
  <c r="CL546" i="15" s="1"/>
  <c r="CJ556" i="15"/>
  <c r="CK556" i="15" s="1"/>
  <c r="CL556" i="15" s="1"/>
  <c r="CJ564" i="15"/>
  <c r="CK564" i="15" s="1"/>
  <c r="CL564" i="15" s="1"/>
  <c r="CJ574" i="15"/>
  <c r="CK574" i="15" s="1"/>
  <c r="CJ582" i="15"/>
  <c r="CK582" i="15" s="1"/>
  <c r="CL582" i="15" s="1"/>
  <c r="CJ590" i="15"/>
  <c r="CK590" i="15" s="1"/>
  <c r="CL590" i="15" s="1"/>
  <c r="CJ598" i="15"/>
  <c r="CK598" i="15" s="1"/>
  <c r="CL598" i="15" s="1"/>
  <c r="CJ607" i="15"/>
  <c r="CK607" i="15" s="1"/>
  <c r="CL607" i="15" s="1"/>
  <c r="CJ615" i="15"/>
  <c r="CK615" i="15" s="1"/>
  <c r="CL615" i="15" s="1"/>
  <c r="CJ623" i="15"/>
  <c r="CK623" i="15" s="1"/>
  <c r="CL623" i="15" s="1"/>
  <c r="CJ631" i="15"/>
  <c r="CK631" i="15" s="1"/>
  <c r="CL631" i="15" s="1"/>
  <c r="CJ641" i="15"/>
  <c r="CK641" i="15" s="1"/>
  <c r="CL641" i="15" s="1"/>
  <c r="CJ651" i="15"/>
  <c r="CK651" i="15" s="1"/>
  <c r="CL651" i="15" s="1"/>
  <c r="CJ659" i="15"/>
  <c r="CK659" i="15" s="1"/>
  <c r="CL659" i="15" s="1"/>
  <c r="CJ667" i="15"/>
  <c r="CK667" i="15" s="1"/>
  <c r="CL667" i="15" s="1"/>
  <c r="CJ677" i="15"/>
  <c r="CK677" i="15" s="1"/>
  <c r="CL677" i="15" s="1"/>
  <c r="CJ685" i="15"/>
  <c r="CK685" i="15" s="1"/>
  <c r="CL685" i="15" s="1"/>
  <c r="CJ693" i="15"/>
  <c r="CK693" i="15" s="1"/>
  <c r="CL693" i="15" s="1"/>
  <c r="CJ703" i="15"/>
  <c r="CK703" i="15" s="1"/>
  <c r="CL703" i="15" s="1"/>
  <c r="CJ711" i="15"/>
  <c r="CK711" i="15" s="1"/>
  <c r="CL711" i="15" s="1"/>
  <c r="CJ721" i="15"/>
  <c r="CK721" i="15" s="1"/>
  <c r="CL721" i="15" s="1"/>
  <c r="CJ729" i="15"/>
  <c r="CK729" i="15" s="1"/>
  <c r="CL729" i="15" s="1"/>
  <c r="CJ737" i="15"/>
  <c r="CK737" i="15" s="1"/>
  <c r="CL737" i="15" s="1"/>
  <c r="CJ745" i="15"/>
  <c r="CJ754" i="15"/>
  <c r="CK754" i="15" s="1"/>
  <c r="CL754" i="15" s="1"/>
  <c r="CJ762" i="15"/>
  <c r="CK762" i="15" s="1"/>
  <c r="CL762" i="15" s="1"/>
  <c r="CJ772" i="15"/>
  <c r="CK772" i="15" s="1"/>
  <c r="CL772" i="15" s="1"/>
  <c r="CJ780" i="15"/>
  <c r="CK780" i="15" s="1"/>
  <c r="CL780" i="15" s="1"/>
  <c r="CJ790" i="15"/>
  <c r="CK790" i="15" s="1"/>
  <c r="CL790" i="15" s="1"/>
  <c r="CJ798" i="15"/>
  <c r="CK798" i="15" s="1"/>
  <c r="CL798" i="15" s="1"/>
  <c r="CJ806" i="15"/>
  <c r="CK806" i="15" s="1"/>
  <c r="CL806" i="15" s="1"/>
  <c r="CJ816" i="15"/>
  <c r="CK816" i="15" s="1"/>
  <c r="CL816" i="15" s="1"/>
  <c r="CJ824" i="15"/>
  <c r="CK824" i="15" s="1"/>
  <c r="CL824" i="15" s="1"/>
  <c r="CJ834" i="15"/>
  <c r="CK834" i="15" s="1"/>
  <c r="CL834" i="15" s="1"/>
  <c r="CJ842" i="15"/>
  <c r="CK842" i="15" s="1"/>
  <c r="CL842" i="15" s="1"/>
  <c r="CJ850" i="15"/>
  <c r="CK850" i="15" s="1"/>
  <c r="CL850" i="15" s="1"/>
  <c r="CJ858" i="15"/>
  <c r="CK858" i="15" s="1"/>
  <c r="CL858" i="15" s="1"/>
  <c r="CJ868" i="15"/>
  <c r="CK868" i="15" s="1"/>
  <c r="CL868" i="15" s="1"/>
  <c r="CJ876" i="15"/>
  <c r="CK876" i="15" s="1"/>
  <c r="CL876" i="15" s="1"/>
  <c r="CJ884" i="15"/>
  <c r="CK884" i="15" s="1"/>
  <c r="CL884" i="15" s="1"/>
  <c r="CJ892" i="15"/>
  <c r="CK892" i="15" s="1"/>
  <c r="CL892" i="15" s="1"/>
  <c r="AJ394" i="1"/>
  <c r="AJ61" i="1"/>
  <c r="AJ102" i="1"/>
  <c r="AE9" i="1"/>
  <c r="AD9" i="1"/>
  <c r="AD125" i="1"/>
  <c r="AJ126" i="1"/>
  <c r="AF125" i="1"/>
  <c r="AD37" i="1"/>
  <c r="AF136" i="1"/>
  <c r="AD293" i="1"/>
  <c r="AJ37" i="1"/>
  <c r="AI136" i="1"/>
  <c r="AD181" i="1"/>
  <c r="AG136" i="1"/>
  <c r="AD99" i="1"/>
  <c r="AE99" i="1"/>
  <c r="AE96" i="1"/>
  <c r="AD96" i="1"/>
  <c r="AJ135" i="1"/>
  <c r="AJ132" i="1"/>
  <c r="AJ100" i="1"/>
  <c r="AJ131" i="1"/>
  <c r="AE130" i="1"/>
  <c r="AD130" i="1"/>
  <c r="AE68" i="1"/>
  <c r="AJ404" i="1"/>
  <c r="AH181" i="1"/>
  <c r="AH180" i="1"/>
  <c r="AH172" i="1"/>
  <c r="AH173" i="1"/>
  <c r="AH171" i="1"/>
  <c r="AF181" i="1"/>
  <c r="AF180" i="1"/>
  <c r="AF171" i="1"/>
  <c r="AF173" i="1"/>
  <c r="AF172" i="1"/>
  <c r="AH186" i="1"/>
  <c r="AH185" i="1"/>
  <c r="AG181" i="1"/>
  <c r="AG180" i="1"/>
  <c r="AG173" i="1"/>
  <c r="AG171" i="1"/>
  <c r="AG172" i="1"/>
  <c r="AI186" i="1"/>
  <c r="AI185" i="1"/>
  <c r="AE185" i="1"/>
  <c r="K11" i="13"/>
  <c r="AG186" i="1"/>
  <c r="AG185" i="1"/>
  <c r="AI181" i="1"/>
  <c r="AI180" i="1"/>
  <c r="AI172" i="1"/>
  <c r="AI173" i="1"/>
  <c r="AI171" i="1"/>
  <c r="AF186" i="1"/>
  <c r="AF185" i="1"/>
  <c r="AD327" i="1"/>
  <c r="AF117" i="1"/>
  <c r="AF114" i="1"/>
  <c r="AF116" i="1"/>
  <c r="AF95" i="1"/>
  <c r="AH134" i="1"/>
  <c r="AG114" i="1"/>
  <c r="AG116" i="1"/>
  <c r="AG95" i="1"/>
  <c r="AI114" i="1"/>
  <c r="AI116" i="1"/>
  <c r="AI95" i="1"/>
  <c r="AH114" i="1"/>
  <c r="AH116" i="1"/>
  <c r="AH95" i="1"/>
  <c r="AE72" i="1"/>
  <c r="AH68" i="1"/>
  <c r="AE47" i="1"/>
  <c r="AG68" i="1"/>
  <c r="AI68" i="1"/>
  <c r="AD298" i="1"/>
  <c r="AF291" i="1"/>
  <c r="AI291" i="1"/>
  <c r="AI290" i="1"/>
  <c r="AH286" i="1"/>
  <c r="AI287" i="1"/>
  <c r="AF287" i="1"/>
  <c r="AI288" i="1"/>
  <c r="AG291" i="1"/>
  <c r="AG290" i="1"/>
  <c r="AH291" i="1"/>
  <c r="AH290" i="1"/>
  <c r="AF288" i="1"/>
  <c r="AH287" i="1"/>
  <c r="AI286" i="1"/>
  <c r="AD80" i="1"/>
  <c r="N13" i="13"/>
  <c r="O13" i="13"/>
  <c r="R11" i="13"/>
  <c r="Q13" i="13"/>
  <c r="Q11" i="13"/>
  <c r="AJ379" i="1"/>
  <c r="AJ35" i="1"/>
  <c r="AJ336" i="1"/>
  <c r="AD349" i="1"/>
  <c r="AE349" i="1"/>
  <c r="AD400" i="1"/>
  <c r="AE400" i="1"/>
  <c r="G13" i="13"/>
  <c r="AE355" i="1"/>
  <c r="AD355" i="1"/>
  <c r="AJ376" i="1"/>
  <c r="AD415" i="1"/>
  <c r="AE415" i="1"/>
  <c r="AE496" i="1"/>
  <c r="AD496" i="1"/>
  <c r="AJ401" i="1"/>
  <c r="AD398" i="1"/>
  <c r="AE398" i="1"/>
  <c r="AJ417" i="1"/>
  <c r="AJ184" i="1"/>
  <c r="AJ345" i="1"/>
  <c r="AE543" i="1"/>
  <c r="AD543" i="1"/>
  <c r="AJ377" i="1"/>
  <c r="AJ558" i="1"/>
  <c r="AJ559" i="1"/>
  <c r="AJ439" i="1"/>
  <c r="AJ538" i="1"/>
  <c r="AE121" i="1"/>
  <c r="AD121" i="1"/>
  <c r="AE343" i="1"/>
  <c r="AD343" i="1"/>
  <c r="AE55" i="1"/>
  <c r="AJ41" i="1"/>
  <c r="AJ448" i="1"/>
  <c r="AJ491" i="1"/>
  <c r="AJ387" i="1"/>
  <c r="AD408" i="1"/>
  <c r="AE408" i="1"/>
  <c r="AD541" i="1"/>
  <c r="AE541" i="1"/>
  <c r="AJ440" i="1"/>
  <c r="AJ299" i="1"/>
  <c r="AJ418" i="1"/>
  <c r="AE287" i="1"/>
  <c r="AE288" i="1"/>
  <c r="AD447" i="1"/>
  <c r="AE447" i="1"/>
  <c r="AJ416" i="1"/>
  <c r="AJ497" i="1"/>
  <c r="AJ555" i="1"/>
  <c r="AJ363" i="1"/>
  <c r="AJ335" i="1"/>
  <c r="AJ332" i="1"/>
  <c r="AE282" i="1"/>
  <c r="AD282" i="1"/>
  <c r="AJ488" i="1"/>
  <c r="AJ419" i="1"/>
  <c r="AE508" i="1"/>
  <c r="AD508" i="1"/>
  <c r="AJ510" i="1"/>
  <c r="AE536" i="1"/>
  <c r="AD536" i="1"/>
  <c r="AD535" i="1"/>
  <c r="AE535" i="1"/>
  <c r="AJ122" i="1"/>
  <c r="AJ344" i="1"/>
  <c r="AJ390" i="1"/>
  <c r="AE56" i="1"/>
  <c r="AJ554" i="1"/>
  <c r="AJ557" i="1"/>
  <c r="AE490" i="1"/>
  <c r="AD490" i="1"/>
  <c r="AJ312" i="1"/>
  <c r="AJ550" i="1"/>
  <c r="AJ293" i="1"/>
  <c r="AJ500" i="1"/>
  <c r="AJ298" i="1"/>
  <c r="AD414" i="1"/>
  <c r="AE414" i="1"/>
  <c r="AJ300" i="1"/>
  <c r="AJ273" i="1"/>
  <c r="AE333" i="1"/>
  <c r="AD333" i="1"/>
  <c r="AE445" i="1"/>
  <c r="AD445" i="1"/>
  <c r="AJ487" i="1"/>
  <c r="AE484" i="1"/>
  <c r="AD484" i="1"/>
  <c r="AD118" i="1"/>
  <c r="AD434" i="1"/>
  <c r="AE434" i="1"/>
  <c r="AJ174" i="1"/>
  <c r="AE375" i="1"/>
  <c r="AD375" i="1"/>
  <c r="AJ399" i="1"/>
  <c r="AJ183" i="1"/>
  <c r="AJ499" i="1"/>
  <c r="AD545" i="1"/>
  <c r="AE545" i="1"/>
  <c r="AE281" i="1"/>
  <c r="AD281" i="1"/>
  <c r="AJ509" i="1"/>
  <c r="AJ39" i="1"/>
  <c r="AJ403" i="1"/>
  <c r="AJ364" i="1"/>
  <c r="AJ569" i="1"/>
  <c r="AE124" i="1"/>
  <c r="AD124" i="1"/>
  <c r="AD291" i="1"/>
  <c r="AJ378" i="1"/>
  <c r="AJ424" i="1"/>
  <c r="AE389" i="1"/>
  <c r="AD389" i="1"/>
  <c r="AE552" i="1"/>
  <c r="AD552" i="1"/>
  <c r="AJ89" i="1"/>
  <c r="AE311" i="1"/>
  <c r="AD311" i="1"/>
  <c r="AD386" i="1"/>
  <c r="AE386" i="1"/>
  <c r="AJ412" i="1"/>
  <c r="AJ547" i="1"/>
  <c r="AJ542" i="1"/>
  <c r="AD438" i="1"/>
  <c r="AE438" i="1"/>
  <c r="P13" i="13"/>
  <c r="AJ402" i="1"/>
  <c r="AJ334" i="1"/>
  <c r="AD446" i="1"/>
  <c r="AE446" i="1"/>
  <c r="AD486" i="1"/>
  <c r="AE486" i="1"/>
  <c r="AE452" i="1"/>
  <c r="AD452" i="1"/>
  <c r="R13" i="13"/>
  <c r="AJ435" i="1"/>
  <c r="AJ449" i="1"/>
  <c r="AJ294" i="1"/>
  <c r="AE495" i="1"/>
  <c r="AD495" i="1"/>
  <c r="AD331" i="1"/>
  <c r="AE331" i="1"/>
  <c r="AJ546" i="1"/>
  <c r="AJ182" i="1"/>
  <c r="AE134" i="1"/>
  <c r="AJ498" i="1"/>
  <c r="AE568" i="1"/>
  <c r="AD568" i="1"/>
  <c r="AD436" i="1"/>
  <c r="AE436" i="1"/>
  <c r="AD537" i="1"/>
  <c r="AE537" i="1"/>
  <c r="AE341" i="1"/>
  <c r="AD341" i="1"/>
  <c r="AD388" i="1"/>
  <c r="AE388" i="1"/>
  <c r="AJ556" i="1"/>
  <c r="AE553" i="1"/>
  <c r="AD553" i="1"/>
  <c r="AJ59" i="1"/>
  <c r="AJ40" i="1"/>
  <c r="AD549" i="1"/>
  <c r="AE549" i="1"/>
  <c r="AJ539" i="1"/>
  <c r="P11" i="13"/>
  <c r="AJ512" i="1"/>
  <c r="AD297" i="1"/>
  <c r="AE297" i="1"/>
  <c r="AE186" i="1"/>
  <c r="AD186" i="1"/>
  <c r="AJ511" i="1"/>
  <c r="AE483" i="1"/>
  <c r="AD483" i="1"/>
  <c r="AJ289" i="1"/>
  <c r="AJ453" i="1"/>
  <c r="O12" i="13"/>
  <c r="G12" i="13"/>
  <c r="AD34" i="1"/>
  <c r="R12" i="13"/>
  <c r="AJ34" i="1"/>
  <c r="AD33" i="1"/>
  <c r="Q12" i="13"/>
  <c r="AD73" i="1"/>
  <c r="AD369" i="1"/>
  <c r="AE369" i="1"/>
  <c r="AJ278" i="1"/>
  <c r="AJ77" i="1"/>
  <c r="AJ362" i="1"/>
  <c r="AE356" i="1"/>
  <c r="AD356" i="1"/>
  <c r="AE292" i="1"/>
  <c r="AD292" i="1"/>
  <c r="AJ284" i="1"/>
  <c r="AJ46" i="1"/>
  <c r="AE48" i="1"/>
  <c r="AJ178" i="1"/>
  <c r="AJ279" i="1"/>
  <c r="AJ19" i="1"/>
  <c r="AJ54" i="1"/>
  <c r="AE85" i="1"/>
  <c r="AD85" i="1"/>
  <c r="AJ318" i="1"/>
  <c r="AD365" i="1"/>
  <c r="AE365" i="1"/>
  <c r="AJ21" i="1"/>
  <c r="AJ118" i="1"/>
  <c r="AJ329" i="1"/>
  <c r="AJ111" i="1"/>
  <c r="AJ305" i="1"/>
  <c r="AD308" i="1"/>
  <c r="AE308" i="1"/>
  <c r="AJ370" i="1"/>
  <c r="AJ71" i="1"/>
  <c r="AJ80" i="1"/>
  <c r="AJ50" i="1"/>
  <c r="AJ359" i="1"/>
  <c r="AD301" i="1"/>
  <c r="AE301" i="1"/>
  <c r="AE87" i="1"/>
  <c r="AD87" i="1"/>
  <c r="AE136" i="1"/>
  <c r="AD136" i="1"/>
  <c r="AJ179" i="1"/>
  <c r="AE82" i="1"/>
  <c r="AD82" i="1"/>
  <c r="AE62" i="1"/>
  <c r="AD62" i="1"/>
  <c r="AJ327" i="1"/>
  <c r="AJ84" i="1"/>
  <c r="AJ328" i="1"/>
  <c r="AE78" i="1"/>
  <c r="AD78" i="1"/>
  <c r="AJ319" i="1"/>
  <c r="AJ86" i="1"/>
  <c r="AE109" i="1"/>
  <c r="AD109" i="1"/>
  <c r="AD307" i="1"/>
  <c r="AE307" i="1"/>
  <c r="AJ74" i="1"/>
  <c r="AJ360" i="1"/>
  <c r="AE112" i="1"/>
  <c r="AD112" i="1"/>
  <c r="AE276" i="1"/>
  <c r="AD276" i="1"/>
  <c r="AJ69" i="1"/>
  <c r="AJ320" i="1"/>
  <c r="AE119" i="1"/>
  <c r="AD119" i="1"/>
  <c r="AE361" i="1"/>
  <c r="AD361" i="1"/>
  <c r="AJ272" i="1"/>
  <c r="AJ75" i="1"/>
  <c r="AD358" i="1"/>
  <c r="AE358" i="1"/>
  <c r="AJ304" i="1"/>
  <c r="AJ64" i="1"/>
  <c r="AE97" i="1"/>
  <c r="AD97" i="1"/>
  <c r="AJ83" i="1"/>
  <c r="AJ63" i="1"/>
  <c r="AD326" i="1"/>
  <c r="AE326" i="1"/>
  <c r="AE42" i="1"/>
  <c r="AD42" i="1"/>
  <c r="AJ79" i="1"/>
  <c r="AJ81" i="1"/>
  <c r="AJ52" i="1"/>
  <c r="AE57" i="1"/>
  <c r="AD57" i="1"/>
  <c r="AJ330" i="1"/>
  <c r="AJ44" i="1"/>
  <c r="AJ367" i="1"/>
  <c r="AE316" i="1"/>
  <c r="AD316" i="1"/>
  <c r="K10" i="13"/>
  <c r="AE277" i="1"/>
  <c r="AD277" i="1"/>
  <c r="AJ65" i="1"/>
  <c r="AJ120" i="1"/>
  <c r="AJ23" i="1"/>
  <c r="AE357" i="1"/>
  <c r="AD357" i="1"/>
  <c r="AD303" i="1"/>
  <c r="AE303" i="1"/>
  <c r="AE283" i="1"/>
  <c r="AD283" i="1"/>
  <c r="AJ49" i="1"/>
  <c r="AJ98" i="1"/>
  <c r="AJ285" i="1"/>
  <c r="AE325" i="1"/>
  <c r="AD325" i="1"/>
  <c r="AE18" i="1"/>
  <c r="AD18" i="1"/>
  <c r="AJ43" i="1"/>
  <c r="AE53" i="1"/>
  <c r="AD53" i="1"/>
  <c r="AJ58" i="1"/>
  <c r="AJ38" i="1"/>
  <c r="AE366" i="1"/>
  <c r="AD366" i="1"/>
  <c r="AE117" i="1"/>
  <c r="AD117" i="1"/>
  <c r="AJ76" i="1"/>
  <c r="AE315" i="1"/>
  <c r="AD315" i="1"/>
  <c r="AJ317" i="1"/>
  <c r="AJ51" i="1"/>
  <c r="AI127" i="1"/>
  <c r="AE11" i="1"/>
  <c r="AH20" i="1"/>
  <c r="AH13" i="1"/>
  <c r="AE60" i="1"/>
  <c r="AF13" i="1"/>
  <c r="AF20" i="1"/>
  <c r="I10" i="13"/>
  <c r="AE128" i="1"/>
  <c r="AG20" i="1"/>
  <c r="AG13" i="1"/>
  <c r="J10" i="13"/>
  <c r="AH11" i="1"/>
  <c r="H10" i="13"/>
  <c r="AF12" i="1"/>
  <c r="AH12" i="1"/>
  <c r="AI13" i="1"/>
  <c r="AI20" i="1"/>
  <c r="AI11" i="1"/>
  <c r="AI12" i="1"/>
  <c r="L10" i="13"/>
  <c r="AE12" i="1"/>
  <c r="AD67" i="1"/>
  <c r="AI27" i="1"/>
  <c r="AH66" i="1"/>
  <c r="AF27" i="1"/>
  <c r="AG14" i="1"/>
  <c r="AH177" i="1"/>
  <c r="AF127" i="1"/>
  <c r="AI177" i="1"/>
  <c r="AI25" i="1"/>
  <c r="AH70" i="1"/>
  <c r="AG177" i="1"/>
  <c r="AI128" i="1"/>
  <c r="AI70" i="1"/>
  <c r="AH27" i="1"/>
  <c r="AF14" i="1"/>
  <c r="AF128" i="1"/>
  <c r="AG25" i="1"/>
  <c r="AG70" i="1"/>
  <c r="AH25" i="1"/>
  <c r="AF177" i="1"/>
  <c r="AG32" i="1"/>
  <c r="AI123" i="1"/>
  <c r="AF25" i="1"/>
  <c r="AG11" i="1"/>
  <c r="AG66" i="1"/>
  <c r="AG12" i="1"/>
  <c r="AI32" i="1"/>
  <c r="AF123" i="1"/>
  <c r="AG27" i="1"/>
  <c r="AG67" i="1"/>
  <c r="AH14" i="1"/>
  <c r="AH32" i="1"/>
  <c r="AI67" i="1"/>
  <c r="AI66" i="1"/>
  <c r="AF32" i="1"/>
  <c r="AF11" i="1"/>
  <c r="AD66" i="1"/>
  <c r="AJ33" i="1"/>
  <c r="N11" i="13"/>
  <c r="AJ129" i="1"/>
  <c r="AJ28" i="1"/>
  <c r="AJ73" i="1"/>
  <c r="AJ15" i="1"/>
  <c r="AD128" i="1"/>
  <c r="AD123" i="1"/>
  <c r="AD177" i="1"/>
  <c r="N12" i="13"/>
  <c r="AD25" i="1"/>
  <c r="AD14" i="1"/>
  <c r="AD32" i="1"/>
  <c r="AD27" i="1"/>
  <c r="AD70" i="1"/>
  <c r="CL9" i="15" l="1"/>
  <c r="CA6" i="15"/>
  <c r="CB6" i="15" s="1"/>
  <c r="CA12" i="15"/>
  <c r="CB12" i="15" s="1"/>
  <c r="CA16" i="15"/>
  <c r="CB16" i="15" s="1"/>
  <c r="CA20" i="15"/>
  <c r="CB20" i="15" s="1"/>
  <c r="CA24" i="15"/>
  <c r="CB24" i="15" s="1"/>
  <c r="CA28" i="15"/>
  <c r="CB28" i="15" s="1"/>
  <c r="CA32" i="15"/>
  <c r="CB32" i="15" s="1"/>
  <c r="CA36" i="15"/>
  <c r="CA40" i="15"/>
  <c r="CB40" i="15" s="1"/>
  <c r="CA44" i="15"/>
  <c r="CB44" i="15" s="1"/>
  <c r="CA48" i="15"/>
  <c r="CB48" i="15" s="1"/>
  <c r="CA52" i="15"/>
  <c r="CB52" i="15" s="1"/>
  <c r="CA56" i="15"/>
  <c r="CB56" i="15" s="1"/>
  <c r="CA60" i="15"/>
  <c r="CB60" i="15" s="1"/>
  <c r="CA64" i="15"/>
  <c r="CB64" i="15" s="1"/>
  <c r="CA68" i="15"/>
  <c r="CB68" i="15" s="1"/>
  <c r="CA72" i="15"/>
  <c r="CB72" i="15" s="1"/>
  <c r="CA76" i="15"/>
  <c r="CB76" i="15" s="1"/>
  <c r="CA80" i="15"/>
  <c r="CB80" i="15" s="1"/>
  <c r="CA84" i="15"/>
  <c r="CB84" i="15" s="1"/>
  <c r="CA88" i="15"/>
  <c r="CA92" i="15"/>
  <c r="CB92" i="15" s="1"/>
  <c r="CA96" i="15"/>
  <c r="CB96" i="15" s="1"/>
  <c r="CA100" i="15"/>
  <c r="CB100" i="15" s="1"/>
  <c r="CA104" i="15"/>
  <c r="CA108" i="15"/>
  <c r="CB108" i="15" s="1"/>
  <c r="CA112" i="15"/>
  <c r="CB112" i="15" s="1"/>
  <c r="CA116" i="15"/>
  <c r="CB116" i="15" s="1"/>
  <c r="CA120" i="15"/>
  <c r="CB120" i="15" s="1"/>
  <c r="CA124" i="15"/>
  <c r="CB124" i="15" s="1"/>
  <c r="CA128" i="15"/>
  <c r="CB128" i="15" s="1"/>
  <c r="CA132" i="15"/>
  <c r="CA136" i="15"/>
  <c r="CB136" i="15" s="1"/>
  <c r="CA140" i="15"/>
  <c r="CB140" i="15" s="1"/>
  <c r="CA144" i="15"/>
  <c r="CB144" i="15" s="1"/>
  <c r="CA148" i="15"/>
  <c r="CB148" i="15" s="1"/>
  <c r="CA152" i="15"/>
  <c r="CB152" i="15" s="1"/>
  <c r="CA156" i="15"/>
  <c r="CB156" i="15" s="1"/>
  <c r="CA160" i="15"/>
  <c r="CB160" i="15" s="1"/>
  <c r="CA164" i="15"/>
  <c r="CB164" i="15" s="1"/>
  <c r="CA168" i="15"/>
  <c r="CB168" i="15" s="1"/>
  <c r="CA172" i="15"/>
  <c r="CB172" i="15" s="1"/>
  <c r="CA176" i="15"/>
  <c r="CB176" i="15" s="1"/>
  <c r="CA180" i="15"/>
  <c r="CB180" i="15" s="1"/>
  <c r="CA184" i="15"/>
  <c r="CB184" i="15" s="1"/>
  <c r="CA188" i="15"/>
  <c r="CB188" i="15" s="1"/>
  <c r="CA192" i="15"/>
  <c r="CB192" i="15" s="1"/>
  <c r="CA196" i="15"/>
  <c r="CB196" i="15" s="1"/>
  <c r="CA200" i="15"/>
  <c r="CA204" i="15"/>
  <c r="CB204" i="15" s="1"/>
  <c r="CA208" i="15"/>
  <c r="CB208" i="15" s="1"/>
  <c r="CA212" i="15"/>
  <c r="CB212" i="15" s="1"/>
  <c r="CA216" i="15"/>
  <c r="CB216" i="15" s="1"/>
  <c r="CA220" i="15"/>
  <c r="CB220" i="15" s="1"/>
  <c r="CA224" i="15"/>
  <c r="CB224" i="15" s="1"/>
  <c r="CA228" i="15"/>
  <c r="CB228" i="15" s="1"/>
  <c r="CA232" i="15"/>
  <c r="CB232" i="15" s="1"/>
  <c r="CA236" i="15"/>
  <c r="CB236" i="15" s="1"/>
  <c r="CA240" i="15"/>
  <c r="CB240" i="15" s="1"/>
  <c r="CA244" i="15"/>
  <c r="CA248" i="15"/>
  <c r="CB248" i="15" s="1"/>
  <c r="CA252" i="15"/>
  <c r="CB252" i="15" s="1"/>
  <c r="CA8" i="15"/>
  <c r="CB8" i="15" s="1"/>
  <c r="CA13" i="15"/>
  <c r="CB13" i="15" s="1"/>
  <c r="CA17" i="15"/>
  <c r="CB17" i="15" s="1"/>
  <c r="CA21" i="15"/>
  <c r="CB21" i="15" s="1"/>
  <c r="CA25" i="15"/>
  <c r="CB25" i="15" s="1"/>
  <c r="CA29" i="15"/>
  <c r="CB29" i="15" s="1"/>
  <c r="CA33" i="15"/>
  <c r="CB33" i="15" s="1"/>
  <c r="CA37" i="15"/>
  <c r="CB37" i="15" s="1"/>
  <c r="CA41" i="15"/>
  <c r="CB41" i="15" s="1"/>
  <c r="CA45" i="15"/>
  <c r="CA49" i="15"/>
  <c r="CB49" i="15" s="1"/>
  <c r="CA53" i="15"/>
  <c r="CB53" i="15" s="1"/>
  <c r="CA57" i="15"/>
  <c r="CB57" i="15" s="1"/>
  <c r="CA61" i="15"/>
  <c r="CB61" i="15" s="1"/>
  <c r="CA65" i="15"/>
  <c r="CB65" i="15" s="1"/>
  <c r="CA69" i="15"/>
  <c r="CB69" i="15" s="1"/>
  <c r="CA73" i="15"/>
  <c r="CB73" i="15" s="1"/>
  <c r="CA77" i="15"/>
  <c r="CB77" i="15" s="1"/>
  <c r="CA81" i="15"/>
  <c r="CB81" i="15" s="1"/>
  <c r="CA85" i="15"/>
  <c r="CB85" i="15" s="1"/>
  <c r="CA89" i="15"/>
  <c r="CB89" i="15" s="1"/>
  <c r="CA93" i="15"/>
  <c r="CB93" i="15" s="1"/>
  <c r="CA97" i="15"/>
  <c r="CB97" i="15" s="1"/>
  <c r="CA101" i="15"/>
  <c r="CB101" i="15" s="1"/>
  <c r="CA105" i="15"/>
  <c r="CB105" i="15" s="1"/>
  <c r="CA109" i="15"/>
  <c r="CB109" i="15" s="1"/>
  <c r="CA113" i="15"/>
  <c r="CB113" i="15" s="1"/>
  <c r="CA117" i="15"/>
  <c r="CB117" i="15" s="1"/>
  <c r="CA121" i="15"/>
  <c r="CB121" i="15" s="1"/>
  <c r="CA125" i="15"/>
  <c r="CB125" i="15" s="1"/>
  <c r="CA129" i="15"/>
  <c r="CB129" i="15" s="1"/>
  <c r="CA133" i="15"/>
  <c r="CB133" i="15" s="1"/>
  <c r="CA137" i="15"/>
  <c r="CB137" i="15" s="1"/>
  <c r="CA141" i="15"/>
  <c r="CB141" i="15" s="1"/>
  <c r="CA145" i="15"/>
  <c r="CB145" i="15" s="1"/>
  <c r="CA149" i="15"/>
  <c r="CB149" i="15" s="1"/>
  <c r="CA153" i="15"/>
  <c r="CA157" i="15"/>
  <c r="CB157" i="15" s="1"/>
  <c r="CA161" i="15"/>
  <c r="CB161" i="15" s="1"/>
  <c r="CA165" i="15"/>
  <c r="CB165" i="15" s="1"/>
  <c r="CA169" i="15"/>
  <c r="CB169" i="15" s="1"/>
  <c r="CA173" i="15"/>
  <c r="CB173" i="15" s="1"/>
  <c r="CA177" i="15"/>
  <c r="CA181" i="15"/>
  <c r="CB181" i="15" s="1"/>
  <c r="CA185" i="15"/>
  <c r="CB185" i="15" s="1"/>
  <c r="CA189" i="15"/>
  <c r="CB189" i="15" s="1"/>
  <c r="CA193" i="15"/>
  <c r="CB193" i="15" s="1"/>
  <c r="CA197" i="15"/>
  <c r="CB197" i="15" s="1"/>
  <c r="CA201" i="15"/>
  <c r="CB201" i="15" s="1"/>
  <c r="CA205" i="15"/>
  <c r="CB205" i="15" s="1"/>
  <c r="CA209" i="15"/>
  <c r="CB209" i="15" s="1"/>
  <c r="CA213" i="15"/>
  <c r="CB213" i="15" s="1"/>
  <c r="CA217" i="15"/>
  <c r="CB217" i="15" s="1"/>
  <c r="CA221" i="15"/>
  <c r="CB221" i="15" s="1"/>
  <c r="CA225" i="15"/>
  <c r="CB225" i="15" s="1"/>
  <c r="CA229" i="15"/>
  <c r="CB229" i="15" s="1"/>
  <c r="CA233" i="15"/>
  <c r="CB233" i="15" s="1"/>
  <c r="CA237" i="15"/>
  <c r="CB237" i="15" s="1"/>
  <c r="CA241" i="15"/>
  <c r="CB241" i="15" s="1"/>
  <c r="CA245" i="15"/>
  <c r="CB245" i="15" s="1"/>
  <c r="CA249" i="15"/>
  <c r="CB249" i="15" s="1"/>
  <c r="CA253" i="15"/>
  <c r="CB253" i="15" s="1"/>
  <c r="CA9" i="15"/>
  <c r="CB9" i="15" s="1"/>
  <c r="CA14" i="15"/>
  <c r="CB14" i="15" s="1"/>
  <c r="CA11" i="15"/>
  <c r="CB11" i="15" s="1"/>
  <c r="CA22" i="15"/>
  <c r="CB22" i="15" s="1"/>
  <c r="CA30" i="15"/>
  <c r="CB30" i="15" s="1"/>
  <c r="CA38" i="15"/>
  <c r="CB38" i="15" s="1"/>
  <c r="CA46" i="15"/>
  <c r="CB46" i="15" s="1"/>
  <c r="CA54" i="15"/>
  <c r="CB54" i="15" s="1"/>
  <c r="CA62" i="15"/>
  <c r="CB62" i="15" s="1"/>
  <c r="CA70" i="15"/>
  <c r="CB70" i="15" s="1"/>
  <c r="CA78" i="15"/>
  <c r="CB78" i="15" s="1"/>
  <c r="CA86" i="15"/>
  <c r="CB86" i="15" s="1"/>
  <c r="CA94" i="15"/>
  <c r="CB94" i="15" s="1"/>
  <c r="CA102" i="15"/>
  <c r="CB102" i="15" s="1"/>
  <c r="CA110" i="15"/>
  <c r="CB110" i="15" s="1"/>
  <c r="CA118" i="15"/>
  <c r="CB118" i="15" s="1"/>
  <c r="CA126" i="15"/>
  <c r="CB126" i="15" s="1"/>
  <c r="CA134" i="15"/>
  <c r="CB134" i="15" s="1"/>
  <c r="CA142" i="15"/>
  <c r="CB142" i="15" s="1"/>
  <c r="CA158" i="15"/>
  <c r="CB158" i="15" s="1"/>
  <c r="CA166" i="15"/>
  <c r="CB166" i="15" s="1"/>
  <c r="CA174" i="15"/>
  <c r="CB174" i="15" s="1"/>
  <c r="CA182" i="15"/>
  <c r="CB182" i="15" s="1"/>
  <c r="CA190" i="15"/>
  <c r="CB190" i="15" s="1"/>
  <c r="CA198" i="15"/>
  <c r="CB198" i="15" s="1"/>
  <c r="CA206" i="15"/>
  <c r="CB206" i="15" s="1"/>
  <c r="CA214" i="15"/>
  <c r="CB214" i="15" s="1"/>
  <c r="CA222" i="15"/>
  <c r="CB222" i="15" s="1"/>
  <c r="CA230" i="15"/>
  <c r="CA238" i="15"/>
  <c r="CB238" i="15" s="1"/>
  <c r="CA246" i="15"/>
  <c r="CB246" i="15" s="1"/>
  <c r="CA254" i="15"/>
  <c r="CB254" i="15" s="1"/>
  <c r="CA258" i="15"/>
  <c r="CB258" i="15" s="1"/>
  <c r="CA262" i="15"/>
  <c r="CB262" i="15" s="1"/>
  <c r="CA266" i="15"/>
  <c r="CB266" i="15" s="1"/>
  <c r="CA270" i="15"/>
  <c r="CB270" i="15" s="1"/>
  <c r="CA274" i="15"/>
  <c r="CB274" i="15" s="1"/>
  <c r="CA278" i="15"/>
  <c r="CB278" i="15" s="1"/>
  <c r="CA282" i="15"/>
  <c r="CB282" i="15" s="1"/>
  <c r="CA286" i="15"/>
  <c r="CB286" i="15" s="1"/>
  <c r="CA290" i="15"/>
  <c r="CB290" i="15" s="1"/>
  <c r="CA294" i="15"/>
  <c r="CB294" i="15" s="1"/>
  <c r="CA298" i="15"/>
  <c r="CB298" i="15" s="1"/>
  <c r="CA302" i="15"/>
  <c r="CB302" i="15" s="1"/>
  <c r="CA306" i="15"/>
  <c r="CB306" i="15" s="1"/>
  <c r="CA310" i="15"/>
  <c r="CB310" i="15" s="1"/>
  <c r="CA314" i="15"/>
  <c r="CB314" i="15" s="1"/>
  <c r="CA318" i="15"/>
  <c r="CB318" i="15" s="1"/>
  <c r="CA322" i="15"/>
  <c r="CB322" i="15" s="1"/>
  <c r="CA326" i="15"/>
  <c r="CB326" i="15" s="1"/>
  <c r="CA330" i="15"/>
  <c r="CB330" i="15" s="1"/>
  <c r="CA334" i="15"/>
  <c r="CB334" i="15" s="1"/>
  <c r="CA338" i="15"/>
  <c r="CB338" i="15" s="1"/>
  <c r="CA342" i="15"/>
  <c r="CB342" i="15" s="1"/>
  <c r="CA346" i="15"/>
  <c r="CB346" i="15" s="1"/>
  <c r="CA350" i="15"/>
  <c r="CB350" i="15" s="1"/>
  <c r="CA354" i="15"/>
  <c r="CB354" i="15" s="1"/>
  <c r="CA358" i="15"/>
  <c r="CB358" i="15" s="1"/>
  <c r="CA362" i="15"/>
  <c r="CB362" i="15" s="1"/>
  <c r="CA366" i="15"/>
  <c r="CB366" i="15" s="1"/>
  <c r="CA370" i="15"/>
  <c r="CB370" i="15" s="1"/>
  <c r="CA374" i="15"/>
  <c r="CB374" i="15" s="1"/>
  <c r="CA378" i="15"/>
  <c r="CB378" i="15" s="1"/>
  <c r="CA382" i="15"/>
  <c r="CB382" i="15" s="1"/>
  <c r="CA386" i="15"/>
  <c r="CB386" i="15" s="1"/>
  <c r="CA390" i="15"/>
  <c r="CB390" i="15" s="1"/>
  <c r="CA394" i="15"/>
  <c r="CB394" i="15" s="1"/>
  <c r="CA398" i="15"/>
  <c r="CB398" i="15" s="1"/>
  <c r="CA402" i="15"/>
  <c r="CB402" i="15" s="1"/>
  <c r="CA406" i="15"/>
  <c r="CB406" i="15" s="1"/>
  <c r="CA410" i="15"/>
  <c r="CB410" i="15" s="1"/>
  <c r="CA414" i="15"/>
  <c r="CB414" i="15" s="1"/>
  <c r="CA418" i="15"/>
  <c r="CB418" i="15" s="1"/>
  <c r="CA422" i="15"/>
  <c r="CB422" i="15" s="1"/>
  <c r="CA426" i="15"/>
  <c r="CB426" i="15" s="1"/>
  <c r="CA430" i="15"/>
  <c r="CB430" i="15" s="1"/>
  <c r="CA434" i="15"/>
  <c r="CB434" i="15" s="1"/>
  <c r="CA438" i="15"/>
  <c r="CB438" i="15" s="1"/>
  <c r="CA442" i="15"/>
  <c r="CB442" i="15" s="1"/>
  <c r="CA446" i="15"/>
  <c r="CB446" i="15" s="1"/>
  <c r="CA450" i="15"/>
  <c r="CB450" i="15" s="1"/>
  <c r="CA454" i="15"/>
  <c r="CB454" i="15" s="1"/>
  <c r="CA458" i="15"/>
  <c r="CB458" i="15" s="1"/>
  <c r="CA462" i="15"/>
  <c r="CB462" i="15" s="1"/>
  <c r="CA466" i="15"/>
  <c r="CB466" i="15" s="1"/>
  <c r="CA470" i="15"/>
  <c r="CB470" i="15" s="1"/>
  <c r="CA474" i="15"/>
  <c r="CB474" i="15" s="1"/>
  <c r="CA494" i="15"/>
  <c r="CB494" i="15" s="1"/>
  <c r="CA498" i="15"/>
  <c r="CB498" i="15" s="1"/>
  <c r="CA502" i="15"/>
  <c r="CB502" i="15" s="1"/>
  <c r="CA506" i="15"/>
  <c r="CB506" i="15" s="1"/>
  <c r="CA510" i="15"/>
  <c r="CB510" i="15" s="1"/>
  <c r="CA514" i="15"/>
  <c r="CB514" i="15" s="1"/>
  <c r="CA518" i="15"/>
  <c r="CB518" i="15" s="1"/>
  <c r="CA522" i="15"/>
  <c r="CB522" i="15" s="1"/>
  <c r="CA526" i="15"/>
  <c r="CB526" i="15" s="1"/>
  <c r="CA530" i="15"/>
  <c r="CB530" i="15" s="1"/>
  <c r="CA534" i="15"/>
  <c r="CB534" i="15" s="1"/>
  <c r="CA538" i="15"/>
  <c r="CB538" i="15" s="1"/>
  <c r="CA542" i="15"/>
  <c r="CB542" i="15" s="1"/>
  <c r="CA546" i="15"/>
  <c r="CB546" i="15" s="1"/>
  <c r="CA550" i="15"/>
  <c r="CB550" i="15" s="1"/>
  <c r="CA554" i="15"/>
  <c r="CB554" i="15" s="1"/>
  <c r="CA558" i="15"/>
  <c r="CB558" i="15" s="1"/>
  <c r="CA562" i="15"/>
  <c r="CB562" i="15" s="1"/>
  <c r="CA566" i="15"/>
  <c r="CB566" i="15" s="1"/>
  <c r="CA570" i="15"/>
  <c r="CB570" i="15" s="1"/>
  <c r="CA574" i="15"/>
  <c r="CB574" i="15" s="1"/>
  <c r="CA578" i="15"/>
  <c r="CB578" i="15" s="1"/>
  <c r="CA582" i="15"/>
  <c r="CB582" i="15" s="1"/>
  <c r="CA586" i="15"/>
  <c r="CB586" i="15" s="1"/>
  <c r="CA590" i="15"/>
  <c r="CB590" i="15" s="1"/>
  <c r="CA15" i="15"/>
  <c r="CB15" i="15" s="1"/>
  <c r="CA23" i="15"/>
  <c r="CB23" i="15" s="1"/>
  <c r="CA31" i="15"/>
  <c r="CB31" i="15" s="1"/>
  <c r="CA39" i="15"/>
  <c r="CB39" i="15" s="1"/>
  <c r="CA47" i="15"/>
  <c r="CB47" i="15" s="1"/>
  <c r="CA55" i="15"/>
  <c r="CB55" i="15" s="1"/>
  <c r="CA63" i="15"/>
  <c r="CB63" i="15" s="1"/>
  <c r="CA71" i="15"/>
  <c r="CB71" i="15" s="1"/>
  <c r="CA79" i="15"/>
  <c r="CB79" i="15" s="1"/>
  <c r="CA87" i="15"/>
  <c r="CB87" i="15" s="1"/>
  <c r="CA95" i="15"/>
  <c r="CB95" i="15" s="1"/>
  <c r="CA103" i="15"/>
  <c r="CB103" i="15" s="1"/>
  <c r="CA111" i="15"/>
  <c r="CB111" i="15" s="1"/>
  <c r="CA119" i="15"/>
  <c r="CB119" i="15" s="1"/>
  <c r="CA127" i="15"/>
  <c r="CB127" i="15" s="1"/>
  <c r="CA135" i="15"/>
  <c r="CB135" i="15" s="1"/>
  <c r="CA143" i="15"/>
  <c r="CB143" i="15" s="1"/>
  <c r="CA151" i="15"/>
  <c r="CB151" i="15" s="1"/>
  <c r="CA159" i="15"/>
  <c r="CB159" i="15" s="1"/>
  <c r="CA167" i="15"/>
  <c r="CB167" i="15" s="1"/>
  <c r="CA175" i="15"/>
  <c r="CB175" i="15" s="1"/>
  <c r="CA183" i="15"/>
  <c r="CB183" i="15" s="1"/>
  <c r="CA191" i="15"/>
  <c r="CB191" i="15" s="1"/>
  <c r="CA199" i="15"/>
  <c r="CB199" i="15" s="1"/>
  <c r="CA207" i="15"/>
  <c r="CB207" i="15" s="1"/>
  <c r="CA215" i="15"/>
  <c r="CB215" i="15" s="1"/>
  <c r="CA223" i="15"/>
  <c r="CB223" i="15" s="1"/>
  <c r="CA231" i="15"/>
  <c r="CB231" i="15" s="1"/>
  <c r="CA239" i="15"/>
  <c r="CB239" i="15" s="1"/>
  <c r="CA247" i="15"/>
  <c r="CB247" i="15" s="1"/>
  <c r="CA255" i="15"/>
  <c r="CB255" i="15" s="1"/>
  <c r="CA259" i="15"/>
  <c r="CB259" i="15" s="1"/>
  <c r="CA263" i="15"/>
  <c r="CB263" i="15" s="1"/>
  <c r="CA267" i="15"/>
  <c r="CB267" i="15" s="1"/>
  <c r="CA271" i="15"/>
  <c r="CB271" i="15" s="1"/>
  <c r="CA275" i="15"/>
  <c r="CB275" i="15" s="1"/>
  <c r="CA279" i="15"/>
  <c r="CB279" i="15" s="1"/>
  <c r="CA283" i="15"/>
  <c r="CB283" i="15" s="1"/>
  <c r="CA287" i="15"/>
  <c r="CB287" i="15" s="1"/>
  <c r="CA291" i="15"/>
  <c r="CB291" i="15" s="1"/>
  <c r="CA295" i="15"/>
  <c r="CB295" i="15" s="1"/>
  <c r="CA299" i="15"/>
  <c r="CB299" i="15" s="1"/>
  <c r="CA303" i="15"/>
  <c r="CB303" i="15" s="1"/>
  <c r="CA307" i="15"/>
  <c r="CB307" i="15" s="1"/>
  <c r="CA311" i="15"/>
  <c r="CB311" i="15" s="1"/>
  <c r="CA315" i="15"/>
  <c r="CA319" i="15"/>
  <c r="CB319" i="15" s="1"/>
  <c r="CA323" i="15"/>
  <c r="CB323" i="15" s="1"/>
  <c r="CA327" i="15"/>
  <c r="CB327" i="15" s="1"/>
  <c r="CA331" i="15"/>
  <c r="CB331" i="15" s="1"/>
  <c r="CA335" i="15"/>
  <c r="CB335" i="15" s="1"/>
  <c r="CA339" i="15"/>
  <c r="CB339" i="15" s="1"/>
  <c r="CA343" i="15"/>
  <c r="CB343" i="15" s="1"/>
  <c r="CA347" i="15"/>
  <c r="CB347" i="15" s="1"/>
  <c r="CA351" i="15"/>
  <c r="CB351" i="15" s="1"/>
  <c r="CA355" i="15"/>
  <c r="CB355" i="15" s="1"/>
  <c r="CA359" i="15"/>
  <c r="CB359" i="15" s="1"/>
  <c r="CA363" i="15"/>
  <c r="CB363" i="15" s="1"/>
  <c r="CA367" i="15"/>
  <c r="CB367" i="15" s="1"/>
  <c r="CA371" i="15"/>
  <c r="CB371" i="15" s="1"/>
  <c r="CA375" i="15"/>
  <c r="CB375" i="15" s="1"/>
  <c r="CA379" i="15"/>
  <c r="CB379" i="15" s="1"/>
  <c r="CA383" i="15"/>
  <c r="CB383" i="15" s="1"/>
  <c r="CA387" i="15"/>
  <c r="CB387" i="15" s="1"/>
  <c r="CA391" i="15"/>
  <c r="CB391" i="15" s="1"/>
  <c r="CA395" i="15"/>
  <c r="CB395" i="15" s="1"/>
  <c r="CA399" i="15"/>
  <c r="CB399" i="15" s="1"/>
  <c r="CA403" i="15"/>
  <c r="CB403" i="15" s="1"/>
  <c r="CA407" i="15"/>
  <c r="CB407" i="15" s="1"/>
  <c r="CA411" i="15"/>
  <c r="CB411" i="15" s="1"/>
  <c r="CA415" i="15"/>
  <c r="CB415" i="15" s="1"/>
  <c r="CA419" i="15"/>
  <c r="CB419" i="15" s="1"/>
  <c r="CA423" i="15"/>
  <c r="CB423" i="15" s="1"/>
  <c r="CA427" i="15"/>
  <c r="CB427" i="15" s="1"/>
  <c r="CA431" i="15"/>
  <c r="CB431" i="15" s="1"/>
  <c r="CA435" i="15"/>
  <c r="CB435" i="15" s="1"/>
  <c r="CA439" i="15"/>
  <c r="CB439" i="15" s="1"/>
  <c r="CA443" i="15"/>
  <c r="CB443" i="15" s="1"/>
  <c r="CA447" i="15"/>
  <c r="CB447" i="15" s="1"/>
  <c r="CA451" i="15"/>
  <c r="CB451" i="15" s="1"/>
  <c r="CA455" i="15"/>
  <c r="CB455" i="15" s="1"/>
  <c r="CA459" i="15"/>
  <c r="CB459" i="15" s="1"/>
  <c r="CA463" i="15"/>
  <c r="CB463" i="15" s="1"/>
  <c r="CA467" i="15"/>
  <c r="CB467" i="15" s="1"/>
  <c r="CA471" i="15"/>
  <c r="CB471" i="15" s="1"/>
  <c r="CA491" i="15"/>
  <c r="CB491" i="15" s="1"/>
  <c r="CA495" i="15"/>
  <c r="CB495" i="15" s="1"/>
  <c r="CA499" i="15"/>
  <c r="CB499" i="15" s="1"/>
  <c r="CA503" i="15"/>
  <c r="CB503" i="15" s="1"/>
  <c r="CA507" i="15"/>
  <c r="CB507" i="15" s="1"/>
  <c r="CA511" i="15"/>
  <c r="CB511" i="15" s="1"/>
  <c r="CA515" i="15"/>
  <c r="CB515" i="15" s="1"/>
  <c r="CA519" i="15"/>
  <c r="CB519" i="15" s="1"/>
  <c r="CA523" i="15"/>
  <c r="CB523" i="15" s="1"/>
  <c r="CA527" i="15"/>
  <c r="CB527" i="15" s="1"/>
  <c r="CA531" i="15"/>
  <c r="CB531" i="15" s="1"/>
  <c r="CA535" i="15"/>
  <c r="CB535" i="15" s="1"/>
  <c r="CA539" i="15"/>
  <c r="CB539" i="15" s="1"/>
  <c r="CA543" i="15"/>
  <c r="CB543" i="15" s="1"/>
  <c r="CA547" i="15"/>
  <c r="CB547" i="15" s="1"/>
  <c r="CA551" i="15"/>
  <c r="CB551" i="15" s="1"/>
  <c r="CA555" i="15"/>
  <c r="CB555" i="15" s="1"/>
  <c r="CA559" i="15"/>
  <c r="CB559" i="15" s="1"/>
  <c r="CA563" i="15"/>
  <c r="CB563" i="15" s="1"/>
  <c r="CA567" i="15"/>
  <c r="CB567" i="15" s="1"/>
  <c r="CA571" i="15"/>
  <c r="CB571" i="15" s="1"/>
  <c r="CA575" i="15"/>
  <c r="CB575" i="15" s="1"/>
  <c r="CA579" i="15"/>
  <c r="CB579" i="15" s="1"/>
  <c r="CA583" i="15"/>
  <c r="CB583" i="15" s="1"/>
  <c r="CA587" i="15"/>
  <c r="CB587" i="15" s="1"/>
  <c r="CA591" i="15"/>
  <c r="CB591" i="15" s="1"/>
  <c r="CA595" i="15"/>
  <c r="CB595" i="15" s="1"/>
  <c r="CA599" i="15"/>
  <c r="CB599" i="15" s="1"/>
  <c r="CA603" i="15"/>
  <c r="CB603" i="15" s="1"/>
  <c r="CA607" i="15"/>
  <c r="CB607" i="15" s="1"/>
  <c r="CA611" i="15"/>
  <c r="CB611" i="15" s="1"/>
  <c r="CA615" i="15"/>
  <c r="CB615" i="15" s="1"/>
  <c r="CA619" i="15"/>
  <c r="CB619" i="15" s="1"/>
  <c r="CA623" i="15"/>
  <c r="CB623" i="15" s="1"/>
  <c r="CA627" i="15"/>
  <c r="CB627" i="15" s="1"/>
  <c r="CA631" i="15"/>
  <c r="CB631" i="15" s="1"/>
  <c r="CA635" i="15"/>
  <c r="CB635" i="15" s="1"/>
  <c r="CA639" i="15"/>
  <c r="CB639" i="15" s="1"/>
  <c r="CA643" i="15"/>
  <c r="CB643" i="15" s="1"/>
  <c r="CA647" i="15"/>
  <c r="CB647" i="15" s="1"/>
  <c r="CA651" i="15"/>
  <c r="CB651" i="15" s="1"/>
  <c r="CA655" i="15"/>
  <c r="CB655" i="15" s="1"/>
  <c r="CA659" i="15"/>
  <c r="CB659" i="15" s="1"/>
  <c r="CA663" i="15"/>
  <c r="CB663" i="15" s="1"/>
  <c r="CA667" i="15"/>
  <c r="CB667" i="15" s="1"/>
  <c r="CA671" i="15"/>
  <c r="CB671" i="15" s="1"/>
  <c r="CA675" i="15"/>
  <c r="CB675" i="15" s="1"/>
  <c r="CA679" i="15"/>
  <c r="CB679" i="15" s="1"/>
  <c r="CA683" i="15"/>
  <c r="CB683" i="15" s="1"/>
  <c r="CA687" i="15"/>
  <c r="CB687" i="15" s="1"/>
  <c r="CA691" i="15"/>
  <c r="CB691" i="15" s="1"/>
  <c r="CA695" i="15"/>
  <c r="CB695" i="15" s="1"/>
  <c r="CA699" i="15"/>
  <c r="CB699" i="15" s="1"/>
  <c r="CA703" i="15"/>
  <c r="CB703" i="15" s="1"/>
  <c r="CA707" i="15"/>
  <c r="CB707" i="15" s="1"/>
  <c r="CA18" i="15"/>
  <c r="CB18" i="15" s="1"/>
  <c r="CA26" i="15"/>
  <c r="CB26" i="15" s="1"/>
  <c r="CA34" i="15"/>
  <c r="CB34" i="15" s="1"/>
  <c r="CA42" i="15"/>
  <c r="CB42" i="15" s="1"/>
  <c r="CA50" i="15"/>
  <c r="CB50" i="15" s="1"/>
  <c r="CA58" i="15"/>
  <c r="CB58" i="15" s="1"/>
  <c r="CA66" i="15"/>
  <c r="CB66" i="15" s="1"/>
  <c r="CA74" i="15"/>
  <c r="CB74" i="15" s="1"/>
  <c r="CA82" i="15"/>
  <c r="CB82" i="15" s="1"/>
  <c r="CA90" i="15"/>
  <c r="CB90" i="15" s="1"/>
  <c r="CA98" i="15"/>
  <c r="CB98" i="15" s="1"/>
  <c r="CA106" i="15"/>
  <c r="CB106" i="15" s="1"/>
  <c r="CA114" i="15"/>
  <c r="CB114" i="15" s="1"/>
  <c r="CA122" i="15"/>
  <c r="CB122" i="15" s="1"/>
  <c r="CA130" i="15"/>
  <c r="CB130" i="15" s="1"/>
  <c r="CA138" i="15"/>
  <c r="CB138" i="15" s="1"/>
  <c r="CA146" i="15"/>
  <c r="CB146" i="15" s="1"/>
  <c r="CA154" i="15"/>
  <c r="CB154" i="15" s="1"/>
  <c r="CA162" i="15"/>
  <c r="CB162" i="15" s="1"/>
  <c r="CA170" i="15"/>
  <c r="CB170" i="15" s="1"/>
  <c r="CA178" i="15"/>
  <c r="CB178" i="15" s="1"/>
  <c r="CA186" i="15"/>
  <c r="CB186" i="15" s="1"/>
  <c r="CA194" i="15"/>
  <c r="CB194" i="15" s="1"/>
  <c r="CA202" i="15"/>
  <c r="CB202" i="15" s="1"/>
  <c r="CA210" i="15"/>
  <c r="CB210" i="15" s="1"/>
  <c r="CA218" i="15"/>
  <c r="CB218" i="15" s="1"/>
  <c r="CA226" i="15"/>
  <c r="CB226" i="15" s="1"/>
  <c r="CA234" i="15"/>
  <c r="CB234" i="15" s="1"/>
  <c r="CA242" i="15"/>
  <c r="CB242" i="15" s="1"/>
  <c r="CA250" i="15"/>
  <c r="CB250" i="15" s="1"/>
  <c r="CA256" i="15"/>
  <c r="CB256" i="15" s="1"/>
  <c r="CA260" i="15"/>
  <c r="CB260" i="15" s="1"/>
  <c r="CA264" i="15"/>
  <c r="CA268" i="15"/>
  <c r="CB268" i="15" s="1"/>
  <c r="CA272" i="15"/>
  <c r="CB272" i="15" s="1"/>
  <c r="CA276" i="15"/>
  <c r="CB276" i="15" s="1"/>
  <c r="CA280" i="15"/>
  <c r="CB280" i="15" s="1"/>
  <c r="CA284" i="15"/>
  <c r="CB284" i="15" s="1"/>
  <c r="CA288" i="15"/>
  <c r="CB288" i="15" s="1"/>
  <c r="CA292" i="15"/>
  <c r="CB292" i="15" s="1"/>
  <c r="CA296" i="15"/>
  <c r="CB296" i="15" s="1"/>
  <c r="CA300" i="15"/>
  <c r="CB300" i="15" s="1"/>
  <c r="CA304" i="15"/>
  <c r="CB304" i="15" s="1"/>
  <c r="CA308" i="15"/>
  <c r="CB308" i="15" s="1"/>
  <c r="CA312" i="15"/>
  <c r="CB312" i="15" s="1"/>
  <c r="CA316" i="15"/>
  <c r="CB316" i="15" s="1"/>
  <c r="CA320" i="15"/>
  <c r="CB320" i="15" s="1"/>
  <c r="CA324" i="15"/>
  <c r="CB324" i="15" s="1"/>
  <c r="CA328" i="15"/>
  <c r="CB328" i="15" s="1"/>
  <c r="CA332" i="15"/>
  <c r="CB332" i="15" s="1"/>
  <c r="CA336" i="15"/>
  <c r="CB336" i="15" s="1"/>
  <c r="CA340" i="15"/>
  <c r="CB340" i="15" s="1"/>
  <c r="CA344" i="15"/>
  <c r="CB344" i="15" s="1"/>
  <c r="CA348" i="15"/>
  <c r="CB348" i="15" s="1"/>
  <c r="CA352" i="15"/>
  <c r="CB352" i="15" s="1"/>
  <c r="CA356" i="15"/>
  <c r="CB356" i="15" s="1"/>
  <c r="CA360" i="15"/>
  <c r="CB360" i="15" s="1"/>
  <c r="CA364" i="15"/>
  <c r="CB364" i="15" s="1"/>
  <c r="CA368" i="15"/>
  <c r="CB368" i="15" s="1"/>
  <c r="CA372" i="15"/>
  <c r="CB372" i="15" s="1"/>
  <c r="CA376" i="15"/>
  <c r="CB376" i="15" s="1"/>
  <c r="CA380" i="15"/>
  <c r="CB380" i="15" s="1"/>
  <c r="CA384" i="15"/>
  <c r="CB384" i="15" s="1"/>
  <c r="CA388" i="15"/>
  <c r="CA392" i="15"/>
  <c r="CB392" i="15" s="1"/>
  <c r="CA396" i="15"/>
  <c r="CB396" i="15" s="1"/>
  <c r="CA400" i="15"/>
  <c r="CB400" i="15" s="1"/>
  <c r="CA404" i="15"/>
  <c r="CB404" i="15" s="1"/>
  <c r="CA408" i="15"/>
  <c r="CB408" i="15" s="1"/>
  <c r="CA412" i="15"/>
  <c r="CB412" i="15" s="1"/>
  <c r="CA416" i="15"/>
  <c r="CB416" i="15" s="1"/>
  <c r="CA420" i="15"/>
  <c r="CB420" i="15" s="1"/>
  <c r="CA424" i="15"/>
  <c r="CB424" i="15" s="1"/>
  <c r="CA428" i="15"/>
  <c r="CB428" i="15" s="1"/>
  <c r="CA432" i="15"/>
  <c r="CB432" i="15" s="1"/>
  <c r="CA436" i="15"/>
  <c r="CB436" i="15" s="1"/>
  <c r="CA440" i="15"/>
  <c r="CB440" i="15" s="1"/>
  <c r="CA444" i="15"/>
  <c r="CB444" i="15" s="1"/>
  <c r="CA448" i="15"/>
  <c r="CB448" i="15" s="1"/>
  <c r="CA452" i="15"/>
  <c r="CB452" i="15" s="1"/>
  <c r="CA456" i="15"/>
  <c r="CB456" i="15" s="1"/>
  <c r="CA460" i="15"/>
  <c r="CB460" i="15" s="1"/>
  <c r="CA464" i="15"/>
  <c r="CB464" i="15" s="1"/>
  <c r="CA468" i="15"/>
  <c r="CB468" i="15" s="1"/>
  <c r="CA472" i="15"/>
  <c r="CB472" i="15" s="1"/>
  <c r="CA492" i="15"/>
  <c r="CB492" i="15" s="1"/>
  <c r="CA496" i="15"/>
  <c r="CB496" i="15" s="1"/>
  <c r="CA500" i="15"/>
  <c r="CB500" i="15" s="1"/>
  <c r="CA504" i="15"/>
  <c r="CB504" i="15" s="1"/>
  <c r="CA508" i="15"/>
  <c r="CB508" i="15" s="1"/>
  <c r="CA512" i="15"/>
  <c r="CB512" i="15" s="1"/>
  <c r="CA516" i="15"/>
  <c r="CB516" i="15" s="1"/>
  <c r="CA520" i="15"/>
  <c r="CB520" i="15" s="1"/>
  <c r="CA524" i="15"/>
  <c r="CB524" i="15" s="1"/>
  <c r="CA528" i="15"/>
  <c r="CB528" i="15" s="1"/>
  <c r="CA532" i="15"/>
  <c r="CB532" i="15" s="1"/>
  <c r="CA536" i="15"/>
  <c r="CB536" i="15" s="1"/>
  <c r="CA540" i="15"/>
  <c r="CB540" i="15" s="1"/>
  <c r="CA544" i="15"/>
  <c r="CB544" i="15" s="1"/>
  <c r="CA548" i="15"/>
  <c r="CB548" i="15" s="1"/>
  <c r="CA552" i="15"/>
  <c r="CB552" i="15" s="1"/>
  <c r="CA556" i="15"/>
  <c r="CB556" i="15" s="1"/>
  <c r="CA560" i="15"/>
  <c r="CB560" i="15" s="1"/>
  <c r="CA564" i="15"/>
  <c r="CB564" i="15" s="1"/>
  <c r="CA568" i="15"/>
  <c r="CB568" i="15" s="1"/>
  <c r="CA572" i="15"/>
  <c r="CB572" i="15" s="1"/>
  <c r="CA576" i="15"/>
  <c r="CB576" i="15" s="1"/>
  <c r="CA580" i="15"/>
  <c r="CB580" i="15" s="1"/>
  <c r="CA584" i="15"/>
  <c r="CB584" i="15" s="1"/>
  <c r="CA588" i="15"/>
  <c r="CB588" i="15" s="1"/>
  <c r="CA592" i="15"/>
  <c r="CB592" i="15" s="1"/>
  <c r="CA596" i="15"/>
  <c r="CB596" i="15" s="1"/>
  <c r="CA600" i="15"/>
  <c r="CB600" i="15" s="1"/>
  <c r="CA604" i="15"/>
  <c r="CA608" i="15"/>
  <c r="CB608" i="15" s="1"/>
  <c r="CA612" i="15"/>
  <c r="CB612" i="15" s="1"/>
  <c r="CA616" i="15"/>
  <c r="CB616" i="15" s="1"/>
  <c r="CA620" i="15"/>
  <c r="CB620" i="15" s="1"/>
  <c r="CA624" i="15"/>
  <c r="CB624" i="15" s="1"/>
  <c r="CA628" i="15"/>
  <c r="CB628" i="15" s="1"/>
  <c r="CA632" i="15"/>
  <c r="CB632" i="15" s="1"/>
  <c r="CA636" i="15"/>
  <c r="CB636" i="15" s="1"/>
  <c r="CA640" i="15"/>
  <c r="CB640" i="15" s="1"/>
  <c r="CA644" i="15"/>
  <c r="CB644" i="15" s="1"/>
  <c r="CA648" i="15"/>
  <c r="CB648" i="15" s="1"/>
  <c r="CA652" i="15"/>
  <c r="CB652" i="15" s="1"/>
  <c r="CA656" i="15"/>
  <c r="CB656" i="15" s="1"/>
  <c r="CA660" i="15"/>
  <c r="CB660" i="15" s="1"/>
  <c r="CA664" i="15"/>
  <c r="CB664" i="15" s="1"/>
  <c r="CA668" i="15"/>
  <c r="CB668" i="15" s="1"/>
  <c r="CA672" i="15"/>
  <c r="CB672" i="15" s="1"/>
  <c r="CA676" i="15"/>
  <c r="CB676" i="15" s="1"/>
  <c r="CA680" i="15"/>
  <c r="CB680" i="15" s="1"/>
  <c r="CA684" i="15"/>
  <c r="CB684" i="15" s="1"/>
  <c r="CA688" i="15"/>
  <c r="CB688" i="15" s="1"/>
  <c r="CA692" i="15"/>
  <c r="CB692" i="15" s="1"/>
  <c r="CA696" i="15"/>
  <c r="CB696" i="15" s="1"/>
  <c r="CA700" i="15"/>
  <c r="CB700" i="15" s="1"/>
  <c r="CA704" i="15"/>
  <c r="CB704" i="15" s="1"/>
  <c r="CA27" i="15"/>
  <c r="CB27" i="15" s="1"/>
  <c r="CA59" i="15"/>
  <c r="CB59" i="15" s="1"/>
  <c r="CA91" i="15"/>
  <c r="CB91" i="15" s="1"/>
  <c r="CA123" i="15"/>
  <c r="CB123" i="15" s="1"/>
  <c r="CA155" i="15"/>
  <c r="CB155" i="15" s="1"/>
  <c r="CA187" i="15"/>
  <c r="CB187" i="15" s="1"/>
  <c r="CA219" i="15"/>
  <c r="CB219" i="15" s="1"/>
  <c r="CA251" i="15"/>
  <c r="CB251" i="15" s="1"/>
  <c r="CA269" i="15"/>
  <c r="CB269" i="15" s="1"/>
  <c r="CA285" i="15"/>
  <c r="CB285" i="15" s="1"/>
  <c r="CA301" i="15"/>
  <c r="CB301" i="15" s="1"/>
  <c r="CA317" i="15"/>
  <c r="CB317" i="15" s="1"/>
  <c r="CA333" i="15"/>
  <c r="CB333" i="15" s="1"/>
  <c r="CA349" i="15"/>
  <c r="CB349" i="15" s="1"/>
  <c r="CA365" i="15"/>
  <c r="CB365" i="15" s="1"/>
  <c r="CA381" i="15"/>
  <c r="CB381" i="15" s="1"/>
  <c r="CA397" i="15"/>
  <c r="CB397" i="15" s="1"/>
  <c r="CA413" i="15"/>
  <c r="CB413" i="15" s="1"/>
  <c r="CA429" i="15"/>
  <c r="CB429" i="15" s="1"/>
  <c r="CA445" i="15"/>
  <c r="CB445" i="15" s="1"/>
  <c r="CA461" i="15"/>
  <c r="CB461" i="15" s="1"/>
  <c r="CA493" i="15"/>
  <c r="CA509" i="15"/>
  <c r="CB509" i="15" s="1"/>
  <c r="CA525" i="15"/>
  <c r="CB525" i="15" s="1"/>
  <c r="CA541" i="15"/>
  <c r="CB541" i="15" s="1"/>
  <c r="CA557" i="15"/>
  <c r="CB557" i="15" s="1"/>
  <c r="CA573" i="15"/>
  <c r="CA589" i="15"/>
  <c r="CB589" i="15" s="1"/>
  <c r="CA598" i="15"/>
  <c r="CB598" i="15" s="1"/>
  <c r="CA606" i="15"/>
  <c r="CB606" i="15" s="1"/>
  <c r="CA614" i="15"/>
  <c r="CB614" i="15" s="1"/>
  <c r="CA622" i="15"/>
  <c r="CB622" i="15" s="1"/>
  <c r="CA630" i="15"/>
  <c r="CB630" i="15" s="1"/>
  <c r="CA638" i="15"/>
  <c r="CA646" i="15"/>
  <c r="CB646" i="15" s="1"/>
  <c r="CA654" i="15"/>
  <c r="CB654" i="15" s="1"/>
  <c r="CA662" i="15"/>
  <c r="CB662" i="15" s="1"/>
  <c r="CA670" i="15"/>
  <c r="CA678" i="15"/>
  <c r="CB678" i="15" s="1"/>
  <c r="CA686" i="15"/>
  <c r="CB686" i="15" s="1"/>
  <c r="CA694" i="15"/>
  <c r="CB694" i="15" s="1"/>
  <c r="CA702" i="15"/>
  <c r="CB702" i="15" s="1"/>
  <c r="CA709" i="15"/>
  <c r="CB709" i="15" s="1"/>
  <c r="CA713" i="15"/>
  <c r="CB713" i="15" s="1"/>
  <c r="CA717" i="15"/>
  <c r="CB717" i="15" s="1"/>
  <c r="CA745" i="15"/>
  <c r="CB745" i="15" s="1"/>
  <c r="CA749" i="15"/>
  <c r="CB749" i="15" s="1"/>
  <c r="CA753" i="15"/>
  <c r="CB753" i="15" s="1"/>
  <c r="CA757" i="15"/>
  <c r="CB757" i="15" s="1"/>
  <c r="CA761" i="15"/>
  <c r="CB761" i="15" s="1"/>
  <c r="CA765" i="15"/>
  <c r="CA769" i="15"/>
  <c r="CB769" i="15" s="1"/>
  <c r="CA773" i="15"/>
  <c r="CB773" i="15" s="1"/>
  <c r="CA777" i="15"/>
  <c r="CB777" i="15" s="1"/>
  <c r="CA781" i="15"/>
  <c r="CB781" i="15" s="1"/>
  <c r="CA785" i="15"/>
  <c r="CB785" i="15" s="1"/>
  <c r="CA789" i="15"/>
  <c r="CB789" i="15" s="1"/>
  <c r="CA793" i="15"/>
  <c r="CB793" i="15" s="1"/>
  <c r="CA797" i="15"/>
  <c r="CB797" i="15" s="1"/>
  <c r="CA801" i="15"/>
  <c r="CB801" i="15" s="1"/>
  <c r="CA805" i="15"/>
  <c r="CB805" i="15" s="1"/>
  <c r="CA809" i="15"/>
  <c r="CB809" i="15" s="1"/>
  <c r="CA813" i="15"/>
  <c r="CB813" i="15" s="1"/>
  <c r="CA817" i="15"/>
  <c r="CB817" i="15" s="1"/>
  <c r="CA821" i="15"/>
  <c r="CB821" i="15" s="1"/>
  <c r="CA825" i="15"/>
  <c r="CB825" i="15" s="1"/>
  <c r="CA829" i="15"/>
  <c r="CB829" i="15" s="1"/>
  <c r="CA833" i="15"/>
  <c r="CB833" i="15" s="1"/>
  <c r="CA837" i="15"/>
  <c r="CB837" i="15" s="1"/>
  <c r="CA841" i="15"/>
  <c r="CB841" i="15" s="1"/>
  <c r="CA845" i="15"/>
  <c r="CB845" i="15" s="1"/>
  <c r="CA849" i="15"/>
  <c r="CB849" i="15" s="1"/>
  <c r="CA853" i="15"/>
  <c r="CB853" i="15" s="1"/>
  <c r="CA857" i="15"/>
  <c r="CB857" i="15" s="1"/>
  <c r="CA861" i="15"/>
  <c r="CB861" i="15" s="1"/>
  <c r="CA865" i="15"/>
  <c r="CA869" i="15"/>
  <c r="CB869" i="15" s="1"/>
  <c r="CA873" i="15"/>
  <c r="CB873" i="15" s="1"/>
  <c r="CA877" i="15"/>
  <c r="CB877" i="15" s="1"/>
  <c r="CA881" i="15"/>
  <c r="CB881" i="15" s="1"/>
  <c r="CA885" i="15"/>
  <c r="CB885" i="15" s="1"/>
  <c r="CA889" i="15"/>
  <c r="CB889" i="15" s="1"/>
  <c r="CA893" i="15"/>
  <c r="CB893" i="15" s="1"/>
  <c r="CA897" i="15"/>
  <c r="CB897" i="15" s="1"/>
  <c r="CA265" i="15"/>
  <c r="CB265" i="15" s="1"/>
  <c r="CA744" i="15"/>
  <c r="CB744" i="15" s="1"/>
  <c r="CA832" i="15"/>
  <c r="CA860" i="15"/>
  <c r="CB860" i="15" s="1"/>
  <c r="CA880" i="15"/>
  <c r="CB880" i="15" s="1"/>
  <c r="CA896" i="15"/>
  <c r="CB896" i="15" s="1"/>
  <c r="CA35" i="15"/>
  <c r="CB35" i="15" s="1"/>
  <c r="CA67" i="15"/>
  <c r="CB67" i="15" s="1"/>
  <c r="CA99" i="15"/>
  <c r="CB99" i="15" s="1"/>
  <c r="CA131" i="15"/>
  <c r="CB131" i="15" s="1"/>
  <c r="CA163" i="15"/>
  <c r="CB163" i="15" s="1"/>
  <c r="CA195" i="15"/>
  <c r="CB195" i="15" s="1"/>
  <c r="CA227" i="15"/>
  <c r="CB227" i="15" s="1"/>
  <c r="CA257" i="15"/>
  <c r="CB257" i="15" s="1"/>
  <c r="CA273" i="15"/>
  <c r="CB273" i="15" s="1"/>
  <c r="CA289" i="15"/>
  <c r="CB289" i="15" s="1"/>
  <c r="CA305" i="15"/>
  <c r="CB305" i="15" s="1"/>
  <c r="CA321" i="15"/>
  <c r="CB321" i="15" s="1"/>
  <c r="CA337" i="15"/>
  <c r="CB337" i="15" s="1"/>
  <c r="CA353" i="15"/>
  <c r="CB353" i="15" s="1"/>
  <c r="CA369" i="15"/>
  <c r="CB369" i="15" s="1"/>
  <c r="CA385" i="15"/>
  <c r="CB385" i="15" s="1"/>
  <c r="CA401" i="15"/>
  <c r="CB401" i="15" s="1"/>
  <c r="CA417" i="15"/>
  <c r="CB417" i="15" s="1"/>
  <c r="CA433" i="15"/>
  <c r="CB433" i="15" s="1"/>
  <c r="CA449" i="15"/>
  <c r="CA465" i="15"/>
  <c r="CB465" i="15" s="1"/>
  <c r="CA497" i="15"/>
  <c r="CB497" i="15" s="1"/>
  <c r="CA513" i="15"/>
  <c r="CA529" i="15"/>
  <c r="CB529" i="15" s="1"/>
  <c r="CA545" i="15"/>
  <c r="CB545" i="15" s="1"/>
  <c r="CA561" i="15"/>
  <c r="CB561" i="15" s="1"/>
  <c r="CA577" i="15"/>
  <c r="CB577" i="15" s="1"/>
  <c r="CA593" i="15"/>
  <c r="CB593" i="15" s="1"/>
  <c r="CA609" i="15"/>
  <c r="CB609" i="15" s="1"/>
  <c r="CA617" i="15"/>
  <c r="CB617" i="15" s="1"/>
  <c r="CA625" i="15"/>
  <c r="CB625" i="15" s="1"/>
  <c r="CA633" i="15"/>
  <c r="CB633" i="15" s="1"/>
  <c r="CA641" i="15"/>
  <c r="CB641" i="15" s="1"/>
  <c r="CA649" i="15"/>
  <c r="CA657" i="15"/>
  <c r="CB657" i="15" s="1"/>
  <c r="CA665" i="15"/>
  <c r="CB665" i="15" s="1"/>
  <c r="CA673" i="15"/>
  <c r="CB673" i="15" s="1"/>
  <c r="CA681" i="15"/>
  <c r="CB681" i="15" s="1"/>
  <c r="CA689" i="15"/>
  <c r="CB689" i="15" s="1"/>
  <c r="CA697" i="15"/>
  <c r="CB697" i="15" s="1"/>
  <c r="CA705" i="15"/>
  <c r="CB705" i="15" s="1"/>
  <c r="CA710" i="15"/>
  <c r="CB710" i="15" s="1"/>
  <c r="CA714" i="15"/>
  <c r="CB714" i="15" s="1"/>
  <c r="CA718" i="15"/>
  <c r="CB718" i="15" s="1"/>
  <c r="CA746" i="15"/>
  <c r="CA750" i="15"/>
  <c r="CB750" i="15" s="1"/>
  <c r="CA754" i="15"/>
  <c r="CB754" i="15" s="1"/>
  <c r="CA758" i="15"/>
  <c r="CB758" i="15" s="1"/>
  <c r="CA762" i="15"/>
  <c r="CB762" i="15" s="1"/>
  <c r="CA766" i="15"/>
  <c r="CB766" i="15" s="1"/>
  <c r="CA770" i="15"/>
  <c r="CB770" i="15" s="1"/>
  <c r="CA774" i="15"/>
  <c r="CB774" i="15" s="1"/>
  <c r="CA778" i="15"/>
  <c r="CB778" i="15" s="1"/>
  <c r="CA782" i="15"/>
  <c r="CB782" i="15" s="1"/>
  <c r="CA786" i="15"/>
  <c r="CB786" i="15" s="1"/>
  <c r="CA790" i="15"/>
  <c r="CB790" i="15" s="1"/>
  <c r="CA794" i="15"/>
  <c r="CB794" i="15" s="1"/>
  <c r="CA798" i="15"/>
  <c r="CB798" i="15" s="1"/>
  <c r="CA802" i="15"/>
  <c r="CB802" i="15" s="1"/>
  <c r="CA806" i="15"/>
  <c r="CB806" i="15" s="1"/>
  <c r="CA810" i="15"/>
  <c r="CB810" i="15" s="1"/>
  <c r="CA814" i="15"/>
  <c r="CB814" i="15" s="1"/>
  <c r="CA818" i="15"/>
  <c r="CB818" i="15" s="1"/>
  <c r="CA822" i="15"/>
  <c r="CB822" i="15" s="1"/>
  <c r="CA826" i="15"/>
  <c r="CB826" i="15" s="1"/>
  <c r="CA830" i="15"/>
  <c r="CB830" i="15" s="1"/>
  <c r="CA834" i="15"/>
  <c r="CB834" i="15" s="1"/>
  <c r="CA838" i="15"/>
  <c r="CB838" i="15" s="1"/>
  <c r="CA842" i="15"/>
  <c r="CB842" i="15" s="1"/>
  <c r="CA846" i="15"/>
  <c r="CB846" i="15" s="1"/>
  <c r="CA850" i="15"/>
  <c r="CB850" i="15" s="1"/>
  <c r="CA854" i="15"/>
  <c r="CB854" i="15" s="1"/>
  <c r="CA858" i="15"/>
  <c r="CB858" i="15" s="1"/>
  <c r="CA862" i="15"/>
  <c r="CB862" i="15" s="1"/>
  <c r="CA866" i="15"/>
  <c r="CB866" i="15" s="1"/>
  <c r="CA870" i="15"/>
  <c r="CB870" i="15" s="1"/>
  <c r="CA874" i="15"/>
  <c r="CB874" i="15" s="1"/>
  <c r="CA878" i="15"/>
  <c r="CB878" i="15" s="1"/>
  <c r="CA882" i="15"/>
  <c r="CB882" i="15" s="1"/>
  <c r="CA886" i="15"/>
  <c r="CB886" i="15" s="1"/>
  <c r="CA890" i="15"/>
  <c r="CB890" i="15" s="1"/>
  <c r="CA894" i="15"/>
  <c r="CB894" i="15" s="1"/>
  <c r="CA898" i="15"/>
  <c r="CB898" i="15" s="1"/>
  <c r="CA51" i="15"/>
  <c r="CB51" i="15" s="1"/>
  <c r="CA83" i="15"/>
  <c r="CB83" i="15" s="1"/>
  <c r="CA179" i="15"/>
  <c r="CB179" i="15" s="1"/>
  <c r="CA243" i="15"/>
  <c r="CB243" i="15" s="1"/>
  <c r="CA297" i="15"/>
  <c r="CB297" i="15" s="1"/>
  <c r="CA329" i="15"/>
  <c r="CB329" i="15" s="1"/>
  <c r="CA361" i="15"/>
  <c r="CB361" i="15" s="1"/>
  <c r="CA393" i="15"/>
  <c r="CB393" i="15" s="1"/>
  <c r="CA425" i="15"/>
  <c r="CA457" i="15"/>
  <c r="CB457" i="15" s="1"/>
  <c r="CA505" i="15"/>
  <c r="CB505" i="15" s="1"/>
  <c r="CA537" i="15"/>
  <c r="CA569" i="15"/>
  <c r="CB569" i="15" s="1"/>
  <c r="CA597" i="15"/>
  <c r="CB597" i="15" s="1"/>
  <c r="CA613" i="15"/>
  <c r="CB613" i="15" s="1"/>
  <c r="CA629" i="15"/>
  <c r="CB629" i="15" s="1"/>
  <c r="CA645" i="15"/>
  <c r="CB645" i="15" s="1"/>
  <c r="CA653" i="15"/>
  <c r="CB653" i="15" s="1"/>
  <c r="CA669" i="15"/>
  <c r="CB669" i="15" s="1"/>
  <c r="CA685" i="15"/>
  <c r="CB685" i="15" s="1"/>
  <c r="CA701" i="15"/>
  <c r="CB701" i="15" s="1"/>
  <c r="CA712" i="15"/>
  <c r="CB712" i="15" s="1"/>
  <c r="CA748" i="15"/>
  <c r="CB748" i="15" s="1"/>
  <c r="CA756" i="15"/>
  <c r="CB756" i="15" s="1"/>
  <c r="CA764" i="15"/>
  <c r="CB764" i="15" s="1"/>
  <c r="CA772" i="15"/>
  <c r="CB772" i="15" s="1"/>
  <c r="CA780" i="15"/>
  <c r="CB780" i="15" s="1"/>
  <c r="CA788" i="15"/>
  <c r="CA796" i="15"/>
  <c r="CB796" i="15" s="1"/>
  <c r="CA804" i="15"/>
  <c r="CB804" i="15" s="1"/>
  <c r="CA812" i="15"/>
  <c r="CB812" i="15" s="1"/>
  <c r="CA820" i="15"/>
  <c r="CB820" i="15" s="1"/>
  <c r="CA828" i="15"/>
  <c r="CB828" i="15" s="1"/>
  <c r="CA840" i="15"/>
  <c r="CB840" i="15" s="1"/>
  <c r="CA848" i="15"/>
  <c r="CB848" i="15" s="1"/>
  <c r="CA856" i="15"/>
  <c r="CB856" i="15" s="1"/>
  <c r="CA868" i="15"/>
  <c r="CB868" i="15" s="1"/>
  <c r="CA876" i="15"/>
  <c r="CB876" i="15" s="1"/>
  <c r="CA888" i="15"/>
  <c r="CB888" i="15" s="1"/>
  <c r="CA43" i="15"/>
  <c r="CB43" i="15" s="1"/>
  <c r="CA75" i="15"/>
  <c r="CB75" i="15" s="1"/>
  <c r="CA107" i="15"/>
  <c r="CB107" i="15" s="1"/>
  <c r="CA139" i="15"/>
  <c r="CB139" i="15" s="1"/>
  <c r="CA171" i="15"/>
  <c r="CB171" i="15" s="1"/>
  <c r="CA203" i="15"/>
  <c r="CB203" i="15" s="1"/>
  <c r="CA235" i="15"/>
  <c r="CB235" i="15" s="1"/>
  <c r="CA261" i="15"/>
  <c r="CB261" i="15" s="1"/>
  <c r="CA277" i="15"/>
  <c r="CB277" i="15" s="1"/>
  <c r="CA293" i="15"/>
  <c r="CB293" i="15" s="1"/>
  <c r="CA309" i="15"/>
  <c r="CB309" i="15" s="1"/>
  <c r="CA325" i="15"/>
  <c r="CB325" i="15" s="1"/>
  <c r="CA341" i="15"/>
  <c r="CA357" i="15"/>
  <c r="CB357" i="15" s="1"/>
  <c r="CA373" i="15"/>
  <c r="CB373" i="15" s="1"/>
  <c r="CA389" i="15"/>
  <c r="CB389" i="15" s="1"/>
  <c r="CA405" i="15"/>
  <c r="CB405" i="15" s="1"/>
  <c r="CA421" i="15"/>
  <c r="CB421" i="15" s="1"/>
  <c r="CA437" i="15"/>
  <c r="CB437" i="15" s="1"/>
  <c r="CA453" i="15"/>
  <c r="CB453" i="15" s="1"/>
  <c r="CA469" i="15"/>
  <c r="CB469" i="15" s="1"/>
  <c r="CA501" i="15"/>
  <c r="CB501" i="15" s="1"/>
  <c r="CA517" i="15"/>
  <c r="CB517" i="15" s="1"/>
  <c r="CA533" i="15"/>
  <c r="CB533" i="15" s="1"/>
  <c r="CA549" i="15"/>
  <c r="CB549" i="15" s="1"/>
  <c r="CA565" i="15"/>
  <c r="CB565" i="15" s="1"/>
  <c r="CA581" i="15"/>
  <c r="CB581" i="15" s="1"/>
  <c r="CA594" i="15"/>
  <c r="CB594" i="15" s="1"/>
  <c r="CA602" i="15"/>
  <c r="CB602" i="15" s="1"/>
  <c r="CA610" i="15"/>
  <c r="CB610" i="15" s="1"/>
  <c r="CA618" i="15"/>
  <c r="CB618" i="15" s="1"/>
  <c r="CA626" i="15"/>
  <c r="CB626" i="15" s="1"/>
  <c r="CA634" i="15"/>
  <c r="CB634" i="15" s="1"/>
  <c r="CA642" i="15"/>
  <c r="CB642" i="15" s="1"/>
  <c r="CA650" i="15"/>
  <c r="CB650" i="15" s="1"/>
  <c r="CA658" i="15"/>
  <c r="CB658" i="15" s="1"/>
  <c r="CA666" i="15"/>
  <c r="CB666" i="15" s="1"/>
  <c r="CA674" i="15"/>
  <c r="CB674" i="15" s="1"/>
  <c r="CA682" i="15"/>
  <c r="CB682" i="15" s="1"/>
  <c r="CA690" i="15"/>
  <c r="CB690" i="15" s="1"/>
  <c r="CA698" i="15"/>
  <c r="CA706" i="15"/>
  <c r="CB706" i="15" s="1"/>
  <c r="CA711" i="15"/>
  <c r="CB711" i="15" s="1"/>
  <c r="CA715" i="15"/>
  <c r="CB715" i="15" s="1"/>
  <c r="CA747" i="15"/>
  <c r="CB747" i="15" s="1"/>
  <c r="CA751" i="15"/>
  <c r="CB751" i="15" s="1"/>
  <c r="CA755" i="15"/>
  <c r="CB755" i="15" s="1"/>
  <c r="CA759" i="15"/>
  <c r="CB759" i="15" s="1"/>
  <c r="CA763" i="15"/>
  <c r="CB763" i="15" s="1"/>
  <c r="CA767" i="15"/>
  <c r="CB767" i="15" s="1"/>
  <c r="CA771" i="15"/>
  <c r="CB771" i="15" s="1"/>
  <c r="CA775" i="15"/>
  <c r="CB775" i="15" s="1"/>
  <c r="CA779" i="15"/>
  <c r="CB779" i="15" s="1"/>
  <c r="CA783" i="15"/>
  <c r="CB783" i="15" s="1"/>
  <c r="CA787" i="15"/>
  <c r="CB787" i="15" s="1"/>
  <c r="CA791" i="15"/>
  <c r="CB791" i="15" s="1"/>
  <c r="CA795" i="15"/>
  <c r="CB795" i="15" s="1"/>
  <c r="CA799" i="15"/>
  <c r="CB799" i="15" s="1"/>
  <c r="CA803" i="15"/>
  <c r="CB803" i="15" s="1"/>
  <c r="CA807" i="15"/>
  <c r="CB807" i="15" s="1"/>
  <c r="CA811" i="15"/>
  <c r="CA815" i="15"/>
  <c r="CB815" i="15" s="1"/>
  <c r="CA819" i="15"/>
  <c r="CB819" i="15" s="1"/>
  <c r="CA823" i="15"/>
  <c r="CB823" i="15" s="1"/>
  <c r="CA827" i="15"/>
  <c r="CB827" i="15" s="1"/>
  <c r="CA831" i="15"/>
  <c r="CB831" i="15" s="1"/>
  <c r="CA835" i="15"/>
  <c r="CB835" i="15" s="1"/>
  <c r="CA839" i="15"/>
  <c r="CB839" i="15" s="1"/>
  <c r="CA843" i="15"/>
  <c r="CB843" i="15" s="1"/>
  <c r="CA847" i="15"/>
  <c r="CB847" i="15" s="1"/>
  <c r="CA851" i="15"/>
  <c r="CB851" i="15" s="1"/>
  <c r="CA855" i="15"/>
  <c r="CB855" i="15" s="1"/>
  <c r="CA859" i="15"/>
  <c r="CB859" i="15" s="1"/>
  <c r="CA863" i="15"/>
  <c r="CB863" i="15" s="1"/>
  <c r="CA867" i="15"/>
  <c r="CB867" i="15" s="1"/>
  <c r="CA871" i="15"/>
  <c r="CB871" i="15" s="1"/>
  <c r="CA875" i="15"/>
  <c r="CB875" i="15" s="1"/>
  <c r="CA879" i="15"/>
  <c r="CB879" i="15" s="1"/>
  <c r="CA883" i="15"/>
  <c r="CB883" i="15" s="1"/>
  <c r="CA887" i="15"/>
  <c r="CB887" i="15" s="1"/>
  <c r="CA891" i="15"/>
  <c r="CB891" i="15" s="1"/>
  <c r="CA895" i="15"/>
  <c r="CB895" i="15" s="1"/>
  <c r="CA19" i="15"/>
  <c r="CB19" i="15" s="1"/>
  <c r="CA115" i="15"/>
  <c r="CB115" i="15" s="1"/>
  <c r="CA147" i="15"/>
  <c r="CB147" i="15" s="1"/>
  <c r="CA211" i="15"/>
  <c r="CB211" i="15" s="1"/>
  <c r="CA281" i="15"/>
  <c r="CB281" i="15" s="1"/>
  <c r="CA313" i="15"/>
  <c r="CB313" i="15" s="1"/>
  <c r="CA345" i="15"/>
  <c r="CB345" i="15" s="1"/>
  <c r="CA377" i="15"/>
  <c r="CB377" i="15" s="1"/>
  <c r="CA409" i="15"/>
  <c r="CB409" i="15" s="1"/>
  <c r="CA441" i="15"/>
  <c r="CB441" i="15" s="1"/>
  <c r="CA473" i="15"/>
  <c r="CB473" i="15" s="1"/>
  <c r="CA521" i="15"/>
  <c r="CB521" i="15" s="1"/>
  <c r="CA553" i="15"/>
  <c r="CA585" i="15"/>
  <c r="CB585" i="15" s="1"/>
  <c r="CA605" i="15"/>
  <c r="CB605" i="15" s="1"/>
  <c r="CA621" i="15"/>
  <c r="CB621" i="15" s="1"/>
  <c r="CA637" i="15"/>
  <c r="CB637" i="15" s="1"/>
  <c r="CA661" i="15"/>
  <c r="CB661" i="15" s="1"/>
  <c r="CA677" i="15"/>
  <c r="CB677" i="15" s="1"/>
  <c r="CA693" i="15"/>
  <c r="CB693" i="15" s="1"/>
  <c r="CA708" i="15"/>
  <c r="CB708" i="15" s="1"/>
  <c r="CA716" i="15"/>
  <c r="CB716" i="15" s="1"/>
  <c r="CA752" i="15"/>
  <c r="CB752" i="15" s="1"/>
  <c r="CA760" i="15"/>
  <c r="CB760" i="15" s="1"/>
  <c r="CA768" i="15"/>
  <c r="CB768" i="15" s="1"/>
  <c r="CA776" i="15"/>
  <c r="CB776" i="15" s="1"/>
  <c r="CA784" i="15"/>
  <c r="CB784" i="15" s="1"/>
  <c r="CA792" i="15"/>
  <c r="CB792" i="15" s="1"/>
  <c r="CA800" i="15"/>
  <c r="CB800" i="15" s="1"/>
  <c r="CA808" i="15"/>
  <c r="CB808" i="15" s="1"/>
  <c r="CA816" i="15"/>
  <c r="CB816" i="15" s="1"/>
  <c r="CA824" i="15"/>
  <c r="CB824" i="15" s="1"/>
  <c r="CA836" i="15"/>
  <c r="CB836" i="15" s="1"/>
  <c r="CA844" i="15"/>
  <c r="CB844" i="15" s="1"/>
  <c r="CA852" i="15"/>
  <c r="CB852" i="15" s="1"/>
  <c r="CA864" i="15"/>
  <c r="CB864" i="15" s="1"/>
  <c r="CA872" i="15"/>
  <c r="CB872" i="15" s="1"/>
  <c r="CA884" i="15"/>
  <c r="CB884" i="15" s="1"/>
  <c r="CA892" i="15"/>
  <c r="CB892" i="15" s="1"/>
  <c r="CL87" i="15"/>
  <c r="CL231" i="15"/>
  <c r="CL229" i="15" s="1"/>
  <c r="CK229" i="15"/>
  <c r="CL103" i="15"/>
  <c r="CL152" i="15"/>
  <c r="CL68" i="15"/>
  <c r="CL131" i="15"/>
  <c r="CL35" i="15"/>
  <c r="CL201" i="15"/>
  <c r="CL199" i="15" s="1"/>
  <c r="CK199" i="15"/>
  <c r="CL178" i="15"/>
  <c r="CL176" i="15" s="1"/>
  <c r="CK176" i="15"/>
  <c r="CL8" i="15"/>
  <c r="CL44" i="15"/>
  <c r="CL340" i="15"/>
  <c r="CL284" i="15"/>
  <c r="CL265" i="15"/>
  <c r="CL263" i="15" s="1"/>
  <c r="CK263" i="15"/>
  <c r="CL426" i="15"/>
  <c r="CL424" i="15" s="1"/>
  <c r="CK424" i="15"/>
  <c r="CL314" i="15"/>
  <c r="CL245" i="15"/>
  <c r="CL243" i="15" s="1"/>
  <c r="CK243" i="15"/>
  <c r="CL476" i="15"/>
  <c r="CL474" i="15" s="1"/>
  <c r="CK474" i="15"/>
  <c r="CL450" i="15"/>
  <c r="CL448" i="15" s="1"/>
  <c r="CK448" i="15"/>
  <c r="CL494" i="15"/>
  <c r="CL492" i="15" s="1"/>
  <c r="CK492" i="15"/>
  <c r="CL514" i="15"/>
  <c r="CL512" i="15" s="1"/>
  <c r="CK512" i="15"/>
  <c r="CL538" i="15"/>
  <c r="CL536" i="15" s="1"/>
  <c r="CK536" i="15"/>
  <c r="CL554" i="15"/>
  <c r="CL552" i="15" s="1"/>
  <c r="CK552" i="15"/>
  <c r="CL574" i="15"/>
  <c r="CL572" i="15" s="1"/>
  <c r="CK572" i="15"/>
  <c r="CL650" i="15"/>
  <c r="CL648" i="15" s="1"/>
  <c r="CK648" i="15"/>
  <c r="CL639" i="15"/>
  <c r="CL637" i="15" s="1"/>
  <c r="CK637" i="15"/>
  <c r="CL605" i="15"/>
  <c r="CL603" i="15" s="1"/>
  <c r="CK603" i="15"/>
  <c r="CL671" i="15"/>
  <c r="CL669" i="15" s="1"/>
  <c r="CK669" i="15"/>
  <c r="CL699" i="15"/>
  <c r="CL697" i="15" s="1"/>
  <c r="CK697" i="15"/>
  <c r="CL720" i="15"/>
  <c r="CL718" i="15" s="1"/>
  <c r="CK718" i="15"/>
  <c r="CL766" i="15"/>
  <c r="CL764" i="15" s="1"/>
  <c r="CK764" i="15"/>
  <c r="CL747" i="15"/>
  <c r="CL745" i="15" s="1"/>
  <c r="CK745" i="15"/>
  <c r="CL789" i="15"/>
  <c r="CL787" i="15" s="1"/>
  <c r="CK787" i="15"/>
  <c r="CL812" i="15"/>
  <c r="CL810" i="15" s="1"/>
  <c r="CK810" i="15"/>
  <c r="CL833" i="15"/>
  <c r="CL831" i="15" s="1"/>
  <c r="CK831" i="15"/>
  <c r="CK864" i="15"/>
  <c r="CL866" i="15"/>
  <c r="CL864" i="15" s="1"/>
  <c r="CK387" i="15"/>
  <c r="CL389" i="15"/>
  <c r="CL387" i="15" s="1"/>
  <c r="CK340" i="15"/>
  <c r="CK314" i="15"/>
  <c r="CK284" i="15"/>
  <c r="CK152" i="15"/>
  <c r="CK35" i="15"/>
  <c r="CK131" i="15"/>
  <c r="CK68" i="15"/>
  <c r="CK87" i="15"/>
  <c r="CK9" i="15"/>
  <c r="CK8" i="15"/>
  <c r="CK103" i="15"/>
  <c r="CK44" i="15"/>
  <c r="AJ366" i="1"/>
  <c r="AJ283" i="1"/>
  <c r="AJ315" i="1"/>
  <c r="AJ277" i="1"/>
  <c r="AJ361" i="1"/>
  <c r="AJ109" i="1"/>
  <c r="AJ62" i="1"/>
  <c r="AJ87" i="1"/>
  <c r="AJ369" i="1"/>
  <c r="AJ549" i="1"/>
  <c r="AJ436" i="1"/>
  <c r="AJ331" i="1"/>
  <c r="AJ452" i="1"/>
  <c r="AJ311" i="1"/>
  <c r="AJ552" i="1"/>
  <c r="AJ484" i="1"/>
  <c r="AJ445" i="1"/>
  <c r="AJ282" i="1"/>
  <c r="AJ541" i="1"/>
  <c r="AJ343" i="1"/>
  <c r="AJ496" i="1"/>
  <c r="O11" i="13"/>
  <c r="AJ96" i="1"/>
  <c r="AJ53" i="1"/>
  <c r="AJ18" i="1"/>
  <c r="AJ97" i="1"/>
  <c r="AJ112" i="1"/>
  <c r="AJ78" i="1"/>
  <c r="AJ308" i="1"/>
  <c r="AJ292" i="1"/>
  <c r="AJ341" i="1"/>
  <c r="AJ495" i="1"/>
  <c r="AJ486" i="1"/>
  <c r="AJ438" i="1"/>
  <c r="AJ386" i="1"/>
  <c r="AJ124" i="1"/>
  <c r="AJ281" i="1"/>
  <c r="AJ375" i="1"/>
  <c r="AJ490" i="1"/>
  <c r="AJ536" i="1"/>
  <c r="AJ349" i="1"/>
  <c r="AJ99" i="1"/>
  <c r="AJ125" i="1"/>
  <c r="AJ325" i="1"/>
  <c r="AJ303" i="1"/>
  <c r="AJ326" i="1"/>
  <c r="AJ276" i="1"/>
  <c r="AJ307" i="1"/>
  <c r="AJ301" i="1"/>
  <c r="AJ365" i="1"/>
  <c r="AJ357" i="1"/>
  <c r="AJ316" i="1"/>
  <c r="AJ57" i="1"/>
  <c r="AJ42" i="1"/>
  <c r="AJ358" i="1"/>
  <c r="AJ119" i="1"/>
  <c r="AJ82" i="1"/>
  <c r="AJ85" i="1"/>
  <c r="AJ483" i="1"/>
  <c r="AJ388" i="1"/>
  <c r="AJ537" i="1"/>
  <c r="AJ389" i="1"/>
  <c r="AJ545" i="1"/>
  <c r="AJ434" i="1"/>
  <c r="AJ333" i="1"/>
  <c r="AJ535" i="1"/>
  <c r="AJ508" i="1"/>
  <c r="AJ447" i="1"/>
  <c r="AJ408" i="1"/>
  <c r="AJ121" i="1"/>
  <c r="AJ355" i="1"/>
  <c r="AJ356" i="1"/>
  <c r="AJ297" i="1"/>
  <c r="AJ553" i="1"/>
  <c r="AJ568" i="1"/>
  <c r="AJ446" i="1"/>
  <c r="AJ414" i="1"/>
  <c r="AJ543" i="1"/>
  <c r="AJ398" i="1"/>
  <c r="AJ415" i="1"/>
  <c r="AJ400" i="1"/>
  <c r="AJ130" i="1"/>
  <c r="AJ9" i="1"/>
  <c r="AJ117" i="1"/>
  <c r="AD172" i="1"/>
  <c r="AE172" i="1"/>
  <c r="AJ181" i="1"/>
  <c r="AD134" i="1"/>
  <c r="AG72" i="1"/>
  <c r="AJ134" i="1"/>
  <c r="AD72" i="1"/>
  <c r="AH72" i="1"/>
  <c r="AI72" i="1"/>
  <c r="AJ136" i="1"/>
  <c r="AD288" i="1"/>
  <c r="AJ291" i="1"/>
  <c r="AJ186" i="1"/>
  <c r="G11" i="13"/>
  <c r="AE180" i="1"/>
  <c r="AD180" i="1"/>
  <c r="AE171" i="1"/>
  <c r="AD171" i="1"/>
  <c r="AJ288" i="1"/>
  <c r="AE173" i="1"/>
  <c r="AD173" i="1"/>
  <c r="AD185" i="1"/>
  <c r="AJ185" i="1"/>
  <c r="AG60" i="1"/>
  <c r="AE95" i="1"/>
  <c r="AD95" i="1"/>
  <c r="AD116" i="1"/>
  <c r="AE116" i="1"/>
  <c r="AE114" i="1"/>
  <c r="AD114" i="1"/>
  <c r="AI60" i="1"/>
  <c r="AH60" i="1"/>
  <c r="AG56" i="1"/>
  <c r="AI45" i="1"/>
  <c r="AF72" i="1"/>
  <c r="AF60" i="1"/>
  <c r="AH45" i="1"/>
  <c r="AG45" i="1"/>
  <c r="AI56" i="1"/>
  <c r="AH56" i="1"/>
  <c r="AE45" i="1"/>
  <c r="AE8" i="1"/>
  <c r="AD287" i="1"/>
  <c r="AJ287" i="1"/>
  <c r="AF286" i="1"/>
  <c r="AD286" i="1"/>
  <c r="AF290" i="1"/>
  <c r="AD290" i="1"/>
  <c r="M13" i="13"/>
  <c r="M11" i="13"/>
  <c r="AD127" i="1"/>
  <c r="M12" i="13"/>
  <c r="AH67" i="1"/>
  <c r="AD11" i="1"/>
  <c r="AD12" i="1"/>
  <c r="G10" i="13"/>
  <c r="AE20" i="1"/>
  <c r="AD20" i="1"/>
  <c r="Q10" i="13"/>
  <c r="R10" i="13"/>
  <c r="AJ70" i="1"/>
  <c r="P10" i="13"/>
  <c r="AE13" i="1"/>
  <c r="AD13" i="1"/>
  <c r="O10" i="13"/>
  <c r="N10" i="13"/>
  <c r="AE103" i="1"/>
  <c r="AD103" i="1"/>
  <c r="AJ66" i="1"/>
  <c r="AJ127" i="1"/>
  <c r="AJ32" i="1"/>
  <c r="AJ14" i="1"/>
  <c r="AJ25" i="1"/>
  <c r="AJ123" i="1"/>
  <c r="AJ128" i="1"/>
  <c r="AJ11" i="1"/>
  <c r="AJ12" i="1"/>
  <c r="AJ27" i="1"/>
  <c r="AJ177" i="1"/>
  <c r="CK283" i="15" l="1"/>
  <c r="CL283" i="15"/>
  <c r="CK491" i="15"/>
  <c r="CL491" i="15"/>
  <c r="CK602" i="15"/>
  <c r="CL602" i="15"/>
  <c r="CK744" i="15"/>
  <c r="CL744" i="15"/>
  <c r="CK151" i="15"/>
  <c r="CL151" i="15" s="1"/>
  <c r="BT6" i="15"/>
  <c r="BX6" i="15" s="1"/>
  <c r="BZ6" i="15" s="1"/>
  <c r="BT46" i="15"/>
  <c r="BX46" i="15" s="1"/>
  <c r="BT37" i="15"/>
  <c r="BX37" i="15" s="1"/>
  <c r="BT8" i="15"/>
  <c r="BX8" i="15" s="1"/>
  <c r="BT70" i="15"/>
  <c r="BX70" i="15" s="1"/>
  <c r="BT657" i="15"/>
  <c r="BX657" i="15" s="1"/>
  <c r="BT397" i="15"/>
  <c r="BX397" i="15" s="1"/>
  <c r="BT12" i="15"/>
  <c r="BX12" i="15" s="1"/>
  <c r="BT16" i="15"/>
  <c r="BX16" i="15" s="1"/>
  <c r="BT20" i="15"/>
  <c r="BX20" i="15" s="1"/>
  <c r="BT24" i="15"/>
  <c r="BX24" i="15" s="1"/>
  <c r="BT28" i="15"/>
  <c r="BX28" i="15" s="1"/>
  <c r="BT32" i="15"/>
  <c r="BX32" i="15" s="1"/>
  <c r="BT38" i="15"/>
  <c r="BX38" i="15" s="1"/>
  <c r="BT42" i="15"/>
  <c r="BX42" i="15" s="1"/>
  <c r="BT48" i="15"/>
  <c r="BX48" i="15" s="1"/>
  <c r="BT52" i="15"/>
  <c r="BX52" i="15" s="1"/>
  <c r="BT56" i="15"/>
  <c r="BX56" i="15" s="1"/>
  <c r="BT60" i="15"/>
  <c r="BX60" i="15" s="1"/>
  <c r="BT64" i="15"/>
  <c r="BX64" i="15" s="1"/>
  <c r="BT74" i="15"/>
  <c r="BX74" i="15" s="1"/>
  <c r="BT78" i="15"/>
  <c r="BX78" i="15" s="1"/>
  <c r="BT82" i="15"/>
  <c r="BX82" i="15" s="1"/>
  <c r="BT87" i="15"/>
  <c r="BX87" i="15" s="1"/>
  <c r="BT92" i="15"/>
  <c r="BX92" i="15" s="1"/>
  <c r="BT96" i="15"/>
  <c r="BX96" i="15" s="1"/>
  <c r="BT100" i="15"/>
  <c r="BX100" i="15" s="1"/>
  <c r="BT106" i="15"/>
  <c r="BX106" i="15" s="1"/>
  <c r="BT110" i="15"/>
  <c r="BX110" i="15" s="1"/>
  <c r="BT114" i="15"/>
  <c r="BX114" i="15" s="1"/>
  <c r="BT118" i="15"/>
  <c r="BX118" i="15" s="1"/>
  <c r="BT122" i="15"/>
  <c r="BX122" i="15" s="1"/>
  <c r="BT126" i="15"/>
  <c r="BX126" i="15" s="1"/>
  <c r="BT131" i="15"/>
  <c r="BX131" i="15" s="1"/>
  <c r="BT136" i="15"/>
  <c r="BX136" i="15" s="1"/>
  <c r="BT140" i="15"/>
  <c r="BX140" i="15" s="1"/>
  <c r="BT144" i="15"/>
  <c r="BX144" i="15" s="1"/>
  <c r="BT148" i="15"/>
  <c r="BX148" i="15" s="1"/>
  <c r="BT152" i="15"/>
  <c r="BX152" i="15" s="1"/>
  <c r="BT157" i="15"/>
  <c r="BX157" i="15" s="1"/>
  <c r="BT161" i="15"/>
  <c r="BX161" i="15" s="1"/>
  <c r="BT165" i="15"/>
  <c r="BX165" i="15" s="1"/>
  <c r="BT169" i="15"/>
  <c r="BX169" i="15" s="1"/>
  <c r="BT173" i="15"/>
  <c r="BX173" i="15" s="1"/>
  <c r="BT179" i="15"/>
  <c r="BX179" i="15" s="1"/>
  <c r="BT183" i="15"/>
  <c r="BX183" i="15" s="1"/>
  <c r="BT187" i="15"/>
  <c r="BX187" i="15" s="1"/>
  <c r="BT191" i="15"/>
  <c r="BX191" i="15" s="1"/>
  <c r="BT195" i="15"/>
  <c r="BX195" i="15" s="1"/>
  <c r="BT201" i="15"/>
  <c r="BX201" i="15" s="1"/>
  <c r="BT205" i="15"/>
  <c r="BX205" i="15" s="1"/>
  <c r="BT209" i="15"/>
  <c r="BX209" i="15" s="1"/>
  <c r="BT213" i="15"/>
  <c r="BX213" i="15" s="1"/>
  <c r="BT217" i="15"/>
  <c r="BX217" i="15" s="1"/>
  <c r="BT221" i="15"/>
  <c r="BX221" i="15" s="1"/>
  <c r="BT225" i="15"/>
  <c r="BX225" i="15" s="1"/>
  <c r="BT231" i="15"/>
  <c r="BX231" i="15" s="1"/>
  <c r="BT235" i="15"/>
  <c r="BX235" i="15" s="1"/>
  <c r="BT239" i="15"/>
  <c r="BX239" i="15" s="1"/>
  <c r="BT245" i="15"/>
  <c r="BX245" i="15" s="1"/>
  <c r="BT249" i="15"/>
  <c r="BX249" i="15" s="1"/>
  <c r="BT253" i="15"/>
  <c r="BX253" i="15" s="1"/>
  <c r="BT257" i="15"/>
  <c r="BX257" i="15" s="1"/>
  <c r="BT261" i="15"/>
  <c r="BX261" i="15" s="1"/>
  <c r="BT267" i="15"/>
  <c r="BX267" i="15" s="1"/>
  <c r="BT271" i="15"/>
  <c r="BX271" i="15" s="1"/>
  <c r="BT275" i="15"/>
  <c r="BX275" i="15" s="1"/>
  <c r="BT279" i="15"/>
  <c r="BX279" i="15" s="1"/>
  <c r="BT283" i="15"/>
  <c r="BX283" i="15" s="1"/>
  <c r="BT288" i="15"/>
  <c r="BX288" i="15" s="1"/>
  <c r="BT292" i="15"/>
  <c r="BX292" i="15" s="1"/>
  <c r="BT296" i="15"/>
  <c r="BX296" i="15" s="1"/>
  <c r="BT300" i="15"/>
  <c r="BX300" i="15" s="1"/>
  <c r="BT304" i="15"/>
  <c r="BX304" i="15" s="1"/>
  <c r="BT308" i="15"/>
  <c r="BX308" i="15" s="1"/>
  <c r="BT312" i="15"/>
  <c r="BX312" i="15" s="1"/>
  <c r="BT318" i="15"/>
  <c r="BX318" i="15" s="1"/>
  <c r="BT322" i="15"/>
  <c r="BX322" i="15" s="1"/>
  <c r="BT326" i="15"/>
  <c r="BX326" i="15" s="1"/>
  <c r="BT330" i="15"/>
  <c r="BX330" i="15" s="1"/>
  <c r="BT334" i="15"/>
  <c r="BX334" i="15" s="1"/>
  <c r="BT338" i="15"/>
  <c r="BX338" i="15" s="1"/>
  <c r="BT344" i="15"/>
  <c r="BX344" i="15" s="1"/>
  <c r="BT348" i="15"/>
  <c r="BX348" i="15" s="1"/>
  <c r="BT352" i="15"/>
  <c r="BX352" i="15" s="1"/>
  <c r="BT356" i="15"/>
  <c r="BX356" i="15" s="1"/>
  <c r="BT360" i="15"/>
  <c r="BX360" i="15" s="1"/>
  <c r="BT364" i="15"/>
  <c r="BX364" i="15" s="1"/>
  <c r="BT368" i="15"/>
  <c r="BX368" i="15" s="1"/>
  <c r="BT372" i="15"/>
  <c r="BX372" i="15" s="1"/>
  <c r="BT376" i="15"/>
  <c r="BX376" i="15" s="1"/>
  <c r="BT380" i="15"/>
  <c r="BX380" i="15" s="1"/>
  <c r="BT384" i="15"/>
  <c r="BX384" i="15" s="1"/>
  <c r="BT390" i="15"/>
  <c r="BX390" i="15" s="1"/>
  <c r="BT394" i="15"/>
  <c r="BX394" i="15" s="1"/>
  <c r="BT398" i="15"/>
  <c r="BX398" i="15" s="1"/>
  <c r="BT402" i="15"/>
  <c r="BX402" i="15" s="1"/>
  <c r="BT406" i="15"/>
  <c r="BX406" i="15" s="1"/>
  <c r="BT410" i="15"/>
  <c r="BX410" i="15" s="1"/>
  <c r="BT414" i="15"/>
  <c r="BX414" i="15" s="1"/>
  <c r="BT418" i="15"/>
  <c r="BX418" i="15" s="1"/>
  <c r="BT422" i="15"/>
  <c r="BX422" i="15" s="1"/>
  <c r="BT428" i="15"/>
  <c r="BX428" i="15" s="1"/>
  <c r="BT432" i="15"/>
  <c r="BX432" i="15" s="1"/>
  <c r="BT436" i="15"/>
  <c r="BX436" i="15" s="1"/>
  <c r="BT440" i="15"/>
  <c r="BX440" i="15" s="1"/>
  <c r="BT444" i="15"/>
  <c r="BX444" i="15" s="1"/>
  <c r="BT450" i="15"/>
  <c r="BX450" i="15" s="1"/>
  <c r="BT454" i="15"/>
  <c r="BX454" i="15" s="1"/>
  <c r="BT458" i="15"/>
  <c r="BX458" i="15" s="1"/>
  <c r="BT462" i="15"/>
  <c r="BX462" i="15" s="1"/>
  <c r="BT466" i="15"/>
  <c r="BX466" i="15" s="1"/>
  <c r="BT470" i="15"/>
  <c r="BX470" i="15" s="1"/>
  <c r="BT476" i="15"/>
  <c r="BT480" i="15"/>
  <c r="BT484" i="15"/>
  <c r="BT488" i="15"/>
  <c r="BT492" i="15"/>
  <c r="BX492" i="15" s="1"/>
  <c r="BT497" i="15"/>
  <c r="BX497" i="15" s="1"/>
  <c r="BT501" i="15"/>
  <c r="BX501" i="15" s="1"/>
  <c r="BT505" i="15"/>
  <c r="BX505" i="15" s="1"/>
  <c r="BT509" i="15"/>
  <c r="BX509" i="15" s="1"/>
  <c r="BT515" i="15"/>
  <c r="BX515" i="15" s="1"/>
  <c r="BT519" i="15"/>
  <c r="BX519" i="15" s="1"/>
  <c r="BT523" i="15"/>
  <c r="BX523" i="15" s="1"/>
  <c r="BT527" i="15"/>
  <c r="BX527" i="15" s="1"/>
  <c r="BT531" i="15"/>
  <c r="BX531" i="15" s="1"/>
  <c r="BT536" i="15"/>
  <c r="BX536" i="15" s="1"/>
  <c r="BT541" i="15"/>
  <c r="BX541" i="15" s="1"/>
  <c r="BT545" i="15"/>
  <c r="BX545" i="15" s="1"/>
  <c r="BT549" i="15"/>
  <c r="BX549" i="15" s="1"/>
  <c r="BT555" i="15"/>
  <c r="BX555" i="15" s="1"/>
  <c r="BT559" i="15"/>
  <c r="BX559" i="15" s="1"/>
  <c r="BT563" i="15"/>
  <c r="BX563" i="15" s="1"/>
  <c r="BT567" i="15"/>
  <c r="BX567" i="15" s="1"/>
  <c r="BT572" i="15"/>
  <c r="BX572" i="15" s="1"/>
  <c r="BT577" i="15"/>
  <c r="BX577" i="15" s="1"/>
  <c r="BT581" i="15"/>
  <c r="BX581" i="15" s="1"/>
  <c r="BT585" i="15"/>
  <c r="BX585" i="15" s="1"/>
  <c r="BT589" i="15"/>
  <c r="BX589" i="15" s="1"/>
  <c r="BT593" i="15"/>
  <c r="BX593" i="15" s="1"/>
  <c r="BT597" i="15"/>
  <c r="BX597" i="15" s="1"/>
  <c r="BT601" i="15"/>
  <c r="BT13" i="15"/>
  <c r="BX13" i="15" s="1"/>
  <c r="BT17" i="15"/>
  <c r="BX17" i="15" s="1"/>
  <c r="BT21" i="15"/>
  <c r="BX21" i="15" s="1"/>
  <c r="BT25" i="15"/>
  <c r="BX25" i="15" s="1"/>
  <c r="BT29" i="15"/>
  <c r="BX29" i="15" s="1"/>
  <c r="BT33" i="15"/>
  <c r="BX33" i="15" s="1"/>
  <c r="BT39" i="15"/>
  <c r="BX39" i="15" s="1"/>
  <c r="BT44" i="15"/>
  <c r="BX44" i="15" s="1"/>
  <c r="BT49" i="15"/>
  <c r="BX49" i="15" s="1"/>
  <c r="BT53" i="15"/>
  <c r="BX53" i="15" s="1"/>
  <c r="BT57" i="15"/>
  <c r="BX57" i="15" s="1"/>
  <c r="BT61" i="15"/>
  <c r="BX61" i="15" s="1"/>
  <c r="BT65" i="15"/>
  <c r="BX65" i="15" s="1"/>
  <c r="BT71" i="15"/>
  <c r="BX71" i="15" s="1"/>
  <c r="BT75" i="15"/>
  <c r="BX75" i="15" s="1"/>
  <c r="BT79" i="15"/>
  <c r="BX79" i="15" s="1"/>
  <c r="BT83" i="15"/>
  <c r="BX83" i="15" s="1"/>
  <c r="BT89" i="15"/>
  <c r="BX89" i="15" s="1"/>
  <c r="BT93" i="15"/>
  <c r="BX93" i="15" s="1"/>
  <c r="BT97" i="15"/>
  <c r="BX97" i="15" s="1"/>
  <c r="BT101" i="15"/>
  <c r="BX101" i="15" s="1"/>
  <c r="BT107" i="15"/>
  <c r="BX107" i="15" s="1"/>
  <c r="BT111" i="15"/>
  <c r="BX111" i="15" s="1"/>
  <c r="BT115" i="15"/>
  <c r="BX115" i="15" s="1"/>
  <c r="BT119" i="15"/>
  <c r="BX119" i="15" s="1"/>
  <c r="BT123" i="15"/>
  <c r="BX123" i="15" s="1"/>
  <c r="BT127" i="15"/>
  <c r="BX127" i="15" s="1"/>
  <c r="BT133" i="15"/>
  <c r="BX133" i="15" s="1"/>
  <c r="BT137" i="15"/>
  <c r="BX137" i="15" s="1"/>
  <c r="BT141" i="15"/>
  <c r="BX141" i="15" s="1"/>
  <c r="BT145" i="15"/>
  <c r="BX145" i="15" s="1"/>
  <c r="BT149" i="15"/>
  <c r="BX149" i="15" s="1"/>
  <c r="BT154" i="15"/>
  <c r="BX154" i="15" s="1"/>
  <c r="BT158" i="15"/>
  <c r="BX158" i="15" s="1"/>
  <c r="BT162" i="15"/>
  <c r="BX162" i="15" s="1"/>
  <c r="BT166" i="15"/>
  <c r="BX166" i="15" s="1"/>
  <c r="BT170" i="15"/>
  <c r="BX170" i="15" s="1"/>
  <c r="BT174" i="15"/>
  <c r="BX174" i="15" s="1"/>
  <c r="BT180" i="15"/>
  <c r="BX180" i="15" s="1"/>
  <c r="BT184" i="15"/>
  <c r="BX184" i="15" s="1"/>
  <c r="BT188" i="15"/>
  <c r="BX188" i="15" s="1"/>
  <c r="BT192" i="15"/>
  <c r="BX192" i="15" s="1"/>
  <c r="BT196" i="15"/>
  <c r="BX196" i="15" s="1"/>
  <c r="BT202" i="15"/>
  <c r="BX202" i="15" s="1"/>
  <c r="BT206" i="15"/>
  <c r="BX206" i="15" s="1"/>
  <c r="BT210" i="15"/>
  <c r="BX210" i="15" s="1"/>
  <c r="BT214" i="15"/>
  <c r="BX214" i="15" s="1"/>
  <c r="BT218" i="15"/>
  <c r="BX218" i="15" s="1"/>
  <c r="BT222" i="15"/>
  <c r="BX222" i="15" s="1"/>
  <c r="BT226" i="15"/>
  <c r="BX226" i="15" s="1"/>
  <c r="BT232" i="15"/>
  <c r="BX232" i="15" s="1"/>
  <c r="BT236" i="15"/>
  <c r="BX236" i="15" s="1"/>
  <c r="BT240" i="15"/>
  <c r="BX240" i="15" s="1"/>
  <c r="BT246" i="15"/>
  <c r="BX246" i="15" s="1"/>
  <c r="BT250" i="15"/>
  <c r="BX250" i="15" s="1"/>
  <c r="BT254" i="15"/>
  <c r="BX254" i="15" s="1"/>
  <c r="BT258" i="15"/>
  <c r="BX258" i="15" s="1"/>
  <c r="BT263" i="15"/>
  <c r="BX263" i="15" s="1"/>
  <c r="BT268" i="15"/>
  <c r="BX268" i="15" s="1"/>
  <c r="BT272" i="15"/>
  <c r="BX272" i="15" s="1"/>
  <c r="BT276" i="15"/>
  <c r="BX276" i="15" s="1"/>
  <c r="BT280" i="15"/>
  <c r="BX280" i="15" s="1"/>
  <c r="BT284" i="15"/>
  <c r="BX284" i="15" s="1"/>
  <c r="BT289" i="15"/>
  <c r="BX289" i="15" s="1"/>
  <c r="BT293" i="15"/>
  <c r="BX293" i="15" s="1"/>
  <c r="BT297" i="15"/>
  <c r="BX297" i="15" s="1"/>
  <c r="BT301" i="15"/>
  <c r="BX301" i="15" s="1"/>
  <c r="BT305" i="15"/>
  <c r="BX305" i="15" s="1"/>
  <c r="BT309" i="15"/>
  <c r="BX309" i="15" s="1"/>
  <c r="BT314" i="15"/>
  <c r="BX314" i="15" s="1"/>
  <c r="BT319" i="15"/>
  <c r="BX319" i="15" s="1"/>
  <c r="BT323" i="15"/>
  <c r="BX323" i="15" s="1"/>
  <c r="BT327" i="15"/>
  <c r="BX327" i="15" s="1"/>
  <c r="BT331" i="15"/>
  <c r="BX331" i="15" s="1"/>
  <c r="BT335" i="15"/>
  <c r="BX335" i="15" s="1"/>
  <c r="BT340" i="15"/>
  <c r="BX340" i="15" s="1"/>
  <c r="BT345" i="15"/>
  <c r="BX345" i="15" s="1"/>
  <c r="BT349" i="15"/>
  <c r="BX349" i="15" s="1"/>
  <c r="BT353" i="15"/>
  <c r="BX353" i="15" s="1"/>
  <c r="BT357" i="15"/>
  <c r="BX357" i="15" s="1"/>
  <c r="BT361" i="15"/>
  <c r="BX361" i="15" s="1"/>
  <c r="BT365" i="15"/>
  <c r="BX365" i="15" s="1"/>
  <c r="BT369" i="15"/>
  <c r="BX369" i="15" s="1"/>
  <c r="BT373" i="15"/>
  <c r="BX373" i="15" s="1"/>
  <c r="BT377" i="15"/>
  <c r="BX377" i="15" s="1"/>
  <c r="BT381" i="15"/>
  <c r="BX381" i="15" s="1"/>
  <c r="BT385" i="15"/>
  <c r="BX385" i="15" s="1"/>
  <c r="BT391" i="15"/>
  <c r="BX391" i="15" s="1"/>
  <c r="BT399" i="15"/>
  <c r="BX399" i="15" s="1"/>
  <c r="BT403" i="15"/>
  <c r="BX403" i="15" s="1"/>
  <c r="BT407" i="15"/>
  <c r="BX407" i="15" s="1"/>
  <c r="BT411" i="15"/>
  <c r="BX411" i="15" s="1"/>
  <c r="BT415" i="15"/>
  <c r="BX415" i="15" s="1"/>
  <c r="BT419" i="15"/>
  <c r="BX419" i="15" s="1"/>
  <c r="BT424" i="15"/>
  <c r="BX424" i="15" s="1"/>
  <c r="BT429" i="15"/>
  <c r="BX429" i="15" s="1"/>
  <c r="BT433" i="15"/>
  <c r="BX433" i="15" s="1"/>
  <c r="BT437" i="15"/>
  <c r="BX437" i="15" s="1"/>
  <c r="BT441" i="15"/>
  <c r="BX441" i="15" s="1"/>
  <c r="BT445" i="15"/>
  <c r="BX445" i="15" s="1"/>
  <c r="BT451" i="15"/>
  <c r="BX451" i="15" s="1"/>
  <c r="BT455" i="15"/>
  <c r="BX455" i="15" s="1"/>
  <c r="BT459" i="15"/>
  <c r="BX459" i="15" s="1"/>
  <c r="BT463" i="15"/>
  <c r="BX463" i="15" s="1"/>
  <c r="BT467" i="15"/>
  <c r="BX467" i="15" s="1"/>
  <c r="BT471" i="15"/>
  <c r="BX471" i="15" s="1"/>
  <c r="BT477" i="15"/>
  <c r="BT481" i="15"/>
  <c r="BT485" i="15"/>
  <c r="BT489" i="15"/>
  <c r="BT494" i="15"/>
  <c r="BX494" i="15" s="1"/>
  <c r="BT498" i="15"/>
  <c r="BX498" i="15" s="1"/>
  <c r="BT502" i="15"/>
  <c r="BX502" i="15" s="1"/>
  <c r="BT506" i="15"/>
  <c r="BX506" i="15" s="1"/>
  <c r="BT510" i="15"/>
  <c r="BX510" i="15" s="1"/>
  <c r="BT516" i="15"/>
  <c r="BX516" i="15" s="1"/>
  <c r="BT520" i="15"/>
  <c r="BX520" i="15" s="1"/>
  <c r="BT524" i="15"/>
  <c r="BX524" i="15" s="1"/>
  <c r="BT528" i="15"/>
  <c r="BX528" i="15" s="1"/>
  <c r="BT532" i="15"/>
  <c r="BX532" i="15" s="1"/>
  <c r="BT538" i="15"/>
  <c r="BX538" i="15" s="1"/>
  <c r="BT542" i="15"/>
  <c r="BX542" i="15" s="1"/>
  <c r="BT546" i="15"/>
  <c r="BX546" i="15" s="1"/>
  <c r="BT550" i="15"/>
  <c r="BX550" i="15" s="1"/>
  <c r="BT556" i="15"/>
  <c r="BX556" i="15" s="1"/>
  <c r="BT560" i="15"/>
  <c r="BX560" i="15" s="1"/>
  <c r="BT9" i="15"/>
  <c r="BX9" i="15" s="1"/>
  <c r="BT14" i="15"/>
  <c r="BX14" i="15" s="1"/>
  <c r="BT18" i="15"/>
  <c r="BX18" i="15" s="1"/>
  <c r="BT22" i="15"/>
  <c r="BX22" i="15" s="1"/>
  <c r="BT26" i="15"/>
  <c r="BX26" i="15" s="1"/>
  <c r="BT30" i="15"/>
  <c r="BX30" i="15" s="1"/>
  <c r="BT35" i="15"/>
  <c r="BX35" i="15" s="1"/>
  <c r="BT40" i="15"/>
  <c r="BX40" i="15" s="1"/>
  <c r="BT50" i="15"/>
  <c r="BX50" i="15" s="1"/>
  <c r="BT54" i="15"/>
  <c r="BX54" i="15" s="1"/>
  <c r="BT58" i="15"/>
  <c r="BX58" i="15" s="1"/>
  <c r="BT62" i="15"/>
  <c r="BX62" i="15" s="1"/>
  <c r="BT66" i="15"/>
  <c r="BX66" i="15" s="1"/>
  <c r="BT72" i="15"/>
  <c r="BX72" i="15" s="1"/>
  <c r="BT76" i="15"/>
  <c r="BX76" i="15" s="1"/>
  <c r="BT80" i="15"/>
  <c r="BX80" i="15" s="1"/>
  <c r="BT84" i="15"/>
  <c r="BX84" i="15" s="1"/>
  <c r="BT90" i="15"/>
  <c r="BX90" i="15" s="1"/>
  <c r="BT94" i="15"/>
  <c r="BX94" i="15" s="1"/>
  <c r="BT98" i="15"/>
  <c r="BX98" i="15" s="1"/>
  <c r="BT103" i="15"/>
  <c r="BX103" i="15" s="1"/>
  <c r="BT108" i="15"/>
  <c r="BX108" i="15" s="1"/>
  <c r="BT112" i="15"/>
  <c r="BX112" i="15" s="1"/>
  <c r="BT116" i="15"/>
  <c r="BX116" i="15" s="1"/>
  <c r="BT120" i="15"/>
  <c r="BX120" i="15" s="1"/>
  <c r="BT124" i="15"/>
  <c r="BX124" i="15" s="1"/>
  <c r="BT128" i="15"/>
  <c r="BX128" i="15" s="1"/>
  <c r="BT134" i="15"/>
  <c r="BX134" i="15" s="1"/>
  <c r="BT138" i="15"/>
  <c r="BX138" i="15" s="1"/>
  <c r="BT142" i="15"/>
  <c r="BX142" i="15" s="1"/>
  <c r="BT146" i="15"/>
  <c r="BX146" i="15" s="1"/>
  <c r="BT150" i="15"/>
  <c r="BT155" i="15"/>
  <c r="BX155" i="15" s="1"/>
  <c r="BT159" i="15"/>
  <c r="BX159" i="15" s="1"/>
  <c r="BT163" i="15"/>
  <c r="BX163" i="15" s="1"/>
  <c r="BT167" i="15"/>
  <c r="BX167" i="15" s="1"/>
  <c r="BT171" i="15"/>
  <c r="BX171" i="15" s="1"/>
  <c r="BT176" i="15"/>
  <c r="BX176" i="15" s="1"/>
  <c r="BT181" i="15"/>
  <c r="BX181" i="15" s="1"/>
  <c r="BT185" i="15"/>
  <c r="BX185" i="15" s="1"/>
  <c r="BT189" i="15"/>
  <c r="BX189" i="15" s="1"/>
  <c r="BT193" i="15"/>
  <c r="BX193" i="15" s="1"/>
  <c r="BT197" i="15"/>
  <c r="BX197" i="15" s="1"/>
  <c r="BT203" i="15"/>
  <c r="BX203" i="15" s="1"/>
  <c r="BT207" i="15"/>
  <c r="BX207" i="15" s="1"/>
  <c r="BT211" i="15"/>
  <c r="BX211" i="15" s="1"/>
  <c r="BT215" i="15"/>
  <c r="BX215" i="15" s="1"/>
  <c r="BT219" i="15"/>
  <c r="BX219" i="15" s="1"/>
  <c r="BT223" i="15"/>
  <c r="BX223" i="15" s="1"/>
  <c r="BT227" i="15"/>
  <c r="BX227" i="15" s="1"/>
  <c r="BT233" i="15"/>
  <c r="BX233" i="15" s="1"/>
  <c r="BT237" i="15"/>
  <c r="BX237" i="15" s="1"/>
  <c r="BT241" i="15"/>
  <c r="BX241" i="15" s="1"/>
  <c r="BT247" i="15"/>
  <c r="BX247" i="15" s="1"/>
  <c r="BT251" i="15"/>
  <c r="BX251" i="15" s="1"/>
  <c r="BT255" i="15"/>
  <c r="BX255" i="15" s="1"/>
  <c r="BT259" i="15"/>
  <c r="BX259" i="15" s="1"/>
  <c r="BT265" i="15"/>
  <c r="BX265" i="15" s="1"/>
  <c r="BT269" i="15"/>
  <c r="BX269" i="15" s="1"/>
  <c r="BT273" i="15"/>
  <c r="BX273" i="15" s="1"/>
  <c r="BT277" i="15"/>
  <c r="BX277" i="15" s="1"/>
  <c r="BT281" i="15"/>
  <c r="BX281" i="15" s="1"/>
  <c r="BT286" i="15"/>
  <c r="BX286" i="15" s="1"/>
  <c r="BT290" i="15"/>
  <c r="BX290" i="15" s="1"/>
  <c r="BT294" i="15"/>
  <c r="BX294" i="15" s="1"/>
  <c r="BT298" i="15"/>
  <c r="BX298" i="15" s="1"/>
  <c r="BT302" i="15"/>
  <c r="BX302" i="15" s="1"/>
  <c r="BT306" i="15"/>
  <c r="BX306" i="15" s="1"/>
  <c r="BT310" i="15"/>
  <c r="BX310" i="15" s="1"/>
  <c r="BT316" i="15"/>
  <c r="BX316" i="15" s="1"/>
  <c r="BT320" i="15"/>
  <c r="BX320" i="15" s="1"/>
  <c r="BT324" i="15"/>
  <c r="BX324" i="15" s="1"/>
  <c r="BT328" i="15"/>
  <c r="BX328" i="15" s="1"/>
  <c r="BT332" i="15"/>
  <c r="BX332" i="15" s="1"/>
  <c r="BT336" i="15"/>
  <c r="BX336" i="15" s="1"/>
  <c r="BT342" i="15"/>
  <c r="BX342" i="15" s="1"/>
  <c r="BT346" i="15"/>
  <c r="BX346" i="15" s="1"/>
  <c r="BT350" i="15"/>
  <c r="BX350" i="15" s="1"/>
  <c r="BT354" i="15"/>
  <c r="BX354" i="15" s="1"/>
  <c r="BT358" i="15"/>
  <c r="BX358" i="15" s="1"/>
  <c r="BT362" i="15"/>
  <c r="BX362" i="15" s="1"/>
  <c r="BT366" i="15"/>
  <c r="BX366" i="15" s="1"/>
  <c r="BT370" i="15"/>
  <c r="BX370" i="15" s="1"/>
  <c r="BT374" i="15"/>
  <c r="BX374" i="15" s="1"/>
  <c r="BT378" i="15"/>
  <c r="BX378" i="15" s="1"/>
  <c r="BT382" i="15"/>
  <c r="BX382" i="15" s="1"/>
  <c r="BT387" i="15"/>
  <c r="BX387" i="15" s="1"/>
  <c r="BT392" i="15"/>
  <c r="BX392" i="15" s="1"/>
  <c r="BT395" i="15"/>
  <c r="BX395" i="15" s="1"/>
  <c r="BT400" i="15"/>
  <c r="BX400" i="15" s="1"/>
  <c r="BT404" i="15"/>
  <c r="BX404" i="15" s="1"/>
  <c r="BT408" i="15"/>
  <c r="BX408" i="15" s="1"/>
  <c r="BT412" i="15"/>
  <c r="BX412" i="15" s="1"/>
  <c r="BT416" i="15"/>
  <c r="BX416" i="15" s="1"/>
  <c r="BT420" i="15"/>
  <c r="BX420" i="15" s="1"/>
  <c r="BT426" i="15"/>
  <c r="BX426" i="15" s="1"/>
  <c r="BT430" i="15"/>
  <c r="BX430" i="15" s="1"/>
  <c r="BT434" i="15"/>
  <c r="BX434" i="15" s="1"/>
  <c r="BT438" i="15"/>
  <c r="BX438" i="15" s="1"/>
  <c r="BT442" i="15"/>
  <c r="BX442" i="15" s="1"/>
  <c r="BT446" i="15"/>
  <c r="BX446" i="15" s="1"/>
  <c r="BT452" i="15"/>
  <c r="BX452" i="15" s="1"/>
  <c r="BT456" i="15"/>
  <c r="BX456" i="15" s="1"/>
  <c r="BT460" i="15"/>
  <c r="BX460" i="15" s="1"/>
  <c r="BT464" i="15"/>
  <c r="BX464" i="15" s="1"/>
  <c r="BT468" i="15"/>
  <c r="BX468" i="15" s="1"/>
  <c r="BT472" i="15"/>
  <c r="BX472" i="15" s="1"/>
  <c r="BT478" i="15"/>
  <c r="BT482" i="15"/>
  <c r="BT486" i="15"/>
  <c r="BT490" i="15"/>
  <c r="BT495" i="15"/>
  <c r="BX495" i="15" s="1"/>
  <c r="BT499" i="15"/>
  <c r="BX499" i="15" s="1"/>
  <c r="BT503" i="15"/>
  <c r="BX503" i="15" s="1"/>
  <c r="BT507" i="15"/>
  <c r="BX507" i="15" s="1"/>
  <c r="BT512" i="15"/>
  <c r="BX512" i="15" s="1"/>
  <c r="BT517" i="15"/>
  <c r="BX517" i="15" s="1"/>
  <c r="BT521" i="15"/>
  <c r="BX521" i="15" s="1"/>
  <c r="BT525" i="15"/>
  <c r="BX525" i="15" s="1"/>
  <c r="BT529" i="15"/>
  <c r="BX529" i="15" s="1"/>
  <c r="BT533" i="15"/>
  <c r="BX533" i="15" s="1"/>
  <c r="BT539" i="15"/>
  <c r="BX539" i="15" s="1"/>
  <c r="BT543" i="15"/>
  <c r="BX543" i="15" s="1"/>
  <c r="BT547" i="15"/>
  <c r="BX547" i="15" s="1"/>
  <c r="BT552" i="15"/>
  <c r="BX552" i="15" s="1"/>
  <c r="BT557" i="15"/>
  <c r="BX557" i="15" s="1"/>
  <c r="BT561" i="15"/>
  <c r="BX561" i="15" s="1"/>
  <c r="BT11" i="15"/>
  <c r="BX11" i="15" s="1"/>
  <c r="BT15" i="15"/>
  <c r="BX15" i="15" s="1"/>
  <c r="BT19" i="15"/>
  <c r="BX19" i="15" s="1"/>
  <c r="BT23" i="15"/>
  <c r="BX23" i="15" s="1"/>
  <c r="BT27" i="15"/>
  <c r="BX27" i="15" s="1"/>
  <c r="BT31" i="15"/>
  <c r="BX31" i="15" s="1"/>
  <c r="BT41" i="15"/>
  <c r="BX41" i="15" s="1"/>
  <c r="BT47" i="15"/>
  <c r="BX47" i="15" s="1"/>
  <c r="BT51" i="15"/>
  <c r="BX51" i="15" s="1"/>
  <c r="BT55" i="15"/>
  <c r="BX55" i="15" s="1"/>
  <c r="BT59" i="15"/>
  <c r="BX59" i="15" s="1"/>
  <c r="BT63" i="15"/>
  <c r="BX63" i="15" s="1"/>
  <c r="BT68" i="15"/>
  <c r="BX68" i="15" s="1"/>
  <c r="BT73" i="15"/>
  <c r="BX73" i="15" s="1"/>
  <c r="BT77" i="15"/>
  <c r="BX77" i="15" s="1"/>
  <c r="BT81" i="15"/>
  <c r="BX81" i="15" s="1"/>
  <c r="BT85" i="15"/>
  <c r="BX85" i="15" s="1"/>
  <c r="BT91" i="15"/>
  <c r="BX91" i="15" s="1"/>
  <c r="BT95" i="15"/>
  <c r="BX95" i="15" s="1"/>
  <c r="BT99" i="15"/>
  <c r="BX99" i="15" s="1"/>
  <c r="BT105" i="15"/>
  <c r="BX105" i="15" s="1"/>
  <c r="BT109" i="15"/>
  <c r="BX109" i="15" s="1"/>
  <c r="BT113" i="15"/>
  <c r="BX113" i="15" s="1"/>
  <c r="BT117" i="15"/>
  <c r="BX117" i="15" s="1"/>
  <c r="BT121" i="15"/>
  <c r="BX121" i="15" s="1"/>
  <c r="BT125" i="15"/>
  <c r="BX125" i="15" s="1"/>
  <c r="BT129" i="15"/>
  <c r="BX129" i="15" s="1"/>
  <c r="BT135" i="15"/>
  <c r="BX135" i="15" s="1"/>
  <c r="BT139" i="15"/>
  <c r="BX139" i="15" s="1"/>
  <c r="BT143" i="15"/>
  <c r="BX143" i="15" s="1"/>
  <c r="BT147" i="15"/>
  <c r="BX147" i="15" s="1"/>
  <c r="BT151" i="15"/>
  <c r="BX151" i="15" s="1"/>
  <c r="BT156" i="15"/>
  <c r="BX156" i="15" s="1"/>
  <c r="BT160" i="15"/>
  <c r="BX160" i="15" s="1"/>
  <c r="BT164" i="15"/>
  <c r="BX164" i="15" s="1"/>
  <c r="BT168" i="15"/>
  <c r="BX168" i="15" s="1"/>
  <c r="BT172" i="15"/>
  <c r="BX172" i="15" s="1"/>
  <c r="BT178" i="15"/>
  <c r="BX178" i="15" s="1"/>
  <c r="BT182" i="15"/>
  <c r="BX182" i="15" s="1"/>
  <c r="BT186" i="15"/>
  <c r="BX186" i="15" s="1"/>
  <c r="BT190" i="15"/>
  <c r="BX190" i="15" s="1"/>
  <c r="BT194" i="15"/>
  <c r="BX194" i="15" s="1"/>
  <c r="BT199" i="15"/>
  <c r="BX199" i="15" s="1"/>
  <c r="BT204" i="15"/>
  <c r="BX204" i="15" s="1"/>
  <c r="BT208" i="15"/>
  <c r="BX208" i="15" s="1"/>
  <c r="BT212" i="15"/>
  <c r="BX212" i="15" s="1"/>
  <c r="BT216" i="15"/>
  <c r="BX216" i="15" s="1"/>
  <c r="BT220" i="15"/>
  <c r="BX220" i="15" s="1"/>
  <c r="BT224" i="15"/>
  <c r="BX224" i="15" s="1"/>
  <c r="BT229" i="15"/>
  <c r="BX229" i="15" s="1"/>
  <c r="BT234" i="15"/>
  <c r="BX234" i="15" s="1"/>
  <c r="BT238" i="15"/>
  <c r="BX238" i="15" s="1"/>
  <c r="BT243" i="15"/>
  <c r="BX243" i="15" s="1"/>
  <c r="BT248" i="15"/>
  <c r="BX248" i="15" s="1"/>
  <c r="BT252" i="15"/>
  <c r="BX252" i="15" s="1"/>
  <c r="BT256" i="15"/>
  <c r="BX256" i="15" s="1"/>
  <c r="BT260" i="15"/>
  <c r="BX260" i="15" s="1"/>
  <c r="BT266" i="15"/>
  <c r="BX266" i="15" s="1"/>
  <c r="BT270" i="15"/>
  <c r="BX270" i="15" s="1"/>
  <c r="BT274" i="15"/>
  <c r="BX274" i="15" s="1"/>
  <c r="BT278" i="15"/>
  <c r="BX278" i="15" s="1"/>
  <c r="BT282" i="15"/>
  <c r="BT287" i="15"/>
  <c r="BX287" i="15" s="1"/>
  <c r="BT291" i="15"/>
  <c r="BX291" i="15" s="1"/>
  <c r="BT295" i="15"/>
  <c r="BX295" i="15" s="1"/>
  <c r="BT299" i="15"/>
  <c r="BX299" i="15" s="1"/>
  <c r="BT303" i="15"/>
  <c r="BX303" i="15" s="1"/>
  <c r="BT307" i="15"/>
  <c r="BX307" i="15" s="1"/>
  <c r="BT311" i="15"/>
  <c r="BX311" i="15" s="1"/>
  <c r="BT317" i="15"/>
  <c r="BX317" i="15" s="1"/>
  <c r="BT321" i="15"/>
  <c r="BX321" i="15" s="1"/>
  <c r="BT325" i="15"/>
  <c r="BX325" i="15" s="1"/>
  <c r="BT329" i="15"/>
  <c r="BX329" i="15" s="1"/>
  <c r="BT333" i="15"/>
  <c r="BX333" i="15" s="1"/>
  <c r="BT337" i="15"/>
  <c r="BX337" i="15" s="1"/>
  <c r="BT343" i="15"/>
  <c r="BX343" i="15" s="1"/>
  <c r="BT347" i="15"/>
  <c r="BX347" i="15" s="1"/>
  <c r="BT351" i="15"/>
  <c r="BX351" i="15" s="1"/>
  <c r="BT355" i="15"/>
  <c r="BX355" i="15" s="1"/>
  <c r="BT359" i="15"/>
  <c r="BX359" i="15" s="1"/>
  <c r="BT363" i="15"/>
  <c r="BX363" i="15" s="1"/>
  <c r="BT367" i="15"/>
  <c r="BX367" i="15" s="1"/>
  <c r="BT371" i="15"/>
  <c r="BX371" i="15" s="1"/>
  <c r="BT375" i="15"/>
  <c r="BX375" i="15" s="1"/>
  <c r="BT379" i="15"/>
  <c r="BX379" i="15" s="1"/>
  <c r="BT383" i="15"/>
  <c r="BX383" i="15" s="1"/>
  <c r="BT389" i="15"/>
  <c r="BX389" i="15" s="1"/>
  <c r="BT393" i="15"/>
  <c r="BX393" i="15" s="1"/>
  <c r="BT396" i="15"/>
  <c r="BX396" i="15" s="1"/>
  <c r="BT401" i="15"/>
  <c r="BX401" i="15" s="1"/>
  <c r="BT405" i="15"/>
  <c r="BX405" i="15" s="1"/>
  <c r="BT409" i="15"/>
  <c r="BX409" i="15" s="1"/>
  <c r="BT413" i="15"/>
  <c r="BX413" i="15" s="1"/>
  <c r="BT417" i="15"/>
  <c r="BX417" i="15" s="1"/>
  <c r="BT421" i="15"/>
  <c r="BX421" i="15" s="1"/>
  <c r="BT427" i="15"/>
  <c r="BX427" i="15" s="1"/>
  <c r="BT431" i="15"/>
  <c r="BX431" i="15" s="1"/>
  <c r="BT435" i="15"/>
  <c r="BX435" i="15" s="1"/>
  <c r="BT439" i="15"/>
  <c r="BX439" i="15" s="1"/>
  <c r="BT443" i="15"/>
  <c r="BX443" i="15" s="1"/>
  <c r="BT448" i="15"/>
  <c r="BX448" i="15" s="1"/>
  <c r="BT453" i="15"/>
  <c r="BX453" i="15" s="1"/>
  <c r="BT457" i="15"/>
  <c r="BX457" i="15" s="1"/>
  <c r="BT461" i="15"/>
  <c r="BX461" i="15" s="1"/>
  <c r="BT465" i="15"/>
  <c r="BX465" i="15" s="1"/>
  <c r="BT469" i="15"/>
  <c r="BX469" i="15" s="1"/>
  <c r="BT474" i="15"/>
  <c r="BX474" i="15" s="1"/>
  <c r="BT479" i="15"/>
  <c r="BT483" i="15"/>
  <c r="BT487" i="15"/>
  <c r="BT491" i="15"/>
  <c r="BX491" i="15" s="1"/>
  <c r="BT496" i="15"/>
  <c r="BX496" i="15" s="1"/>
  <c r="BT500" i="15"/>
  <c r="BX500" i="15" s="1"/>
  <c r="BT504" i="15"/>
  <c r="BX504" i="15" s="1"/>
  <c r="BT508" i="15"/>
  <c r="BX508" i="15" s="1"/>
  <c r="BT514" i="15"/>
  <c r="BX514" i="15" s="1"/>
  <c r="BT518" i="15"/>
  <c r="BX518" i="15" s="1"/>
  <c r="BT522" i="15"/>
  <c r="BX522" i="15" s="1"/>
  <c r="BT526" i="15"/>
  <c r="BX526" i="15" s="1"/>
  <c r="BT530" i="15"/>
  <c r="BX530" i="15" s="1"/>
  <c r="BT534" i="15"/>
  <c r="BX534" i="15" s="1"/>
  <c r="BT540" i="15"/>
  <c r="BX540" i="15" s="1"/>
  <c r="BT544" i="15"/>
  <c r="BX544" i="15" s="1"/>
  <c r="BT548" i="15"/>
  <c r="BX548" i="15" s="1"/>
  <c r="BT554" i="15"/>
  <c r="BX554" i="15" s="1"/>
  <c r="BT558" i="15"/>
  <c r="BX558" i="15" s="1"/>
  <c r="BT562" i="15"/>
  <c r="BX562" i="15" s="1"/>
  <c r="BT566" i="15"/>
  <c r="BX566" i="15" s="1"/>
  <c r="BT570" i="15"/>
  <c r="BX570" i="15" s="1"/>
  <c r="BT576" i="15"/>
  <c r="BX576" i="15" s="1"/>
  <c r="BT580" i="15"/>
  <c r="BX580" i="15" s="1"/>
  <c r="BT584" i="15"/>
  <c r="BX584" i="15" s="1"/>
  <c r="BT588" i="15"/>
  <c r="BX588" i="15" s="1"/>
  <c r="BT592" i="15"/>
  <c r="BX592" i="15" s="1"/>
  <c r="BT596" i="15"/>
  <c r="BX596" i="15" s="1"/>
  <c r="BT600" i="15"/>
  <c r="BX600" i="15" s="1"/>
  <c r="BT605" i="15"/>
  <c r="BX605" i="15" s="1"/>
  <c r="BT564" i="15"/>
  <c r="BX564" i="15" s="1"/>
  <c r="BT574" i="15"/>
  <c r="BX574" i="15" s="1"/>
  <c r="BT582" i="15"/>
  <c r="BX582" i="15" s="1"/>
  <c r="BT590" i="15"/>
  <c r="BX590" i="15" s="1"/>
  <c r="BT598" i="15"/>
  <c r="BX598" i="15" s="1"/>
  <c r="BT606" i="15"/>
  <c r="BX606" i="15" s="1"/>
  <c r="BT610" i="15"/>
  <c r="BX610" i="15" s="1"/>
  <c r="BT614" i="15"/>
  <c r="BX614" i="15" s="1"/>
  <c r="BT618" i="15"/>
  <c r="BX618" i="15" s="1"/>
  <c r="BT622" i="15"/>
  <c r="BX622" i="15" s="1"/>
  <c r="BT626" i="15"/>
  <c r="BX626" i="15" s="1"/>
  <c r="BT630" i="15"/>
  <c r="BX630" i="15" s="1"/>
  <c r="BT634" i="15"/>
  <c r="BX634" i="15" s="1"/>
  <c r="BT640" i="15"/>
  <c r="BX640" i="15" s="1"/>
  <c r="BT644" i="15"/>
  <c r="BX644" i="15" s="1"/>
  <c r="BT650" i="15"/>
  <c r="BX650" i="15" s="1"/>
  <c r="BT654" i="15"/>
  <c r="BX654" i="15" s="1"/>
  <c r="BT662" i="15"/>
  <c r="BX662" i="15" s="1"/>
  <c r="BT666" i="15"/>
  <c r="BX666" i="15" s="1"/>
  <c r="BT672" i="15"/>
  <c r="BX672" i="15" s="1"/>
  <c r="BT676" i="15"/>
  <c r="BX676" i="15" s="1"/>
  <c r="BT680" i="15"/>
  <c r="BX680" i="15" s="1"/>
  <c r="BT684" i="15"/>
  <c r="BX684" i="15" s="1"/>
  <c r="BT688" i="15"/>
  <c r="BX688" i="15" s="1"/>
  <c r="BT692" i="15"/>
  <c r="BX692" i="15" s="1"/>
  <c r="BT697" i="15"/>
  <c r="BX697" i="15" s="1"/>
  <c r="BT702" i="15"/>
  <c r="BX702" i="15" s="1"/>
  <c r="BT706" i="15"/>
  <c r="BX706" i="15" s="1"/>
  <c r="BT710" i="15"/>
  <c r="BX710" i="15" s="1"/>
  <c r="BT714" i="15"/>
  <c r="BX714" i="15" s="1"/>
  <c r="BT720" i="15"/>
  <c r="BT724" i="15"/>
  <c r="BT728" i="15"/>
  <c r="BT732" i="15"/>
  <c r="BT736" i="15"/>
  <c r="BT740" i="15"/>
  <c r="BT744" i="15"/>
  <c r="BX744" i="15" s="1"/>
  <c r="BT749" i="15"/>
  <c r="BX749" i="15" s="1"/>
  <c r="BT753" i="15"/>
  <c r="BX753" i="15" s="1"/>
  <c r="BT757" i="15"/>
  <c r="BX757" i="15" s="1"/>
  <c r="BT761" i="15"/>
  <c r="BX761" i="15" s="1"/>
  <c r="BT767" i="15"/>
  <c r="BX767" i="15" s="1"/>
  <c r="BT771" i="15"/>
  <c r="BX771" i="15" s="1"/>
  <c r="BT775" i="15"/>
  <c r="BX775" i="15" s="1"/>
  <c r="BT779" i="15"/>
  <c r="BX779" i="15" s="1"/>
  <c r="BT783" i="15"/>
  <c r="BX783" i="15" s="1"/>
  <c r="BT789" i="15"/>
  <c r="BX789" i="15" s="1"/>
  <c r="BT793" i="15"/>
  <c r="BX793" i="15" s="1"/>
  <c r="BT797" i="15"/>
  <c r="BX797" i="15" s="1"/>
  <c r="BT801" i="15"/>
  <c r="BX801" i="15" s="1"/>
  <c r="BT805" i="15"/>
  <c r="BX805" i="15" s="1"/>
  <c r="BT810" i="15"/>
  <c r="BX810" i="15" s="1"/>
  <c r="BT815" i="15"/>
  <c r="BX815" i="15" s="1"/>
  <c r="BT819" i="15"/>
  <c r="BX819" i="15" s="1"/>
  <c r="BT823" i="15"/>
  <c r="BX823" i="15" s="1"/>
  <c r="BT827" i="15"/>
  <c r="BX827" i="15" s="1"/>
  <c r="BT833" i="15"/>
  <c r="BX833" i="15" s="1"/>
  <c r="BT837" i="15"/>
  <c r="BX837" i="15" s="1"/>
  <c r="BT841" i="15"/>
  <c r="BX841" i="15" s="1"/>
  <c r="BT845" i="15"/>
  <c r="BX845" i="15" s="1"/>
  <c r="BT849" i="15"/>
  <c r="BX849" i="15" s="1"/>
  <c r="BT853" i="15"/>
  <c r="BX853" i="15" s="1"/>
  <c r="BT857" i="15"/>
  <c r="BX857" i="15" s="1"/>
  <c r="BT861" i="15"/>
  <c r="BX861" i="15" s="1"/>
  <c r="BT867" i="15"/>
  <c r="BX867" i="15" s="1"/>
  <c r="BT871" i="15"/>
  <c r="BX871" i="15" s="1"/>
  <c r="BT875" i="15"/>
  <c r="BX875" i="15" s="1"/>
  <c r="BT879" i="15"/>
  <c r="BX879" i="15" s="1"/>
  <c r="BT883" i="15"/>
  <c r="BX883" i="15" s="1"/>
  <c r="BT887" i="15"/>
  <c r="BX887" i="15" s="1"/>
  <c r="BT891" i="15"/>
  <c r="BX891" i="15" s="1"/>
  <c r="BT895" i="15"/>
  <c r="BX895" i="15" s="1"/>
  <c r="BT565" i="15"/>
  <c r="BX565" i="15" s="1"/>
  <c r="BT575" i="15"/>
  <c r="BX575" i="15" s="1"/>
  <c r="BT583" i="15"/>
  <c r="BX583" i="15" s="1"/>
  <c r="BT591" i="15"/>
  <c r="BX591" i="15" s="1"/>
  <c r="BT599" i="15"/>
  <c r="BX599" i="15" s="1"/>
  <c r="BT607" i="15"/>
  <c r="BX607" i="15" s="1"/>
  <c r="BT611" i="15"/>
  <c r="BX611" i="15" s="1"/>
  <c r="BT615" i="15"/>
  <c r="BX615" i="15" s="1"/>
  <c r="BT619" i="15"/>
  <c r="BX619" i="15" s="1"/>
  <c r="BT623" i="15"/>
  <c r="BX623" i="15" s="1"/>
  <c r="BT627" i="15"/>
  <c r="BX627" i="15" s="1"/>
  <c r="BT631" i="15"/>
  <c r="BX631" i="15" s="1"/>
  <c r="BT635" i="15"/>
  <c r="BX635" i="15" s="1"/>
  <c r="BT641" i="15"/>
  <c r="BX641" i="15" s="1"/>
  <c r="BT645" i="15"/>
  <c r="BX645" i="15" s="1"/>
  <c r="BT651" i="15"/>
  <c r="BX651" i="15" s="1"/>
  <c r="BT655" i="15"/>
  <c r="BX655" i="15" s="1"/>
  <c r="BT659" i="15"/>
  <c r="BX659" i="15" s="1"/>
  <c r="BT663" i="15"/>
  <c r="BX663" i="15" s="1"/>
  <c r="BT667" i="15"/>
  <c r="BX667" i="15" s="1"/>
  <c r="BT673" i="15"/>
  <c r="BX673" i="15" s="1"/>
  <c r="BT677" i="15"/>
  <c r="BX677" i="15" s="1"/>
  <c r="BT681" i="15"/>
  <c r="BX681" i="15" s="1"/>
  <c r="BT685" i="15"/>
  <c r="BX685" i="15" s="1"/>
  <c r="BT689" i="15"/>
  <c r="BX689" i="15" s="1"/>
  <c r="BT693" i="15"/>
  <c r="BX693" i="15" s="1"/>
  <c r="BT699" i="15"/>
  <c r="BX699" i="15" s="1"/>
  <c r="BT703" i="15"/>
  <c r="BX703" i="15" s="1"/>
  <c r="BT707" i="15"/>
  <c r="BX707" i="15" s="1"/>
  <c r="BT711" i="15"/>
  <c r="BX711" i="15" s="1"/>
  <c r="BT715" i="15"/>
  <c r="BX715" i="15" s="1"/>
  <c r="BT721" i="15"/>
  <c r="BT725" i="15"/>
  <c r="BT729" i="15"/>
  <c r="BT733" i="15"/>
  <c r="BT737" i="15"/>
  <c r="BT741" i="15"/>
  <c r="BT745" i="15"/>
  <c r="BX745" i="15" s="1"/>
  <c r="BT750" i="15"/>
  <c r="BX750" i="15" s="1"/>
  <c r="BT754" i="15"/>
  <c r="BX754" i="15" s="1"/>
  <c r="BT758" i="15"/>
  <c r="BX758" i="15" s="1"/>
  <c r="BT762" i="15"/>
  <c r="BX762" i="15" s="1"/>
  <c r="BT768" i="15"/>
  <c r="BX768" i="15" s="1"/>
  <c r="BT772" i="15"/>
  <c r="BX772" i="15" s="1"/>
  <c r="BT776" i="15"/>
  <c r="BX776" i="15" s="1"/>
  <c r="BT780" i="15"/>
  <c r="BX780" i="15" s="1"/>
  <c r="BT784" i="15"/>
  <c r="BX784" i="15" s="1"/>
  <c r="BT790" i="15"/>
  <c r="BX790" i="15" s="1"/>
  <c r="BT794" i="15"/>
  <c r="BX794" i="15" s="1"/>
  <c r="BT798" i="15"/>
  <c r="BX798" i="15" s="1"/>
  <c r="BT802" i="15"/>
  <c r="BX802" i="15" s="1"/>
  <c r="BT806" i="15"/>
  <c r="BX806" i="15" s="1"/>
  <c r="BT812" i="15"/>
  <c r="BX812" i="15" s="1"/>
  <c r="BT816" i="15"/>
  <c r="BX816" i="15" s="1"/>
  <c r="BT820" i="15"/>
  <c r="BX820" i="15" s="1"/>
  <c r="BT824" i="15"/>
  <c r="BX824" i="15" s="1"/>
  <c r="BT828" i="15"/>
  <c r="BX828" i="15" s="1"/>
  <c r="BT834" i="15"/>
  <c r="BX834" i="15" s="1"/>
  <c r="BT838" i="15"/>
  <c r="BX838" i="15" s="1"/>
  <c r="BT842" i="15"/>
  <c r="BX842" i="15" s="1"/>
  <c r="BT846" i="15"/>
  <c r="BX846" i="15" s="1"/>
  <c r="BT850" i="15"/>
  <c r="BX850" i="15" s="1"/>
  <c r="BT854" i="15"/>
  <c r="BX854" i="15" s="1"/>
  <c r="BT858" i="15"/>
  <c r="BX858" i="15" s="1"/>
  <c r="BT862" i="15"/>
  <c r="BX862" i="15" s="1"/>
  <c r="BT868" i="15"/>
  <c r="BX868" i="15" s="1"/>
  <c r="BT872" i="15"/>
  <c r="BX872" i="15" s="1"/>
  <c r="BT876" i="15"/>
  <c r="BX876" i="15" s="1"/>
  <c r="BT880" i="15"/>
  <c r="BX880" i="15" s="1"/>
  <c r="BT884" i="15"/>
  <c r="BX884" i="15" s="1"/>
  <c r="BT888" i="15"/>
  <c r="BX888" i="15" s="1"/>
  <c r="BT892" i="15"/>
  <c r="BX892" i="15" s="1"/>
  <c r="BT896" i="15"/>
  <c r="BX896" i="15" s="1"/>
  <c r="BT568" i="15"/>
  <c r="BX568" i="15" s="1"/>
  <c r="BT578" i="15"/>
  <c r="BX578" i="15" s="1"/>
  <c r="BT586" i="15"/>
  <c r="BX586" i="15" s="1"/>
  <c r="BT594" i="15"/>
  <c r="BX594" i="15" s="1"/>
  <c r="BT602" i="15"/>
  <c r="BX602" i="15" s="1"/>
  <c r="BT608" i="15"/>
  <c r="BX608" i="15" s="1"/>
  <c r="BT612" i="15"/>
  <c r="BX612" i="15" s="1"/>
  <c r="BT616" i="15"/>
  <c r="BX616" i="15" s="1"/>
  <c r="BT620" i="15"/>
  <c r="BX620" i="15" s="1"/>
  <c r="BT624" i="15"/>
  <c r="BX624" i="15" s="1"/>
  <c r="BT628" i="15"/>
  <c r="BX628" i="15" s="1"/>
  <c r="BT632" i="15"/>
  <c r="BX632" i="15" s="1"/>
  <c r="BT637" i="15"/>
  <c r="BX637" i="15" s="1"/>
  <c r="BT642" i="15"/>
  <c r="BX642" i="15" s="1"/>
  <c r="BT646" i="15"/>
  <c r="BX646" i="15" s="1"/>
  <c r="BT652" i="15"/>
  <c r="BX652" i="15" s="1"/>
  <c r="BT656" i="15"/>
  <c r="BX656" i="15" s="1"/>
  <c r="BT660" i="15"/>
  <c r="BX660" i="15" s="1"/>
  <c r="BT664" i="15"/>
  <c r="BX664" i="15" s="1"/>
  <c r="BT669" i="15"/>
  <c r="BX669" i="15" s="1"/>
  <c r="BT674" i="15"/>
  <c r="BX674" i="15" s="1"/>
  <c r="BT678" i="15"/>
  <c r="BX678" i="15" s="1"/>
  <c r="BT682" i="15"/>
  <c r="BX682" i="15" s="1"/>
  <c r="BT686" i="15"/>
  <c r="BX686" i="15" s="1"/>
  <c r="BT690" i="15"/>
  <c r="BX690" i="15" s="1"/>
  <c r="BT694" i="15"/>
  <c r="BX694" i="15" s="1"/>
  <c r="BT700" i="15"/>
  <c r="BX700" i="15" s="1"/>
  <c r="BT704" i="15"/>
  <c r="BX704" i="15" s="1"/>
  <c r="BT708" i="15"/>
  <c r="BX708" i="15" s="1"/>
  <c r="BT712" i="15"/>
  <c r="BX712" i="15" s="1"/>
  <c r="BT716" i="15"/>
  <c r="BX716" i="15" s="1"/>
  <c r="BT722" i="15"/>
  <c r="BT726" i="15"/>
  <c r="BT730" i="15"/>
  <c r="BT734" i="15"/>
  <c r="BT738" i="15"/>
  <c r="BT742" i="15"/>
  <c r="BT747" i="15"/>
  <c r="BX747" i="15" s="1"/>
  <c r="BT751" i="15"/>
  <c r="BX751" i="15" s="1"/>
  <c r="BT755" i="15"/>
  <c r="BX755" i="15" s="1"/>
  <c r="BT759" i="15"/>
  <c r="BX759" i="15" s="1"/>
  <c r="BT764" i="15"/>
  <c r="BX764" i="15" s="1"/>
  <c r="BT769" i="15"/>
  <c r="BX769" i="15" s="1"/>
  <c r="BT773" i="15"/>
  <c r="BX773" i="15" s="1"/>
  <c r="BT777" i="15"/>
  <c r="BX777" i="15" s="1"/>
  <c r="BT781" i="15"/>
  <c r="BX781" i="15" s="1"/>
  <c r="BT785" i="15"/>
  <c r="BX785" i="15" s="1"/>
  <c r="BT791" i="15"/>
  <c r="BX791" i="15" s="1"/>
  <c r="BT795" i="15"/>
  <c r="BX795" i="15" s="1"/>
  <c r="BT799" i="15"/>
  <c r="BX799" i="15" s="1"/>
  <c r="BT803" i="15"/>
  <c r="BX803" i="15" s="1"/>
  <c r="BT807" i="15"/>
  <c r="BX807" i="15" s="1"/>
  <c r="BT813" i="15"/>
  <c r="BX813" i="15" s="1"/>
  <c r="BT817" i="15"/>
  <c r="BX817" i="15" s="1"/>
  <c r="BT821" i="15"/>
  <c r="BX821" i="15" s="1"/>
  <c r="BT825" i="15"/>
  <c r="BX825" i="15" s="1"/>
  <c r="BT829" i="15"/>
  <c r="BX829" i="15" s="1"/>
  <c r="BT835" i="15"/>
  <c r="BX835" i="15" s="1"/>
  <c r="BT839" i="15"/>
  <c r="BX839" i="15" s="1"/>
  <c r="BT843" i="15"/>
  <c r="BX843" i="15" s="1"/>
  <c r="BT847" i="15"/>
  <c r="BX847" i="15" s="1"/>
  <c r="BT851" i="15"/>
  <c r="BX851" i="15" s="1"/>
  <c r="BT855" i="15"/>
  <c r="BX855" i="15" s="1"/>
  <c r="BT859" i="15"/>
  <c r="BX859" i="15" s="1"/>
  <c r="BT864" i="15"/>
  <c r="BX864" i="15" s="1"/>
  <c r="BT869" i="15"/>
  <c r="BX869" i="15" s="1"/>
  <c r="BT873" i="15"/>
  <c r="BX873" i="15" s="1"/>
  <c r="BT877" i="15"/>
  <c r="BX877" i="15" s="1"/>
  <c r="BT881" i="15"/>
  <c r="BX881" i="15" s="1"/>
  <c r="BT885" i="15"/>
  <c r="BX885" i="15" s="1"/>
  <c r="BT889" i="15"/>
  <c r="BX889" i="15" s="1"/>
  <c r="BT893" i="15"/>
  <c r="BX893" i="15" s="1"/>
  <c r="BT897" i="15"/>
  <c r="BX897" i="15" s="1"/>
  <c r="BT569" i="15"/>
  <c r="BX569" i="15" s="1"/>
  <c r="BT579" i="15"/>
  <c r="BX579" i="15" s="1"/>
  <c r="BT587" i="15"/>
  <c r="BX587" i="15" s="1"/>
  <c r="BT595" i="15"/>
  <c r="BX595" i="15" s="1"/>
  <c r="BT603" i="15"/>
  <c r="BX603" i="15" s="1"/>
  <c r="BT609" i="15"/>
  <c r="BX609" i="15" s="1"/>
  <c r="BT613" i="15"/>
  <c r="BX613" i="15" s="1"/>
  <c r="BT617" i="15"/>
  <c r="BX617" i="15" s="1"/>
  <c r="BT621" i="15"/>
  <c r="BX621" i="15" s="1"/>
  <c r="BT625" i="15"/>
  <c r="BX625" i="15" s="1"/>
  <c r="BT629" i="15"/>
  <c r="BX629" i="15" s="1"/>
  <c r="BT633" i="15"/>
  <c r="BX633" i="15" s="1"/>
  <c r="BT639" i="15"/>
  <c r="BX639" i="15" s="1"/>
  <c r="BT643" i="15"/>
  <c r="BX643" i="15" s="1"/>
  <c r="BT648" i="15"/>
  <c r="BX648" i="15" s="1"/>
  <c r="BT653" i="15"/>
  <c r="BX653" i="15" s="1"/>
  <c r="BT658" i="15"/>
  <c r="BX658" i="15" s="1"/>
  <c r="BT661" i="15"/>
  <c r="BX661" i="15" s="1"/>
  <c r="BT665" i="15"/>
  <c r="BX665" i="15" s="1"/>
  <c r="BT671" i="15"/>
  <c r="BX671" i="15" s="1"/>
  <c r="BT675" i="15"/>
  <c r="BX675" i="15" s="1"/>
  <c r="BT679" i="15"/>
  <c r="BX679" i="15" s="1"/>
  <c r="BT683" i="15"/>
  <c r="BX683" i="15" s="1"/>
  <c r="BT687" i="15"/>
  <c r="BX687" i="15" s="1"/>
  <c r="BT691" i="15"/>
  <c r="BX691" i="15" s="1"/>
  <c r="BT695" i="15"/>
  <c r="BX695" i="15" s="1"/>
  <c r="BT701" i="15"/>
  <c r="BX701" i="15" s="1"/>
  <c r="BT705" i="15"/>
  <c r="BX705" i="15" s="1"/>
  <c r="BT709" i="15"/>
  <c r="BX709" i="15" s="1"/>
  <c r="BT713" i="15"/>
  <c r="BX713" i="15" s="1"/>
  <c r="BT718" i="15"/>
  <c r="BX718" i="15" s="1"/>
  <c r="BT723" i="15"/>
  <c r="BT727" i="15"/>
  <c r="BT731" i="15"/>
  <c r="BT735" i="15"/>
  <c r="BT739" i="15"/>
  <c r="BT743" i="15"/>
  <c r="BT748" i="15"/>
  <c r="BX748" i="15" s="1"/>
  <c r="BT752" i="15"/>
  <c r="BX752" i="15" s="1"/>
  <c r="BT756" i="15"/>
  <c r="BX756" i="15" s="1"/>
  <c r="BT760" i="15"/>
  <c r="BX760" i="15" s="1"/>
  <c r="BT766" i="15"/>
  <c r="BX766" i="15" s="1"/>
  <c r="BT770" i="15"/>
  <c r="BX770" i="15" s="1"/>
  <c r="BT774" i="15"/>
  <c r="BX774" i="15" s="1"/>
  <c r="BT778" i="15"/>
  <c r="BX778" i="15" s="1"/>
  <c r="BT782" i="15"/>
  <c r="BX782" i="15" s="1"/>
  <c r="BT787" i="15"/>
  <c r="BX787" i="15" s="1"/>
  <c r="BT792" i="15"/>
  <c r="BX792" i="15" s="1"/>
  <c r="BT796" i="15"/>
  <c r="BX796" i="15" s="1"/>
  <c r="BT800" i="15"/>
  <c r="BX800" i="15" s="1"/>
  <c r="BT804" i="15"/>
  <c r="BX804" i="15" s="1"/>
  <c r="BT808" i="15"/>
  <c r="BX808" i="15" s="1"/>
  <c r="BT814" i="15"/>
  <c r="BX814" i="15" s="1"/>
  <c r="BT818" i="15"/>
  <c r="BX818" i="15" s="1"/>
  <c r="BT822" i="15"/>
  <c r="BX822" i="15" s="1"/>
  <c r="BT826" i="15"/>
  <c r="BX826" i="15" s="1"/>
  <c r="BT831" i="15"/>
  <c r="BX831" i="15" s="1"/>
  <c r="BT836" i="15"/>
  <c r="BX836" i="15" s="1"/>
  <c r="BT840" i="15"/>
  <c r="BX840" i="15" s="1"/>
  <c r="BT844" i="15"/>
  <c r="BX844" i="15" s="1"/>
  <c r="BT848" i="15"/>
  <c r="BX848" i="15" s="1"/>
  <c r="BT852" i="15"/>
  <c r="BX852" i="15" s="1"/>
  <c r="BT856" i="15"/>
  <c r="BX856" i="15" s="1"/>
  <c r="BT860" i="15"/>
  <c r="BX860" i="15" s="1"/>
  <c r="BT866" i="15"/>
  <c r="BX866" i="15" s="1"/>
  <c r="BT870" i="15"/>
  <c r="BX870" i="15" s="1"/>
  <c r="BT874" i="15"/>
  <c r="BX874" i="15" s="1"/>
  <c r="BT878" i="15"/>
  <c r="BX878" i="15" s="1"/>
  <c r="BT882" i="15"/>
  <c r="BX882" i="15" s="1"/>
  <c r="BT886" i="15"/>
  <c r="BX886" i="15" s="1"/>
  <c r="BT890" i="15"/>
  <c r="BX890" i="15" s="1"/>
  <c r="BT894" i="15"/>
  <c r="BX894" i="15" s="1"/>
  <c r="BT898" i="15"/>
  <c r="BX898" i="15" s="1"/>
  <c r="G42" i="13"/>
  <c r="AJ114" i="1"/>
  <c r="AJ173" i="1"/>
  <c r="AJ20" i="1"/>
  <c r="AJ103" i="1"/>
  <c r="AJ286" i="1"/>
  <c r="AJ116" i="1"/>
  <c r="AJ171" i="1"/>
  <c r="AJ180" i="1"/>
  <c r="AJ290" i="1"/>
  <c r="AJ95" i="1"/>
  <c r="AJ172" i="1"/>
  <c r="AJ72" i="1"/>
  <c r="AI8" i="1"/>
  <c r="J9" i="13"/>
  <c r="AD60" i="1"/>
  <c r="AJ60" i="1"/>
  <c r="H9" i="13"/>
  <c r="AH55" i="1"/>
  <c r="AH48" i="1"/>
  <c r="AH47" i="1"/>
  <c r="AF26" i="1"/>
  <c r="AF22" i="1"/>
  <c r="I8" i="13"/>
  <c r="K9" i="13"/>
  <c r="AG10" i="1"/>
  <c r="AH22" i="1"/>
  <c r="K8" i="13"/>
  <c r="AH26" i="1"/>
  <c r="AF10" i="1"/>
  <c r="AH10" i="1"/>
  <c r="AI55" i="1"/>
  <c r="AI48" i="1"/>
  <c r="AI47" i="1"/>
  <c r="AG22" i="1"/>
  <c r="AG26" i="1"/>
  <c r="J8" i="13"/>
  <c r="L9" i="13"/>
  <c r="AE10" i="1"/>
  <c r="H8" i="13"/>
  <c r="I9" i="13"/>
  <c r="L8" i="13"/>
  <c r="AI26" i="1"/>
  <c r="AI22" i="1"/>
  <c r="AG55" i="1"/>
  <c r="AG47" i="1"/>
  <c r="AG48" i="1"/>
  <c r="AF56" i="1"/>
  <c r="AD56" i="1"/>
  <c r="AH8" i="1"/>
  <c r="AH31" i="1"/>
  <c r="AE31" i="1"/>
  <c r="AD31" i="1"/>
  <c r="AF55" i="1"/>
  <c r="AD55" i="1"/>
  <c r="AG8" i="1"/>
  <c r="AG31" i="1"/>
  <c r="AF31" i="1"/>
  <c r="AI10" i="1"/>
  <c r="AI31" i="1"/>
  <c r="AF68" i="1"/>
  <c r="AD68" i="1"/>
  <c r="AF45" i="1"/>
  <c r="AD45" i="1"/>
  <c r="AJ67" i="1"/>
  <c r="AJ13" i="1"/>
  <c r="M10" i="13"/>
  <c r="CL6" i="15" l="1"/>
  <c r="AJ68" i="1"/>
  <c r="N9" i="13"/>
  <c r="AJ45" i="1"/>
  <c r="N8" i="13"/>
  <c r="AB8" i="13"/>
  <c r="G8" i="13"/>
  <c r="Q8" i="13"/>
  <c r="AJ55" i="1"/>
  <c r="O9" i="13"/>
  <c r="G9" i="13"/>
  <c r="Q9" i="13"/>
  <c r="O8" i="13"/>
  <c r="AD8" i="13"/>
  <c r="AE13" i="13"/>
  <c r="AE11" i="13"/>
  <c r="AE10" i="13"/>
  <c r="AE12" i="13"/>
  <c r="AE9" i="13"/>
  <c r="AD22" i="1"/>
  <c r="AE22" i="1"/>
  <c r="AE8" i="13"/>
  <c r="AD26" i="1"/>
  <c r="AE26" i="1"/>
  <c r="AC13" i="13"/>
  <c r="AC10" i="13"/>
  <c r="AC11" i="13"/>
  <c r="AC9" i="13"/>
  <c r="AC12" i="13"/>
  <c r="R9" i="13"/>
  <c r="R8" i="13"/>
  <c r="P9" i="13"/>
  <c r="P8" i="13"/>
  <c r="AD47" i="1"/>
  <c r="AF47" i="1"/>
  <c r="AA13" i="13"/>
  <c r="AA9" i="13"/>
  <c r="AA11" i="13"/>
  <c r="AA12" i="13"/>
  <c r="AA10" i="13"/>
  <c r="AB13" i="13"/>
  <c r="AB11" i="13"/>
  <c r="AB10" i="13"/>
  <c r="AB9" i="13"/>
  <c r="AB12" i="13"/>
  <c r="AA8" i="13"/>
  <c r="AJ56" i="1"/>
  <c r="AD48" i="1"/>
  <c r="AF48" i="1"/>
  <c r="AD13" i="13"/>
  <c r="AD11" i="13"/>
  <c r="AD12" i="13"/>
  <c r="AD10" i="13"/>
  <c r="AD9" i="13"/>
  <c r="AC8" i="13"/>
  <c r="AJ31" i="1"/>
  <c r="AD10" i="1"/>
  <c r="AF8" i="1"/>
  <c r="AD8" i="1"/>
  <c r="AJ10" i="1"/>
  <c r="BY46" i="15" l="1"/>
  <c r="BY37" i="15"/>
  <c r="BY8" i="15"/>
  <c r="BZ8" i="15" s="1"/>
  <c r="BY70" i="15"/>
  <c r="BY657" i="15"/>
  <c r="BY397" i="15"/>
  <c r="BY12" i="15"/>
  <c r="BY16" i="15"/>
  <c r="BY20" i="15"/>
  <c r="BY24" i="15"/>
  <c r="BY28" i="15"/>
  <c r="BY32" i="15"/>
  <c r="BY38" i="15"/>
  <c r="BY42" i="15"/>
  <c r="BY48" i="15"/>
  <c r="BY52" i="15"/>
  <c r="BY56" i="15"/>
  <c r="BY60" i="15"/>
  <c r="BY64" i="15"/>
  <c r="BY74" i="15"/>
  <c r="BY78" i="15"/>
  <c r="BY82" i="15"/>
  <c r="BY87" i="15"/>
  <c r="BZ87" i="15" s="1"/>
  <c r="BY92" i="15"/>
  <c r="BY96" i="15"/>
  <c r="BY100" i="15"/>
  <c r="BY106" i="15"/>
  <c r="BY110" i="15"/>
  <c r="BY114" i="15"/>
  <c r="BY118" i="15"/>
  <c r="BY122" i="15"/>
  <c r="BY126" i="15"/>
  <c r="BY131" i="15"/>
  <c r="BY136" i="15"/>
  <c r="BY140" i="15"/>
  <c r="BY144" i="15"/>
  <c r="BY148" i="15"/>
  <c r="BY152" i="15"/>
  <c r="BY157" i="15"/>
  <c r="BY161" i="15"/>
  <c r="BY165" i="15"/>
  <c r="BY169" i="15"/>
  <c r="BY173" i="15"/>
  <c r="BY179" i="15"/>
  <c r="BY183" i="15"/>
  <c r="BY187" i="15"/>
  <c r="BY191" i="15"/>
  <c r="BY195" i="15"/>
  <c r="BY201" i="15"/>
  <c r="BY205" i="15"/>
  <c r="BY209" i="15"/>
  <c r="BY213" i="15"/>
  <c r="BY217" i="15"/>
  <c r="BY221" i="15"/>
  <c r="BY225" i="15"/>
  <c r="BY231" i="15"/>
  <c r="BY235" i="15"/>
  <c r="BY239" i="15"/>
  <c r="BY245" i="15"/>
  <c r="BY249" i="15"/>
  <c r="BY253" i="15"/>
  <c r="BY257" i="15"/>
  <c r="BY261" i="15"/>
  <c r="BY267" i="15"/>
  <c r="BY271" i="15"/>
  <c r="BY275" i="15"/>
  <c r="BY279" i="15"/>
  <c r="BY283" i="15"/>
  <c r="BZ283" i="15" s="1"/>
  <c r="BY288" i="15"/>
  <c r="BY292" i="15"/>
  <c r="BY296" i="15"/>
  <c r="BY300" i="15"/>
  <c r="BY304" i="15"/>
  <c r="BY308" i="15"/>
  <c r="BY312" i="15"/>
  <c r="BY318" i="15"/>
  <c r="BY322" i="15"/>
  <c r="BY326" i="15"/>
  <c r="BY330" i="15"/>
  <c r="BY334" i="15"/>
  <c r="BY338" i="15"/>
  <c r="BY344" i="15"/>
  <c r="BY348" i="15"/>
  <c r="BY352" i="15"/>
  <c r="BY356" i="15"/>
  <c r="BY360" i="15"/>
  <c r="BY364" i="15"/>
  <c r="BY368" i="15"/>
  <c r="BY372" i="15"/>
  <c r="BY376" i="15"/>
  <c r="BY380" i="15"/>
  <c r="BY384" i="15"/>
  <c r="BY390" i="15"/>
  <c r="BY394" i="15"/>
  <c r="BY398" i="15"/>
  <c r="BY402" i="15"/>
  <c r="BY406" i="15"/>
  <c r="BY410" i="15"/>
  <c r="BY414" i="15"/>
  <c r="BY418" i="15"/>
  <c r="BY422" i="15"/>
  <c r="BY428" i="15"/>
  <c r="BY432" i="15"/>
  <c r="BY436" i="15"/>
  <c r="BY440" i="15"/>
  <c r="BY444" i="15"/>
  <c r="BY450" i="15"/>
  <c r="BY454" i="15"/>
  <c r="BY458" i="15"/>
  <c r="BY462" i="15"/>
  <c r="BY466" i="15"/>
  <c r="BY470" i="15"/>
  <c r="BY492" i="15"/>
  <c r="BY497" i="15"/>
  <c r="BY501" i="15"/>
  <c r="BY505" i="15"/>
  <c r="BY509" i="15"/>
  <c r="BY515" i="15"/>
  <c r="BY519" i="15"/>
  <c r="BY523" i="15"/>
  <c r="BY527" i="15"/>
  <c r="BY531" i="15"/>
  <c r="BY536" i="15"/>
  <c r="BY13" i="15"/>
  <c r="BY17" i="15"/>
  <c r="BY21" i="15"/>
  <c r="BY25" i="15"/>
  <c r="BY29" i="15"/>
  <c r="BY33" i="15"/>
  <c r="BY39" i="15"/>
  <c r="BY44" i="15"/>
  <c r="BY49" i="15"/>
  <c r="BY53" i="15"/>
  <c r="BY57" i="15"/>
  <c r="BY61" i="15"/>
  <c r="BY65" i="15"/>
  <c r="BY71" i="15"/>
  <c r="BY75" i="15"/>
  <c r="BY79" i="15"/>
  <c r="BY83" i="15"/>
  <c r="BY89" i="15"/>
  <c r="BY93" i="15"/>
  <c r="BY97" i="15"/>
  <c r="BY101" i="15"/>
  <c r="BY107" i="15"/>
  <c r="BY111" i="15"/>
  <c r="BY115" i="15"/>
  <c r="BY119" i="15"/>
  <c r="BY123" i="15"/>
  <c r="BY127" i="15"/>
  <c r="BY133" i="15"/>
  <c r="BY137" i="15"/>
  <c r="BY141" i="15"/>
  <c r="BY145" i="15"/>
  <c r="BY149" i="15"/>
  <c r="BY154" i="15"/>
  <c r="BY158" i="15"/>
  <c r="BY162" i="15"/>
  <c r="BY166" i="15"/>
  <c r="BY170" i="15"/>
  <c r="BY174" i="15"/>
  <c r="BY180" i="15"/>
  <c r="BY184" i="15"/>
  <c r="BY188" i="15"/>
  <c r="BY192" i="15"/>
  <c r="BY196" i="15"/>
  <c r="BY202" i="15"/>
  <c r="BY206" i="15"/>
  <c r="BY210" i="15"/>
  <c r="BY214" i="15"/>
  <c r="BY218" i="15"/>
  <c r="BY222" i="15"/>
  <c r="BY226" i="15"/>
  <c r="BY232" i="15"/>
  <c r="BY236" i="15"/>
  <c r="BY240" i="15"/>
  <c r="BY246" i="15"/>
  <c r="BY250" i="15"/>
  <c r="BY254" i="15"/>
  <c r="BY258" i="15"/>
  <c r="BY263" i="15"/>
  <c r="BZ263" i="15" s="1"/>
  <c r="BY268" i="15"/>
  <c r="BY272" i="15"/>
  <c r="BY276" i="15"/>
  <c r="BY280" i="15"/>
  <c r="BY284" i="15"/>
  <c r="BY289" i="15"/>
  <c r="BY293" i="15"/>
  <c r="BY297" i="15"/>
  <c r="BY301" i="15"/>
  <c r="BY305" i="15"/>
  <c r="BY309" i="15"/>
  <c r="BY314" i="15"/>
  <c r="BZ314" i="15" s="1"/>
  <c r="BY319" i="15"/>
  <c r="BY323" i="15"/>
  <c r="BY327" i="15"/>
  <c r="BY331" i="15"/>
  <c r="BY335" i="15"/>
  <c r="BY340" i="15"/>
  <c r="BZ340" i="15" s="1"/>
  <c r="BY345" i="15"/>
  <c r="BY349" i="15"/>
  <c r="BY353" i="15"/>
  <c r="BY357" i="15"/>
  <c r="BY361" i="15"/>
  <c r="BY365" i="15"/>
  <c r="BY369" i="15"/>
  <c r="BY373" i="15"/>
  <c r="BY377" i="15"/>
  <c r="BY381" i="15"/>
  <c r="BY385" i="15"/>
  <c r="BY391" i="15"/>
  <c r="BY399" i="15"/>
  <c r="BY403" i="15"/>
  <c r="BY407" i="15"/>
  <c r="BY411" i="15"/>
  <c r="BY415" i="15"/>
  <c r="BY419" i="15"/>
  <c r="BY424" i="15"/>
  <c r="BY9" i="15"/>
  <c r="BY14" i="15"/>
  <c r="BY18" i="15"/>
  <c r="BY22" i="15"/>
  <c r="BY26" i="15"/>
  <c r="BY30" i="15"/>
  <c r="BY35" i="15"/>
  <c r="BY40" i="15"/>
  <c r="BY50" i="15"/>
  <c r="BY54" i="15"/>
  <c r="BY58" i="15"/>
  <c r="BY62" i="15"/>
  <c r="BY66" i="15"/>
  <c r="BY72" i="15"/>
  <c r="BY76" i="15"/>
  <c r="BY80" i="15"/>
  <c r="BY84" i="15"/>
  <c r="BY90" i="15"/>
  <c r="BY94" i="15"/>
  <c r="BY98" i="15"/>
  <c r="BY103" i="15"/>
  <c r="BZ103" i="15" s="1"/>
  <c r="BY108" i="15"/>
  <c r="BY112" i="15"/>
  <c r="BY116" i="15"/>
  <c r="BY120" i="15"/>
  <c r="BY124" i="15"/>
  <c r="BY128" i="15"/>
  <c r="BY134" i="15"/>
  <c r="BY138" i="15"/>
  <c r="BY142" i="15"/>
  <c r="BY146" i="15"/>
  <c r="BY155" i="15"/>
  <c r="BY159" i="15"/>
  <c r="BY163" i="15"/>
  <c r="BY167" i="15"/>
  <c r="BY171" i="15"/>
  <c r="BY176" i="15"/>
  <c r="BY181" i="15"/>
  <c r="BY185" i="15"/>
  <c r="BY189" i="15"/>
  <c r="BY193" i="15"/>
  <c r="BY197" i="15"/>
  <c r="BY203" i="15"/>
  <c r="BY207" i="15"/>
  <c r="BY211" i="15"/>
  <c r="BY215" i="15"/>
  <c r="BY219" i="15"/>
  <c r="BY223" i="15"/>
  <c r="BY227" i="15"/>
  <c r="BY233" i="15"/>
  <c r="BY237" i="15"/>
  <c r="BY241" i="15"/>
  <c r="BY247" i="15"/>
  <c r="BY251" i="15"/>
  <c r="BY255" i="15"/>
  <c r="BY259" i="15"/>
  <c r="BY265" i="15"/>
  <c r="BY269" i="15"/>
  <c r="BY273" i="15"/>
  <c r="BY277" i="15"/>
  <c r="BY281" i="15"/>
  <c r="BY286" i="15"/>
  <c r="BY290" i="15"/>
  <c r="BY294" i="15"/>
  <c r="BY298" i="15"/>
  <c r="BY302" i="15"/>
  <c r="BY306" i="15"/>
  <c r="BY310" i="15"/>
  <c r="BY316" i="15"/>
  <c r="BY320" i="15"/>
  <c r="BY324" i="15"/>
  <c r="BY328" i="15"/>
  <c r="BY332" i="15"/>
  <c r="BY336" i="15"/>
  <c r="BY342" i="15"/>
  <c r="BY346" i="15"/>
  <c r="BY350" i="15"/>
  <c r="BY354" i="15"/>
  <c r="BY358" i="15"/>
  <c r="BY362" i="15"/>
  <c r="BY366" i="15"/>
  <c r="BY370" i="15"/>
  <c r="BY374" i="15"/>
  <c r="BY378" i="15"/>
  <c r="BY382" i="15"/>
  <c r="BY387" i="15"/>
  <c r="BY392" i="15"/>
  <c r="BY395" i="15"/>
  <c r="BY400" i="15"/>
  <c r="BY404" i="15"/>
  <c r="BY408" i="15"/>
  <c r="BY412" i="15"/>
  <c r="BY416" i="15"/>
  <c r="BY420" i="15"/>
  <c r="BY426" i="15"/>
  <c r="BY11" i="15"/>
  <c r="BY15" i="15"/>
  <c r="BY19" i="15"/>
  <c r="BY23" i="15"/>
  <c r="BY27" i="15"/>
  <c r="BY31" i="15"/>
  <c r="BY41" i="15"/>
  <c r="BY47" i="15"/>
  <c r="BY51" i="15"/>
  <c r="BY55" i="15"/>
  <c r="BY59" i="15"/>
  <c r="BY63" i="15"/>
  <c r="BY68" i="15"/>
  <c r="BY73" i="15"/>
  <c r="BY77" i="15"/>
  <c r="BY81" i="15"/>
  <c r="BY85" i="15"/>
  <c r="BY91" i="15"/>
  <c r="BY95" i="15"/>
  <c r="BY99" i="15"/>
  <c r="BY105" i="15"/>
  <c r="BY109" i="15"/>
  <c r="BY113" i="15"/>
  <c r="BY117" i="15"/>
  <c r="BY121" i="15"/>
  <c r="BY125" i="15"/>
  <c r="BY129" i="15"/>
  <c r="BY135" i="15"/>
  <c r="BY139" i="15"/>
  <c r="BY143" i="15"/>
  <c r="BY147" i="15"/>
  <c r="BY151" i="15"/>
  <c r="BZ151" i="15" s="1"/>
  <c r="BY156" i="15"/>
  <c r="BY160" i="15"/>
  <c r="BY164" i="15"/>
  <c r="BY168" i="15"/>
  <c r="BY172" i="15"/>
  <c r="BY178" i="15"/>
  <c r="BY182" i="15"/>
  <c r="BY186" i="15"/>
  <c r="BY190" i="15"/>
  <c r="BY194" i="15"/>
  <c r="BY199" i="15"/>
  <c r="BY204" i="15"/>
  <c r="BY208" i="15"/>
  <c r="BY212" i="15"/>
  <c r="BY216" i="15"/>
  <c r="BY220" i="15"/>
  <c r="BY224" i="15"/>
  <c r="BY229" i="15"/>
  <c r="BY234" i="15"/>
  <c r="BY238" i="15"/>
  <c r="BY243" i="15"/>
  <c r="BZ243" i="15" s="1"/>
  <c r="BY248" i="15"/>
  <c r="BY252" i="15"/>
  <c r="BY256" i="15"/>
  <c r="BY260" i="15"/>
  <c r="BY266" i="15"/>
  <c r="BY270" i="15"/>
  <c r="BY274" i="15"/>
  <c r="BY278" i="15"/>
  <c r="BY287" i="15"/>
  <c r="BY291" i="15"/>
  <c r="BY295" i="15"/>
  <c r="BY299" i="15"/>
  <c r="BY303" i="15"/>
  <c r="BY307" i="15"/>
  <c r="BY311" i="15"/>
  <c r="BY317" i="15"/>
  <c r="BY321" i="15"/>
  <c r="BY325" i="15"/>
  <c r="BY329" i="15"/>
  <c r="BY333" i="15"/>
  <c r="BY337" i="15"/>
  <c r="BY343" i="15"/>
  <c r="BY347" i="15"/>
  <c r="BY351" i="15"/>
  <c r="BY355" i="15"/>
  <c r="BY359" i="15"/>
  <c r="BY363" i="15"/>
  <c r="BY367" i="15"/>
  <c r="BY371" i="15"/>
  <c r="BY375" i="15"/>
  <c r="BY379" i="15"/>
  <c r="BY383" i="15"/>
  <c r="BY389" i="15"/>
  <c r="BY393" i="15"/>
  <c r="BY396" i="15"/>
  <c r="BY401" i="15"/>
  <c r="BY405" i="15"/>
  <c r="BY409" i="15"/>
  <c r="BY413" i="15"/>
  <c r="BY417" i="15"/>
  <c r="BY421" i="15"/>
  <c r="BY427" i="15"/>
  <c r="BY431" i="15"/>
  <c r="BY435" i="15"/>
  <c r="BY439" i="15"/>
  <c r="BY443" i="15"/>
  <c r="BY448" i="15"/>
  <c r="BY453" i="15"/>
  <c r="BY457" i="15"/>
  <c r="BY461" i="15"/>
  <c r="BY465" i="15"/>
  <c r="BY469" i="15"/>
  <c r="BY474" i="15"/>
  <c r="BY491" i="15"/>
  <c r="BY496" i="15"/>
  <c r="BY500" i="15"/>
  <c r="BY504" i="15"/>
  <c r="BY508" i="15"/>
  <c r="BY514" i="15"/>
  <c r="BY518" i="15"/>
  <c r="BY522" i="15"/>
  <c r="BY526" i="15"/>
  <c r="BY530" i="15"/>
  <c r="BY534" i="15"/>
  <c r="BY429" i="15"/>
  <c r="BY437" i="15"/>
  <c r="BY445" i="15"/>
  <c r="BY455" i="15"/>
  <c r="BY463" i="15"/>
  <c r="BY471" i="15"/>
  <c r="BY498" i="15"/>
  <c r="BY506" i="15"/>
  <c r="BY516" i="15"/>
  <c r="BY524" i="15"/>
  <c r="BY532" i="15"/>
  <c r="BY540" i="15"/>
  <c r="BY544" i="15"/>
  <c r="BY548" i="15"/>
  <c r="BY554" i="15"/>
  <c r="BY558" i="15"/>
  <c r="BY562" i="15"/>
  <c r="BY566" i="15"/>
  <c r="BY570" i="15"/>
  <c r="BY576" i="15"/>
  <c r="BY580" i="15"/>
  <c r="BY584" i="15"/>
  <c r="BY588" i="15"/>
  <c r="BY592" i="15"/>
  <c r="BY596" i="15"/>
  <c r="BY600" i="15"/>
  <c r="BY605" i="15"/>
  <c r="BY609" i="15"/>
  <c r="BY613" i="15"/>
  <c r="BY617" i="15"/>
  <c r="BY621" i="15"/>
  <c r="BY625" i="15"/>
  <c r="BY629" i="15"/>
  <c r="BY633" i="15"/>
  <c r="BY639" i="15"/>
  <c r="BY643" i="15"/>
  <c r="BY648" i="15"/>
  <c r="BY653" i="15"/>
  <c r="BY658" i="15"/>
  <c r="BY661" i="15"/>
  <c r="BY665" i="15"/>
  <c r="BY671" i="15"/>
  <c r="BY675" i="15"/>
  <c r="BY679" i="15"/>
  <c r="BY683" i="15"/>
  <c r="BY687" i="15"/>
  <c r="BY691" i="15"/>
  <c r="BY695" i="15"/>
  <c r="BY701" i="15"/>
  <c r="BY705" i="15"/>
  <c r="BY709" i="15"/>
  <c r="BY713" i="15"/>
  <c r="BY718" i="15"/>
  <c r="BY748" i="15"/>
  <c r="BY752" i="15"/>
  <c r="BY756" i="15"/>
  <c r="BY760" i="15"/>
  <c r="BY766" i="15"/>
  <c r="BY770" i="15"/>
  <c r="BY774" i="15"/>
  <c r="BY778" i="15"/>
  <c r="BY782" i="15"/>
  <c r="BY787" i="15"/>
  <c r="BY792" i="15"/>
  <c r="BY796" i="15"/>
  <c r="BY800" i="15"/>
  <c r="BY804" i="15"/>
  <c r="BY808" i="15"/>
  <c r="BY814" i="15"/>
  <c r="BY818" i="15"/>
  <c r="BY822" i="15"/>
  <c r="BY826" i="15"/>
  <c r="BY831" i="15"/>
  <c r="BY836" i="15"/>
  <c r="BY840" i="15"/>
  <c r="BY844" i="15"/>
  <c r="BY848" i="15"/>
  <c r="BY852" i="15"/>
  <c r="BY856" i="15"/>
  <c r="BY860" i="15"/>
  <c r="BY866" i="15"/>
  <c r="BY870" i="15"/>
  <c r="BY874" i="15"/>
  <c r="BY878" i="15"/>
  <c r="BY882" i="15"/>
  <c r="BY886" i="15"/>
  <c r="BY890" i="15"/>
  <c r="BY894" i="15"/>
  <c r="BY898" i="15"/>
  <c r="BY430" i="15"/>
  <c r="BY438" i="15"/>
  <c r="BY446" i="15"/>
  <c r="BY456" i="15"/>
  <c r="BY464" i="15"/>
  <c r="BY472" i="15"/>
  <c r="BY499" i="15"/>
  <c r="BY507" i="15"/>
  <c r="BY517" i="15"/>
  <c r="BY525" i="15"/>
  <c r="BY533" i="15"/>
  <c r="BY541" i="15"/>
  <c r="BY545" i="15"/>
  <c r="BY549" i="15"/>
  <c r="BY555" i="15"/>
  <c r="BY559" i="15"/>
  <c r="BY563" i="15"/>
  <c r="BY567" i="15"/>
  <c r="BY572" i="15"/>
  <c r="BY577" i="15"/>
  <c r="BY581" i="15"/>
  <c r="BY585" i="15"/>
  <c r="BY589" i="15"/>
  <c r="BY593" i="15"/>
  <c r="BY597" i="15"/>
  <c r="BY606" i="15"/>
  <c r="BY610" i="15"/>
  <c r="BY614" i="15"/>
  <c r="BY618" i="15"/>
  <c r="BY622" i="15"/>
  <c r="BY626" i="15"/>
  <c r="BY630" i="15"/>
  <c r="BY634" i="15"/>
  <c r="BY640" i="15"/>
  <c r="BY644" i="15"/>
  <c r="BY650" i="15"/>
  <c r="BY654" i="15"/>
  <c r="BY662" i="15"/>
  <c r="BY666" i="15"/>
  <c r="BY672" i="15"/>
  <c r="BY676" i="15"/>
  <c r="BY680" i="15"/>
  <c r="BY684" i="15"/>
  <c r="BY688" i="15"/>
  <c r="BY692" i="15"/>
  <c r="BY697" i="15"/>
  <c r="BY702" i="15"/>
  <c r="BY706" i="15"/>
  <c r="BY710" i="15"/>
  <c r="BY714" i="15"/>
  <c r="BY744" i="15"/>
  <c r="BY749" i="15"/>
  <c r="BY753" i="15"/>
  <c r="BY757" i="15"/>
  <c r="BY761" i="15"/>
  <c r="BY767" i="15"/>
  <c r="BY771" i="15"/>
  <c r="BY775" i="15"/>
  <c r="BY779" i="15"/>
  <c r="BY783" i="15"/>
  <c r="BY789" i="15"/>
  <c r="BY793" i="15"/>
  <c r="BY797" i="15"/>
  <c r="BY801" i="15"/>
  <c r="BY805" i="15"/>
  <c r="BY810" i="15"/>
  <c r="BY815" i="15"/>
  <c r="BY819" i="15"/>
  <c r="BY823" i="15"/>
  <c r="BY827" i="15"/>
  <c r="BY833" i="15"/>
  <c r="BY837" i="15"/>
  <c r="BY841" i="15"/>
  <c r="BY845" i="15"/>
  <c r="BY849" i="15"/>
  <c r="BY853" i="15"/>
  <c r="BY857" i="15"/>
  <c r="BY861" i="15"/>
  <c r="BY867" i="15"/>
  <c r="BY871" i="15"/>
  <c r="BY875" i="15"/>
  <c r="BY879" i="15"/>
  <c r="BY883" i="15"/>
  <c r="BY887" i="15"/>
  <c r="BY891" i="15"/>
  <c r="BY895" i="15"/>
  <c r="BY433" i="15"/>
  <c r="BY441" i="15"/>
  <c r="BY451" i="15"/>
  <c r="BY459" i="15"/>
  <c r="BY467" i="15"/>
  <c r="BY494" i="15"/>
  <c r="BY502" i="15"/>
  <c r="BY510" i="15"/>
  <c r="BY520" i="15"/>
  <c r="BY528" i="15"/>
  <c r="BY538" i="15"/>
  <c r="BY542" i="15"/>
  <c r="BY546" i="15"/>
  <c r="BY550" i="15"/>
  <c r="BY556" i="15"/>
  <c r="BY560" i="15"/>
  <c r="BY564" i="15"/>
  <c r="BY568" i="15"/>
  <c r="BY574" i="15"/>
  <c r="BY578" i="15"/>
  <c r="BY582" i="15"/>
  <c r="BY586" i="15"/>
  <c r="BY590" i="15"/>
  <c r="BY594" i="15"/>
  <c r="BY598" i="15"/>
  <c r="BY602" i="15"/>
  <c r="BZ602" i="15" s="1"/>
  <c r="BY607" i="15"/>
  <c r="BY611" i="15"/>
  <c r="BY615" i="15"/>
  <c r="BY619" i="15"/>
  <c r="BY623" i="15"/>
  <c r="BY627" i="15"/>
  <c r="BY631" i="15"/>
  <c r="BY635" i="15"/>
  <c r="BY641" i="15"/>
  <c r="BY645" i="15"/>
  <c r="BY651" i="15"/>
  <c r="BY655" i="15"/>
  <c r="BY659" i="15"/>
  <c r="BY663" i="15"/>
  <c r="BY667" i="15"/>
  <c r="BY673" i="15"/>
  <c r="BY677" i="15"/>
  <c r="BY681" i="15"/>
  <c r="BY685" i="15"/>
  <c r="BY689" i="15"/>
  <c r="BY693" i="15"/>
  <c r="BY699" i="15"/>
  <c r="BY703" i="15"/>
  <c r="BY707" i="15"/>
  <c r="BY711" i="15"/>
  <c r="BY715" i="15"/>
  <c r="BY745" i="15"/>
  <c r="BY750" i="15"/>
  <c r="BY754" i="15"/>
  <c r="BY758" i="15"/>
  <c r="BY762" i="15"/>
  <c r="BY768" i="15"/>
  <c r="BY772" i="15"/>
  <c r="BY776" i="15"/>
  <c r="BY780" i="15"/>
  <c r="BY784" i="15"/>
  <c r="BY790" i="15"/>
  <c r="BY794" i="15"/>
  <c r="BY798" i="15"/>
  <c r="BY802" i="15"/>
  <c r="BY806" i="15"/>
  <c r="BY812" i="15"/>
  <c r="BY816" i="15"/>
  <c r="BY820" i="15"/>
  <c r="BY824" i="15"/>
  <c r="BY828" i="15"/>
  <c r="BY834" i="15"/>
  <c r="BY838" i="15"/>
  <c r="BY842" i="15"/>
  <c r="BY846" i="15"/>
  <c r="BY850" i="15"/>
  <c r="BY854" i="15"/>
  <c r="BY858" i="15"/>
  <c r="BY862" i="15"/>
  <c r="BY868" i="15"/>
  <c r="BY872" i="15"/>
  <c r="BY876" i="15"/>
  <c r="BY880" i="15"/>
  <c r="BY884" i="15"/>
  <c r="BY888" i="15"/>
  <c r="BY892" i="15"/>
  <c r="BY896" i="15"/>
  <c r="BY434" i="15"/>
  <c r="BY442" i="15"/>
  <c r="BY452" i="15"/>
  <c r="BY460" i="15"/>
  <c r="BY468" i="15"/>
  <c r="BY495" i="15"/>
  <c r="BY503" i="15"/>
  <c r="BY512" i="15"/>
  <c r="BY521" i="15"/>
  <c r="BY529" i="15"/>
  <c r="BY539" i="15"/>
  <c r="BY543" i="15"/>
  <c r="BY547" i="15"/>
  <c r="BY552" i="15"/>
  <c r="BY557" i="15"/>
  <c r="BY561" i="15"/>
  <c r="BY565" i="15"/>
  <c r="BY569" i="15"/>
  <c r="BY575" i="15"/>
  <c r="BY579" i="15"/>
  <c r="BY583" i="15"/>
  <c r="BY587" i="15"/>
  <c r="BY591" i="15"/>
  <c r="BY595" i="15"/>
  <c r="BY599" i="15"/>
  <c r="BY603" i="15"/>
  <c r="BZ603" i="15" s="1"/>
  <c r="BY608" i="15"/>
  <c r="BY612" i="15"/>
  <c r="BY616" i="15"/>
  <c r="BY620" i="15"/>
  <c r="BY624" i="15"/>
  <c r="BY628" i="15"/>
  <c r="BY632" i="15"/>
  <c r="BY637" i="15"/>
  <c r="BY642" i="15"/>
  <c r="BY646" i="15"/>
  <c r="BY652" i="15"/>
  <c r="BY656" i="15"/>
  <c r="BY660" i="15"/>
  <c r="BY664" i="15"/>
  <c r="BY669" i="15"/>
  <c r="BZ669" i="15" s="1"/>
  <c r="BY674" i="15"/>
  <c r="BY678" i="15"/>
  <c r="BY682" i="15"/>
  <c r="BY686" i="15"/>
  <c r="BY690" i="15"/>
  <c r="BY694" i="15"/>
  <c r="BY700" i="15"/>
  <c r="BY704" i="15"/>
  <c r="BY708" i="15"/>
  <c r="BY712" i="15"/>
  <c r="BY716" i="15"/>
  <c r="BY747" i="15"/>
  <c r="BY751" i="15"/>
  <c r="BY755" i="15"/>
  <c r="BY759" i="15"/>
  <c r="BY764" i="15"/>
  <c r="BY769" i="15"/>
  <c r="BY773" i="15"/>
  <c r="BY777" i="15"/>
  <c r="BY781" i="15"/>
  <c r="BY785" i="15"/>
  <c r="BY791" i="15"/>
  <c r="BY795" i="15"/>
  <c r="BY799" i="15"/>
  <c r="BY803" i="15"/>
  <c r="BY807" i="15"/>
  <c r="BY813" i="15"/>
  <c r="BY817" i="15"/>
  <c r="BY821" i="15"/>
  <c r="BY825" i="15"/>
  <c r="BY829" i="15"/>
  <c r="BY835" i="15"/>
  <c r="BY839" i="15"/>
  <c r="BY843" i="15"/>
  <c r="BY847" i="15"/>
  <c r="BY851" i="15"/>
  <c r="BY855" i="15"/>
  <c r="BY859" i="15"/>
  <c r="BY864" i="15"/>
  <c r="BY869" i="15"/>
  <c r="BY873" i="15"/>
  <c r="BY877" i="15"/>
  <c r="BY881" i="15"/>
  <c r="BY885" i="15"/>
  <c r="BY889" i="15"/>
  <c r="BY893" i="15"/>
  <c r="BY897" i="15"/>
  <c r="H40" i="13"/>
  <c r="H41" i="13"/>
  <c r="G40" i="13"/>
  <c r="G41" i="13"/>
  <c r="AJ47" i="1"/>
  <c r="AJ48" i="1"/>
  <c r="AJ26" i="1"/>
  <c r="AJ22" i="1"/>
  <c r="AJ8" i="1"/>
  <c r="M8" i="13"/>
  <c r="M9" i="13"/>
  <c r="AC14" i="13"/>
  <c r="AE14" i="13"/>
  <c r="AD14" i="13"/>
  <c r="AB14" i="13"/>
  <c r="AA14" i="13"/>
  <c r="N46" i="13"/>
  <c r="N44" i="13"/>
  <c r="N45" i="13"/>
  <c r="N42" i="13"/>
  <c r="N43" i="13"/>
  <c r="N41" i="13" l="1"/>
  <c r="N40" i="13"/>
  <c r="U8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X6" authorId="0" shapeId="0" xr:uid="{8BD6F64A-E314-40D6-9178-21CDCC0625E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X8" authorId="0" shapeId="0" xr:uid="{B136A6A3-2E4A-4FD7-9F50-B50B351C339B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<sst xmlns="http://schemas.openxmlformats.org/spreadsheetml/2006/main" count="10585" uniqueCount="2669">
  <si>
    <t>Budget File Version 0.1</t>
  </si>
  <si>
    <t>Contents</t>
  </si>
  <si>
    <t>Summary / Analysis Tabs</t>
  </si>
  <si>
    <t>NSP by Year</t>
  </si>
  <si>
    <t>Summary statistics of the national strategic plan budget (NSP) by year and objective.</t>
  </si>
  <si>
    <t>Summary / Analysis</t>
  </si>
  <si>
    <t>Description of summary / analysis tab</t>
  </si>
  <si>
    <t>Input Tabs</t>
  </si>
  <si>
    <t>Detailed Budget</t>
  </si>
  <si>
    <t>Detailed costing of resources required for NSP implementation listed by objective, strategy, activity, and sub-activity</t>
  </si>
  <si>
    <t>Unit Cost</t>
  </si>
  <si>
    <t>Underlying assumptions relating to resource-level unit costs and categorizations</t>
  </si>
  <si>
    <t>Reference Tabs</t>
  </si>
  <si>
    <t>Reference</t>
  </si>
  <si>
    <t>Description of reference tab</t>
  </si>
  <si>
    <t>Hidden Tabs</t>
  </si>
  <si>
    <t>Data Validation</t>
  </si>
  <si>
    <t>List of possible choices for cells that require data validation (e.g. drop down lists or formula-dependent lists)</t>
  </si>
  <si>
    <t>Notes</t>
  </si>
  <si>
    <t>This budget is intended to be a living document and summarizes the costing of the national strategic plan based on information available to date as provided by &lt;parties that provided input&gt;. As updates or new information become available regarding the NSP's objectives, strategies, activities, sub-activities, and the resources necessary to implement them, this document should be updated accordingly.</t>
  </si>
  <si>
    <t>THIS TAB SERVES ONLY AS A SECTION BREAK FOR WORKBOOK TAB ORGANIZATION</t>
  </si>
  <si>
    <t>THIS SHEET IS THEREFORE INTENTIONALLY BLANK</t>
  </si>
  <si>
    <t>Grand Total</t>
  </si>
  <si>
    <t>Total Need</t>
  </si>
  <si>
    <t>Total Funded</t>
  </si>
  <si>
    <t>Government</t>
  </si>
  <si>
    <t>GF Main</t>
  </si>
  <si>
    <t>GF PAAR</t>
  </si>
  <si>
    <t>PMI</t>
  </si>
  <si>
    <t>Other Partners</t>
  </si>
  <si>
    <t>Unfunded</t>
  </si>
  <si>
    <t>1 - Absolute priority</t>
  </si>
  <si>
    <t>2 - High priority</t>
  </si>
  <si>
    <t>3 - Medium priority</t>
  </si>
  <si>
    <t>4 - Low priority</t>
  </si>
  <si>
    <t>DETAILED BUDGET</t>
  </si>
  <si>
    <t>Table Organization</t>
  </si>
  <si>
    <t>Quantification</t>
  </si>
  <si>
    <t>Prioritization</t>
  </si>
  <si>
    <t>Row</t>
  </si>
  <si>
    <t>Costing Notes</t>
  </si>
  <si>
    <t>Resource Details</t>
  </si>
  <si>
    <t>Quantification Set Up</t>
  </si>
  <si>
    <t>Annual Total Quantity</t>
  </si>
  <si>
    <t>Grand</t>
  </si>
  <si>
    <t>Level</t>
  </si>
  <si>
    <t>Numbering</t>
  </si>
  <si>
    <t>Lvl 1 Header</t>
  </si>
  <si>
    <t>Lvl 2 Header</t>
  </si>
  <si>
    <t>Lvl 3 Header</t>
  </si>
  <si>
    <t>Lvl 4 Header</t>
  </si>
  <si>
    <t>Lvl Bottom Header</t>
  </si>
  <si>
    <t>Row Title</t>
  </si>
  <si>
    <t>Justification/
Assumption/
Comments</t>
  </si>
  <si>
    <t>Costing Progress Notations</t>
  </si>
  <si>
    <t>Unit Type</t>
  </si>
  <si>
    <t>Baseline Unit Cost (LCU)</t>
  </si>
  <si>
    <t>2023 Quant</t>
  </si>
  <si>
    <t>2024 Quant</t>
  </si>
  <si>
    <t>2025 Quant</t>
  </si>
  <si>
    <t>Total Quantity</t>
  </si>
  <si>
    <t>2023 Cost (LCU)</t>
  </si>
  <si>
    <t>2024 Cost (LCU)</t>
  </si>
  <si>
    <t>2025 Cost (LCU)</t>
  </si>
  <si>
    <t>Total Cost (LCU)</t>
  </si>
  <si>
    <t>Goal</t>
  </si>
  <si>
    <t/>
  </si>
  <si>
    <t>Objective</t>
  </si>
  <si>
    <t>Strategy</t>
  </si>
  <si>
    <t>Activity</t>
  </si>
  <si>
    <t>Sub-Activity</t>
  </si>
  <si>
    <t>Unit</t>
  </si>
  <si>
    <t>Refreshments</t>
  </si>
  <si>
    <t>Stationery</t>
  </si>
  <si>
    <t>UNIT COSTS</t>
  </si>
  <si>
    <t>Local Currency Unit (LCU)</t>
  </si>
  <si>
    <t>Economy</t>
  </si>
  <si>
    <t>Allocation Currency Unit (ACU)</t>
  </si>
  <si>
    <t>Resource Headline Details</t>
  </si>
  <si>
    <t>Reference Costs</t>
  </si>
  <si>
    <t>Additional Notes</t>
  </si>
  <si>
    <t>Reference Cost</t>
  </si>
  <si>
    <t>Resource</t>
  </si>
  <si>
    <t>Year</t>
  </si>
  <si>
    <t>Currency</t>
  </si>
  <si>
    <t>Cost</t>
  </si>
  <si>
    <t>LCU</t>
  </si>
  <si>
    <t>Source</t>
  </si>
  <si>
    <t>Updated</t>
  </si>
  <si>
    <t>Validated?</t>
  </si>
  <si>
    <t>Priority</t>
  </si>
  <si>
    <t>Inflation</t>
  </si>
  <si>
    <t>Yes/No</t>
  </si>
  <si>
    <t>Table Header Levels</t>
  </si>
  <si>
    <t>Currency Options</t>
  </si>
  <si>
    <t>Yes</t>
  </si>
  <si>
    <t>Overall</t>
  </si>
  <si>
    <t>Benchmark Currency Unit (BCU)</t>
  </si>
  <si>
    <t>No</t>
  </si>
  <si>
    <t>Level 1</t>
  </si>
  <si>
    <t>Level 2</t>
  </si>
  <si>
    <t>Level 3</t>
  </si>
  <si>
    <t>Level 4</t>
  </si>
  <si>
    <t>Level 5</t>
  </si>
  <si>
    <t>Costing Template Version 37</t>
  </si>
  <si>
    <t>Template Updated 4 March 2023</t>
  </si>
  <si>
    <t>Total Cost (USD)</t>
  </si>
  <si>
    <t>2023 Cost (USD)</t>
  </si>
  <si>
    <t>2024 Cost (USD)</t>
  </si>
  <si>
    <t>2025 Cost (USD)</t>
  </si>
  <si>
    <t>per unit</t>
  </si>
  <si>
    <t>USD</t>
  </si>
  <si>
    <t>SP-Distribution</t>
  </si>
  <si>
    <t>AL-Distribution</t>
  </si>
  <si>
    <t>Artesunate injections-Distribution</t>
  </si>
  <si>
    <t>Artesunate suppositories-Distribution</t>
  </si>
  <si>
    <t>Insecticides for IRS-Procurement</t>
  </si>
  <si>
    <t>RDT kits-Distribution</t>
  </si>
  <si>
    <t>Venue-Small hall-20 capacity in Abuja</t>
  </si>
  <si>
    <t>Venue-Medium size hall-50 capacity in Abuja</t>
  </si>
  <si>
    <t>Venue-Big hall-70 capacity in Abuja</t>
  </si>
  <si>
    <t>Venue-Auditorium in Abuja</t>
  </si>
  <si>
    <t>Venue-Small hall-20 capacity in state capital</t>
  </si>
  <si>
    <t>Venue-Medium size hall-50 capacity in state capital</t>
  </si>
  <si>
    <t>Venue-Big hall-70 capacity in state capital</t>
  </si>
  <si>
    <t>Venue-Auditorium in state capital</t>
  </si>
  <si>
    <t>Venue-Small hall-20 capacity in LGA</t>
  </si>
  <si>
    <t>Venue-Medium size hall-50 capacity in LGA</t>
  </si>
  <si>
    <t>Venue-Big hall-70 capacity in LGA</t>
  </si>
  <si>
    <t>Venue-Auditorium in LGA</t>
  </si>
  <si>
    <t>Training/workshop documents/materials</t>
  </si>
  <si>
    <t>Photocopy of document-per page</t>
  </si>
  <si>
    <t>Printing of document-per page</t>
  </si>
  <si>
    <t>Printing of booklets-Unit cost</t>
  </si>
  <si>
    <t>Tea break-Abuja</t>
  </si>
  <si>
    <t>Tea break-State capital</t>
  </si>
  <si>
    <t>Tea break-LGA</t>
  </si>
  <si>
    <t>Lunch-Abuja</t>
  </si>
  <si>
    <t>Lunch-State capital</t>
  </si>
  <si>
    <t>Lunch-LGA</t>
  </si>
  <si>
    <t>DSA-Abuja</t>
  </si>
  <si>
    <t>DSA-State capital</t>
  </si>
  <si>
    <t>DSA-LGA</t>
  </si>
  <si>
    <t>Airport Taxi (x4)</t>
  </si>
  <si>
    <t>Trasport within LGA</t>
  </si>
  <si>
    <t>Advocacy kits</t>
  </si>
  <si>
    <t>NGN</t>
  </si>
  <si>
    <t>Nigeria</t>
  </si>
  <si>
    <t>Quantity</t>
  </si>
  <si>
    <t>Person</t>
  </si>
  <si>
    <t>Day</t>
  </si>
  <si>
    <t>Frequency</t>
  </si>
  <si>
    <t>2021 Quant</t>
  </si>
  <si>
    <t>2022 Quant</t>
  </si>
  <si>
    <t>2021 Cost (LCU)</t>
  </si>
  <si>
    <t>2022 Cost (LCU)</t>
  </si>
  <si>
    <t>National Malaria Pragmatic Plan Budget by Objective</t>
  </si>
  <si>
    <t>Improve access and utilization of vector control interventions to at least 80% of targeted population by 2025</t>
  </si>
  <si>
    <t>To achieve a parasite prevalence of less than 10% and reduce mortality attributable to malaria to less than 50 deaths per 1,000 livebirths by 2025</t>
  </si>
  <si>
    <t>Ensure provision of chemoprevention, diagnosis and appropriate treatment for 80% of the target populations at risk by 2025</t>
  </si>
  <si>
    <t>To improve generation of evidence for decision making and impact through reporting of quality malaria data and information from at least 80% of health facilities (public and private) and other data sources including surveillance, surveys and operations research by 2025</t>
  </si>
  <si>
    <t>Strengthen coordination, collaboration, and strategic partnership to promote efficiency and effectiveness of malaria control activities towards achieving at least 75% improvement from baseline using a standardized OCA tool</t>
  </si>
  <si>
    <t>Improve funding for malaria control by at least 25% annually through predictable and innovative sources to ensure sustainability at federal and sub-national levels</t>
  </si>
  <si>
    <t>Implementation Level</t>
  </si>
  <si>
    <t>Procure and distribute LLINs (ITNs)</t>
  </si>
  <si>
    <t>Conduct LLIN campaign</t>
  </si>
  <si>
    <t>Conduct training of adhoc staff for the LLIN campaign</t>
  </si>
  <si>
    <t>Conduct virtual feedbacks meeting on campaign progress</t>
  </si>
  <si>
    <t>Carry out LLIN campaign</t>
  </si>
  <si>
    <t>Conduct reverse logistics of left over campaign LLINs from the distribution point to the LGA stores</t>
  </si>
  <si>
    <t>Conduct post LLIN campagn coverage survey</t>
  </si>
  <si>
    <t>Facilitate the continuous distribution of LLINs</t>
  </si>
  <si>
    <t>Conduct distribution of LLINs to primary and secondary schools through school health programme</t>
  </si>
  <si>
    <t>Facilitate continuous LLIN distribution to pregnant women and U-5 children in the clinics</t>
  </si>
  <si>
    <t>IRS</t>
  </si>
  <si>
    <t>Procure and distribute insecticides and equipment for IRS</t>
  </si>
  <si>
    <t>Procure insecticides for IRS</t>
  </si>
  <si>
    <t>Procure equipment for IRS</t>
  </si>
  <si>
    <t>Equipment for IRS-Distribution</t>
  </si>
  <si>
    <t>Conduct community sensitization prior to IRS</t>
  </si>
  <si>
    <t>Conduct one community dialogue per ward for sesitization towards IRS</t>
  </si>
  <si>
    <t>Carry out IRS</t>
  </si>
  <si>
    <t>Conduct training of environmental health officers for IRS</t>
  </si>
  <si>
    <t>Facilitation fee-National</t>
  </si>
  <si>
    <t>Facilitation fee-State</t>
  </si>
  <si>
    <t>Facilitation fee-LGA</t>
  </si>
  <si>
    <t>Carry out the IRS exercise-30 persons per LGA for 5 days</t>
  </si>
  <si>
    <t>MALARIA CONTROL AND ELIMINATION PARTNERSHIP IN AFRICA(MACEPA, NIGERIA) - PATH</t>
  </si>
  <si>
    <t>S/N</t>
  </si>
  <si>
    <t>States</t>
  </si>
  <si>
    <t>Case Management</t>
  </si>
  <si>
    <t>Malaria Prevention</t>
  </si>
  <si>
    <t>Vector Control</t>
  </si>
  <si>
    <t>Intervention Counts</t>
  </si>
  <si>
    <t>SMC</t>
  </si>
  <si>
    <t>PMC</t>
  </si>
  <si>
    <t>IPTp</t>
  </si>
  <si>
    <t>IPTsc</t>
  </si>
  <si>
    <t>IPTi</t>
  </si>
  <si>
    <t>Vaccines</t>
  </si>
  <si>
    <t>Vaccines Pri</t>
  </si>
  <si>
    <t>Vaccines I</t>
  </si>
  <si>
    <t>Vaccines I Pri</t>
  </si>
  <si>
    <t>Vaccines II</t>
  </si>
  <si>
    <t>Vaccines III</t>
  </si>
  <si>
    <t>Vaccines IV</t>
  </si>
  <si>
    <t>Vaccines V</t>
  </si>
  <si>
    <t>Urban New LLIN (ITN)</t>
  </si>
  <si>
    <t>New Gen LLIN (ITN)</t>
  </si>
  <si>
    <t>LSM</t>
  </si>
  <si>
    <t xml:space="preserve">Pop (2006 Census) </t>
  </si>
  <si>
    <t>Annual Growth (%)</t>
  </si>
  <si>
    <t>Projected Pop (2025)</t>
  </si>
  <si>
    <t>% of U-5 Children</t>
  </si>
  <si>
    <t># of U-5 Children</t>
  </si>
  <si>
    <t># of Wards</t>
  </si>
  <si>
    <t># of SHFs</t>
  </si>
  <si>
    <t># of THFs</t>
  </si>
  <si>
    <t>Total # of HFs</t>
  </si>
  <si>
    <t>Intervention Mix</t>
  </si>
  <si>
    <t># of LLINs for Cont. Distribution</t>
  </si>
  <si>
    <t># of SP for IPTp</t>
  </si>
  <si>
    <t xml:space="preserve"># of IV Artesunate </t>
  </si>
  <si>
    <t># of Artesunate Suppositories</t>
  </si>
  <si>
    <t>Procurement</t>
  </si>
  <si>
    <t>Distribution</t>
  </si>
  <si>
    <t>Operational</t>
  </si>
  <si>
    <t>Total</t>
  </si>
  <si>
    <t>SBC</t>
  </si>
  <si>
    <t>M&amp;E</t>
  </si>
  <si>
    <t>Resource Mobilization</t>
  </si>
  <si>
    <t>Benue</t>
  </si>
  <si>
    <t>1.1.1</t>
  </si>
  <si>
    <t>Ado</t>
  </si>
  <si>
    <t>X</t>
  </si>
  <si>
    <t>CM+IPTp+LLIN+PMC</t>
  </si>
  <si>
    <t>1.1.2</t>
  </si>
  <si>
    <t>Agatu</t>
  </si>
  <si>
    <t>CM+IPTp+LLIN+SMC</t>
  </si>
  <si>
    <t>1.1.3</t>
  </si>
  <si>
    <t>Apa</t>
  </si>
  <si>
    <t>1.1.4</t>
  </si>
  <si>
    <t>Buruku</t>
  </si>
  <si>
    <t>1.1.5</t>
  </si>
  <si>
    <t>Gboko</t>
  </si>
  <si>
    <t>1.1.6</t>
  </si>
  <si>
    <t>Guma</t>
  </si>
  <si>
    <t>1.1.7</t>
  </si>
  <si>
    <t>Gwer East</t>
  </si>
  <si>
    <t>1.1.8</t>
  </si>
  <si>
    <t>Gwer West</t>
  </si>
  <si>
    <t>1.1.9</t>
  </si>
  <si>
    <t>Katsina-Ala</t>
  </si>
  <si>
    <t>1.1.10</t>
  </si>
  <si>
    <t>Konshisha</t>
  </si>
  <si>
    <t>1.1.11</t>
  </si>
  <si>
    <t>Kwande</t>
  </si>
  <si>
    <t>1.1.12</t>
  </si>
  <si>
    <t>Logo</t>
  </si>
  <si>
    <t>1.1.13</t>
  </si>
  <si>
    <t>Makurdi</t>
  </si>
  <si>
    <t>1.1.14</t>
  </si>
  <si>
    <t>Obi1</t>
  </si>
  <si>
    <t>1.1.15</t>
  </si>
  <si>
    <t>Ogbadibo</t>
  </si>
  <si>
    <t>1.1.16</t>
  </si>
  <si>
    <t>Ohimini</t>
  </si>
  <si>
    <t>1.1.17</t>
  </si>
  <si>
    <t>Oju</t>
  </si>
  <si>
    <t>1.1.18</t>
  </si>
  <si>
    <t>Okpokwu</t>
  </si>
  <si>
    <t>1.1.19</t>
  </si>
  <si>
    <t>Oturkpo</t>
  </si>
  <si>
    <t>1.1.20</t>
  </si>
  <si>
    <t>Tarka</t>
  </si>
  <si>
    <t>1.1.21</t>
  </si>
  <si>
    <t>Ukum</t>
  </si>
  <si>
    <t>1.1.22</t>
  </si>
  <si>
    <t>Ushongo</t>
  </si>
  <si>
    <t>1.1.23</t>
  </si>
  <si>
    <t>Vandeikya</t>
  </si>
  <si>
    <t>Federal Capital Territory</t>
  </si>
  <si>
    <t>1.2.1</t>
  </si>
  <si>
    <t>Abaji</t>
  </si>
  <si>
    <t>CM+IPTp+LLIN-Urban+SMC</t>
  </si>
  <si>
    <t>1.2.2</t>
  </si>
  <si>
    <t>Abuja Municipal</t>
  </si>
  <si>
    <t>1.2.3</t>
  </si>
  <si>
    <t>Bwari</t>
  </si>
  <si>
    <t>1.2.4</t>
  </si>
  <si>
    <t>Gwagwalada</t>
  </si>
  <si>
    <t>1.2.5</t>
  </si>
  <si>
    <t>Kuje</t>
  </si>
  <si>
    <t>1.2.6</t>
  </si>
  <si>
    <t>Kwali</t>
  </si>
  <si>
    <t>Kogi</t>
  </si>
  <si>
    <t>1.3.1</t>
  </si>
  <si>
    <t>Adavi</t>
  </si>
  <si>
    <t>1.3.2</t>
  </si>
  <si>
    <t>Ajaokuta</t>
  </si>
  <si>
    <t>1.3.3</t>
  </si>
  <si>
    <t>Ankpa</t>
  </si>
  <si>
    <t>1.3.4</t>
  </si>
  <si>
    <t>Bassa1</t>
  </si>
  <si>
    <t>1.3.5</t>
  </si>
  <si>
    <t>Dekina</t>
  </si>
  <si>
    <t>1.3.6</t>
  </si>
  <si>
    <t>Ibaji</t>
  </si>
  <si>
    <t>1.3.7</t>
  </si>
  <si>
    <t>Idah</t>
  </si>
  <si>
    <t>1.3.8</t>
  </si>
  <si>
    <t>Igalamela-Odolu</t>
  </si>
  <si>
    <t>1.3.9</t>
  </si>
  <si>
    <t>Ijumu</t>
  </si>
  <si>
    <t>1.3.10</t>
  </si>
  <si>
    <t>Kabba/Bunu</t>
  </si>
  <si>
    <t>1.3.11</t>
  </si>
  <si>
    <t>1.3.12</t>
  </si>
  <si>
    <t>Lokoja</t>
  </si>
  <si>
    <t>1.3.13</t>
  </si>
  <si>
    <t>Mopa-Muro</t>
  </si>
  <si>
    <t>1.3.14</t>
  </si>
  <si>
    <t>Ofu</t>
  </si>
  <si>
    <t>1.3.15</t>
  </si>
  <si>
    <t>Ogori/Mangongo</t>
  </si>
  <si>
    <t>1.3.16</t>
  </si>
  <si>
    <t>Okehi</t>
  </si>
  <si>
    <t>1.3.17</t>
  </si>
  <si>
    <t>Okene</t>
  </si>
  <si>
    <t>1.3.18</t>
  </si>
  <si>
    <t>Olamabolo</t>
  </si>
  <si>
    <t>1.3.19</t>
  </si>
  <si>
    <t>Omala</t>
  </si>
  <si>
    <t>1.3.20</t>
  </si>
  <si>
    <t>Yagba East</t>
  </si>
  <si>
    <t>1.3.21</t>
  </si>
  <si>
    <t>Yagba West</t>
  </si>
  <si>
    <t>Kwara</t>
  </si>
  <si>
    <t>1.4.1</t>
  </si>
  <si>
    <t>Asa</t>
  </si>
  <si>
    <t>1.4.2</t>
  </si>
  <si>
    <t>Baruten</t>
  </si>
  <si>
    <t>1.4.3</t>
  </si>
  <si>
    <t>Edu</t>
  </si>
  <si>
    <t>1.4.4</t>
  </si>
  <si>
    <t>Ekiti</t>
  </si>
  <si>
    <t>1.4.5</t>
  </si>
  <si>
    <t>Ifelodun1</t>
  </si>
  <si>
    <t>1.4.6</t>
  </si>
  <si>
    <t>Ilorin East</t>
  </si>
  <si>
    <t>1.4.7</t>
  </si>
  <si>
    <t>Ilorin South</t>
  </si>
  <si>
    <t>1.4.8</t>
  </si>
  <si>
    <t>Ilorin West</t>
  </si>
  <si>
    <t>1.4.9</t>
  </si>
  <si>
    <t>Irepodun1</t>
  </si>
  <si>
    <t>1.4.10</t>
  </si>
  <si>
    <t>Isin</t>
  </si>
  <si>
    <t>1.4.11</t>
  </si>
  <si>
    <t>Kaiama</t>
  </si>
  <si>
    <t>1.4.12</t>
  </si>
  <si>
    <t>Moro</t>
  </si>
  <si>
    <t>1.4.13</t>
  </si>
  <si>
    <t>Offa</t>
  </si>
  <si>
    <t>1.4.14</t>
  </si>
  <si>
    <t>Oke-Ero</t>
  </si>
  <si>
    <t>1.4.15</t>
  </si>
  <si>
    <t>Oyun</t>
  </si>
  <si>
    <t>1.4.16</t>
  </si>
  <si>
    <t>Pategi</t>
  </si>
  <si>
    <t>Nasarawa</t>
  </si>
  <si>
    <t>1.5.1</t>
  </si>
  <si>
    <t>Akwanga</t>
  </si>
  <si>
    <t>1.5.2</t>
  </si>
  <si>
    <t>Awe</t>
  </si>
  <si>
    <t>1.5.3</t>
  </si>
  <si>
    <t>Doma</t>
  </si>
  <si>
    <t>1.5.4</t>
  </si>
  <si>
    <t>Karu</t>
  </si>
  <si>
    <t>1.5.5</t>
  </si>
  <si>
    <t>Keana</t>
  </si>
  <si>
    <t>1.5.6</t>
  </si>
  <si>
    <t>Keffi</t>
  </si>
  <si>
    <t>1.5.7</t>
  </si>
  <si>
    <t>Kokona</t>
  </si>
  <si>
    <t>1.5.8</t>
  </si>
  <si>
    <t>Lafia</t>
  </si>
  <si>
    <t>1.5.9</t>
  </si>
  <si>
    <t>Nasarawa-Eggon</t>
  </si>
  <si>
    <t>1.5.10</t>
  </si>
  <si>
    <t>Nasarawa2</t>
  </si>
  <si>
    <t>1.5.11</t>
  </si>
  <si>
    <t>Obi2</t>
  </si>
  <si>
    <t>1.5.12</t>
  </si>
  <si>
    <t>Toto</t>
  </si>
  <si>
    <t>1.5.13</t>
  </si>
  <si>
    <t>Wamba</t>
  </si>
  <si>
    <t>Niger</t>
  </si>
  <si>
    <t>1.6.1</t>
  </si>
  <si>
    <t>Agaie</t>
  </si>
  <si>
    <t>1.6.2</t>
  </si>
  <si>
    <t>Agwara</t>
  </si>
  <si>
    <t>1.6.3</t>
  </si>
  <si>
    <t>Bida</t>
  </si>
  <si>
    <t>1.6.4</t>
  </si>
  <si>
    <t>Borgu</t>
  </si>
  <si>
    <t>1.6.5</t>
  </si>
  <si>
    <t>Bosso</t>
  </si>
  <si>
    <t>1.6.6</t>
  </si>
  <si>
    <t>Chanchaga</t>
  </si>
  <si>
    <t>1.6.7</t>
  </si>
  <si>
    <t>Edati</t>
  </si>
  <si>
    <t>1.6.8</t>
  </si>
  <si>
    <t>Gbako</t>
  </si>
  <si>
    <t>1.6.9</t>
  </si>
  <si>
    <t>Gurara</t>
  </si>
  <si>
    <t>1.6.10</t>
  </si>
  <si>
    <t>Katcha</t>
  </si>
  <si>
    <t>CM+IPTp+LLIN+SMC+IRS</t>
  </si>
  <si>
    <t>1.6.11</t>
  </si>
  <si>
    <t>Kontagora</t>
  </si>
  <si>
    <t>1.6.12</t>
  </si>
  <si>
    <t>Lapai</t>
  </si>
  <si>
    <t>1.6.13</t>
  </si>
  <si>
    <t>Lavun</t>
  </si>
  <si>
    <t>1.6.14</t>
  </si>
  <si>
    <t>Magama</t>
  </si>
  <si>
    <t>1.6.15</t>
  </si>
  <si>
    <t>Mariga</t>
  </si>
  <si>
    <t>1.6.16</t>
  </si>
  <si>
    <t>Mashegu</t>
  </si>
  <si>
    <t>1.6.17</t>
  </si>
  <si>
    <t>Mokwa</t>
  </si>
  <si>
    <t>1.6.18</t>
  </si>
  <si>
    <t>Muya</t>
  </si>
  <si>
    <t>1.6.19</t>
  </si>
  <si>
    <t>Pailoro</t>
  </si>
  <si>
    <t>1.6.20</t>
  </si>
  <si>
    <t>Rafi</t>
  </si>
  <si>
    <t>1.6.21</t>
  </si>
  <si>
    <t>Rijau</t>
  </si>
  <si>
    <t>1.6.22</t>
  </si>
  <si>
    <t>Shiroro</t>
  </si>
  <si>
    <t>1.6.23</t>
  </si>
  <si>
    <t>Suleja</t>
  </si>
  <si>
    <t>1.6.24</t>
  </si>
  <si>
    <t>Tafa</t>
  </si>
  <si>
    <t>1.6.25</t>
  </si>
  <si>
    <t>Wushishi</t>
  </si>
  <si>
    <t>Plateau</t>
  </si>
  <si>
    <t>1.7.1</t>
  </si>
  <si>
    <t>Barikin Ladi</t>
  </si>
  <si>
    <t>1.7.2</t>
  </si>
  <si>
    <t>Bassa2</t>
  </si>
  <si>
    <t>1.7.3</t>
  </si>
  <si>
    <t>Bokkos</t>
  </si>
  <si>
    <t>1.7.4</t>
  </si>
  <si>
    <t>Jos East</t>
  </si>
  <si>
    <t>1.7.5</t>
  </si>
  <si>
    <t>Jos North</t>
  </si>
  <si>
    <t>1.7.6</t>
  </si>
  <si>
    <t>Jos South</t>
  </si>
  <si>
    <t>1.7.7</t>
  </si>
  <si>
    <t>Kanam</t>
  </si>
  <si>
    <t>1.7.8</t>
  </si>
  <si>
    <t>Kanke</t>
  </si>
  <si>
    <t>1.7.9</t>
  </si>
  <si>
    <t>Langtang North</t>
  </si>
  <si>
    <t>1.7.10</t>
  </si>
  <si>
    <t>Langtang South</t>
  </si>
  <si>
    <t>1.7.11</t>
  </si>
  <si>
    <t>Mangu</t>
  </si>
  <si>
    <t>1.7.12</t>
  </si>
  <si>
    <t>Mikang</t>
  </si>
  <si>
    <t>1.7.13</t>
  </si>
  <si>
    <t>Pankshin</t>
  </si>
  <si>
    <t>1.7.14</t>
  </si>
  <si>
    <t>Qua'an Pan</t>
  </si>
  <si>
    <t>1.7.15</t>
  </si>
  <si>
    <t>Riyom</t>
  </si>
  <si>
    <t>1.7.16</t>
  </si>
  <si>
    <t>Shendam</t>
  </si>
  <si>
    <t>1.7.17</t>
  </si>
  <si>
    <t>Wase</t>
  </si>
  <si>
    <t>Adamawa</t>
  </si>
  <si>
    <t>2.1.1</t>
  </si>
  <si>
    <t>Demsa</t>
  </si>
  <si>
    <t>CM+IPTp+LLIN</t>
  </si>
  <si>
    <t>2.1.2</t>
  </si>
  <si>
    <t>Fufore</t>
  </si>
  <si>
    <t>2.1.3</t>
  </si>
  <si>
    <t>2.1.4</t>
  </si>
  <si>
    <t>2.1.5</t>
  </si>
  <si>
    <t>Gombi</t>
  </si>
  <si>
    <t>2.1.6</t>
  </si>
  <si>
    <t>Guyuk</t>
  </si>
  <si>
    <t>2.1.7</t>
  </si>
  <si>
    <t>Hong</t>
  </si>
  <si>
    <t>2.1.8</t>
  </si>
  <si>
    <t>Jada</t>
  </si>
  <si>
    <t>2.1.9</t>
  </si>
  <si>
    <t>Lamurde</t>
  </si>
  <si>
    <t>2.1.10</t>
  </si>
  <si>
    <t>Madagali</t>
  </si>
  <si>
    <t>2.1.11</t>
  </si>
  <si>
    <t>Maiha</t>
  </si>
  <si>
    <t>2.1.12</t>
  </si>
  <si>
    <t>Mayo-Belwa</t>
  </si>
  <si>
    <t>2.1.13</t>
  </si>
  <si>
    <t>Michika</t>
  </si>
  <si>
    <t>2.1.14</t>
  </si>
  <si>
    <t>Mubi North</t>
  </si>
  <si>
    <t>2.1.15</t>
  </si>
  <si>
    <t>Mubi South</t>
  </si>
  <si>
    <t>2.1.16</t>
  </si>
  <si>
    <t>Numan</t>
  </si>
  <si>
    <t>2.1.17</t>
  </si>
  <si>
    <t>Shelleng</t>
  </si>
  <si>
    <t>2.1.18</t>
  </si>
  <si>
    <t>Song</t>
  </si>
  <si>
    <t>2.1.19</t>
  </si>
  <si>
    <t>Toungo</t>
  </si>
  <si>
    <t>2.1.20</t>
  </si>
  <si>
    <t>Yola North</t>
  </si>
  <si>
    <t>2.1.21</t>
  </si>
  <si>
    <t>Yola South</t>
  </si>
  <si>
    <t>Bauchi</t>
  </si>
  <si>
    <t>2.2.1</t>
  </si>
  <si>
    <t>Alkaleri</t>
  </si>
  <si>
    <t>2.2.2</t>
  </si>
  <si>
    <t>2.2.3</t>
  </si>
  <si>
    <t>Bogoro</t>
  </si>
  <si>
    <t>2.2.4</t>
  </si>
  <si>
    <t>Damban</t>
  </si>
  <si>
    <t>2.2.5</t>
  </si>
  <si>
    <t>Darazo</t>
  </si>
  <si>
    <t>2.2.6</t>
  </si>
  <si>
    <t>Dass</t>
  </si>
  <si>
    <t>2.2.7</t>
  </si>
  <si>
    <t>Gamawa</t>
  </si>
  <si>
    <t>2.2.8</t>
  </si>
  <si>
    <t>Ganjuwa</t>
  </si>
  <si>
    <t>2.2.9</t>
  </si>
  <si>
    <t>Giade</t>
  </si>
  <si>
    <t>2.2.10</t>
  </si>
  <si>
    <t>Itas/Gadau</t>
  </si>
  <si>
    <t>2.2.11</t>
  </si>
  <si>
    <t>Jama'are</t>
  </si>
  <si>
    <t>2.2.12</t>
  </si>
  <si>
    <t>Katagum</t>
  </si>
  <si>
    <t>2.2.13</t>
  </si>
  <si>
    <t>Kirfi</t>
  </si>
  <si>
    <t>2.2.14</t>
  </si>
  <si>
    <t>Misau</t>
  </si>
  <si>
    <t>2.2.15</t>
  </si>
  <si>
    <t>Ningi</t>
  </si>
  <si>
    <t>2.2.16</t>
  </si>
  <si>
    <t>Shira</t>
  </si>
  <si>
    <t>2.2.17</t>
  </si>
  <si>
    <t>Tafawa-Balewa</t>
  </si>
  <si>
    <t>2.2.18</t>
  </si>
  <si>
    <t>Toro</t>
  </si>
  <si>
    <t>2.2.19</t>
  </si>
  <si>
    <t>Warji</t>
  </si>
  <si>
    <t>2.2.20</t>
  </si>
  <si>
    <t>Zaki</t>
  </si>
  <si>
    <t>Borno</t>
  </si>
  <si>
    <t>2.3.1</t>
  </si>
  <si>
    <t>Abadam</t>
  </si>
  <si>
    <t>2.3.2</t>
  </si>
  <si>
    <t>Askira/Uba</t>
  </si>
  <si>
    <t>2.3.3</t>
  </si>
  <si>
    <t>Bama</t>
  </si>
  <si>
    <t>2.3.4</t>
  </si>
  <si>
    <t>Bayo</t>
  </si>
  <si>
    <t>2.3.5</t>
  </si>
  <si>
    <t>Biu</t>
  </si>
  <si>
    <t>2.3.6</t>
  </si>
  <si>
    <t>Chibok</t>
  </si>
  <si>
    <t>2.3.7</t>
  </si>
  <si>
    <t>Damboa</t>
  </si>
  <si>
    <t>2.3.8</t>
  </si>
  <si>
    <t>Dikwa</t>
  </si>
  <si>
    <t>2.3.9</t>
  </si>
  <si>
    <t>Gubio</t>
  </si>
  <si>
    <t>2.3.10</t>
  </si>
  <si>
    <t>Guzamala</t>
  </si>
  <si>
    <t>2.3.11</t>
  </si>
  <si>
    <t>Gwoza</t>
  </si>
  <si>
    <t>2.3.12</t>
  </si>
  <si>
    <t>Hawul</t>
  </si>
  <si>
    <t>2.3.13</t>
  </si>
  <si>
    <t>Jere</t>
  </si>
  <si>
    <t>2.3.14</t>
  </si>
  <si>
    <t>Kaga</t>
  </si>
  <si>
    <t>2.3.15</t>
  </si>
  <si>
    <t>Kala/Balge</t>
  </si>
  <si>
    <t>2.3.16</t>
  </si>
  <si>
    <t>Konduga</t>
  </si>
  <si>
    <t>2.3.17</t>
  </si>
  <si>
    <t>Kukawa</t>
  </si>
  <si>
    <t>2.3.18</t>
  </si>
  <si>
    <t>Kwaya Kusar</t>
  </si>
  <si>
    <t>2.3.19</t>
  </si>
  <si>
    <t>Mafa</t>
  </si>
  <si>
    <t>2.3.20</t>
  </si>
  <si>
    <t>Magumeri</t>
  </si>
  <si>
    <t>2.3.21</t>
  </si>
  <si>
    <t>Maiduguri</t>
  </si>
  <si>
    <t>2.3.22</t>
  </si>
  <si>
    <t>Marte</t>
  </si>
  <si>
    <t>2.3.23</t>
  </si>
  <si>
    <t>Mobbar</t>
  </si>
  <si>
    <t>2.3.24</t>
  </si>
  <si>
    <t>Monguno</t>
  </si>
  <si>
    <t>2.3.25</t>
  </si>
  <si>
    <t>Ngala</t>
  </si>
  <si>
    <t>2.3.26</t>
  </si>
  <si>
    <t>Nganzai</t>
  </si>
  <si>
    <t>2.3.27</t>
  </si>
  <si>
    <t>Shani</t>
  </si>
  <si>
    <t>Gombe</t>
  </si>
  <si>
    <t>2.4.1</t>
  </si>
  <si>
    <t>Akko</t>
  </si>
  <si>
    <t>2.4.2</t>
  </si>
  <si>
    <t>Balanga</t>
  </si>
  <si>
    <t>2.4.3</t>
  </si>
  <si>
    <t>Billiri</t>
  </si>
  <si>
    <t>2.4.4</t>
  </si>
  <si>
    <t>Dukku</t>
  </si>
  <si>
    <t>2.4.5</t>
  </si>
  <si>
    <t>Funakaye</t>
  </si>
  <si>
    <t>2.4.6</t>
  </si>
  <si>
    <t>2.4.7</t>
  </si>
  <si>
    <t>Kaltungo</t>
  </si>
  <si>
    <t>2.4.8</t>
  </si>
  <si>
    <t>Kwami</t>
  </si>
  <si>
    <t>2.4.9</t>
  </si>
  <si>
    <t>Nafada (Bajoga)</t>
  </si>
  <si>
    <t>2.4.10</t>
  </si>
  <si>
    <t>Shomgom</t>
  </si>
  <si>
    <t>2.4.11</t>
  </si>
  <si>
    <t>Yamaltu/Deba</t>
  </si>
  <si>
    <t>Taraba</t>
  </si>
  <si>
    <t>2.5.1</t>
  </si>
  <si>
    <t>Ardo-Kola</t>
  </si>
  <si>
    <t>2.5.2</t>
  </si>
  <si>
    <t>Bali</t>
  </si>
  <si>
    <t>2.5.3</t>
  </si>
  <si>
    <t>Donga</t>
  </si>
  <si>
    <t>2.5.4</t>
  </si>
  <si>
    <t>Gashaka</t>
  </si>
  <si>
    <t>2.5.5</t>
  </si>
  <si>
    <t>Gassol</t>
  </si>
  <si>
    <t>2.5.6</t>
  </si>
  <si>
    <t>Ibi</t>
  </si>
  <si>
    <t>2.5.7</t>
  </si>
  <si>
    <t>Jalingo</t>
  </si>
  <si>
    <t>2.5.8</t>
  </si>
  <si>
    <t>Karin-Lamido</t>
  </si>
  <si>
    <t>2.5.9</t>
  </si>
  <si>
    <t>Kurmi</t>
  </si>
  <si>
    <t>2.5.10</t>
  </si>
  <si>
    <t>Lau</t>
  </si>
  <si>
    <t>2.5.11</t>
  </si>
  <si>
    <t>Sardauna</t>
  </si>
  <si>
    <t>2.5.12</t>
  </si>
  <si>
    <t>Takum</t>
  </si>
  <si>
    <t>2.5.13</t>
  </si>
  <si>
    <t>Ussa</t>
  </si>
  <si>
    <t>2.5.14</t>
  </si>
  <si>
    <t>Wukari</t>
  </si>
  <si>
    <t>2.5.15</t>
  </si>
  <si>
    <t>Yorro</t>
  </si>
  <si>
    <t>2.5.16</t>
  </si>
  <si>
    <t>Zing</t>
  </si>
  <si>
    <t>2.5.17</t>
  </si>
  <si>
    <t>Yobe</t>
  </si>
  <si>
    <t>2.6.1</t>
  </si>
  <si>
    <t>Bade</t>
  </si>
  <si>
    <t>2.6.2</t>
  </si>
  <si>
    <t>Bursari</t>
  </si>
  <si>
    <t>2.6.3</t>
  </si>
  <si>
    <t>Damaturu</t>
  </si>
  <si>
    <t>2.6.4</t>
  </si>
  <si>
    <t>Fika</t>
  </si>
  <si>
    <t>2.6.5</t>
  </si>
  <si>
    <t>Fune</t>
  </si>
  <si>
    <t>2.6.6</t>
  </si>
  <si>
    <t>Geidam</t>
  </si>
  <si>
    <t>2.6.7</t>
  </si>
  <si>
    <t>Gujba</t>
  </si>
  <si>
    <t>2.6.8</t>
  </si>
  <si>
    <t>Gulani</t>
  </si>
  <si>
    <t>2.6.9</t>
  </si>
  <si>
    <t>Jakusko</t>
  </si>
  <si>
    <t>2.6.10</t>
  </si>
  <si>
    <t>Karasuwa</t>
  </si>
  <si>
    <t>2.6.11</t>
  </si>
  <si>
    <t>Machina</t>
  </si>
  <si>
    <t>2.6.12</t>
  </si>
  <si>
    <t>Nangere</t>
  </si>
  <si>
    <t>2.6.13</t>
  </si>
  <si>
    <t>Nguru</t>
  </si>
  <si>
    <t>2.6.14</t>
  </si>
  <si>
    <t>Potiskum</t>
  </si>
  <si>
    <t>2.6.15</t>
  </si>
  <si>
    <t>Tarmua</t>
  </si>
  <si>
    <t>2.6.16</t>
  </si>
  <si>
    <t>Yunusari</t>
  </si>
  <si>
    <t>2.6.17</t>
  </si>
  <si>
    <t>Yusufari</t>
  </si>
  <si>
    <t>Jigawa</t>
  </si>
  <si>
    <t>3.1.1</t>
  </si>
  <si>
    <t>Auyo</t>
  </si>
  <si>
    <t>3.1.2</t>
  </si>
  <si>
    <t>Babura</t>
  </si>
  <si>
    <t>3.1.3</t>
  </si>
  <si>
    <t>Biriniwa</t>
  </si>
  <si>
    <t>3.1.4</t>
  </si>
  <si>
    <t>Birni Kudu</t>
  </si>
  <si>
    <t>CM+IPTp+LLIN+IRS</t>
  </si>
  <si>
    <t>3.1.5</t>
  </si>
  <si>
    <t>Buji</t>
  </si>
  <si>
    <t>3.1.6</t>
  </si>
  <si>
    <t>Dutse</t>
  </si>
  <si>
    <t>3.1.7</t>
  </si>
  <si>
    <t>Gagarawa</t>
  </si>
  <si>
    <t>3.1.8</t>
  </si>
  <si>
    <t>Garki</t>
  </si>
  <si>
    <t>3.1.9</t>
  </si>
  <si>
    <t>Gumel</t>
  </si>
  <si>
    <t>3.1.10</t>
  </si>
  <si>
    <t>Guri</t>
  </si>
  <si>
    <t>3.1.11</t>
  </si>
  <si>
    <t>Gwaram</t>
  </si>
  <si>
    <t>3.1.12</t>
  </si>
  <si>
    <t>Gwiwa</t>
  </si>
  <si>
    <t>3.1.13</t>
  </si>
  <si>
    <t>Hadejia</t>
  </si>
  <si>
    <t>3.1.14</t>
  </si>
  <si>
    <t>Jahun</t>
  </si>
  <si>
    <t>3.1.15</t>
  </si>
  <si>
    <t>Kafin Hausa</t>
  </si>
  <si>
    <t>3.1.16</t>
  </si>
  <si>
    <t>Kaugama</t>
  </si>
  <si>
    <t>3.1.17</t>
  </si>
  <si>
    <t>Kazaure</t>
  </si>
  <si>
    <t>3.1.18</t>
  </si>
  <si>
    <t>Kiri Kasamma</t>
  </si>
  <si>
    <t>3.1.19</t>
  </si>
  <si>
    <t>Kiyawa</t>
  </si>
  <si>
    <t>3.1.20</t>
  </si>
  <si>
    <t>Maigatari</t>
  </si>
  <si>
    <t>3.1.21</t>
  </si>
  <si>
    <t>Malam Madori</t>
  </si>
  <si>
    <t>3.1.22</t>
  </si>
  <si>
    <t>Miga</t>
  </si>
  <si>
    <t>3.1.23</t>
  </si>
  <si>
    <t>Ringim</t>
  </si>
  <si>
    <t>3.1.24</t>
  </si>
  <si>
    <t>Roni</t>
  </si>
  <si>
    <t>3.1.25</t>
  </si>
  <si>
    <t>Sule-Tankarkar</t>
  </si>
  <si>
    <t>3.1.26</t>
  </si>
  <si>
    <t>Taura</t>
  </si>
  <si>
    <t>3.1.27</t>
  </si>
  <si>
    <t>Yankwashi</t>
  </si>
  <si>
    <t>Kaduna</t>
  </si>
  <si>
    <t>3.2.1</t>
  </si>
  <si>
    <t>Birnin-Gwari</t>
  </si>
  <si>
    <t>3.2.2</t>
  </si>
  <si>
    <t>Chikun</t>
  </si>
  <si>
    <t>3.2.3</t>
  </si>
  <si>
    <t>Giwa</t>
  </si>
  <si>
    <t>3.2.4</t>
  </si>
  <si>
    <t>Igabi</t>
  </si>
  <si>
    <t>3.2.5</t>
  </si>
  <si>
    <t>Ikara</t>
  </si>
  <si>
    <t>3.2.6</t>
  </si>
  <si>
    <t>Jaba</t>
  </si>
  <si>
    <t>3.2.7</t>
  </si>
  <si>
    <t>Jema'a</t>
  </si>
  <si>
    <t>3.2.8</t>
  </si>
  <si>
    <t>Kachia</t>
  </si>
  <si>
    <t>3.2.9</t>
  </si>
  <si>
    <t>Kaduna North</t>
  </si>
  <si>
    <t>3.2.10</t>
  </si>
  <si>
    <t>Kaduna South</t>
  </si>
  <si>
    <t>3.2.11</t>
  </si>
  <si>
    <t>Kagarko</t>
  </si>
  <si>
    <t>3.2.12</t>
  </si>
  <si>
    <t>Kajuru</t>
  </si>
  <si>
    <t>3.2.13</t>
  </si>
  <si>
    <t>Kaura</t>
  </si>
  <si>
    <t>3.2.14</t>
  </si>
  <si>
    <t>Kauru</t>
  </si>
  <si>
    <t>3.2.15</t>
  </si>
  <si>
    <t>Kubau</t>
  </si>
  <si>
    <t>3.2.16</t>
  </si>
  <si>
    <t>Kudan</t>
  </si>
  <si>
    <t>3.2.17</t>
  </si>
  <si>
    <t>Lere</t>
  </si>
  <si>
    <t>3.2.18</t>
  </si>
  <si>
    <t>Markafi</t>
  </si>
  <si>
    <t>3.2.19</t>
  </si>
  <si>
    <t>Sabon-Gari</t>
  </si>
  <si>
    <t>3.2.20</t>
  </si>
  <si>
    <t>Sanga</t>
  </si>
  <si>
    <t>3.2.21</t>
  </si>
  <si>
    <t>Soba</t>
  </si>
  <si>
    <t>3.2.22</t>
  </si>
  <si>
    <t>Zango-Kataf</t>
  </si>
  <si>
    <t>3.2.23</t>
  </si>
  <si>
    <t>Zaria</t>
  </si>
  <si>
    <t>Kano</t>
  </si>
  <si>
    <t>3.3.1</t>
  </si>
  <si>
    <t>Ajingi</t>
  </si>
  <si>
    <t>3.3.2</t>
  </si>
  <si>
    <t>Albasu</t>
  </si>
  <si>
    <t>3.3.3</t>
  </si>
  <si>
    <t>Bagwai</t>
  </si>
  <si>
    <t>3.3.4</t>
  </si>
  <si>
    <t>Bebeji</t>
  </si>
  <si>
    <t>3.3.5</t>
  </si>
  <si>
    <t>Bichi</t>
  </si>
  <si>
    <t>3.3.6</t>
  </si>
  <si>
    <t>Bunkure</t>
  </si>
  <si>
    <t>3.3.7</t>
  </si>
  <si>
    <t>Dala</t>
  </si>
  <si>
    <t>3.3.8</t>
  </si>
  <si>
    <t>Dambatta</t>
  </si>
  <si>
    <t>3.3.9</t>
  </si>
  <si>
    <t>Dawakin Kudu</t>
  </si>
  <si>
    <t>3.3.10</t>
  </si>
  <si>
    <t>Dawakin Tofa</t>
  </si>
  <si>
    <t>3.3.11</t>
  </si>
  <si>
    <t>Doguwa</t>
  </si>
  <si>
    <t>3.3.12</t>
  </si>
  <si>
    <t>Fagge</t>
  </si>
  <si>
    <t>3.3.13</t>
  </si>
  <si>
    <t>Gabasawa</t>
  </si>
  <si>
    <t>3.3.14</t>
  </si>
  <si>
    <t>Garko</t>
  </si>
  <si>
    <t>3.3.15</t>
  </si>
  <si>
    <t>Garum Mallam</t>
  </si>
  <si>
    <t>3.3.16</t>
  </si>
  <si>
    <t>Gaya</t>
  </si>
  <si>
    <t>3.3.17</t>
  </si>
  <si>
    <t>Gezawa</t>
  </si>
  <si>
    <t>3.3.18</t>
  </si>
  <si>
    <t>Gwale</t>
  </si>
  <si>
    <t>3.3.19</t>
  </si>
  <si>
    <t>Gwarzo</t>
  </si>
  <si>
    <t>3.3.20</t>
  </si>
  <si>
    <t>Kabo</t>
  </si>
  <si>
    <t>3.3.21</t>
  </si>
  <si>
    <t>Kano Municipal</t>
  </si>
  <si>
    <t>3.3.22</t>
  </si>
  <si>
    <t>Karaye</t>
  </si>
  <si>
    <t>3.3.23</t>
  </si>
  <si>
    <t>Kibiya</t>
  </si>
  <si>
    <t>3.3.24</t>
  </si>
  <si>
    <t>Kiru</t>
  </si>
  <si>
    <t>3.3.25</t>
  </si>
  <si>
    <t>Kumbotso</t>
  </si>
  <si>
    <t>3.3.26</t>
  </si>
  <si>
    <t>Kunchi</t>
  </si>
  <si>
    <t>3.3.27</t>
  </si>
  <si>
    <t>Kura</t>
  </si>
  <si>
    <t>3.3.28</t>
  </si>
  <si>
    <t>Madobi</t>
  </si>
  <si>
    <t>3.3.29</t>
  </si>
  <si>
    <t>Makoda</t>
  </si>
  <si>
    <t>3.3.30</t>
  </si>
  <si>
    <t>Minjibir</t>
  </si>
  <si>
    <t>3.3.31</t>
  </si>
  <si>
    <t>Nasarawa1</t>
  </si>
  <si>
    <t>3.3.32</t>
  </si>
  <si>
    <t>Rano</t>
  </si>
  <si>
    <t>3.3.33</t>
  </si>
  <si>
    <t>Rimin Gado</t>
  </si>
  <si>
    <t>3.3.34</t>
  </si>
  <si>
    <t>Rogo</t>
  </si>
  <si>
    <t>3.3.35</t>
  </si>
  <si>
    <t>Shanono</t>
  </si>
  <si>
    <t>3.3.36</t>
  </si>
  <si>
    <t>Sumaila</t>
  </si>
  <si>
    <t>3.3.37</t>
  </si>
  <si>
    <t>Takali</t>
  </si>
  <si>
    <t>3.3.38</t>
  </si>
  <si>
    <t>Tarauni</t>
  </si>
  <si>
    <t>3.3.39</t>
  </si>
  <si>
    <t>Tofa</t>
  </si>
  <si>
    <t>3.3.40</t>
  </si>
  <si>
    <t>Tsanyawa</t>
  </si>
  <si>
    <t>3.3.41</t>
  </si>
  <si>
    <t>Tudun Wada</t>
  </si>
  <si>
    <t>3.3.42</t>
  </si>
  <si>
    <t>Ungogo</t>
  </si>
  <si>
    <t>3.3.43</t>
  </si>
  <si>
    <t>Warawa</t>
  </si>
  <si>
    <t>3.3.44</t>
  </si>
  <si>
    <t>Wudil</t>
  </si>
  <si>
    <t>Katsina</t>
  </si>
  <si>
    <t>3.4.1</t>
  </si>
  <si>
    <t>Bakori</t>
  </si>
  <si>
    <t>3.4.2</t>
  </si>
  <si>
    <t>Batagarawa</t>
  </si>
  <si>
    <t>3.4.3</t>
  </si>
  <si>
    <t>Batsari</t>
  </si>
  <si>
    <t>3.4.4</t>
  </si>
  <si>
    <t>Baure</t>
  </si>
  <si>
    <t>3.4.5</t>
  </si>
  <si>
    <t>Bindawa</t>
  </si>
  <si>
    <t>3.4.6</t>
  </si>
  <si>
    <t>Charanchi</t>
  </si>
  <si>
    <t>3.4.7</t>
  </si>
  <si>
    <t>Dan Musa</t>
  </si>
  <si>
    <t>3.4.8</t>
  </si>
  <si>
    <t>Dandume</t>
  </si>
  <si>
    <t>3.4.9</t>
  </si>
  <si>
    <t>Danja</t>
  </si>
  <si>
    <t>3.4.10</t>
  </si>
  <si>
    <t>Daura</t>
  </si>
  <si>
    <t>3.4.11</t>
  </si>
  <si>
    <t>Dutsi</t>
  </si>
  <si>
    <t>3.4.12</t>
  </si>
  <si>
    <t>Dutsin-Ma</t>
  </si>
  <si>
    <t>3.4.13</t>
  </si>
  <si>
    <t>Faskari</t>
  </si>
  <si>
    <t>3.4.14</t>
  </si>
  <si>
    <t>Funtua</t>
  </si>
  <si>
    <t>3.4.15</t>
  </si>
  <si>
    <t>Ingawa</t>
  </si>
  <si>
    <t>3.4.16</t>
  </si>
  <si>
    <t>Jibia</t>
  </si>
  <si>
    <t>3.4.17</t>
  </si>
  <si>
    <t>Kafur</t>
  </si>
  <si>
    <t>3.4.18</t>
  </si>
  <si>
    <t>Kaita</t>
  </si>
  <si>
    <t>3.4.19</t>
  </si>
  <si>
    <t>Kankara</t>
  </si>
  <si>
    <t>3.4.20</t>
  </si>
  <si>
    <t>Kankia</t>
  </si>
  <si>
    <t>3.4.21</t>
  </si>
  <si>
    <t>3.4.22</t>
  </si>
  <si>
    <t>Kurfi</t>
  </si>
  <si>
    <t>3.4.23</t>
  </si>
  <si>
    <t>Kusada</t>
  </si>
  <si>
    <t>3.4.24</t>
  </si>
  <si>
    <t>Mai'Adua</t>
  </si>
  <si>
    <t>3.4.25</t>
  </si>
  <si>
    <t>Malumfashi</t>
  </si>
  <si>
    <t>3.4.26</t>
  </si>
  <si>
    <t>Mani</t>
  </si>
  <si>
    <t>3.4.27</t>
  </si>
  <si>
    <t>Mashi</t>
  </si>
  <si>
    <t>3.4.28</t>
  </si>
  <si>
    <t>Matazuu</t>
  </si>
  <si>
    <t>CM+IPTp+LLIN-Urban+SMC+IRS</t>
  </si>
  <si>
    <t>3.4.29</t>
  </si>
  <si>
    <t>Musawa</t>
  </si>
  <si>
    <t>3.4.30</t>
  </si>
  <si>
    <t>Rimi</t>
  </si>
  <si>
    <t>3.4.31</t>
  </si>
  <si>
    <t>Sabuwa</t>
  </si>
  <si>
    <t>3.4.32</t>
  </si>
  <si>
    <t>Safana</t>
  </si>
  <si>
    <t>3.4.33</t>
  </si>
  <si>
    <t>Sandamu</t>
  </si>
  <si>
    <t>3.4.34</t>
  </si>
  <si>
    <t>Zango</t>
  </si>
  <si>
    <t>Kebbi</t>
  </si>
  <si>
    <t>3.5.1</t>
  </si>
  <si>
    <t>Aleiro</t>
  </si>
  <si>
    <t>3.5.2</t>
  </si>
  <si>
    <t>Arewa-Dandi</t>
  </si>
  <si>
    <t>3.5.3</t>
  </si>
  <si>
    <t>Argungu</t>
  </si>
  <si>
    <t>CM+IPTp+LLIN+SMC+Vaccine</t>
  </si>
  <si>
    <t>3.5.4</t>
  </si>
  <si>
    <t>Augie</t>
  </si>
  <si>
    <t>3.5.5</t>
  </si>
  <si>
    <t>Bagudo</t>
  </si>
  <si>
    <t>3.5.6</t>
  </si>
  <si>
    <t>Birnin Kebbi</t>
  </si>
  <si>
    <t>3.5.7</t>
  </si>
  <si>
    <t>Bunza</t>
  </si>
  <si>
    <t>3.5.8</t>
  </si>
  <si>
    <t>Dandi</t>
  </si>
  <si>
    <t>3.5.9</t>
  </si>
  <si>
    <t>Fakai</t>
  </si>
  <si>
    <t>3.5.10</t>
  </si>
  <si>
    <t>Gwandu</t>
  </si>
  <si>
    <t>3.5.11</t>
  </si>
  <si>
    <t>Jega</t>
  </si>
  <si>
    <t>CM+IPTp+LLIN+SMC+IRS+Vaccine</t>
  </si>
  <si>
    <t>3.5.12</t>
  </si>
  <si>
    <t>Kalgo</t>
  </si>
  <si>
    <t>3.5.13</t>
  </si>
  <si>
    <t>Koko/Besse</t>
  </si>
  <si>
    <t>3.5.14</t>
  </si>
  <si>
    <t>Maiyama</t>
  </si>
  <si>
    <t>3.5.15</t>
  </si>
  <si>
    <t>Ngaski</t>
  </si>
  <si>
    <t>3.5.16</t>
  </si>
  <si>
    <t>Sakaba</t>
  </si>
  <si>
    <t>3.5.17</t>
  </si>
  <si>
    <t>Shanga</t>
  </si>
  <si>
    <t>3.5.18</t>
  </si>
  <si>
    <t>Suru</t>
  </si>
  <si>
    <t>3.5.19</t>
  </si>
  <si>
    <t>Wasagu/Danko</t>
  </si>
  <si>
    <t>3.5.20</t>
  </si>
  <si>
    <t>Yauri</t>
  </si>
  <si>
    <t>3.5.21</t>
  </si>
  <si>
    <t>Zuru</t>
  </si>
  <si>
    <t>Sokoto</t>
  </si>
  <si>
    <t>3.6.1</t>
  </si>
  <si>
    <t>Binji</t>
  </si>
  <si>
    <t>3.6.2</t>
  </si>
  <si>
    <t>Bodinga</t>
  </si>
  <si>
    <t>3.6.3</t>
  </si>
  <si>
    <t>3.6.4</t>
  </si>
  <si>
    <t>Gada</t>
  </si>
  <si>
    <t>3.6.5</t>
  </si>
  <si>
    <t>Goronyo</t>
  </si>
  <si>
    <t>3.6.6</t>
  </si>
  <si>
    <t>Gudu</t>
  </si>
  <si>
    <t>3.6.7</t>
  </si>
  <si>
    <t>Gwadabawa</t>
  </si>
  <si>
    <t>3.6.8</t>
  </si>
  <si>
    <t>Illela</t>
  </si>
  <si>
    <t>3.6.9</t>
  </si>
  <si>
    <t>Isa</t>
  </si>
  <si>
    <t>3.6.10</t>
  </si>
  <si>
    <t>Kebbe</t>
  </si>
  <si>
    <t>3.6.11</t>
  </si>
  <si>
    <t>Kware</t>
  </si>
  <si>
    <t>3.6.12</t>
  </si>
  <si>
    <t>Rabah</t>
  </si>
  <si>
    <t>3.6.13</t>
  </si>
  <si>
    <t>Sabon Birni</t>
  </si>
  <si>
    <t>3.6.14</t>
  </si>
  <si>
    <t>Shagari</t>
  </si>
  <si>
    <t>3.6.15</t>
  </si>
  <si>
    <t>Silame</t>
  </si>
  <si>
    <t>3.6.16</t>
  </si>
  <si>
    <t>Sokoto North</t>
  </si>
  <si>
    <t>3.6.17</t>
  </si>
  <si>
    <t>Sokoto South</t>
  </si>
  <si>
    <t>3.6.18</t>
  </si>
  <si>
    <t>Tambuwal</t>
  </si>
  <si>
    <t>3.6.19</t>
  </si>
  <si>
    <t>Tangaza</t>
  </si>
  <si>
    <t>3.6.20</t>
  </si>
  <si>
    <t>Tureta</t>
  </si>
  <si>
    <t>3.6.21</t>
  </si>
  <si>
    <t>Wamako</t>
  </si>
  <si>
    <t>3.6.22</t>
  </si>
  <si>
    <t>Wurno</t>
  </si>
  <si>
    <t>3.6.23</t>
  </si>
  <si>
    <t>Yabo</t>
  </si>
  <si>
    <t>Zamfara</t>
  </si>
  <si>
    <t>3.7.1</t>
  </si>
  <si>
    <t>Anka</t>
  </si>
  <si>
    <t>3.7.2</t>
  </si>
  <si>
    <t>Bakura</t>
  </si>
  <si>
    <t>3.7.3</t>
  </si>
  <si>
    <t>Birnin Magaji</t>
  </si>
  <si>
    <t>3.7.4</t>
  </si>
  <si>
    <t>Bukkuyum</t>
  </si>
  <si>
    <t>3.7.5</t>
  </si>
  <si>
    <t>Bungudu</t>
  </si>
  <si>
    <t>3.7.6</t>
  </si>
  <si>
    <t>Gummi</t>
  </si>
  <si>
    <t>3.7.7</t>
  </si>
  <si>
    <t>Gusau</t>
  </si>
  <si>
    <t>3.7.8</t>
  </si>
  <si>
    <t>Kaura-Namoda</t>
  </si>
  <si>
    <t>3.7.9</t>
  </si>
  <si>
    <t>Maradun</t>
  </si>
  <si>
    <t>3.7.10</t>
  </si>
  <si>
    <t>Maru</t>
  </si>
  <si>
    <t>3.7.11</t>
  </si>
  <si>
    <t>Shinkafi</t>
  </si>
  <si>
    <t>3.7.12</t>
  </si>
  <si>
    <t>Talata Mafara</t>
  </si>
  <si>
    <t>3.7.13</t>
  </si>
  <si>
    <t>Tsafe</t>
  </si>
  <si>
    <t>3.7.14</t>
  </si>
  <si>
    <t>Zurmi</t>
  </si>
  <si>
    <t>Abia</t>
  </si>
  <si>
    <t>4.1.1</t>
  </si>
  <si>
    <t>Aba North</t>
  </si>
  <si>
    <t>CM+IPTp+LLIN-Urban+PMC</t>
  </si>
  <si>
    <t>4.1.2</t>
  </si>
  <si>
    <t>Aba South</t>
  </si>
  <si>
    <t>4.1.3</t>
  </si>
  <si>
    <t>Arochukwu</t>
  </si>
  <si>
    <t>4.1.4</t>
  </si>
  <si>
    <t>Bende</t>
  </si>
  <si>
    <t>4.1.5</t>
  </si>
  <si>
    <t>Ikwuano</t>
  </si>
  <si>
    <t>4.1.6</t>
  </si>
  <si>
    <t>Isiala-Ngwa North</t>
  </si>
  <si>
    <t>4.1.7</t>
  </si>
  <si>
    <t>Isiala-Ngwa South</t>
  </si>
  <si>
    <t>4.1.8</t>
  </si>
  <si>
    <t>Isuikwato</t>
  </si>
  <si>
    <t>4.1.9</t>
  </si>
  <si>
    <t>Obi Nwa</t>
  </si>
  <si>
    <t>4.1.10</t>
  </si>
  <si>
    <t>Ohafia</t>
  </si>
  <si>
    <t>4.1.11</t>
  </si>
  <si>
    <t>Osisioma Ngwa</t>
  </si>
  <si>
    <t>4.1.12</t>
  </si>
  <si>
    <t>Ugwunagbo</t>
  </si>
  <si>
    <t>4.1.13</t>
  </si>
  <si>
    <t>Ukwa East</t>
  </si>
  <si>
    <t>4.1.14</t>
  </si>
  <si>
    <t>Ukwa West</t>
  </si>
  <si>
    <t>4.1.16</t>
  </si>
  <si>
    <t>Umuahia North</t>
  </si>
  <si>
    <t>4.1.17</t>
  </si>
  <si>
    <t>Umuahia South</t>
  </si>
  <si>
    <t>4.1.15</t>
  </si>
  <si>
    <t>Umu-Nneochi</t>
  </si>
  <si>
    <t>Anambra</t>
  </si>
  <si>
    <t>4.2.1</t>
  </si>
  <si>
    <t>Aguata</t>
  </si>
  <si>
    <t>4.2.2</t>
  </si>
  <si>
    <t>Anambra East</t>
  </si>
  <si>
    <t>4.2.3</t>
  </si>
  <si>
    <t>Anambra West</t>
  </si>
  <si>
    <t>4.2.4</t>
  </si>
  <si>
    <t>Anaocha</t>
  </si>
  <si>
    <t>4.2.5</t>
  </si>
  <si>
    <t>Awka North</t>
  </si>
  <si>
    <t>4.2.6</t>
  </si>
  <si>
    <t>Awka South</t>
  </si>
  <si>
    <t>4.2.7</t>
  </si>
  <si>
    <t>Ayamelum</t>
  </si>
  <si>
    <t>4.2.8</t>
  </si>
  <si>
    <t>Dunukofia</t>
  </si>
  <si>
    <t>4.2.9</t>
  </si>
  <si>
    <t>Ekwusigo</t>
  </si>
  <si>
    <t>4.2.10</t>
  </si>
  <si>
    <t>Idemili North</t>
  </si>
  <si>
    <t>CM+IPTp+LLIN-Urban</t>
  </si>
  <si>
    <t>4.2.11</t>
  </si>
  <si>
    <t>Idemili South</t>
  </si>
  <si>
    <t>4.2.12</t>
  </si>
  <si>
    <t>Ihiala</t>
  </si>
  <si>
    <t>4.2.13</t>
  </si>
  <si>
    <t>Njikoka</t>
  </si>
  <si>
    <t>4.2.14</t>
  </si>
  <si>
    <t>Nnewi North</t>
  </si>
  <si>
    <t>4.2.15</t>
  </si>
  <si>
    <t>Nnewi South</t>
  </si>
  <si>
    <t>4.2.16</t>
  </si>
  <si>
    <t>Ogbaru</t>
  </si>
  <si>
    <t>4.2.17</t>
  </si>
  <si>
    <t>Onitsha North</t>
  </si>
  <si>
    <t>4.2.18</t>
  </si>
  <si>
    <t>Onitsha South</t>
  </si>
  <si>
    <t>4.2.19</t>
  </si>
  <si>
    <t>Orumba North</t>
  </si>
  <si>
    <t>4.2.20</t>
  </si>
  <si>
    <t>Orumba South</t>
  </si>
  <si>
    <t>4.2.21</t>
  </si>
  <si>
    <t>Oyi</t>
  </si>
  <si>
    <t>Ebonyi</t>
  </si>
  <si>
    <t>4.3.1</t>
  </si>
  <si>
    <t>Abakaliki</t>
  </si>
  <si>
    <t>4.3.2</t>
  </si>
  <si>
    <t>Afikpo North</t>
  </si>
  <si>
    <t>4.3.3</t>
  </si>
  <si>
    <t>Afikpo South</t>
  </si>
  <si>
    <t>4.3.4</t>
  </si>
  <si>
    <t>4.3.5</t>
  </si>
  <si>
    <t>Ezza North</t>
  </si>
  <si>
    <t>4.3.6</t>
  </si>
  <si>
    <t>Ezza South</t>
  </si>
  <si>
    <t>4.3.7</t>
  </si>
  <si>
    <t>Ikwo</t>
  </si>
  <si>
    <t>4.3.8</t>
  </si>
  <si>
    <t>Ishielu</t>
  </si>
  <si>
    <t>4.3.9</t>
  </si>
  <si>
    <t>Ivo</t>
  </si>
  <si>
    <t>4.3.10</t>
  </si>
  <si>
    <t>Izzi</t>
  </si>
  <si>
    <t>4.3.11</t>
  </si>
  <si>
    <t>Ohaozara</t>
  </si>
  <si>
    <t>4.3.12</t>
  </si>
  <si>
    <t>Ohaukwu</t>
  </si>
  <si>
    <t>4.3.13</t>
  </si>
  <si>
    <t>Onicha</t>
  </si>
  <si>
    <t>Enugu</t>
  </si>
  <si>
    <t>4.4.1</t>
  </si>
  <si>
    <t>Aninri</t>
  </si>
  <si>
    <t>4.4.2</t>
  </si>
  <si>
    <t>Awgu</t>
  </si>
  <si>
    <t>4.4.3</t>
  </si>
  <si>
    <t>Enugu East</t>
  </si>
  <si>
    <t>4.4.4</t>
  </si>
  <si>
    <t>Enugu North</t>
  </si>
  <si>
    <t>4.4.5</t>
  </si>
  <si>
    <t>Enugu South</t>
  </si>
  <si>
    <t>4.4.6</t>
  </si>
  <si>
    <t>Ezeagu</t>
  </si>
  <si>
    <t>4.4.7</t>
  </si>
  <si>
    <t>Igbo-Etiti</t>
  </si>
  <si>
    <t>4.4.8</t>
  </si>
  <si>
    <t>Igbo-Eze North</t>
  </si>
  <si>
    <t>4.4.9</t>
  </si>
  <si>
    <t>Igbo-Eze South</t>
  </si>
  <si>
    <t>4.4.10</t>
  </si>
  <si>
    <t>Isi-Uzo</t>
  </si>
  <si>
    <t>4.4.11</t>
  </si>
  <si>
    <t>Nkanu East</t>
  </si>
  <si>
    <t>4.4.12</t>
  </si>
  <si>
    <t>Nkanu West</t>
  </si>
  <si>
    <t>4.4.13</t>
  </si>
  <si>
    <t>Nsukka</t>
  </si>
  <si>
    <t>4.4.14</t>
  </si>
  <si>
    <t>Oji-River</t>
  </si>
  <si>
    <t>4.4.15</t>
  </si>
  <si>
    <t>Udenu</t>
  </si>
  <si>
    <t>4.4.16</t>
  </si>
  <si>
    <t>Udi</t>
  </si>
  <si>
    <t>4.4.17</t>
  </si>
  <si>
    <t>Uzo-Uwani</t>
  </si>
  <si>
    <t>Imo</t>
  </si>
  <si>
    <t>4.5.1</t>
  </si>
  <si>
    <t>Aboh-Mbaise</t>
  </si>
  <si>
    <t>4.5.2</t>
  </si>
  <si>
    <t>Ahiazu-Mbaise</t>
  </si>
  <si>
    <t>4.5.3</t>
  </si>
  <si>
    <t>Ehime-Mbano</t>
  </si>
  <si>
    <t>4.5.4</t>
  </si>
  <si>
    <t>Ezinihitte</t>
  </si>
  <si>
    <t>4.5.5</t>
  </si>
  <si>
    <t>Ideato North</t>
  </si>
  <si>
    <t>4.5.6</t>
  </si>
  <si>
    <t>Ideato South</t>
  </si>
  <si>
    <t>4.5.7</t>
  </si>
  <si>
    <t>Ihitte/Uboma</t>
  </si>
  <si>
    <t>4.5.8</t>
  </si>
  <si>
    <t>Ikeduru</t>
  </si>
  <si>
    <t>4.5.9</t>
  </si>
  <si>
    <t>Isiala Mbano</t>
  </si>
  <si>
    <t>4.5.10</t>
  </si>
  <si>
    <t>Isu</t>
  </si>
  <si>
    <t>4.5.11</t>
  </si>
  <si>
    <t>Mbaitoli</t>
  </si>
  <si>
    <t>4.5.12</t>
  </si>
  <si>
    <t>Ngor-Okpala</t>
  </si>
  <si>
    <t>4.5.13</t>
  </si>
  <si>
    <t>Njaba</t>
  </si>
  <si>
    <t>4.5.14</t>
  </si>
  <si>
    <t>Nkwerre</t>
  </si>
  <si>
    <t>4.5.15</t>
  </si>
  <si>
    <t>Nwangele</t>
  </si>
  <si>
    <t>4.5.16</t>
  </si>
  <si>
    <t>Obowo</t>
  </si>
  <si>
    <t>4.5.17</t>
  </si>
  <si>
    <t>Oguta</t>
  </si>
  <si>
    <t>4.5.18</t>
  </si>
  <si>
    <t>Ohaji/Egbema</t>
  </si>
  <si>
    <t>4.5.19</t>
  </si>
  <si>
    <t>Okigwe</t>
  </si>
  <si>
    <t>4.5.20</t>
  </si>
  <si>
    <t>Orlu</t>
  </si>
  <si>
    <t>4.5.21</t>
  </si>
  <si>
    <t>Orsu</t>
  </si>
  <si>
    <t>4.5.22</t>
  </si>
  <si>
    <t>Oru East</t>
  </si>
  <si>
    <t>4.5.23</t>
  </si>
  <si>
    <t>Oru West</t>
  </si>
  <si>
    <t>4.5.24</t>
  </si>
  <si>
    <t>Owerri North</t>
  </si>
  <si>
    <t>4.5.25</t>
  </si>
  <si>
    <t>Owerri West</t>
  </si>
  <si>
    <t>4.5.26</t>
  </si>
  <si>
    <t>Owerri-Municipal</t>
  </si>
  <si>
    <t>4.5.27</t>
  </si>
  <si>
    <t>Unuimo</t>
  </si>
  <si>
    <t>Akwa Ibom</t>
  </si>
  <si>
    <t>5.1.1</t>
  </si>
  <si>
    <t>Abak</t>
  </si>
  <si>
    <t>5.1.2</t>
  </si>
  <si>
    <t>Eastern Obolo</t>
  </si>
  <si>
    <t>5.1.3</t>
  </si>
  <si>
    <t>Eket</t>
  </si>
  <si>
    <t>5.1.4</t>
  </si>
  <si>
    <t>Esit Eket</t>
  </si>
  <si>
    <t>5.1.5</t>
  </si>
  <si>
    <t>Essien Udim</t>
  </si>
  <si>
    <t>5.1.6</t>
  </si>
  <si>
    <t>Etim Ekpo</t>
  </si>
  <si>
    <t>5.1.7</t>
  </si>
  <si>
    <t>Etinan</t>
  </si>
  <si>
    <t>5.1.8</t>
  </si>
  <si>
    <t>Ibeno</t>
  </si>
  <si>
    <t>5.1.9</t>
  </si>
  <si>
    <t>Ibesikpo Asutan</t>
  </si>
  <si>
    <t>5.1.10</t>
  </si>
  <si>
    <t>Ibiono Ibom</t>
  </si>
  <si>
    <t>5.1.11</t>
  </si>
  <si>
    <t>Ika</t>
  </si>
  <si>
    <t>5.1.12</t>
  </si>
  <si>
    <t>Ikono</t>
  </si>
  <si>
    <t>5.1.13</t>
  </si>
  <si>
    <t>Ikot Abasi</t>
  </si>
  <si>
    <t>5.1.14</t>
  </si>
  <si>
    <t>Ikot Ekpene</t>
  </si>
  <si>
    <t>5.1.15</t>
  </si>
  <si>
    <t>Ini</t>
  </si>
  <si>
    <t>5.1.16</t>
  </si>
  <si>
    <t>Itu</t>
  </si>
  <si>
    <t>5.1.17</t>
  </si>
  <si>
    <t>Mbo</t>
  </si>
  <si>
    <t>5.1.18</t>
  </si>
  <si>
    <t>Mkpat Enin</t>
  </si>
  <si>
    <t>5.1.19</t>
  </si>
  <si>
    <t>Nsit Atai</t>
  </si>
  <si>
    <t>5.1.20</t>
  </si>
  <si>
    <t>Nsit Ibom</t>
  </si>
  <si>
    <t>5.1.21</t>
  </si>
  <si>
    <t>Nsit Ubium</t>
  </si>
  <si>
    <t>5.1.22</t>
  </si>
  <si>
    <t>Obot Akara</t>
  </si>
  <si>
    <t>5.1.23</t>
  </si>
  <si>
    <t>Okobo</t>
  </si>
  <si>
    <t>5.1.24</t>
  </si>
  <si>
    <t>Onna</t>
  </si>
  <si>
    <t>5.1.25</t>
  </si>
  <si>
    <t>Oron</t>
  </si>
  <si>
    <t>5.1.26</t>
  </si>
  <si>
    <t>Oruk Anam</t>
  </si>
  <si>
    <t>5.1.27</t>
  </si>
  <si>
    <t>Udung Uko</t>
  </si>
  <si>
    <t>5.1.28</t>
  </si>
  <si>
    <t>Ukanafun</t>
  </si>
  <si>
    <t>5.1.29</t>
  </si>
  <si>
    <t>Uruan</t>
  </si>
  <si>
    <t>5.1.30</t>
  </si>
  <si>
    <t>Urue-Offong/Oruko</t>
  </si>
  <si>
    <t>5.1.31</t>
  </si>
  <si>
    <t>Uyo</t>
  </si>
  <si>
    <t>Bayelsa</t>
  </si>
  <si>
    <t>5.2.1</t>
  </si>
  <si>
    <t>Brass</t>
  </si>
  <si>
    <t>CM+IPTp+LLIN+PMC+Vaccine</t>
  </si>
  <si>
    <t>5.2.2</t>
  </si>
  <si>
    <t>Ekeremor</t>
  </si>
  <si>
    <t>5.2.3</t>
  </si>
  <si>
    <t>Kolokuma/Opokuma</t>
  </si>
  <si>
    <t>5.2.4</t>
  </si>
  <si>
    <t>Nembe</t>
  </si>
  <si>
    <t>5.2.5</t>
  </si>
  <si>
    <t>Ogbia</t>
  </si>
  <si>
    <t>5.2.6</t>
  </si>
  <si>
    <t>Sagbama</t>
  </si>
  <si>
    <t>5.2.7</t>
  </si>
  <si>
    <t>Southern Ijaw</t>
  </si>
  <si>
    <t>5.2.8</t>
  </si>
  <si>
    <t>Yenegoa</t>
  </si>
  <si>
    <t>Cross River</t>
  </si>
  <si>
    <t>5.3.1</t>
  </si>
  <si>
    <t>Abi</t>
  </si>
  <si>
    <t>5.3.2</t>
  </si>
  <si>
    <t>Akamkpa</t>
  </si>
  <si>
    <t>5.3.3</t>
  </si>
  <si>
    <t>Akpabuyo</t>
  </si>
  <si>
    <t>5.3.4</t>
  </si>
  <si>
    <t>Bakassi</t>
  </si>
  <si>
    <t>5.3.5</t>
  </si>
  <si>
    <t>Bekwara</t>
  </si>
  <si>
    <t>5.3.6</t>
  </si>
  <si>
    <t>Biase</t>
  </si>
  <si>
    <t>5.3.7</t>
  </si>
  <si>
    <t>Boki</t>
  </si>
  <si>
    <t>5.3.8</t>
  </si>
  <si>
    <t>Calabar South</t>
  </si>
  <si>
    <t>5.3.9</t>
  </si>
  <si>
    <t>Calabar-Municipal</t>
  </si>
  <si>
    <t>5.3.10</t>
  </si>
  <si>
    <t>Etung</t>
  </si>
  <si>
    <t>5.3.11</t>
  </si>
  <si>
    <t>Ikom</t>
  </si>
  <si>
    <t>5.3.12</t>
  </si>
  <si>
    <t>Obanliku</t>
  </si>
  <si>
    <t>5.3.13</t>
  </si>
  <si>
    <t>Obubra</t>
  </si>
  <si>
    <t>5.3.14</t>
  </si>
  <si>
    <t>Obudu</t>
  </si>
  <si>
    <t>5.3.15</t>
  </si>
  <si>
    <t>Odukpani</t>
  </si>
  <si>
    <t>5.3.16</t>
  </si>
  <si>
    <t>Ogoja</t>
  </si>
  <si>
    <t>5.3.17</t>
  </si>
  <si>
    <t>Yakurr</t>
  </si>
  <si>
    <t>5.3.18</t>
  </si>
  <si>
    <t>Yala</t>
  </si>
  <si>
    <t>Delta</t>
  </si>
  <si>
    <t>5.4.1</t>
  </si>
  <si>
    <t>Aniocha North</t>
  </si>
  <si>
    <t>5.4.2</t>
  </si>
  <si>
    <t>Aniocha South</t>
  </si>
  <si>
    <t>5.4.3</t>
  </si>
  <si>
    <t>Bomadi</t>
  </si>
  <si>
    <t>5.4.4</t>
  </si>
  <si>
    <t>Burutu</t>
  </si>
  <si>
    <t>5.4.5</t>
  </si>
  <si>
    <t>Ethiope East</t>
  </si>
  <si>
    <t>5.4.6</t>
  </si>
  <si>
    <t>Ethiope West</t>
  </si>
  <si>
    <t>5.4.7</t>
  </si>
  <si>
    <t>Ika North East</t>
  </si>
  <si>
    <t>5.4.8</t>
  </si>
  <si>
    <t>Ika South</t>
  </si>
  <si>
    <t>5.4.9</t>
  </si>
  <si>
    <t>Isoko North</t>
  </si>
  <si>
    <t>5.4.10</t>
  </si>
  <si>
    <t>Isoko South</t>
  </si>
  <si>
    <t>5.4.11</t>
  </si>
  <si>
    <t>Ndokwa East</t>
  </si>
  <si>
    <t>5.4.12</t>
  </si>
  <si>
    <t>Ndokwa West</t>
  </si>
  <si>
    <t>5.4.13</t>
  </si>
  <si>
    <t>Okpe</t>
  </si>
  <si>
    <t>5.4.14</t>
  </si>
  <si>
    <t>Oshimili North</t>
  </si>
  <si>
    <t>5.4.15</t>
  </si>
  <si>
    <t>Oshimili South</t>
  </si>
  <si>
    <t>5.4.16</t>
  </si>
  <si>
    <t>Patani</t>
  </si>
  <si>
    <t>5.4.17</t>
  </si>
  <si>
    <t>Sapele</t>
  </si>
  <si>
    <t>5.4.18</t>
  </si>
  <si>
    <t>Udu</t>
  </si>
  <si>
    <t>5.4.19</t>
  </si>
  <si>
    <t>Ughelli North</t>
  </si>
  <si>
    <t>5.4.20</t>
  </si>
  <si>
    <t>Ughelli South</t>
  </si>
  <si>
    <t>5.4.21</t>
  </si>
  <si>
    <t>Ukwuani</t>
  </si>
  <si>
    <t>5.4.22</t>
  </si>
  <si>
    <t>Uvwie</t>
  </si>
  <si>
    <t>5.4.23</t>
  </si>
  <si>
    <t>Warri North</t>
  </si>
  <si>
    <t>5.4.24</t>
  </si>
  <si>
    <t>Warri South</t>
  </si>
  <si>
    <t>5.4.25</t>
  </si>
  <si>
    <t>Warri South West</t>
  </si>
  <si>
    <t>Edo</t>
  </si>
  <si>
    <t>5.5.1</t>
  </si>
  <si>
    <t>Akoko-Edo</t>
  </si>
  <si>
    <t>5.5.2</t>
  </si>
  <si>
    <t>Egor</t>
  </si>
  <si>
    <t>5.5.3</t>
  </si>
  <si>
    <t>Esan Central</t>
  </si>
  <si>
    <t>5.5.4</t>
  </si>
  <si>
    <t>Esan North East</t>
  </si>
  <si>
    <t>5.5.5</t>
  </si>
  <si>
    <t>Esan South East</t>
  </si>
  <si>
    <t>5.5.6</t>
  </si>
  <si>
    <t>Esan West</t>
  </si>
  <si>
    <t>5.5.7</t>
  </si>
  <si>
    <t>Etsako Central</t>
  </si>
  <si>
    <t>5.5.8</t>
  </si>
  <si>
    <t>Etsako East</t>
  </si>
  <si>
    <t>5.5.9</t>
  </si>
  <si>
    <t>Etsako West</t>
  </si>
  <si>
    <t>5.5.10</t>
  </si>
  <si>
    <t>Igueben</t>
  </si>
  <si>
    <t>5.5.11</t>
  </si>
  <si>
    <t>Ikpoba-Okha</t>
  </si>
  <si>
    <t>5.5.12</t>
  </si>
  <si>
    <t>Oredo</t>
  </si>
  <si>
    <t>5.5.13</t>
  </si>
  <si>
    <t>Orhionmwon</t>
  </si>
  <si>
    <t>5.5.14</t>
  </si>
  <si>
    <t>Ovia North East</t>
  </si>
  <si>
    <t>5.5.15</t>
  </si>
  <si>
    <t>Ovia South West</t>
  </si>
  <si>
    <t>5.5.16</t>
  </si>
  <si>
    <t>Owan East</t>
  </si>
  <si>
    <t>5.5.17</t>
  </si>
  <si>
    <t>Owan West</t>
  </si>
  <si>
    <t>5.5.18</t>
  </si>
  <si>
    <t>Uhunmwonde</t>
  </si>
  <si>
    <t>Rivers</t>
  </si>
  <si>
    <t>5.6.1</t>
  </si>
  <si>
    <t>Abua/Odual</t>
  </si>
  <si>
    <t>5.6.2</t>
  </si>
  <si>
    <t>Ahoada East</t>
  </si>
  <si>
    <t>5.6.3</t>
  </si>
  <si>
    <t>Ahoada West</t>
  </si>
  <si>
    <t>5.6.4</t>
  </si>
  <si>
    <t>Akuku Toru</t>
  </si>
  <si>
    <t>5.6.5</t>
  </si>
  <si>
    <t>Andoni</t>
  </si>
  <si>
    <t>5.6.6</t>
  </si>
  <si>
    <t>Asari-Toru</t>
  </si>
  <si>
    <t>5.6.7</t>
  </si>
  <si>
    <t>Bonny</t>
  </si>
  <si>
    <t>5.6.8</t>
  </si>
  <si>
    <t>Degema</t>
  </si>
  <si>
    <t>5.6.9</t>
  </si>
  <si>
    <t>Eleme</t>
  </si>
  <si>
    <t>5.6.10</t>
  </si>
  <si>
    <t>Emohua</t>
  </si>
  <si>
    <t>5.6.11</t>
  </si>
  <si>
    <t>Etche</t>
  </si>
  <si>
    <t>5.6.12</t>
  </si>
  <si>
    <t>Gokana</t>
  </si>
  <si>
    <t>5.6.13</t>
  </si>
  <si>
    <t>Ikwerre</t>
  </si>
  <si>
    <t>5.6.14</t>
  </si>
  <si>
    <t>Khana</t>
  </si>
  <si>
    <t>5.6.15</t>
  </si>
  <si>
    <t>Obia/Akpor</t>
  </si>
  <si>
    <t>5.6.16</t>
  </si>
  <si>
    <t>Ogba/Egbema/Ndoni</t>
  </si>
  <si>
    <t>5.6.17</t>
  </si>
  <si>
    <t>Ogu/Bolo</t>
  </si>
  <si>
    <t>5.6.18</t>
  </si>
  <si>
    <t>Okrika</t>
  </si>
  <si>
    <t>5.6.19</t>
  </si>
  <si>
    <t>Omumma</t>
  </si>
  <si>
    <t>5.6.20</t>
  </si>
  <si>
    <t>Opobo/Nkoro</t>
  </si>
  <si>
    <t>5.6.21</t>
  </si>
  <si>
    <t>Oyigbo</t>
  </si>
  <si>
    <t>5.6.22</t>
  </si>
  <si>
    <t>Port-Harcourt</t>
  </si>
  <si>
    <t>5.6.23</t>
  </si>
  <si>
    <t>Tai</t>
  </si>
  <si>
    <t>6.1.1</t>
  </si>
  <si>
    <t>Ado Ekiti</t>
  </si>
  <si>
    <t>6.1.2</t>
  </si>
  <si>
    <t>Aiyekire (Gboyin)</t>
  </si>
  <si>
    <t>6.1.3</t>
  </si>
  <si>
    <t>Efon-Alayee</t>
  </si>
  <si>
    <t>6.1.4</t>
  </si>
  <si>
    <t>Ekiti East</t>
  </si>
  <si>
    <t>6.1.5</t>
  </si>
  <si>
    <t>Ekiti South West</t>
  </si>
  <si>
    <t>6.1.6</t>
  </si>
  <si>
    <t>Ekiti West</t>
  </si>
  <si>
    <t>6.1.7</t>
  </si>
  <si>
    <t>Emure</t>
  </si>
  <si>
    <t>6.1.8</t>
  </si>
  <si>
    <t>Idosi-Osi</t>
  </si>
  <si>
    <t>6.1.9</t>
  </si>
  <si>
    <t>Ijero</t>
  </si>
  <si>
    <t>6.1.10</t>
  </si>
  <si>
    <t>Ikere</t>
  </si>
  <si>
    <t>6.1.11</t>
  </si>
  <si>
    <t>Ikole</t>
  </si>
  <si>
    <t>6.1.12</t>
  </si>
  <si>
    <t>6.1.13</t>
  </si>
  <si>
    <t>Irepodun/Ifelodun</t>
  </si>
  <si>
    <t>6.1.14</t>
  </si>
  <si>
    <t>Ise/Orun</t>
  </si>
  <si>
    <t>6.1.15</t>
  </si>
  <si>
    <t>Moba</t>
  </si>
  <si>
    <t>6.1.16</t>
  </si>
  <si>
    <t>Oye</t>
  </si>
  <si>
    <t>Lagos</t>
  </si>
  <si>
    <t>6.2.1</t>
  </si>
  <si>
    <t>Agege</t>
  </si>
  <si>
    <t>6.2.2</t>
  </si>
  <si>
    <t>Ajeromi-Ifelodun</t>
  </si>
  <si>
    <t>6.2.3</t>
  </si>
  <si>
    <t>Alimosho</t>
  </si>
  <si>
    <t>6.2.4</t>
  </si>
  <si>
    <t>Amuwo-Odofin</t>
  </si>
  <si>
    <t>6.2.5</t>
  </si>
  <si>
    <t>Apapa</t>
  </si>
  <si>
    <t>6.2.6</t>
  </si>
  <si>
    <t>Badagry</t>
  </si>
  <si>
    <t>6.2.7</t>
  </si>
  <si>
    <t>Epe</t>
  </si>
  <si>
    <t>6.2.8</t>
  </si>
  <si>
    <t>Eti-Osa</t>
  </si>
  <si>
    <t>6.2.9</t>
  </si>
  <si>
    <t>Ibeju/Lekki</t>
  </si>
  <si>
    <t>6.2.10</t>
  </si>
  <si>
    <t>Ifako-Ijaye</t>
  </si>
  <si>
    <t>6.2.11</t>
  </si>
  <si>
    <t>Ikeja</t>
  </si>
  <si>
    <t>6.2.12</t>
  </si>
  <si>
    <t>Ikorodu</t>
  </si>
  <si>
    <t>6.2.13</t>
  </si>
  <si>
    <t>Kosofe</t>
  </si>
  <si>
    <t>6.2.14</t>
  </si>
  <si>
    <t>Lagos Island</t>
  </si>
  <si>
    <t>6.2.15</t>
  </si>
  <si>
    <t>Lagos Mainland</t>
  </si>
  <si>
    <t>6.2.16</t>
  </si>
  <si>
    <t>Mushin</t>
  </si>
  <si>
    <t>6.2.17</t>
  </si>
  <si>
    <t>Ojo</t>
  </si>
  <si>
    <t>6.2.18</t>
  </si>
  <si>
    <t>Oshodi-Isolo</t>
  </si>
  <si>
    <t>6.2.19</t>
  </si>
  <si>
    <t>Shomolu</t>
  </si>
  <si>
    <t>6.2.20</t>
  </si>
  <si>
    <t>Surulere1</t>
  </si>
  <si>
    <t>Ogun</t>
  </si>
  <si>
    <t>6.3.1</t>
  </si>
  <si>
    <t>Abeokuta North</t>
  </si>
  <si>
    <t>6.3.2</t>
  </si>
  <si>
    <t>Abeokuta South</t>
  </si>
  <si>
    <t>6.3.3</t>
  </si>
  <si>
    <t>Ado-Odo/Ota</t>
  </si>
  <si>
    <t>6.3.4</t>
  </si>
  <si>
    <t>Egbado North</t>
  </si>
  <si>
    <t>6.3.5</t>
  </si>
  <si>
    <t>Egbado South</t>
  </si>
  <si>
    <t>6.3.6</t>
  </si>
  <si>
    <t>Ewekoro</t>
  </si>
  <si>
    <t>6.3.7</t>
  </si>
  <si>
    <t>Ifo</t>
  </si>
  <si>
    <t>6.3.8</t>
  </si>
  <si>
    <t>Ijebu East</t>
  </si>
  <si>
    <t>6.3.9</t>
  </si>
  <si>
    <t>Ijebu North</t>
  </si>
  <si>
    <t>6.3.10</t>
  </si>
  <si>
    <t>Ijebu North East</t>
  </si>
  <si>
    <t>6.3.11</t>
  </si>
  <si>
    <t>Ijebu ode</t>
  </si>
  <si>
    <t>6.3.12</t>
  </si>
  <si>
    <t>Ikenne</t>
  </si>
  <si>
    <t>6.3.13</t>
  </si>
  <si>
    <t>Imeko-Afon</t>
  </si>
  <si>
    <t>6.3.14</t>
  </si>
  <si>
    <t>Ipokia</t>
  </si>
  <si>
    <t>6.3.15</t>
  </si>
  <si>
    <t>Obafemi-Owode</t>
  </si>
  <si>
    <t>6.3.16</t>
  </si>
  <si>
    <t>Odeda</t>
  </si>
  <si>
    <t>6.3.17</t>
  </si>
  <si>
    <t>Odogbolu</t>
  </si>
  <si>
    <t>6.3.18</t>
  </si>
  <si>
    <t>Ogun waterside</t>
  </si>
  <si>
    <t>6.3.19</t>
  </si>
  <si>
    <t>Remo North</t>
  </si>
  <si>
    <t>6.3.20</t>
  </si>
  <si>
    <t>Shagamu</t>
  </si>
  <si>
    <t>Ondo</t>
  </si>
  <si>
    <t>6.4.1</t>
  </si>
  <si>
    <t>Akoko North East</t>
  </si>
  <si>
    <t>6.4.2</t>
  </si>
  <si>
    <t>Akoko North West</t>
  </si>
  <si>
    <t>6.4.3</t>
  </si>
  <si>
    <t>Akoko South East</t>
  </si>
  <si>
    <t>6.4.4</t>
  </si>
  <si>
    <t>Akoko South West</t>
  </si>
  <si>
    <t>6.4.5</t>
  </si>
  <si>
    <t>Akure North</t>
  </si>
  <si>
    <t>6.4.6</t>
  </si>
  <si>
    <t>Akure South</t>
  </si>
  <si>
    <t>6.4.7</t>
  </si>
  <si>
    <t>Ese-Odo</t>
  </si>
  <si>
    <t>6.4.8</t>
  </si>
  <si>
    <t>Idanre</t>
  </si>
  <si>
    <t>6.4.9</t>
  </si>
  <si>
    <t>Ifedore</t>
  </si>
  <si>
    <t>6.4.10</t>
  </si>
  <si>
    <t>Ilaje</t>
  </si>
  <si>
    <t>6.4.11</t>
  </si>
  <si>
    <t>Ile-Oluji-Okeigbo</t>
  </si>
  <si>
    <t>6.4.12</t>
  </si>
  <si>
    <t>Irele</t>
  </si>
  <si>
    <t>6.4.13</t>
  </si>
  <si>
    <t>Odigbo</t>
  </si>
  <si>
    <t>6.4.14</t>
  </si>
  <si>
    <t>Okitipupa</t>
  </si>
  <si>
    <t>6.4.15</t>
  </si>
  <si>
    <t>Ondo East</t>
  </si>
  <si>
    <t>6.4.16</t>
  </si>
  <si>
    <t>Ondo West</t>
  </si>
  <si>
    <t>6.4.17</t>
  </si>
  <si>
    <t>Ose</t>
  </si>
  <si>
    <t>6.4.18</t>
  </si>
  <si>
    <t>Owo</t>
  </si>
  <si>
    <t>Osun</t>
  </si>
  <si>
    <t>6.5.1</t>
  </si>
  <si>
    <t>Aiyedade</t>
  </si>
  <si>
    <t>6.5.2</t>
  </si>
  <si>
    <t>Aiyedire</t>
  </si>
  <si>
    <t>6.5.3</t>
  </si>
  <si>
    <t>Atakumosa East</t>
  </si>
  <si>
    <t>6.5.4</t>
  </si>
  <si>
    <t>Atakumosa West</t>
  </si>
  <si>
    <t>6.5.5</t>
  </si>
  <si>
    <t>Boluwaduro</t>
  </si>
  <si>
    <t>6.5.6</t>
  </si>
  <si>
    <t>Boripe</t>
  </si>
  <si>
    <t>6.5.7</t>
  </si>
  <si>
    <t>Ede North</t>
  </si>
  <si>
    <t>6.5.8</t>
  </si>
  <si>
    <t>Ede South</t>
  </si>
  <si>
    <t>6.5.9</t>
  </si>
  <si>
    <t>Egbedore</t>
  </si>
  <si>
    <t>6.5.10</t>
  </si>
  <si>
    <t>Ejigbo</t>
  </si>
  <si>
    <t>6.5.11</t>
  </si>
  <si>
    <t>Ife Central</t>
  </si>
  <si>
    <t>6.5.12</t>
  </si>
  <si>
    <t>Ife East</t>
  </si>
  <si>
    <t>6.5.13</t>
  </si>
  <si>
    <t>Ife North</t>
  </si>
  <si>
    <t>6.5.14</t>
  </si>
  <si>
    <t>Ife South</t>
  </si>
  <si>
    <t>6.5.15</t>
  </si>
  <si>
    <t>Ifedayo</t>
  </si>
  <si>
    <t>6.5.16</t>
  </si>
  <si>
    <t>Ifelodun2</t>
  </si>
  <si>
    <t>6.5.17</t>
  </si>
  <si>
    <t>Ila</t>
  </si>
  <si>
    <t>6.5.18</t>
  </si>
  <si>
    <t>Ilesha East</t>
  </si>
  <si>
    <t>6.5.19</t>
  </si>
  <si>
    <t>Ilesha West</t>
  </si>
  <si>
    <t>6.5.20</t>
  </si>
  <si>
    <t>Irepodun2</t>
  </si>
  <si>
    <t>6.5.21</t>
  </si>
  <si>
    <t>Irewole</t>
  </si>
  <si>
    <t>6.5.22</t>
  </si>
  <si>
    <t>Isokan</t>
  </si>
  <si>
    <t>6.5.23</t>
  </si>
  <si>
    <t>Iwo</t>
  </si>
  <si>
    <t>6.5.24</t>
  </si>
  <si>
    <t>Obokun</t>
  </si>
  <si>
    <t>6.5.25</t>
  </si>
  <si>
    <t>Odo-Otin</t>
  </si>
  <si>
    <t>6.5.26</t>
  </si>
  <si>
    <t>Ola-oluwa</t>
  </si>
  <si>
    <t>6.5.27</t>
  </si>
  <si>
    <t>Olorunda</t>
  </si>
  <si>
    <t>6.5.28</t>
  </si>
  <si>
    <t>Oriade</t>
  </si>
  <si>
    <t>6.5.29</t>
  </si>
  <si>
    <t>Orolu</t>
  </si>
  <si>
    <t>6.5.30</t>
  </si>
  <si>
    <t>Osogbo</t>
  </si>
  <si>
    <t>Oyo</t>
  </si>
  <si>
    <t>6.6.1</t>
  </si>
  <si>
    <t>Afijio</t>
  </si>
  <si>
    <t>6.6.2</t>
  </si>
  <si>
    <t>Akinyele</t>
  </si>
  <si>
    <t>6.6.3</t>
  </si>
  <si>
    <t>Atiba</t>
  </si>
  <si>
    <t>6.6.4</t>
  </si>
  <si>
    <t>Atigbo</t>
  </si>
  <si>
    <t>6.6.5</t>
  </si>
  <si>
    <t>Egbeda</t>
  </si>
  <si>
    <t>6.6.6</t>
  </si>
  <si>
    <t>Ibadan Central (Ibadan North East)</t>
  </si>
  <si>
    <t>6.6.7</t>
  </si>
  <si>
    <t>Ibadan North</t>
  </si>
  <si>
    <t>6.6.8</t>
  </si>
  <si>
    <t>Ibadan North West</t>
  </si>
  <si>
    <t>6.6.9</t>
  </si>
  <si>
    <t>Ibadan South East</t>
  </si>
  <si>
    <t>6.6.10</t>
  </si>
  <si>
    <t>Ibadan South West</t>
  </si>
  <si>
    <t>6.6.11</t>
  </si>
  <si>
    <t>Ibarapa Central</t>
  </si>
  <si>
    <t>6.6.12</t>
  </si>
  <si>
    <t>Ibarapa East</t>
  </si>
  <si>
    <t>6.6.13</t>
  </si>
  <si>
    <t>Ibarapa North</t>
  </si>
  <si>
    <t>6.6.14</t>
  </si>
  <si>
    <t>Ido</t>
  </si>
  <si>
    <t>6.6.15</t>
  </si>
  <si>
    <t>Irepo</t>
  </si>
  <si>
    <t>6.6.16</t>
  </si>
  <si>
    <t>Iseyin</t>
  </si>
  <si>
    <t>6.6.17</t>
  </si>
  <si>
    <t>Itesiwaju</t>
  </si>
  <si>
    <t>6.6.18</t>
  </si>
  <si>
    <t>Iwajowa</t>
  </si>
  <si>
    <t>6.6.19</t>
  </si>
  <si>
    <t>Kajola</t>
  </si>
  <si>
    <t>6.6.20</t>
  </si>
  <si>
    <t>Lagelu</t>
  </si>
  <si>
    <t>6.6.21</t>
  </si>
  <si>
    <t>Ogbomosho North</t>
  </si>
  <si>
    <t>6.6.22</t>
  </si>
  <si>
    <t>Ogbomosho South</t>
  </si>
  <si>
    <t>6.6.23</t>
  </si>
  <si>
    <t>Ogo Oluwa</t>
  </si>
  <si>
    <t>6.6.24</t>
  </si>
  <si>
    <t>Olorunsogo</t>
  </si>
  <si>
    <t>6.6.25</t>
  </si>
  <si>
    <t>Oluyole</t>
  </si>
  <si>
    <t>6.6.26</t>
  </si>
  <si>
    <t>Ona-Ara</t>
  </si>
  <si>
    <t>6.6.27</t>
  </si>
  <si>
    <t>Orelope</t>
  </si>
  <si>
    <t>6.6.28</t>
  </si>
  <si>
    <t>Ori Ire</t>
  </si>
  <si>
    <t>6.6.29</t>
  </si>
  <si>
    <t>Oyo East</t>
  </si>
  <si>
    <t>6.6.30</t>
  </si>
  <si>
    <t>Oyo West</t>
  </si>
  <si>
    <t>6.6.31</t>
  </si>
  <si>
    <t>Saki East</t>
  </si>
  <si>
    <t>6.6.32</t>
  </si>
  <si>
    <t>Saki West</t>
  </si>
  <si>
    <t>6.6.33</t>
  </si>
  <si>
    <t>Surulere2</t>
  </si>
  <si>
    <t>National</t>
  </si>
  <si>
    <t>2021 Cost (USD)</t>
  </si>
  <si>
    <t>2022 Cost (USD)</t>
  </si>
  <si>
    <t>Proportion</t>
  </si>
  <si>
    <t>Eligible</t>
  </si>
  <si>
    <t>CostLink</t>
  </si>
  <si>
    <t># of SPAQ for SMC (3-11 months)</t>
  </si>
  <si>
    <t># of SPAQ for SMC (Total)</t>
  </si>
  <si>
    <r>
      <t xml:space="preserve">Provide micrologistics </t>
    </r>
    <r>
      <rPr>
        <sz val="10"/>
        <color rgb="FF0000FF"/>
        <rFont val="Calibri"/>
        <family val="2"/>
        <scheme val="minor"/>
      </rPr>
      <t>of LLINs istribution points</t>
    </r>
  </si>
  <si>
    <t>Seasonal Malaria Chemoprevention (SMC)</t>
  </si>
  <si>
    <t>Procure and distribute SPAQ for SMC</t>
  </si>
  <si>
    <t>Procure SPAQ for SMC</t>
  </si>
  <si>
    <t>Proppotion</t>
  </si>
  <si>
    <t>AL Procurement</t>
  </si>
  <si>
    <t>RDT kits Procurement</t>
  </si>
  <si>
    <t>RDT kits Distribution</t>
  </si>
  <si>
    <t>Cost of IPTp</t>
  </si>
  <si>
    <t>Cost of PMC</t>
  </si>
  <si>
    <t>Cost of SMC</t>
  </si>
  <si>
    <t>Population</t>
  </si>
  <si>
    <t>Number of Wards and Health Facilities</t>
  </si>
  <si>
    <t>Cost of Case Management</t>
  </si>
  <si>
    <t>Cost of Malaria Vaccine Services</t>
  </si>
  <si>
    <t>Cost of Support Services</t>
  </si>
  <si>
    <t>Cost (₦)</t>
  </si>
  <si>
    <t xml:space="preserve">Quantity of Commodities </t>
  </si>
  <si>
    <t xml:space="preserve"># of Vaccine Doses </t>
  </si>
  <si>
    <t># of RDT Kits</t>
  </si>
  <si>
    <t># of ACT Packs</t>
  </si>
  <si>
    <t>Procure SPAQ        (Total)</t>
  </si>
  <si>
    <t>Perenial Malaria Chemoprevention</t>
  </si>
  <si>
    <t>Procure and distribute SP for PMS</t>
  </si>
  <si>
    <t>Procure SP for PMC</t>
  </si>
  <si>
    <t>Distribute doses of SP to health facilities for PMS</t>
  </si>
  <si>
    <t>Intermitent Preventive Treatment in Pregnancy (IPTp)</t>
  </si>
  <si>
    <t>Procure and distribute SP for IPTp</t>
  </si>
  <si>
    <t>Procure SP for IPTp</t>
  </si>
  <si>
    <t>Distribute doses of SP to health facilities for IPTp</t>
  </si>
  <si>
    <t>Case Management of Malaria</t>
  </si>
  <si>
    <t>Procure and distibute RDT kits</t>
  </si>
  <si>
    <t>Procure RDT kits</t>
  </si>
  <si>
    <t>Distribute RDT kits to health facilities</t>
  </si>
  <si>
    <t>Procure and distibute ACT packs</t>
  </si>
  <si>
    <t>Distribute AL packs to health facilities</t>
  </si>
  <si>
    <t>'Procure and distibute iv artesunate</t>
  </si>
  <si>
    <t>Procure iv artesunate</t>
  </si>
  <si>
    <t>Distribute iv artesunate to health facilities</t>
  </si>
  <si>
    <t>'Procure and distibute artesunate suppositories</t>
  </si>
  <si>
    <t>Monitoring and Evaluation</t>
  </si>
  <si>
    <t>Strengthen NHMIS at the national level</t>
  </si>
  <si>
    <t>Strengthen NHMIS at the state level</t>
  </si>
  <si>
    <t>Strengthen NHMIS at the LGA level</t>
  </si>
  <si>
    <t>Conduct monthly data validation at state level</t>
  </si>
  <si>
    <t>Conduct monthly data validation and triagulation at LGA level</t>
  </si>
  <si>
    <t>Print  and distribute NHMIS tools  to health facilities</t>
  </si>
  <si>
    <t>NHMIS data tools-Printing</t>
  </si>
  <si>
    <t>NHMIS data tools-Distribution</t>
  </si>
  <si>
    <t>Transport to and fro between LGAs and state capital</t>
  </si>
  <si>
    <t>Transport within state capital</t>
  </si>
  <si>
    <t>Transport within LGA</t>
  </si>
  <si>
    <t>Governance and Coordination</t>
  </si>
  <si>
    <t>Carry out human resouce capacity building at all levels</t>
  </si>
  <si>
    <t>Carry out Integrated Supportive Supervision (ISS) at state and LGA levels</t>
  </si>
  <si>
    <t>'Carry out ISS from the state to the LGAs</t>
  </si>
  <si>
    <t>'Carry out ISS from the LGA to the health facilities</t>
  </si>
  <si>
    <t>Advocate for resource mobilization</t>
  </si>
  <si>
    <t>Pay advocacy visits to community and opinion leader on resource mobilization for malaria programme</t>
  </si>
  <si>
    <t>Residential Training in Abuja-Cost per person per day</t>
  </si>
  <si>
    <t>Non-residential Training in Abuja-Cost per person per day</t>
  </si>
  <si>
    <t>Cunduct a 5-day Residential Training on MCM for healtcare providers in secondary and tertiary health facilities (5 participants per facility)</t>
  </si>
  <si>
    <t>Cunduct a 5-day Residential National Training of Trainer (NToT)on Malaria Care Management (MCM)-40 participants</t>
  </si>
  <si>
    <t>Cunduct a 5-day Residential State Training of Trainer (SToT) on MCM (40 participants)</t>
  </si>
  <si>
    <t>Non-residential Training at LGA level-Cost per person per day</t>
  </si>
  <si>
    <t>Cunduct a 3-day Non-residential Training on MCM for healtcare providers at the primary health facilities (2 participants per facility)</t>
  </si>
  <si>
    <t>Residential Training in State Capital-Cost per person per day</t>
  </si>
  <si>
    <t>Non-residential Training in State Capital-Cost per person per day</t>
  </si>
  <si>
    <t>Governance &amp; Coordination</t>
  </si>
  <si>
    <t>Vaccine</t>
  </si>
  <si>
    <t>Conduct a 3-day residential training of state and LGA M&amp;E officers on NHMIS tools and DHIS</t>
  </si>
  <si>
    <t>Implementation</t>
  </si>
  <si>
    <t>Item Description</t>
  </si>
  <si>
    <t>KADUNA</t>
  </si>
  <si>
    <t xml:space="preserve">Total </t>
  </si>
  <si>
    <t>LGAs</t>
  </si>
  <si>
    <t>HH (av of 5 people per HH)</t>
  </si>
  <si>
    <t>Nets</t>
  </si>
  <si>
    <t>Bales (by 50pcs)</t>
  </si>
  <si>
    <t>Wards</t>
  </si>
  <si>
    <t>DH</t>
  </si>
  <si>
    <t>CTAT members</t>
  </si>
  <si>
    <t>ICT4D consultants</t>
  </si>
  <si>
    <t>NMEP rep</t>
  </si>
  <si>
    <t>No of state team (ES SPHCDA, DPH, SMEP manager, Logistician, HE)</t>
  </si>
  <si>
    <t>No of LGA TA</t>
  </si>
  <si>
    <t>No of state monitor</t>
  </si>
  <si>
    <t>No. of LGA coordinators (1 per LGA)</t>
  </si>
  <si>
    <t>State warehouse manager (1 per WH)</t>
  </si>
  <si>
    <t>State warehouse assistants (2 per WH)</t>
  </si>
  <si>
    <t>LGA conveyors (1 per LGA)</t>
  </si>
  <si>
    <t>No of Household Mobilizers &amp; ITN distributors</t>
  </si>
  <si>
    <t>Team security (1 per team)</t>
  </si>
  <si>
    <t>No of CMTs (4 per LGA)</t>
  </si>
  <si>
    <t>LGA store officer (1 per LGA)</t>
  </si>
  <si>
    <t>LGA store security (2 per LGA)</t>
  </si>
  <si>
    <t>DH conveyors (1 per ward)</t>
  </si>
  <si>
    <t>Town announcers (5 per ward)</t>
  </si>
  <si>
    <t>No of distributor (2 per DP)</t>
  </si>
  <si>
    <t>DH Security (1 per DH)</t>
  </si>
  <si>
    <t>No of  DH Supervisors (1 per DH)</t>
  </si>
  <si>
    <t>DP Health Educator (1 per DH)</t>
  </si>
  <si>
    <t>No of devices (1 per mobilization team)</t>
  </si>
  <si>
    <t>LGA Team 4 per LGA (PHCC, MFP, LGA HE &amp; logistician)</t>
  </si>
  <si>
    <t>No of cluster supervisors (HHM/ITN dist)</t>
  </si>
  <si>
    <t>No of cluster supervisors (Distribution)</t>
  </si>
  <si>
    <t>No. of TTAs</t>
  </si>
  <si>
    <t>Total No of personnel per state</t>
  </si>
  <si>
    <t>**Calculation of net: population divided by 1.8 plus buffer of 10% (rounded to bales)</t>
  </si>
  <si>
    <t>Residential Training of LGA TAs, State team &amp; LGA team</t>
  </si>
  <si>
    <t>Unit cost</t>
  </si>
  <si>
    <t>Participants (5 state team, 1 LGA coordinator &amp; 1 LGA TA/LGA)</t>
  </si>
  <si>
    <t>Participants (4 LGA team/LGA)</t>
  </si>
  <si>
    <t>Days</t>
  </si>
  <si>
    <r>
      <t xml:space="preserve">Facilitators: CTAT and ICT4D (will require additional 2 technical, 2 logistics &amp; </t>
    </r>
    <r>
      <rPr>
        <sz val="9"/>
        <color indexed="10"/>
        <rFont val="Georgia"/>
        <family val="1"/>
      </rPr>
      <t>2</t>
    </r>
    <r>
      <rPr>
        <sz val="9"/>
        <color indexed="8"/>
        <rFont val="Georgia"/>
        <family val="1"/>
      </rPr>
      <t xml:space="preserve"> DC the combine session for the 4 classes) </t>
    </r>
  </si>
  <si>
    <t>Partners (SFF Advisors,SFH, CRS, NMEP, chemonics and other partners)</t>
  </si>
  <si>
    <t>Workshop assistants</t>
  </si>
  <si>
    <t>Tea break (2 times daily)</t>
  </si>
  <si>
    <t>Lunch</t>
  </si>
  <si>
    <t>Hall (combined session) Large</t>
  </si>
  <si>
    <t>Hall (break out session) Medium</t>
  </si>
  <si>
    <t>Hall (break out session) Small</t>
  </si>
  <si>
    <t>workshop materials</t>
  </si>
  <si>
    <t xml:space="preserve">Transport - participants </t>
  </si>
  <si>
    <t>Transportation for workshop assistants</t>
  </si>
  <si>
    <t>DSA for participants-travel day</t>
  </si>
  <si>
    <t>DSA for participants-training days</t>
  </si>
  <si>
    <t>Transport - facilitators (CTAT &amp; ICT4D consultants)</t>
  </si>
  <si>
    <t>Workshop assistants cost</t>
  </si>
  <si>
    <t>Facilitation allowance (CTAT consultants)</t>
  </si>
  <si>
    <t>Facilitation allowance (4 ICT4D consultants)</t>
  </si>
  <si>
    <t>DSA for facilitators (CTAT &amp; 4 ICT4D)-training days</t>
  </si>
  <si>
    <t>Materials - stationary</t>
  </si>
  <si>
    <t>Training of LGA coordinators on operations + activity management</t>
  </si>
  <si>
    <t>Participants (LGA coordinators)</t>
  </si>
  <si>
    <t>Facilitators: (1 Operations Support, 1 finance, VC)</t>
  </si>
  <si>
    <r>
      <rPr>
        <sz val="9"/>
        <color indexed="10"/>
        <rFont val="Georgia"/>
        <family val="1"/>
      </rPr>
      <t>SFH</t>
    </r>
    <r>
      <rPr>
        <sz val="9"/>
        <color indexed="8"/>
        <rFont val="Georgia"/>
        <family val="1"/>
      </rPr>
      <t xml:space="preserve"> ICT4D + M&amp;E</t>
    </r>
  </si>
  <si>
    <t>Tea break (2 times)</t>
  </si>
  <si>
    <t>Hall (medium)</t>
  </si>
  <si>
    <t>Transport for participants</t>
  </si>
  <si>
    <t>Training of TTAs  &amp; LGA coordinators on device deployment and CAT platform</t>
  </si>
  <si>
    <t>Participants (TTA)</t>
  </si>
  <si>
    <t>No of classes</t>
  </si>
  <si>
    <r>
      <t>Facilitators: (4 ICT4D consultants, 2 Operations Support, 4 Finance</t>
    </r>
    <r>
      <rPr>
        <sz val="9"/>
        <color indexed="8"/>
        <rFont val="Georgia"/>
        <family val="1"/>
      </rPr>
      <t>)</t>
    </r>
  </si>
  <si>
    <t>2 ICT4D team +3 VC+2 SFH ICT4D + 1 NMEP</t>
  </si>
  <si>
    <t>Hall (Big)</t>
  </si>
  <si>
    <t>DSA for facilitators</t>
  </si>
  <si>
    <t xml:space="preserve">Facilitation allowance </t>
  </si>
  <si>
    <t xml:space="preserve">Facilitation transport </t>
  </si>
  <si>
    <t>Training of TTAs  on HHM &amp; Distribution process</t>
  </si>
  <si>
    <t>No. of classes</t>
  </si>
  <si>
    <t>Facilitators: (4 ICT4D consultants, 2 CTAT technical)</t>
  </si>
  <si>
    <t>4 ICT4D team +CM + 2 Operations support+ 1 workstream advisor</t>
  </si>
  <si>
    <t>Hall (large)</t>
  </si>
  <si>
    <t>Orientation of CSO on campaign SBC implementation</t>
  </si>
  <si>
    <t>Participants (1/ Rep/CSO)</t>
  </si>
  <si>
    <t>Facilitators: (CTAT )</t>
  </si>
  <si>
    <t>1 state programme manager, 1 SHE, 1 NMEP, 1 DC Advisor</t>
  </si>
  <si>
    <t>Transport - participants</t>
  </si>
  <si>
    <t>Transport - facilitators</t>
  </si>
  <si>
    <t>Transport - facilitators (State HE)</t>
  </si>
  <si>
    <t>Facilitation allowance (CTAT )</t>
  </si>
  <si>
    <t>Facilitator allowance (State HE)</t>
  </si>
  <si>
    <t>Training of CMTs on end process</t>
  </si>
  <si>
    <t>Participants (4/LGA)</t>
  </si>
  <si>
    <t>Facilitators: (6 CTAT &amp; 4 ICT4D consultant)</t>
  </si>
  <si>
    <t>1 state programme manager, 3 workstream advisors, 1 NMEP, 1 CM,  2 operations support staff</t>
  </si>
  <si>
    <t>Workshop material</t>
  </si>
  <si>
    <t>Facilitation allowance (CTAT &amp; ICT4D consultants)</t>
  </si>
  <si>
    <t>Media parley</t>
  </si>
  <si>
    <t>Participants (30 representatives from media outfits-print and electronic)</t>
  </si>
  <si>
    <t>Facilitators: 2 CTAT, 4 ICT4D, 1 State HE</t>
  </si>
  <si>
    <t>1 state programme manager, 1 operations, 1 NMEP &amp; 1 DWS advisor</t>
  </si>
  <si>
    <t>Hall (Medium)</t>
  </si>
  <si>
    <t xml:space="preserve">Transport - facilitators </t>
  </si>
  <si>
    <t>Facilitation allowance</t>
  </si>
  <si>
    <t>Orientation of LGA conveyors</t>
  </si>
  <si>
    <t>Participants (1 per LGA)</t>
  </si>
  <si>
    <t>Facilitator (CTAT - logistics workstream)</t>
  </si>
  <si>
    <t>Facilitator (State Logistician)</t>
  </si>
  <si>
    <t>Monitor: State team, operation support, LWS advisor</t>
  </si>
  <si>
    <t>Transport - participants (LGA conveyors)</t>
  </si>
  <si>
    <t>Transport - facilitators (State Logistician)</t>
  </si>
  <si>
    <t>Transport allowance (CTAT)</t>
  </si>
  <si>
    <t>DSA for facilitator (CTAT)</t>
  </si>
  <si>
    <t>Facilitator allowance (State logistician)</t>
  </si>
  <si>
    <t>Facilitator allowance (CTAT)</t>
  </si>
  <si>
    <t>Total NGN</t>
  </si>
  <si>
    <t>Orientation of State warehouse team</t>
  </si>
  <si>
    <t>Participants (3 per warehouse)</t>
  </si>
  <si>
    <t>Monitor: State team, LWS advisor</t>
  </si>
  <si>
    <t>Transport - participants (State warehouse team)</t>
  </si>
  <si>
    <t>Orientation of State ICCN</t>
  </si>
  <si>
    <t xml:space="preserve">Participants </t>
  </si>
  <si>
    <t>Facilitator (CTAT)</t>
  </si>
  <si>
    <t>State team, NMEP, 3 VC &amp; operation support</t>
  </si>
  <si>
    <t>Transport - participants (ICCN)</t>
  </si>
  <si>
    <t>DSA for facilitator</t>
  </si>
  <si>
    <t>Training of Cluster supervisors</t>
  </si>
  <si>
    <t>Participants (6 teams/CS or minimum of 2 per ward)</t>
  </si>
  <si>
    <t>Facilitators: (4 LGA team/LGA)</t>
  </si>
  <si>
    <t>Facilitators: (1 LGA TA/LGA)</t>
  </si>
  <si>
    <t>Facilitators: (1 TTA/LGA)</t>
  </si>
  <si>
    <t>Monitor: 1 per LGA (LGA coordinators)</t>
  </si>
  <si>
    <t>Tea break</t>
  </si>
  <si>
    <t>Transport - participants (ward)</t>
  </si>
  <si>
    <t>Transport - facilitators (LGA)</t>
  </si>
  <si>
    <t>Transport - facilitators (LGA TAs)</t>
  </si>
  <si>
    <t>Facilitation allowance (LGA team)</t>
  </si>
  <si>
    <t>Facilitation allowance (LGA TAs)</t>
  </si>
  <si>
    <t>Facilitation allowance (TTA)</t>
  </si>
  <si>
    <t>Out of station allowance (TTA)</t>
  </si>
  <si>
    <t xml:space="preserve"> Transport - facilitators (TTA)</t>
  </si>
  <si>
    <t>Workshop materials</t>
  </si>
  <si>
    <t>Orientation of Town Announcers</t>
  </si>
  <si>
    <t>Participants (5 per ward)</t>
  </si>
  <si>
    <t>Facilitator (2 cluster sup/LGA)</t>
  </si>
  <si>
    <t>Facilitator (LGA HE)</t>
  </si>
  <si>
    <t>Monitor: 1 per LGA (LGA Coordinators)</t>
  </si>
  <si>
    <t>Transport - participants (town announcers)</t>
  </si>
  <si>
    <t>Transport - facilitators (cluster supervisor)</t>
  </si>
  <si>
    <t>Transport - facilitators (LGA HE)</t>
  </si>
  <si>
    <t>Facilitator allowance (cluster supervisor)</t>
  </si>
  <si>
    <t>Facilitator allowance (LGA HE)</t>
  </si>
  <si>
    <t>Photocopy</t>
  </si>
  <si>
    <t>Training of Household Mobilizers/ITN distributor</t>
  </si>
  <si>
    <t>Participants</t>
  </si>
  <si>
    <t>Facilitators: Cluster supervisors (1/ward)</t>
  </si>
  <si>
    <t>Facilitators: LGA team (4/LGA)</t>
  </si>
  <si>
    <t>Facilitators: TTAs</t>
  </si>
  <si>
    <t>Monitors:LGA coordinators, LGA TAs</t>
  </si>
  <si>
    <t>Transport - participants (HHM)</t>
  </si>
  <si>
    <t>Transport - facilitators (LGA team)</t>
  </si>
  <si>
    <t>Transport - facilitators (Cluster supervisors)</t>
  </si>
  <si>
    <t>Facilitators allowance (LGA team)</t>
  </si>
  <si>
    <t>Facilitators allowance (Cluster supervisors)</t>
  </si>
  <si>
    <t>Facilitation allowance for TTAs</t>
  </si>
  <si>
    <t>Out of station allowance</t>
  </si>
  <si>
    <t>Transport - facilitators TTAs</t>
  </si>
  <si>
    <t>Materials - photocopy</t>
  </si>
  <si>
    <t>Training of Distribution Hub Supervisor</t>
  </si>
  <si>
    <t>Participants (1/DH)</t>
  </si>
  <si>
    <t>Facilitators: LGA logistician (1 per LGA)</t>
  </si>
  <si>
    <t>Facilitators: LGA TAs</t>
  </si>
  <si>
    <t>Facilitators: TTA</t>
  </si>
  <si>
    <t>Monitors: 1 per LGA (LGA coordinators) &amp; 1 LGA MFP</t>
  </si>
  <si>
    <t>Transport - participants (DP sup)</t>
  </si>
  <si>
    <t>Transport - facilitators (LGA logistician)</t>
  </si>
  <si>
    <t>Facilitation allowance - TTAs</t>
  </si>
  <si>
    <t>Out of station allowance - TTAs</t>
  </si>
  <si>
    <t>Facilitation fee - LGA logistician</t>
  </si>
  <si>
    <t>Facilitation fee - LGA TAs</t>
  </si>
  <si>
    <t>Orientation of DH conveyors</t>
  </si>
  <si>
    <t>Participants (1 per ward)</t>
  </si>
  <si>
    <t>Facilitator (1 LGA TAs)</t>
  </si>
  <si>
    <t>Facilitator (LGA Logistician)</t>
  </si>
  <si>
    <t>Transport - participants (DP conveyors)</t>
  </si>
  <si>
    <t>Transport - facilitators (LGA Logistician)</t>
  </si>
  <si>
    <t>Transport allowance (LGA TAs)</t>
  </si>
  <si>
    <t>Facilitator allowance (LGA logistician)</t>
  </si>
  <si>
    <t>Facilitator allowance (state supervisor)</t>
  </si>
  <si>
    <t>Training of Distribution Team</t>
  </si>
  <si>
    <t>Participants (2/DP - 1 distributor + 1 net card verifier)</t>
  </si>
  <si>
    <t>Facilitators: LGA team (4 per LGA)</t>
  </si>
  <si>
    <t>Facilitators: Cluster supervisors (1 per ward)</t>
  </si>
  <si>
    <t>CIT &amp; LGA coordinators</t>
  </si>
  <si>
    <t>Transport - participants (DP team)</t>
  </si>
  <si>
    <t>Out of station allowance for TTAs</t>
  </si>
  <si>
    <t>Orientation for DP Health Educators</t>
  </si>
  <si>
    <t>Participants (1/DP - DP health Educator)</t>
  </si>
  <si>
    <t>Facilitators: LGA TAs (1 per LGA)</t>
  </si>
  <si>
    <t>Facilitators: LGA HE (1 per LGA)</t>
  </si>
  <si>
    <t>LGA MFP &amp; LGA coordinators</t>
  </si>
  <si>
    <t>Transport - participants (DP)</t>
  </si>
  <si>
    <t>Facilitators Allowance (LGA HE)</t>
  </si>
  <si>
    <t>Facilitators Allowance (LGA TAs)</t>
  </si>
  <si>
    <t>Orientation for security</t>
  </si>
  <si>
    <t>Participants (1/team)</t>
  </si>
  <si>
    <t xml:space="preserve">Facilitators: Cluster supervisors </t>
  </si>
  <si>
    <t>LGA TAs, LGA team &amp; LGA coordinators</t>
  </si>
  <si>
    <t>Transport - facilitators (cluster sup)</t>
  </si>
  <si>
    <t>Facilitators Allowance (cluster sup)</t>
  </si>
  <si>
    <t>Campaign materials and data tools</t>
  </si>
  <si>
    <t>Item/Quantities per State</t>
  </si>
  <si>
    <t>Logistic</t>
  </si>
  <si>
    <t>Total by state</t>
  </si>
  <si>
    <t>Tools - Stock sheets (cardboard texture)</t>
  </si>
  <si>
    <t>Tools - Invetory Control Card (cardboard texture)</t>
  </si>
  <si>
    <t>Tools - Waybill</t>
  </si>
  <si>
    <t>Tools - Incidence report sheet</t>
  </si>
  <si>
    <t>Demand creation</t>
  </si>
  <si>
    <t>T-shirt &amp; printing</t>
  </si>
  <si>
    <t>Caps</t>
  </si>
  <si>
    <t>Aprons and printing</t>
  </si>
  <si>
    <t>4x2 flex DP Banners</t>
  </si>
  <si>
    <t>Sash for net ambasadors &amp; advocates</t>
  </si>
  <si>
    <t>Plaque for net ambassador &amp; advocates</t>
  </si>
  <si>
    <t>Certificates for net ambassador &amp;advocates</t>
  </si>
  <si>
    <t>Advocacy kit</t>
  </si>
  <si>
    <t>Implementation - Household mobilization/ITN distribution</t>
  </si>
  <si>
    <t>Net cards (CATS state)</t>
  </si>
  <si>
    <t>Net cards for training</t>
  </si>
  <si>
    <t>MDT-Algorithm</t>
  </si>
  <si>
    <t>2x4 flex chart for Mobilizatino/ITN Distribution Training chart</t>
  </si>
  <si>
    <t>Tools - Net card reconciliation (MFP)</t>
  </si>
  <si>
    <t>Tools - Net card reconciliation (Cluster Supervisors)</t>
  </si>
  <si>
    <t>Tools - Net card reconciliation (DH Supervisors)</t>
  </si>
  <si>
    <t>Tools - HH Registration Sheet (i-3)</t>
  </si>
  <si>
    <t>Tools - Net card Distr Daily Sum Sheets (i-4a)</t>
  </si>
  <si>
    <t>Tools - Net card Distr Sum Sheet - DH (i-4b)</t>
  </si>
  <si>
    <t>Tools - Net card Distr Sum Sheet - LGA (i-4c)</t>
  </si>
  <si>
    <t>Household revist cards</t>
  </si>
  <si>
    <t>HH mob - Chalk (pack of 50)</t>
  </si>
  <si>
    <t>HH mob - plastic folders</t>
  </si>
  <si>
    <t>1 page A3  laminater colored HE handneld flip chart for MDTs</t>
  </si>
  <si>
    <t>SOP MDT</t>
  </si>
  <si>
    <t>SOP DH supervisors</t>
  </si>
  <si>
    <t>MDT Workplan sheet</t>
  </si>
  <si>
    <t>SOP for CSOs</t>
  </si>
  <si>
    <t>SOP for cluster supervisors</t>
  </si>
  <si>
    <t>SOP for LGA team</t>
  </si>
  <si>
    <t>4x2 flex chart for Distribution Training</t>
  </si>
  <si>
    <t>Pens (for all) pack of 50</t>
  </si>
  <si>
    <t>Bale Cutters</t>
  </si>
  <si>
    <t>Markers (Pieces)</t>
  </si>
  <si>
    <t>Bags for losse nets and materials (bacco sack like plolythene bags)</t>
  </si>
  <si>
    <t>ICT4D</t>
  </si>
  <si>
    <t>Paper for printing badges (Reams)</t>
  </si>
  <si>
    <t>Toners for printer to print campaign personnel badges</t>
  </si>
  <si>
    <t>Toner for printer to print Demo badges for training</t>
  </si>
  <si>
    <t>Badge holders + Strip</t>
  </si>
  <si>
    <t>Data bundle for routers</t>
  </si>
  <si>
    <t>Carry sacks for devices</t>
  </si>
  <si>
    <t>Temper proof seal for devices</t>
  </si>
  <si>
    <t>Waterproof Bags for devices</t>
  </si>
  <si>
    <t>Handling</t>
  </si>
  <si>
    <t>Sync verification form</t>
  </si>
  <si>
    <t>P-3D update form</t>
  </si>
  <si>
    <t xml:space="preserve">Guarantor's form </t>
  </si>
  <si>
    <t>Monitoring &amp; Supervision</t>
  </si>
  <si>
    <t>Tools - M&amp;S forms (i9-a)</t>
  </si>
  <si>
    <t>Tools - M&amp;S forms (i9-b)</t>
  </si>
  <si>
    <t>Tools - Cluster supervisors supervisory checklist</t>
  </si>
  <si>
    <t>Tools - M&amp;S forms (i9-d)</t>
  </si>
  <si>
    <t>Tools - end process assessment forms 1</t>
  </si>
  <si>
    <t>Tools - end process assessment forms 2</t>
  </si>
  <si>
    <t>Training manual</t>
  </si>
  <si>
    <t>Operations</t>
  </si>
  <si>
    <t>Printer ink</t>
  </si>
  <si>
    <t>Advert placement for procurement</t>
  </si>
  <si>
    <t>Transport of tools &amp; materials to State (15 tonn truck)</t>
  </si>
  <si>
    <t>Transport of tools &amp; materials to LGA (canter or bus)</t>
  </si>
  <si>
    <t xml:space="preserve">Promotional material for Logistics Demand Creation and M&amp;S </t>
  </si>
  <si>
    <t>Physical stock count of ITNs in warehouse (after macro logistics)</t>
  </si>
  <si>
    <t>Physical stock count of ITNs in warehouse (after reverse logistics)</t>
  </si>
  <si>
    <t>Reverse logistics from DHs to LGA store (including loading &amp; off loading: Non-hard to reach</t>
  </si>
  <si>
    <t>Reverse logistics from DHs to LGA store: hard to reach</t>
  </si>
  <si>
    <t>Community Mobilization - Radio/TV Airtime (gov)</t>
  </si>
  <si>
    <t>Net Ambassador's investiture (investiture &amp; production of radio message)</t>
  </si>
  <si>
    <t>Airing of endorsment jingle by Net Ambassador</t>
  </si>
  <si>
    <t>Documentary (Video and Photographs)</t>
  </si>
  <si>
    <t>State campaign flagoff</t>
  </si>
  <si>
    <t>Batteries for mega phones (4 pack of battery)</t>
  </si>
  <si>
    <t>CSO - facilitation fee for orientation session with community leaders</t>
  </si>
  <si>
    <t>Lunch for orientation sessions</t>
  </si>
  <si>
    <t>Materials for orientation sessions</t>
  </si>
  <si>
    <t>CSO - facilitation fee for orientation session with religious/traditional leaders</t>
  </si>
  <si>
    <t>CSO - facilitation fee for orientation sessions with school health coordinators</t>
  </si>
  <si>
    <t>CSO - facilitation fee of SOPs for orientation session with union leaders</t>
  </si>
  <si>
    <t>CSO Facilitation fee-Sensitization session with communty leaders/ religious/traditional leaders and their members (1 session per ward per phase with 10-20 participants)</t>
  </si>
  <si>
    <t>CSO Facilitation fee- Sensitization session in schools with health coordinators and students (2 schools per ward per phase with 10-20 participants)</t>
  </si>
  <si>
    <t>CSO Facilitation fee- Sensitization session with unions leaders and their members (2 unions per ward per phase with 10-20 participants)</t>
  </si>
  <si>
    <t>CSO - Mobile street announcement (3 days per phase)</t>
  </si>
  <si>
    <t>CSO - cost of banner</t>
  </si>
  <si>
    <t>Daily review meeting during HHM &amp; net distribution</t>
  </si>
  <si>
    <t>Hall for review meetings (Large)</t>
  </si>
  <si>
    <t>ICCN review meeting</t>
  </si>
  <si>
    <t>ICCN review meeting - transport for participants</t>
  </si>
  <si>
    <t>Vehicle for M&amp;S</t>
  </si>
  <si>
    <t>Vehicle for M&amp;S (car pool)</t>
  </si>
  <si>
    <t>Waste management</t>
  </si>
  <si>
    <t>Security (Police/vigiliante/NSCDC/DSS/Army\/State) and Contigency logistics</t>
  </si>
  <si>
    <t>Campaign personnel honorarium, daily rate and travels</t>
  </si>
  <si>
    <t>Personnel Honorarium, daily rate, communication and transportation</t>
  </si>
  <si>
    <t>Item</t>
  </si>
  <si>
    <t>Unit cost (NGN)</t>
  </si>
  <si>
    <t>Local transport</t>
  </si>
  <si>
    <t>Communication</t>
  </si>
  <si>
    <t>Duration (days)</t>
  </si>
  <si>
    <t>CTAT (Technical Workstream)</t>
  </si>
  <si>
    <t>CTAT (Demand Creation WS consultants)</t>
  </si>
  <si>
    <t>CTAT (Logistics WS consultants)</t>
  </si>
  <si>
    <t>CTAT (support facilitators)</t>
  </si>
  <si>
    <t>ICT4D consultants (4 per State)</t>
  </si>
  <si>
    <t>state team (ES SPHCDA, DPH, SMEP manager, state health educator, state logistician)</t>
  </si>
  <si>
    <t>LGA TAs (1 per LGA)</t>
  </si>
  <si>
    <t>State warehouse manager -  (Depending on the number of warehouses per state)</t>
  </si>
  <si>
    <t>Assistant warehouse manager - (2 per warehouse)</t>
  </si>
  <si>
    <t>LGA conveyors - (1 per LGA)</t>
  </si>
  <si>
    <t>Media reporting journalist - (3 per State)</t>
  </si>
  <si>
    <t>TTAs</t>
  </si>
  <si>
    <t>LGA coordinators - (1 per LGA)</t>
  </si>
  <si>
    <t>LGA team (PHCC/MoH)</t>
  </si>
  <si>
    <t>LGA team (MFP)</t>
  </si>
  <si>
    <t>LGA team (LGA HE)</t>
  </si>
  <si>
    <t>LGA team (LGA logistician)</t>
  </si>
  <si>
    <t>LGA store keeper - 1 per LGA</t>
  </si>
  <si>
    <t>LGA store security- 2 per LGA</t>
  </si>
  <si>
    <t>DH conveyors - 1 per DH</t>
  </si>
  <si>
    <t>Cluster supervisors - HHM/ITN Distribution</t>
  </si>
  <si>
    <t>Cluster supervisors - Distribution</t>
  </si>
  <si>
    <t>Town announcers - 5 per ward</t>
  </si>
  <si>
    <t>Household mobilizers/ITN distributors</t>
  </si>
  <si>
    <t>DH supervisors - 1 per DH</t>
  </si>
  <si>
    <t>HHM/Distribution team security - 1 per team</t>
  </si>
  <si>
    <t>DP health educator - 1 per DP</t>
  </si>
  <si>
    <t>DH security - 1 per DH</t>
  </si>
  <si>
    <t>CMTs - 4 per LGA</t>
  </si>
  <si>
    <t>Travel for National and State level personnel for campaign implementation</t>
  </si>
  <si>
    <t>Items</t>
  </si>
  <si>
    <t>Description</t>
  </si>
  <si>
    <t>Uint cost</t>
  </si>
  <si>
    <t>CTAT + Support Facilitators</t>
  </si>
  <si>
    <t>Air ticket &amp; Terminals</t>
  </si>
  <si>
    <t xml:space="preserve"> Interstate for Kaduna</t>
  </si>
  <si>
    <t>DSA</t>
  </si>
  <si>
    <t>CTAT (for STOT Facilitation)</t>
  </si>
  <si>
    <t>ICT4D consultant</t>
  </si>
  <si>
    <t>ICT4D team</t>
  </si>
  <si>
    <t>Communication (Call &amp; Data)</t>
  </si>
  <si>
    <t>State team</t>
  </si>
  <si>
    <t>Out of Station allowance</t>
  </si>
  <si>
    <t>LGA coordinators</t>
  </si>
  <si>
    <t>Additional hotel room for secretariat</t>
  </si>
  <si>
    <t>VC unit - workstream Advisor</t>
  </si>
  <si>
    <t>Local transp</t>
  </si>
  <si>
    <t xml:space="preserve"> PD &amp; DPD</t>
  </si>
  <si>
    <t>SFH M&amp;E/IT to support ICT4D</t>
  </si>
  <si>
    <t>Security</t>
  </si>
  <si>
    <t>Finance team</t>
  </si>
  <si>
    <t>Program/operations support</t>
  </si>
  <si>
    <t>NMEP &amp; SFH management team</t>
  </si>
  <si>
    <t>For oversight</t>
  </si>
  <si>
    <t>SFH &amp; NMEP reps (flag off)</t>
  </si>
  <si>
    <t>3 days Flag off</t>
  </si>
  <si>
    <t>Car hire</t>
  </si>
  <si>
    <t>Exchange rate</t>
  </si>
  <si>
    <t>Grand Total implementation</t>
  </si>
  <si>
    <t>Totals by cost category &amp; type</t>
  </si>
  <si>
    <t>Planning and coordination: Personnel</t>
  </si>
  <si>
    <t>Planning and coordination: Other direct cost</t>
  </si>
  <si>
    <t>Logistics during campaign: Procurement</t>
  </si>
  <si>
    <t>Logistics during campaign: Logistics</t>
  </si>
  <si>
    <t>Logistics during campaign: Personnel</t>
  </si>
  <si>
    <t>Logistics during campaign: Other direct cost</t>
  </si>
  <si>
    <t>Training: Procurement</t>
  </si>
  <si>
    <t>Training: Personnel</t>
  </si>
  <si>
    <t>Training: Meeting / Workshop/ training costs</t>
  </si>
  <si>
    <t>SBCC: Procurement</t>
  </si>
  <si>
    <t xml:space="preserve">5.1 </t>
  </si>
  <si>
    <t>SBCC: Personnel</t>
  </si>
  <si>
    <t>Household registration: Procurement</t>
  </si>
  <si>
    <t>Household registration: Personnel</t>
  </si>
  <si>
    <t>Distribution to benefiaries: Procurement</t>
  </si>
  <si>
    <t>Distribution to benefiaries: Personnel</t>
  </si>
  <si>
    <t>Distribution to benefiaries: Other direct cost</t>
  </si>
  <si>
    <t>M &amp;S: Procurement</t>
  </si>
  <si>
    <t>M&amp;S: Personnel</t>
  </si>
  <si>
    <t>M&amp;S: Meeting / Workshop/ training costs</t>
  </si>
  <si>
    <t>M&amp;S: Other direct cost</t>
  </si>
  <si>
    <t>Evaluation: Procurement</t>
  </si>
  <si>
    <t>Evaluation: Personnel</t>
  </si>
  <si>
    <t>Other direct cost: Procurement</t>
  </si>
  <si>
    <t>Other direct cost: Logistics</t>
  </si>
  <si>
    <t>Other direct cost: Personnel</t>
  </si>
  <si>
    <t>Other direct cost: otherdirect cost</t>
  </si>
  <si>
    <t>ICT4D:Procurement</t>
  </si>
  <si>
    <t>ICT4D:Personnel</t>
  </si>
  <si>
    <t>ICT4D:Meeting/Workshop/Training cost</t>
  </si>
  <si>
    <t>Policy &amp; procedure cost:Personnel</t>
  </si>
  <si>
    <t>Capacity Building</t>
  </si>
  <si>
    <t>CostLinkProc</t>
  </si>
  <si>
    <t>CostLinkCampagin</t>
  </si>
  <si>
    <t>Ganye</t>
  </si>
  <si>
    <t>Girei</t>
  </si>
  <si>
    <t>Ilejemeje</t>
  </si>
  <si>
    <t>per person</t>
  </si>
  <si>
    <t>Procure SPAQ                      (12-59 months)</t>
  </si>
  <si>
    <t>National Level Activities</t>
  </si>
  <si>
    <t xml:space="preserve">Country </t>
  </si>
  <si>
    <t>State Level Activities</t>
  </si>
  <si>
    <t>1.1.0</t>
  </si>
  <si>
    <t>1.2.0</t>
  </si>
  <si>
    <t>1.3.0</t>
  </si>
  <si>
    <t>1.4.0</t>
  </si>
  <si>
    <t>1.5.0</t>
  </si>
  <si>
    <t>1.6.0</t>
  </si>
  <si>
    <t>1.7.0</t>
  </si>
  <si>
    <t>2.1.0</t>
  </si>
  <si>
    <t>2.2.0</t>
  </si>
  <si>
    <t>2.3.0</t>
  </si>
  <si>
    <t>2.4.0</t>
  </si>
  <si>
    <t>2.5.0</t>
  </si>
  <si>
    <t>2.6.0</t>
  </si>
  <si>
    <t>3.1.0</t>
  </si>
  <si>
    <t>3.2.0</t>
  </si>
  <si>
    <t>3.3.0</t>
  </si>
  <si>
    <t>3.4.0</t>
  </si>
  <si>
    <t>3.5.0</t>
  </si>
  <si>
    <t>3.6.0</t>
  </si>
  <si>
    <t>3.7.0</t>
  </si>
  <si>
    <t>4.1.0</t>
  </si>
  <si>
    <t>4.2.0</t>
  </si>
  <si>
    <t>4.3.0</t>
  </si>
  <si>
    <t>4.4.0</t>
  </si>
  <si>
    <t>4.5.0</t>
  </si>
  <si>
    <t>5.1.0</t>
  </si>
  <si>
    <t>5.3.0</t>
  </si>
  <si>
    <t>5.2.0</t>
  </si>
  <si>
    <t>5.4.0</t>
  </si>
  <si>
    <t>5.5.0</t>
  </si>
  <si>
    <t>5.6.0</t>
  </si>
  <si>
    <t>6.1.0</t>
  </si>
  <si>
    <t>6.2.0</t>
  </si>
  <si>
    <t>6.3.0</t>
  </si>
  <si>
    <t>6.4.0</t>
  </si>
  <si>
    <t>6.5.0</t>
  </si>
  <si>
    <t>6.6.0</t>
  </si>
  <si>
    <t># of fxnal PHCs</t>
  </si>
  <si>
    <t>North-Central (Middle Belt)</t>
  </si>
  <si>
    <t>North East</t>
  </si>
  <si>
    <t>South-East</t>
  </si>
  <si>
    <t>South-South (Niger Delta)</t>
  </si>
  <si>
    <t>Dange-Shuni</t>
  </si>
  <si>
    <t>Disputed Area in Taraba State</t>
  </si>
  <si>
    <t>South-West</t>
  </si>
  <si>
    <t>North-West</t>
  </si>
  <si>
    <t>ITNs</t>
  </si>
  <si>
    <t># of ITNs for Campaign</t>
  </si>
  <si>
    <t>Cost of Continuous Distribution of ITNs</t>
  </si>
  <si>
    <t>Cost of ITN Campaign</t>
  </si>
  <si>
    <t>Campaign</t>
  </si>
  <si>
    <t>Flight ticket-Return within Nigeria</t>
  </si>
  <si>
    <t>Travel-Ground-per km</t>
  </si>
  <si>
    <t>ITN Campaign-Operational cost per ITN</t>
  </si>
  <si>
    <t>ITN Routine Distribution-Operational cost per ITN</t>
  </si>
  <si>
    <t>LSM-Operational cost per ward</t>
  </si>
  <si>
    <t>IRS-Equipment-Distribution cost per ward</t>
  </si>
  <si>
    <t xml:space="preserve">IRS-Operational cost per ward </t>
  </si>
  <si>
    <t>LSM-Insecticides-Procurement cost per ward</t>
  </si>
  <si>
    <t>LSM-Insecticides-Distribution cost per ward</t>
  </si>
  <si>
    <t>LSM-Equipment-Procurement cost per ward</t>
  </si>
  <si>
    <t>LSM-Equipment-Distribution cost per ward</t>
  </si>
  <si>
    <t>SMC-SPAQ-3-11 months-Procurement cost per SPAQ</t>
  </si>
  <si>
    <t>SMC-SPAQ-12-59 months-Procurement cost per SPAQ</t>
  </si>
  <si>
    <t>IPTp-SP-Procurement cost per SP</t>
  </si>
  <si>
    <t>IPTp-SP-Routine Distribution cost per SP</t>
  </si>
  <si>
    <t>Malaria Vaccine-Distribution cost per vial</t>
  </si>
  <si>
    <t>Malaria Vaccine-Operational cost per child</t>
  </si>
  <si>
    <t>Case Management-AL-Procurement cost per AL</t>
  </si>
  <si>
    <t>Case Management-AL-Routine Distribution cost per AL</t>
  </si>
  <si>
    <t>Case Management-Microscope-Procurement cost microscope</t>
  </si>
  <si>
    <t>Case Management-Microscope-Distribution cost per microscope</t>
  </si>
  <si>
    <t>Case Management-Giemsa stain-Procurement cost</t>
  </si>
  <si>
    <t>Case Management-Giemsa stain-Distribution cost</t>
  </si>
  <si>
    <t>Case Management-Needle (N) and Syringe (S)-Procurement cost per N&amp;S</t>
  </si>
  <si>
    <t>Case Management-Hand gloves-Procurement cost per pack of 100 pieces</t>
  </si>
  <si>
    <t>Case Management-Hand gloves -Distribution cost per pack</t>
  </si>
  <si>
    <t>Case Management-Microscopy-Oil-Procument cost</t>
  </si>
  <si>
    <t>Case Management-Microscopy-Oil-Distribution cost</t>
  </si>
  <si>
    <t>Case Management-Microscope slides-Procurement cost per slide</t>
  </si>
  <si>
    <t>Case Management-Microscope slides-Distribution cost per slide</t>
  </si>
  <si>
    <t>Training on malaria microscopy-Cost per person</t>
  </si>
  <si>
    <t>ITN Campaign</t>
  </si>
  <si>
    <t>Procure ITNs for campaign</t>
  </si>
  <si>
    <t>ITN Continuous Distribution</t>
  </si>
  <si>
    <t>Procure and distribute ITNs for continuous distribution</t>
  </si>
  <si>
    <t>Procure ITNs</t>
  </si>
  <si>
    <t>Conduct last mile distribution of ITNs to LGAs and HFs</t>
  </si>
  <si>
    <t># of PW     (5%)</t>
  </si>
  <si>
    <t>Proportion for SP</t>
  </si>
  <si>
    <t>Eligbile</t>
  </si>
  <si>
    <t>U-5  for SMC (95%)</t>
  </si>
  <si>
    <t xml:space="preserve"># of U-5 + PW     </t>
  </si>
  <si>
    <t># eligible for Cont. Distribution</t>
  </si>
  <si>
    <t>Procuremnet</t>
  </si>
  <si>
    <t>NMEP/GC7</t>
  </si>
  <si>
    <t>ITN Campaign-Procurement per ITN (Dual AI)</t>
  </si>
  <si>
    <t>NMEP Historical Cost</t>
  </si>
  <si>
    <t>ITN Routine Distribution-Pocurement cost per ITN (Dual AI)</t>
  </si>
  <si>
    <t>ITN Campagain</t>
  </si>
  <si>
    <t>SMC Campaign</t>
  </si>
  <si>
    <t>SPAQ for SMC      (12-59 months)</t>
  </si>
  <si>
    <t>Kwara State 2023 SMC Operational Budget</t>
  </si>
  <si>
    <t>Implementation Activities</t>
  </si>
  <si>
    <t>Pre-Implementation Activities</t>
  </si>
  <si>
    <t>BLs</t>
  </si>
  <si>
    <t>FA Review Comments</t>
  </si>
  <si>
    <t>PR Comments</t>
  </si>
  <si>
    <t xml:space="preserve">FA Comments </t>
  </si>
  <si>
    <t xml:space="preserve"> 1.2 Planning Meeting </t>
  </si>
  <si>
    <t xml:space="preserve">PR explained these activities have already taken place and amounts are as per budget figures </t>
  </si>
  <si>
    <t xml:space="preserve"> 1.2 Entry meeting with SMEP Team  </t>
  </si>
  <si>
    <t xml:space="preserve"> 1.3  LGA Microplan Collation and  Analysis  Workshop </t>
  </si>
  <si>
    <t xml:space="preserve"> 1.4 State Level Microplan Validation Meeting </t>
  </si>
  <si>
    <t xml:space="preserve"> Debrief Meeting </t>
  </si>
  <si>
    <t>See comments in Kwara Budget sheet</t>
  </si>
  <si>
    <t>2.2.1 Procurement of  Stationeries</t>
  </si>
  <si>
    <t>See comments in Kwara budget sheet</t>
  </si>
  <si>
    <t xml:space="preserve"> Total</t>
  </si>
  <si>
    <t>OTHER DIRECT COSTS</t>
  </si>
  <si>
    <t>See comments in Kwara oversight budget sheet</t>
  </si>
  <si>
    <t>Recheck summation of N29,360,600 as it excludes N32,659,400</t>
  </si>
  <si>
    <t>Reviewed</t>
  </si>
  <si>
    <t>Okay</t>
  </si>
  <si>
    <t>Grand Total (Naira)</t>
  </si>
  <si>
    <t>Grand Total (USD)</t>
  </si>
  <si>
    <t>Number of U5 Children</t>
  </si>
  <si>
    <t>Cost per child (Naira)</t>
  </si>
  <si>
    <t>Cost per child (USD)</t>
  </si>
  <si>
    <t xml:space="preserve">Current cost in Naira </t>
  </si>
  <si>
    <t>USD Equivalence</t>
  </si>
  <si>
    <t>NMEP</t>
  </si>
  <si>
    <t>NMEP/GF</t>
  </si>
  <si>
    <t>Health product</t>
  </si>
  <si>
    <t>Reference price</t>
  </si>
  <si>
    <t>Cost for treating each age category</t>
  </si>
  <si>
    <t>Artemether+Lumefantrine -FDC</t>
  </si>
  <si>
    <t>20mg+120mg -6 tab</t>
  </si>
  <si>
    <t>GF/PPM Reference Price (2020) &amp; PMI historical cost</t>
  </si>
  <si>
    <t>20mg+120mg -12 tab</t>
  </si>
  <si>
    <t>20mg+120mg -18 tab</t>
  </si>
  <si>
    <t>20mg+120mg -24 tab</t>
  </si>
  <si>
    <t>Artesunate/Amodiaquine-FDC</t>
  </si>
  <si>
    <t>25/67.5mg 3 tablet 25 blister</t>
  </si>
  <si>
    <t>50/135mg 3 tablet 25 blister</t>
  </si>
  <si>
    <t>100/270mg 3 tablet 25 blister</t>
  </si>
  <si>
    <t>100/270mg 6 tablet 25 blister</t>
  </si>
  <si>
    <t xml:space="preserve">Piperaquine tetraphosphate (as the tetrahydrate;PQP)/Dihydroartemisinin (DHA) </t>
  </si>
  <si>
    <t>160/20mg 3 dispersible/non dispersible tablet - Blisters</t>
  </si>
  <si>
    <t xml:space="preserve">GF/PPM Reference Price (2020) </t>
  </si>
  <si>
    <t>Piperaquine tetraphosphate (as the tetrahydrate;PQP)/Dihydroartemisinin (DHA)</t>
  </si>
  <si>
    <t xml:space="preserve"> 320/40mg 3 dispersible/non dispersible tablet - Blisters </t>
  </si>
  <si>
    <t>320/40mg 6 tablet - blisters</t>
  </si>
  <si>
    <t>320/40mg 9 tablet - Blisters</t>
  </si>
  <si>
    <t>320/40mg 12 tablet - Blisters</t>
  </si>
  <si>
    <t>Average Cost of ACTs</t>
  </si>
  <si>
    <t>Freight</t>
  </si>
  <si>
    <t>Oversea Procurement agency</t>
  </si>
  <si>
    <t>Insurance ( Overseas insurance and  SONCAP)-0.1940% of cost of product and Freight cost</t>
  </si>
  <si>
    <t>In-country PSM cost</t>
  </si>
  <si>
    <t>Guidelines for the management and allocation of the percentage of the value of procurement for in-country supply chain chain management (NPSCMP)</t>
  </si>
  <si>
    <t>Total cost for ACTs</t>
  </si>
  <si>
    <t>Artesunate</t>
  </si>
  <si>
    <t>60 mg powder for injection</t>
  </si>
  <si>
    <t>GF/PPM Reference Price (Q3, 2020) &amp; PMI historical cost</t>
  </si>
  <si>
    <t xml:space="preserve">GF/PPM Reference Price (Q3, 2020) </t>
  </si>
  <si>
    <t>Procurement agency</t>
  </si>
  <si>
    <t>GF/PPM Reference Price (Q3, 2020)</t>
  </si>
  <si>
    <t>Guidelines for the management and allocation of the percentage of the value of procurement for in-country supply chain man chain management (NPSCMP)</t>
  </si>
  <si>
    <t>Total Cost for Artesunate Injection</t>
  </si>
  <si>
    <t>Malaria Rapid Diagnostic Test Kit</t>
  </si>
  <si>
    <t xml:space="preserve">Antigen Pf - 25 tests </t>
  </si>
  <si>
    <t>Total Cost-RDTs only</t>
  </si>
  <si>
    <t>Gloves,Exam- latex-pack of 100</t>
  </si>
  <si>
    <t>Average Cost from The Global Fund PPM reference Price (Q1, 2020) &amp; PMI historical cost</t>
  </si>
  <si>
    <t>GF/PPM Reference Price (2020)</t>
  </si>
  <si>
    <t>Insurance ( Overseas insurance and  SONCAP)-0.1829% of cost of product and Freight cost</t>
  </si>
  <si>
    <t>Total Cost for Gloves, Exam - latex pack of 100</t>
  </si>
  <si>
    <t>Cost of a pair of gloves</t>
  </si>
  <si>
    <t>Assuming that 1 RDT goes with a pair of gloves</t>
  </si>
  <si>
    <t>Sharps container, paperboard-5L- white</t>
  </si>
  <si>
    <t>Average Cost from The Global Fund's PQR/wambo/GF &amp; PMI historical cost</t>
  </si>
  <si>
    <t>Total Cost of Sharps container, paperboard-5L- white</t>
  </si>
  <si>
    <t>Cost of Sharp Container to 200 RDT</t>
  </si>
  <si>
    <t>Guidance from NMEP in the past is that 1 sharp container be procured for 200 RDTs</t>
  </si>
  <si>
    <t>Total Cost of RDTs plus consumables (gloves and sharp container)</t>
  </si>
  <si>
    <t>Rectal Artesunate Suppositories (RAS)</t>
  </si>
  <si>
    <t>RAS</t>
  </si>
  <si>
    <t>Cost for 2 RAS needed per case-CHAI Historical Cost</t>
  </si>
  <si>
    <t>Cost for 1 RAS</t>
  </si>
  <si>
    <t>Total for RAS</t>
  </si>
  <si>
    <t>Case Management-RDT kits-Procurement cost per kit &amp; consumables</t>
  </si>
  <si>
    <t>Case Management-RDT kits-Distribution cost per kit &amp; consumables</t>
  </si>
  <si>
    <t>Conduct SMC Campaign</t>
  </si>
  <si>
    <t>Procure AL</t>
  </si>
  <si>
    <t>Case Management-Artesunate injections-Procurement cost per 60mg powder</t>
  </si>
  <si>
    <t>Case Management-Rectal Artesunate Suppositories (RAS)-Procurement cost per RAS</t>
  </si>
  <si>
    <t>Case Management-RAS-Routine Distribution cost per RAS</t>
  </si>
  <si>
    <t>Procure Rectal Artesunate Suppositories (RAS)</t>
  </si>
  <si>
    <t>Distribute RAS to health facilities</t>
  </si>
  <si>
    <t>Procure and distribute insecticides and equipment for LSM</t>
  </si>
  <si>
    <t>Procure insecticides for LSM</t>
  </si>
  <si>
    <t>Procure equipment for LSM</t>
  </si>
  <si>
    <t>Malaria Vaccine</t>
  </si>
  <si>
    <t>Procure and distribute malaria vaccines</t>
  </si>
  <si>
    <t>Procure malaria vaccines</t>
  </si>
  <si>
    <t>Distribute malaria vaccines</t>
  </si>
  <si>
    <t xml:space="preserve">SMC-Campaign cost per child </t>
  </si>
  <si>
    <t>Social and Behaviour Change (SBC)</t>
  </si>
  <si>
    <t>Conduct 1 community dialogue per ward on malaria prevention and treatment quarterly</t>
  </si>
  <si>
    <t>Conduct Compound Meetings and Community Dialogues</t>
  </si>
  <si>
    <t>Conduct 10 compound meetings per ward on malaria prevention and treatment quarterly</t>
  </si>
  <si>
    <t>CostLink SMC</t>
  </si>
  <si>
    <t>Procure SPAQ              (3-11 months)</t>
  </si>
  <si>
    <t>per person per day</t>
  </si>
  <si>
    <t>per ITN</t>
  </si>
  <si>
    <t>per ward</t>
  </si>
  <si>
    <t>IRS-Insecticides-Procurement cost</t>
  </si>
  <si>
    <t>IRS-Insecticides-Distribution cost</t>
  </si>
  <si>
    <t>IRS-Equipment-Procurement cost</t>
  </si>
  <si>
    <t>per SPAQ</t>
  </si>
  <si>
    <t>per child</t>
  </si>
  <si>
    <t>per SP</t>
  </si>
  <si>
    <t>per vial</t>
  </si>
  <si>
    <t xml:space="preserve">Malaria Vaccine-Procurement cost </t>
  </si>
  <si>
    <t>per AL</t>
  </si>
  <si>
    <t>per 60mg powder</t>
  </si>
  <si>
    <t>Case Management-Artesunate injections-Procurement cost</t>
  </si>
  <si>
    <t xml:space="preserve">Case Management-Artesunate injections-Routine Distributioncost </t>
  </si>
  <si>
    <t>per RAS</t>
  </si>
  <si>
    <t>per kit</t>
  </si>
  <si>
    <t>per microscope</t>
  </si>
  <si>
    <t>per needle &amp; Syringe</t>
  </si>
  <si>
    <t>per 100 pieces</t>
  </si>
  <si>
    <t>per slide</t>
  </si>
  <si>
    <t>per hall per day</t>
  </si>
  <si>
    <t>per page</t>
  </si>
  <si>
    <t>per person per night</t>
  </si>
  <si>
    <t>PRAGMATIC PRIORITIZED COSTED PLAN FOR MALARIA PROGRAMME</t>
  </si>
  <si>
    <t>Pragmatic Prioritized Plan for Malaria Programme</t>
  </si>
  <si>
    <t>The PMC has been prioritized within the GC7 to commence in 2025 across 89 LGAs in 6 GF supported States (Ogun, Osun, Kwara, Delta, Taraba and Adamawa). This will be the first large-scale implementation of PMC in Nigeria.  There will be total coverage for Delta, Ogun and Osun while in Adamawa, Taraba and Kwara, the SMC LGAs will be excluded</t>
  </si>
  <si>
    <t>Year of intervention</t>
  </si>
  <si>
    <t>Total population</t>
  </si>
  <si>
    <t>Target 
&lt;1yr</t>
  </si>
  <si>
    <t>Target
1-2Yrs</t>
  </si>
  <si>
    <t>Total target for Ogun</t>
  </si>
  <si>
    <t>Total target for Osun</t>
  </si>
  <si>
    <t>Total target for Kwara</t>
  </si>
  <si>
    <t>Total target for Delta</t>
  </si>
  <si>
    <t>Total target for Taraba</t>
  </si>
  <si>
    <t>Total target for Adamawa</t>
  </si>
  <si>
    <t xml:space="preserve">2025 Population </t>
  </si>
  <si>
    <t>2026 Population</t>
  </si>
  <si>
    <t>GC7 Year 2 2025</t>
  </si>
  <si>
    <t>GC7 Year 3 2026</t>
  </si>
  <si>
    <t>Target age for PMC</t>
  </si>
  <si>
    <t>&lt;1yr</t>
  </si>
  <si>
    <t>1-2Yrs</t>
  </si>
  <si>
    <t>Target population for PMC</t>
  </si>
  <si>
    <t xml:space="preserve">Quantity of SP needed for PMC </t>
  </si>
  <si>
    <t>Cost of procuring drugs only  (USD)</t>
  </si>
  <si>
    <t>Procurement fee 3%+Overseas insurance, QA, and  SONCAP-0.1940% of product value and freight cost</t>
  </si>
  <si>
    <t>Shipping 15%</t>
  </si>
  <si>
    <t>Total cost of drugs +Shipping+ insurance/QA</t>
  </si>
  <si>
    <t xml:space="preserve">Distribute SP from Axial Medical Stores to health facilities and communities </t>
  </si>
  <si>
    <t>Operational cost (training, guideline development/printing, SBC, tools- revision, printing, distribution)</t>
  </si>
  <si>
    <t>Cost of SP in USD</t>
  </si>
  <si>
    <t>Unit cost of SP in USD</t>
  </si>
  <si>
    <t>Unit cost SP in NGN</t>
  </si>
  <si>
    <t>Budget line</t>
  </si>
  <si>
    <t>Perenial Malaria Chemoprevention (PMC) Budget</t>
  </si>
  <si>
    <t>Procurement of SP &amp; distribution of SP</t>
  </si>
  <si>
    <t>Activity Discription</t>
  </si>
  <si>
    <t>Frequency/No. of days</t>
  </si>
  <si>
    <t>Unit cost (USD/NGN)</t>
  </si>
  <si>
    <t>Cost (USD)</t>
  </si>
  <si>
    <t>Cost (NGN)</t>
  </si>
  <si>
    <t>2024 Year 1 (NGN)</t>
  </si>
  <si>
    <t>2025 Year 2 (NGN)</t>
  </si>
  <si>
    <t>2026 Year 3 (NGN)</t>
  </si>
  <si>
    <t>Cost of drugs</t>
  </si>
  <si>
    <t xml:space="preserve">Distribute SP from State Medical Stores to health facilities and communities </t>
  </si>
  <si>
    <t>Sub total</t>
  </si>
  <si>
    <t>Training of master trainers on integrated IPTi-EPI delivery,data reporting, supervision and pharmacovigilance (NTOT)</t>
  </si>
  <si>
    <t>Hall hire and projector</t>
  </si>
  <si>
    <t>DSA-Osun</t>
  </si>
  <si>
    <t>Interstate Car Hire</t>
  </si>
  <si>
    <t>Transport cost</t>
  </si>
  <si>
    <t>Printing of training manuals</t>
  </si>
  <si>
    <t>Flight cost</t>
  </si>
  <si>
    <t>Airport terminal</t>
  </si>
  <si>
    <t>Training Facilitation fee</t>
  </si>
  <si>
    <t>Training of State trainers on integrated IPTi-EPI delivery,data reporting, supervision and pharmacovigilance (STOT)</t>
  </si>
  <si>
    <t>DSA (For State level participants)</t>
  </si>
  <si>
    <t>DSA (For National level facilitators)</t>
  </si>
  <si>
    <t>Interstate car hire</t>
  </si>
  <si>
    <t>Decentralized non residential training of  health workers at the LGA level on integrated IPTi-EPI delivery,data reporting, supervision and pharmacovigilance  (STOT)</t>
  </si>
  <si>
    <t>Decentralized non residential training of  health workers at the LGA level on integrated IPTi-EPI delivery,data reporting, supervision and pharmacovigilance (STOT)</t>
  </si>
  <si>
    <t>Tes break</t>
  </si>
  <si>
    <t>DSA (Out of station allowance)</t>
  </si>
  <si>
    <t>Printing and distribution of IEC materials on IPTi through EPI at health facility and community levels</t>
  </si>
  <si>
    <t>Printing and distribution of toos</t>
  </si>
  <si>
    <t xml:space="preserve"> Printing and distribution of integrated tools (HMIS tool, including LMIS tools and treatment algorithms) </t>
  </si>
  <si>
    <t>Printing and distribution of tools</t>
  </si>
  <si>
    <t xml:space="preserve">Printing and distribution of guidelines </t>
  </si>
  <si>
    <t xml:space="preserve">Develop social behaviour change communication strategy for IPTi-EPI and organize community sensitization and awareness creation meetings, activities and use of mass media. </t>
  </si>
  <si>
    <t>Hall hire</t>
  </si>
  <si>
    <t>DSA for consultant</t>
  </si>
  <si>
    <t xml:space="preserve">Flight </t>
  </si>
  <si>
    <t>Daily transport</t>
  </si>
  <si>
    <t>Facilitation fee</t>
  </si>
  <si>
    <t>Printing and distribution of social behaviour change communication strategy document</t>
  </si>
  <si>
    <t>Printing and distribution</t>
  </si>
  <si>
    <r>
      <t xml:space="preserve"> </t>
    </r>
    <r>
      <rPr>
        <sz val="11"/>
        <rFont val="Calibri"/>
        <family val="2"/>
      </rPr>
      <t>Conduct routine quarterly supportive supervision conducted for VHWs implementing IPTi. (This activity will leverage on the state quarterly IMSV)</t>
    </r>
  </si>
  <si>
    <t>Travel related cost</t>
  </si>
  <si>
    <r>
      <t xml:space="preserve"> </t>
    </r>
    <r>
      <rPr>
        <sz val="11"/>
        <rFont val="Calibri"/>
        <family val="2"/>
      </rPr>
      <t>Conduct routine quarterly supportive supervision conducted for VHWs implementing IPTi (This activity will leverage on the state quarterly IMSV)</t>
    </r>
  </si>
  <si>
    <t>Adaptation of supervision tools</t>
  </si>
  <si>
    <t>Digitization of supervision tools</t>
  </si>
  <si>
    <t xml:space="preserve"> Conduct routine quarterly supportive supervision conducted for VHWs implementing IPTi (This activity will leverage on the state quarterly IMSV) 30HFs per state per quarter ( Ogun, Osun &amp; Delta &amp; Delta</t>
  </si>
  <si>
    <t>Car hire for field visit</t>
  </si>
  <si>
    <t xml:space="preserve"> Conduct routine quarterly supportive supervision conducted for VHWs implementing IPTi (This activity will leverage on the state quarterly IMSV) 30HFs per state per quarter ( Ogun, Osun &amp; Delta)</t>
  </si>
  <si>
    <t>DSA (54% of all LGA)</t>
  </si>
  <si>
    <t>Transport cost to near LGAs</t>
  </si>
  <si>
    <t xml:space="preserve"> Conduct routine quarterly supportive supervision conducted for VHWs implementing IPTi (This activity will leverage on the state quarterly IMSV) 30HFs per state per quarter (Ogun, Osun &amp; Delta)</t>
  </si>
  <si>
    <t>Planning meeting (Refreshment and transportation)</t>
  </si>
  <si>
    <t>Monthly data collection, validation and reporting. Liverage on already existing platform for data reporting and facility visit for collection</t>
  </si>
  <si>
    <t>Transport cost to health facility for data collection</t>
  </si>
  <si>
    <t>Internet allowance for upload on DHIS2.0 at the LGA</t>
  </si>
  <si>
    <t>Monitor implementation and reporting. Biannual monitoring of project state by national programme officers (NMEP, NPHCDA and implementer)</t>
  </si>
  <si>
    <t>Inter-state car hire</t>
  </si>
  <si>
    <t>Grand total</t>
  </si>
  <si>
    <t>For Year 2025</t>
  </si>
  <si>
    <t xml:space="preserve">Operational Cost in NGN </t>
  </si>
  <si>
    <t>Operational Cost in USD</t>
  </si>
  <si>
    <t>Operational Cost per child in USD</t>
  </si>
  <si>
    <t>Operational Cost per child in NGN</t>
  </si>
  <si>
    <t>Demographics</t>
  </si>
  <si>
    <t># of SP for PMC (&lt;1yr)</t>
  </si>
  <si>
    <t># of SP for PMC (1-2yrs)</t>
  </si>
  <si>
    <t># of SP for PMC (Total)</t>
  </si>
  <si>
    <t>Proportion of SP for PMC</t>
  </si>
  <si>
    <t># of &lt;1yr Children</t>
  </si>
  <si>
    <t># of 1-2yrs Children</t>
  </si>
  <si>
    <t># of 0-2yrs Children</t>
  </si>
  <si>
    <t xml:space="preserve">Proportion </t>
  </si>
  <si>
    <t>PMC-SP-Routine Distribution cost</t>
  </si>
  <si>
    <t>PMC-SP-Procurement cost</t>
  </si>
  <si>
    <t>LinkCost Distribution</t>
  </si>
  <si>
    <t>LinkCost Procurement</t>
  </si>
  <si>
    <t>U-5  for SMC in Eligible LGAs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</si>
</sst>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[$-409]d\ mmm\ yyyy;@"/>
    <numFmt numFmtId="166" formatCode="[$VND]\ #,##0"/>
    <numFmt numFmtId="167" formatCode="_(* #,##0_);_(* \(#,##0\);_(* &quot;-&quot;??_);_(@_)"/>
    <numFmt numFmtId="168" formatCode="0.0%"/>
    <numFmt numFmtId="169" formatCode="0.0"/>
    <numFmt numFmtId="170" formatCode="#,##0.0000"/>
    <numFmt numFmtId="171" formatCode="[$-409]mmmm\ d\,\ yyyy;@"/>
    <numFmt numFmtId="172" formatCode="#,##0.00000"/>
    <numFmt numFmtId="173" formatCode="#,##0.0000000"/>
    <numFmt numFmtId="174" formatCode="#,##0.00000000"/>
    <numFmt numFmtId="175" formatCode="[$₦-46A]#,##0"/>
    <numFmt numFmtId="176" formatCode="_-* #,##0\ _€_-;\-* #,##0\ _€_-;_-* &quot;-&quot;??\ _€_-;_-@_-"/>
    <numFmt numFmtId="177" formatCode="_-* #,##0.00\ _€_-;\-* #,##0.00\ _€_-;_-* &quot;-&quot;??\ _€_-;_-@_-"/>
    <numFmt numFmtId="178" formatCode="_(* #,##0.0_);_(* \(#,##0.0\);_(* &quot;-&quot;??_);_(@_)"/>
    <numFmt numFmtId="179" formatCode="_-* #,##0_-;\-* #,##0_-;_-* &quot;-&quot;??_-;_-@_-"/>
    <numFmt numFmtId="180" formatCode="#,##0.000000"/>
    <numFmt numFmtId="181" formatCode="[$₦-46A]#,##0;\-[$₦-46A]#,##0"/>
    <numFmt numFmtId="182" formatCode="#,##0.0"/>
    <numFmt numFmtId="183" formatCode="0.000"/>
    <numFmt numFmtId="184" formatCode="0.0000"/>
    <numFmt numFmtId="185" formatCode="_(&quot;$&quot;* #,##0_);_(&quot;$&quot;* \(#,##0\);_(&quot;$&quot;* &quot;-&quot;??_);_(@_)"/>
    <numFmt numFmtId="186" formatCode="0.00000%"/>
    <numFmt numFmtId="187" formatCode="&quot;₦&quot;#,##0"/>
    <numFmt numFmtId="188" formatCode="[$NGN]\ #,##0.00;[Red][$NGN]\ #,##0.00"/>
    <numFmt numFmtId="189" formatCode="[$NGN]\ #,##0;[Red][$NGN]\ #,##0"/>
    <numFmt numFmtId="190" formatCode="_-* #,##0.000_-;\-* #,##0.000_-;_-* &quot;-&quot;??_-;_-@_-"/>
  </numFmts>
  <fonts count="7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rgb="FFFF330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0"/>
      <color rgb="FF3333FF"/>
      <name val="Calibri"/>
      <family val="2"/>
      <scheme val="minor"/>
    </font>
    <font>
      <sz val="10"/>
      <color rgb="FF0000FF"/>
      <name val="Calibri"/>
      <family val="2"/>
      <scheme val="minor"/>
    </font>
    <font>
      <sz val="12"/>
      <name val="宋体"/>
      <charset val="134"/>
    </font>
    <font>
      <sz val="11"/>
      <color theme="0"/>
      <name val="Calibri"/>
      <family val="2"/>
      <scheme val="minor"/>
    </font>
    <font>
      <b/>
      <sz val="18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8"/>
      <color theme="1"/>
      <name val="Calibri"/>
      <family val="2"/>
      <scheme val="minor"/>
    </font>
    <font>
      <b/>
      <i/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theme="1"/>
      <name val="Georgia"/>
      <family val="1"/>
    </font>
    <font>
      <sz val="9"/>
      <name val="Georgia"/>
      <family val="1"/>
    </font>
    <font>
      <sz val="9"/>
      <color theme="0"/>
      <name val="Georgia"/>
      <family val="1"/>
    </font>
    <font>
      <b/>
      <sz val="9"/>
      <color theme="0"/>
      <name val="Georgia"/>
      <family val="1"/>
    </font>
    <font>
      <b/>
      <sz val="9"/>
      <color theme="1"/>
      <name val="Georgia"/>
      <family val="1"/>
    </font>
    <font>
      <b/>
      <sz val="9"/>
      <name val="Georgia"/>
      <family val="1"/>
    </font>
    <font>
      <i/>
      <sz val="9"/>
      <color theme="1"/>
      <name val="Georgia"/>
      <family val="1"/>
    </font>
    <font>
      <sz val="9"/>
      <color rgb="FFFF0000"/>
      <name val="Georgia"/>
      <family val="1"/>
    </font>
    <font>
      <sz val="9"/>
      <color indexed="10"/>
      <name val="Georgia"/>
      <family val="1"/>
    </font>
    <font>
      <sz val="9"/>
      <color indexed="8"/>
      <name val="Georgia"/>
      <family val="1"/>
    </font>
    <font>
      <sz val="10"/>
      <name val="Georgia"/>
      <family val="1"/>
    </font>
    <font>
      <b/>
      <sz val="9"/>
      <color rgb="FFFF0000"/>
      <name val="Georgia"/>
      <family val="1"/>
    </font>
    <font>
      <b/>
      <sz val="9"/>
      <color indexed="10"/>
      <name val="Georgia"/>
      <family val="1"/>
    </font>
    <font>
      <b/>
      <sz val="14"/>
      <name val="Georgia"/>
      <family val="1"/>
    </font>
    <font>
      <b/>
      <sz val="16"/>
      <name val="Georgia"/>
      <family val="1"/>
    </font>
    <font>
      <b/>
      <sz val="10"/>
      <name val="Georgia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b/>
      <sz val="11"/>
      <color theme="1"/>
      <name val="Georgia"/>
      <family val="1"/>
    </font>
    <font>
      <b/>
      <sz val="11"/>
      <name val="Georgia"/>
      <family val="1"/>
    </font>
    <font>
      <sz val="11"/>
      <name val="Georgia"/>
      <family val="1"/>
    </font>
    <font>
      <sz val="11"/>
      <color theme="1"/>
      <name val="Georgia"/>
      <family val="1"/>
    </font>
    <font>
      <i/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 Light"/>
      <family val="2"/>
      <scheme val="major"/>
    </font>
    <font>
      <b/>
      <sz val="11"/>
      <color theme="1"/>
      <name val="Calibri Light"/>
      <family val="2"/>
      <scheme val="major"/>
    </font>
    <font>
      <sz val="11"/>
      <name val="Calibri Light"/>
      <family val="2"/>
      <scheme val="major"/>
    </font>
    <font>
      <sz val="11"/>
      <name val="Cambria"/>
      <family val="1"/>
    </font>
    <font>
      <u/>
      <sz val="11"/>
      <name val="Calibri Light"/>
      <family val="2"/>
      <scheme val="major"/>
    </font>
    <font>
      <sz val="11"/>
      <color theme="1"/>
      <name val="Calibri Light"/>
      <family val="1"/>
      <scheme val="major"/>
    </font>
    <font>
      <b/>
      <sz val="11"/>
      <color theme="1"/>
      <name val="Calibri Light"/>
      <family val="1"/>
      <scheme val="major"/>
    </font>
    <font>
      <sz val="11"/>
      <color theme="1"/>
      <name val="Lota"/>
    </font>
    <font>
      <b/>
      <sz val="11"/>
      <color theme="1"/>
      <name val="Lota"/>
    </font>
    <font>
      <sz val="11"/>
      <color rgb="FF000000"/>
      <name val="Lota"/>
    </font>
    <font>
      <sz val="12"/>
      <name val="Calibri"/>
      <family val="2"/>
      <scheme val="minor"/>
    </font>
    <font>
      <sz val="11"/>
      <name val="Calibri"/>
      <family val="2"/>
    </font>
    <font>
      <sz val="14"/>
      <color theme="1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16365C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EC425A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28A8A"/>
        <bgColor indexed="64"/>
      </patternFill>
    </fill>
    <fill>
      <patternFill patternType="solid">
        <fgColor rgb="FFFBD1D1"/>
        <bgColor indexed="64"/>
      </patternFill>
    </fill>
    <fill>
      <patternFill patternType="solid">
        <fgColor rgb="FFFEF4F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</fills>
  <borders count="10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auto="1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medium">
        <color auto="1"/>
      </top>
      <bottom/>
      <diagonal/>
    </border>
    <border>
      <left/>
      <right style="double">
        <color auto="1"/>
      </right>
      <top style="medium">
        <color auto="1"/>
      </top>
      <bottom/>
      <diagonal/>
    </border>
    <border>
      <left style="thin">
        <color theme="0"/>
      </left>
      <right/>
      <top style="medium">
        <color auto="1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/>
      </right>
      <top style="thin">
        <color auto="1"/>
      </top>
      <bottom style="thin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theme="0"/>
      </bottom>
      <diagonal/>
    </border>
    <border>
      <left/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/>
      <top style="thin">
        <color theme="0"/>
      </top>
      <bottom style="thin">
        <color theme="0"/>
      </bottom>
      <diagonal/>
    </border>
    <border>
      <left/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auto="1"/>
      </left>
      <right/>
      <top style="thin">
        <color theme="0"/>
      </top>
      <bottom style="thin">
        <color theme="0"/>
      </bottom>
      <diagonal/>
    </border>
    <border>
      <left/>
      <right style="thin">
        <color auto="1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medium">
        <color auto="1"/>
      </top>
      <bottom style="thin">
        <color theme="0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medium">
        <color auto="1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auto="1"/>
      </right>
      <top/>
      <bottom/>
      <diagonal/>
    </border>
    <border>
      <left style="medium">
        <color indexed="64"/>
      </left>
      <right style="medium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auto="1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/>
      <top style="medium">
        <color auto="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 count="19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6" fillId="0" borderId="0">
      <alignment vertical="center"/>
    </xf>
    <xf numFmtId="0" fontId="25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 applyNumberFormat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" fillId="0" borderId="0"/>
    <xf numFmtId="0" fontId="10" fillId="0" borderId="0"/>
    <xf numFmtId="0" fontId="1" fillId="0" borderId="0"/>
  </cellStyleXfs>
  <cellXfs count="1045">
    <xf numFmtId="0" fontId="0" fillId="0" borderId="0" xfId="0"/>
    <xf numFmtId="0" fontId="4" fillId="2" borderId="0" xfId="0" applyFont="1" applyFill="1"/>
    <xf numFmtId="0" fontId="0" fillId="2" borderId="0" xfId="0" applyFill="1"/>
    <xf numFmtId="0" fontId="0" fillId="0" borderId="1" xfId="0" applyBorder="1"/>
    <xf numFmtId="0" fontId="3" fillId="0" borderId="0" xfId="0" applyFont="1"/>
    <xf numFmtId="0" fontId="10" fillId="0" borderId="0" xfId="0" applyFont="1" applyAlignment="1">
      <alignment horizontal="center" vertical="center" wrapText="1"/>
    </xf>
    <xf numFmtId="0" fontId="19" fillId="2" borderId="0" xfId="0" applyFont="1" applyFill="1"/>
    <xf numFmtId="0" fontId="18" fillId="0" borderId="0" xfId="0" applyFont="1"/>
    <xf numFmtId="0" fontId="0" fillId="13" borderId="0" xfId="0" applyFill="1"/>
    <xf numFmtId="0" fontId="0" fillId="15" borderId="0" xfId="0" applyFill="1"/>
    <xf numFmtId="0" fontId="0" fillId="11" borderId="0" xfId="0" applyFill="1"/>
    <xf numFmtId="0" fontId="2" fillId="11" borderId="0" xfId="0" applyFont="1" applyFill="1"/>
    <xf numFmtId="0" fontId="0" fillId="16" borderId="0" xfId="0" applyFill="1"/>
    <xf numFmtId="0" fontId="0" fillId="15" borderId="3" xfId="0" applyFill="1" applyBorder="1"/>
    <xf numFmtId="0" fontId="0" fillId="15" borderId="17" xfId="0" applyFill="1" applyBorder="1"/>
    <xf numFmtId="0" fontId="0" fillId="15" borderId="2" xfId="0" applyFill="1" applyBorder="1"/>
    <xf numFmtId="0" fontId="0" fillId="15" borderId="16" xfId="0" applyFill="1" applyBorder="1"/>
    <xf numFmtId="0" fontId="0" fillId="15" borderId="21" xfId="0" applyFill="1" applyBorder="1"/>
    <xf numFmtId="0" fontId="0" fillId="15" borderId="19" xfId="0" applyFill="1" applyBorder="1"/>
    <xf numFmtId="0" fontId="17" fillId="5" borderId="0" xfId="0" applyFont="1" applyFill="1"/>
    <xf numFmtId="0" fontId="19" fillId="2" borderId="0" xfId="0" applyFont="1" applyFill="1" applyAlignment="1">
      <alignment vertical="top"/>
    </xf>
    <xf numFmtId="0" fontId="19" fillId="2" borderId="0" xfId="0" applyFont="1" applyFill="1" applyAlignment="1">
      <alignment vertical="center"/>
    </xf>
    <xf numFmtId="0" fontId="17" fillId="19" borderId="0" xfId="0" applyFont="1" applyFill="1"/>
    <xf numFmtId="0" fontId="22" fillId="21" borderId="17" xfId="0" applyFont="1" applyFill="1" applyBorder="1"/>
    <xf numFmtId="0" fontId="22" fillId="21" borderId="18" xfId="0" applyFont="1" applyFill="1" applyBorder="1"/>
    <xf numFmtId="0" fontId="22" fillId="21" borderId="16" xfId="0" applyFont="1" applyFill="1" applyBorder="1"/>
    <xf numFmtId="0" fontId="22" fillId="21" borderId="5" xfId="0" applyFont="1" applyFill="1" applyBorder="1"/>
    <xf numFmtId="0" fontId="22" fillId="21" borderId="19" xfId="0" applyFont="1" applyFill="1" applyBorder="1"/>
    <xf numFmtId="0" fontId="22" fillId="21" borderId="20" xfId="0" applyFont="1" applyFill="1" applyBorder="1"/>
    <xf numFmtId="0" fontId="22" fillId="23" borderId="16" xfId="0" applyFont="1" applyFill="1" applyBorder="1"/>
    <xf numFmtId="0" fontId="22" fillId="23" borderId="5" xfId="0" applyFont="1" applyFill="1" applyBorder="1"/>
    <xf numFmtId="0" fontId="17" fillId="24" borderId="0" xfId="0" applyFont="1" applyFill="1"/>
    <xf numFmtId="0" fontId="17" fillId="25" borderId="0" xfId="0" applyFont="1" applyFill="1"/>
    <xf numFmtId="0" fontId="22" fillId="18" borderId="17" xfId="0" applyFont="1" applyFill="1" applyBorder="1"/>
    <xf numFmtId="0" fontId="22" fillId="18" borderId="18" xfId="0" applyFont="1" applyFill="1" applyBorder="1"/>
    <xf numFmtId="0" fontId="22" fillId="18" borderId="16" xfId="0" applyFont="1" applyFill="1" applyBorder="1"/>
    <xf numFmtId="0" fontId="22" fillId="18" borderId="5" xfId="0" applyFont="1" applyFill="1" applyBorder="1"/>
    <xf numFmtId="0" fontId="22" fillId="18" borderId="19" xfId="0" applyFont="1" applyFill="1" applyBorder="1"/>
    <xf numFmtId="0" fontId="22" fillId="18" borderId="20" xfId="0" applyFont="1" applyFill="1" applyBorder="1"/>
    <xf numFmtId="0" fontId="22" fillId="4" borderId="0" xfId="0" applyFont="1" applyFill="1"/>
    <xf numFmtId="0" fontId="9" fillId="6" borderId="0" xfId="0" applyFont="1" applyFill="1" applyProtection="1">
      <protection locked="0"/>
    </xf>
    <xf numFmtId="0" fontId="6" fillId="2" borderId="0" xfId="0" applyFont="1" applyFill="1" applyProtection="1">
      <protection locked="0"/>
    </xf>
    <xf numFmtId="0" fontId="9" fillId="6" borderId="0" xfId="0" applyFont="1" applyFill="1"/>
    <xf numFmtId="0" fontId="6" fillId="2" borderId="0" xfId="0" applyFont="1" applyFill="1"/>
    <xf numFmtId="0" fontId="7" fillId="6" borderId="6" xfId="0" applyFont="1" applyFill="1" applyBorder="1"/>
    <xf numFmtId="0" fontId="6" fillId="8" borderId="0" xfId="0" applyFont="1" applyFill="1"/>
    <xf numFmtId="15" fontId="8" fillId="12" borderId="0" xfId="0" applyNumberFormat="1" applyFont="1" applyFill="1" applyAlignment="1">
      <alignment vertical="center"/>
    </xf>
    <xf numFmtId="0" fontId="7" fillId="6" borderId="9" xfId="0" applyFont="1" applyFill="1" applyBorder="1"/>
    <xf numFmtId="0" fontId="7" fillId="5" borderId="7" xfId="0" applyFont="1" applyFill="1" applyBorder="1"/>
    <xf numFmtId="0" fontId="7" fillId="5" borderId="9" xfId="0" applyFont="1" applyFill="1" applyBorder="1"/>
    <xf numFmtId="0" fontId="12" fillId="14" borderId="7" xfId="0" applyFont="1" applyFill="1" applyBorder="1"/>
    <xf numFmtId="0" fontId="12" fillId="14" borderId="9" xfId="0" applyFont="1" applyFill="1" applyBorder="1"/>
    <xf numFmtId="0" fontId="7" fillId="10" borderId="10" xfId="0" applyFont="1" applyFill="1" applyBorder="1" applyAlignment="1">
      <alignment vertical="center" wrapText="1"/>
    </xf>
    <xf numFmtId="0" fontId="7" fillId="10" borderId="8" xfId="0" applyFont="1" applyFill="1" applyBorder="1" applyAlignment="1">
      <alignment horizontal="center" vertical="center"/>
    </xf>
    <xf numFmtId="0" fontId="7" fillId="9" borderId="11" xfId="0" applyFont="1" applyFill="1" applyBorder="1" applyAlignment="1">
      <alignment horizontal="center" vertical="center"/>
    </xf>
    <xf numFmtId="0" fontId="12" fillId="15" borderId="11" xfId="0" applyFont="1" applyFill="1" applyBorder="1" applyAlignment="1">
      <alignment horizontal="center" vertical="center"/>
    </xf>
    <xf numFmtId="0" fontId="12" fillId="15" borderId="11" xfId="0" applyFont="1" applyFill="1" applyBorder="1" applyAlignment="1">
      <alignment vertical="center" wrapText="1"/>
    </xf>
    <xf numFmtId="0" fontId="12" fillId="15" borderId="8" xfId="0" applyFont="1" applyFill="1" applyBorder="1" applyAlignment="1">
      <alignment vertical="center"/>
    </xf>
    <xf numFmtId="0" fontId="7" fillId="10" borderId="8" xfId="0" applyFont="1" applyFill="1" applyBorder="1" applyAlignment="1">
      <alignment vertical="center"/>
    </xf>
    <xf numFmtId="1" fontId="7" fillId="9" borderId="11" xfId="0" applyNumberFormat="1" applyFont="1" applyFill="1" applyBorder="1" applyAlignment="1">
      <alignment horizontal="center" vertical="center"/>
    </xf>
    <xf numFmtId="0" fontId="12" fillId="15" borderId="11" xfId="0" applyFont="1" applyFill="1" applyBorder="1" applyAlignment="1">
      <alignment vertical="center"/>
    </xf>
    <xf numFmtId="0" fontId="0" fillId="2" borderId="0" xfId="0" applyFill="1" applyProtection="1">
      <protection locked="0"/>
    </xf>
    <xf numFmtId="0" fontId="6" fillId="0" borderId="1" xfId="0" applyFont="1" applyBorder="1"/>
    <xf numFmtId="3" fontId="6" fillId="0" borderId="1" xfId="0" applyNumberFormat="1" applyFont="1" applyBorder="1"/>
    <xf numFmtId="0" fontId="20" fillId="2" borderId="0" xfId="0" applyFont="1" applyFill="1"/>
    <xf numFmtId="0" fontId="23" fillId="17" borderId="0" xfId="0" applyFont="1" applyFill="1"/>
    <xf numFmtId="0" fontId="17" fillId="17" borderId="0" xfId="0" applyFont="1" applyFill="1"/>
    <xf numFmtId="0" fontId="2" fillId="6" borderId="2" xfId="0" applyFont="1" applyFill="1" applyBorder="1" applyAlignment="1">
      <alignment vertical="center"/>
    </xf>
    <xf numFmtId="0" fontId="2" fillId="6" borderId="16" xfId="0" applyFont="1" applyFill="1" applyBorder="1" applyAlignment="1">
      <alignment vertical="center"/>
    </xf>
    <xf numFmtId="0" fontId="2" fillId="6" borderId="24" xfId="0" applyFont="1" applyFill="1" applyBorder="1" applyAlignment="1">
      <alignment vertical="center"/>
    </xf>
    <xf numFmtId="0" fontId="2" fillId="6" borderId="5" xfId="0" applyFont="1" applyFill="1" applyBorder="1" applyAlignment="1">
      <alignment vertical="center"/>
    </xf>
    <xf numFmtId="0" fontId="24" fillId="22" borderId="1" xfId="0" quotePrefix="1" applyFont="1" applyFill="1" applyBorder="1" applyAlignment="1">
      <alignment vertical="center"/>
    </xf>
    <xf numFmtId="0" fontId="22" fillId="22" borderId="1" xfId="0" quotePrefix="1" applyFont="1" applyFill="1" applyBorder="1" applyAlignment="1">
      <alignment vertical="center"/>
    </xf>
    <xf numFmtId="0" fontId="22" fillId="22" borderId="1" xfId="0" applyFont="1" applyFill="1" applyBorder="1" applyAlignment="1">
      <alignment vertical="center" wrapText="1"/>
    </xf>
    <xf numFmtId="0" fontId="24" fillId="23" borderId="1" xfId="0" quotePrefix="1" applyFont="1" applyFill="1" applyBorder="1" applyAlignment="1">
      <alignment vertical="center"/>
    </xf>
    <xf numFmtId="0" fontId="22" fillId="23" borderId="1" xfId="0" quotePrefix="1" applyFont="1" applyFill="1" applyBorder="1" applyAlignment="1">
      <alignment vertical="center"/>
    </xf>
    <xf numFmtId="0" fontId="22" fillId="23" borderId="1" xfId="0" applyFont="1" applyFill="1" applyBorder="1" applyAlignment="1">
      <alignment vertical="center" wrapText="1"/>
    </xf>
    <xf numFmtId="0" fontId="17" fillId="2" borderId="0" xfId="0" applyFont="1" applyFill="1"/>
    <xf numFmtId="168" fontId="17" fillId="2" borderId="0" xfId="0" applyNumberFormat="1" applyFont="1" applyFill="1"/>
    <xf numFmtId="3" fontId="7" fillId="5" borderId="0" xfId="3" applyNumberFormat="1" applyFont="1" applyFill="1" applyAlignment="1" applyProtection="1">
      <alignment horizontal="center" vertical="center" wrapText="1"/>
      <protection locked="0"/>
    </xf>
    <xf numFmtId="3" fontId="0" fillId="20" borderId="1" xfId="0" applyNumberFormat="1" applyFill="1" applyBorder="1" applyAlignment="1">
      <alignment vertical="center"/>
    </xf>
    <xf numFmtId="3" fontId="0" fillId="2" borderId="1" xfId="0" applyNumberFormat="1" applyFill="1" applyBorder="1" applyAlignment="1">
      <alignment vertical="center"/>
    </xf>
    <xf numFmtId="0" fontId="6" fillId="0" borderId="4" xfId="0" applyFont="1" applyBorder="1"/>
    <xf numFmtId="0" fontId="7" fillId="7" borderId="1" xfId="1" applyNumberFormat="1" applyFont="1" applyFill="1" applyBorder="1" applyAlignment="1" applyProtection="1">
      <alignment horizontal="center" vertical="center" wrapText="1"/>
      <protection locked="0"/>
    </xf>
    <xf numFmtId="3" fontId="3" fillId="2" borderId="1" xfId="0" applyNumberFormat="1" applyFont="1" applyFill="1" applyBorder="1" applyAlignment="1">
      <alignment vertical="center"/>
    </xf>
    <xf numFmtId="0" fontId="6" fillId="2" borderId="1" xfId="0" applyFont="1" applyFill="1" applyBorder="1"/>
    <xf numFmtId="3" fontId="6" fillId="2" borderId="1" xfId="0" applyNumberFormat="1" applyFont="1" applyFill="1" applyBorder="1"/>
    <xf numFmtId="0" fontId="14" fillId="2" borderId="5" xfId="0" applyFont="1" applyFill="1" applyBorder="1" applyAlignment="1" applyProtection="1">
      <alignment horizontal="center"/>
      <protection locked="0"/>
    </xf>
    <xf numFmtId="0" fontId="15" fillId="0" borderId="1" xfId="0" applyFont="1" applyBorder="1" applyAlignment="1" applyProtection="1">
      <alignment wrapText="1"/>
      <protection locked="0"/>
    </xf>
    <xf numFmtId="3" fontId="13" fillId="3" borderId="0" xfId="3" applyNumberFormat="1" applyFont="1" applyFill="1" applyAlignment="1" applyProtection="1">
      <alignment vertical="center" wrapText="1"/>
      <protection locked="0"/>
    </xf>
    <xf numFmtId="167" fontId="13" fillId="6" borderId="12" xfId="1" applyNumberFormat="1" applyFont="1" applyFill="1" applyBorder="1" applyAlignment="1" applyProtection="1">
      <alignment vertical="center" wrapText="1"/>
      <protection locked="0"/>
    </xf>
    <xf numFmtId="0" fontId="5" fillId="6" borderId="0" xfId="0" applyFont="1" applyFill="1" applyProtection="1">
      <protection locked="0"/>
    </xf>
    <xf numFmtId="0" fontId="5" fillId="6" borderId="0" xfId="0" applyFont="1" applyFill="1"/>
    <xf numFmtId="3" fontId="13" fillId="3" borderId="0" xfId="3" applyNumberFormat="1" applyFont="1" applyFill="1" applyAlignment="1" applyProtection="1">
      <alignment horizontal="left" vertical="center"/>
      <protection locked="0"/>
    </xf>
    <xf numFmtId="15" fontId="8" fillId="12" borderId="15" xfId="0" applyNumberFormat="1" applyFont="1" applyFill="1" applyBorder="1" applyAlignment="1" applyProtection="1">
      <alignment vertical="center"/>
      <protection locked="0"/>
    </xf>
    <xf numFmtId="15" fontId="8" fillId="8" borderId="15" xfId="0" applyNumberFormat="1" applyFont="1" applyFill="1" applyBorder="1" applyAlignment="1" applyProtection="1">
      <alignment vertical="center"/>
      <protection locked="0"/>
    </xf>
    <xf numFmtId="0" fontId="15" fillId="0" borderId="0" xfId="0" applyFont="1" applyAlignment="1" applyProtection="1">
      <alignment vertical="top"/>
      <protection locked="0"/>
    </xf>
    <xf numFmtId="0" fontId="15" fillId="0" borderId="0" xfId="0" applyFont="1" applyAlignment="1" applyProtection="1">
      <alignment horizontal="center" vertical="top"/>
      <protection locked="0"/>
    </xf>
    <xf numFmtId="165" fontId="15" fillId="0" borderId="0" xfId="0" applyNumberFormat="1" applyFont="1" applyAlignment="1" applyProtection="1">
      <alignment horizontal="center" vertical="top"/>
      <protection locked="0"/>
    </xf>
    <xf numFmtId="0" fontId="6" fillId="0" borderId="0" xfId="0" applyFont="1" applyProtection="1">
      <protection locked="0"/>
    </xf>
    <xf numFmtId="167" fontId="13" fillId="6" borderId="13" xfId="1" applyNumberFormat="1" applyFont="1" applyFill="1" applyBorder="1" applyAlignment="1" applyProtection="1">
      <alignment vertical="center" wrapText="1"/>
      <protection locked="0"/>
    </xf>
    <xf numFmtId="0" fontId="15" fillId="0" borderId="4" xfId="0" quotePrefix="1" applyFont="1" applyBorder="1" applyAlignment="1">
      <alignment horizontal="left" wrapText="1"/>
    </xf>
    <xf numFmtId="0" fontId="15" fillId="0" borderId="1" xfId="0" quotePrefix="1" applyFont="1" applyBorder="1" applyAlignment="1">
      <alignment horizontal="left" wrapText="1"/>
    </xf>
    <xf numFmtId="4" fontId="11" fillId="0" borderId="0" xfId="0" applyNumberFormat="1" applyFont="1" applyAlignment="1">
      <alignment vertical="top"/>
    </xf>
    <xf numFmtId="3" fontId="13" fillId="3" borderId="12" xfId="3" applyNumberFormat="1" applyFont="1" applyFill="1" applyBorder="1" applyAlignment="1" applyProtection="1">
      <alignment vertical="center" wrapText="1"/>
      <protection locked="0"/>
    </xf>
    <xf numFmtId="167" fontId="13" fillId="3" borderId="14" xfId="1" applyNumberFormat="1" applyFont="1" applyFill="1" applyBorder="1" applyAlignment="1" applyProtection="1">
      <alignment vertical="center"/>
      <protection locked="0"/>
    </xf>
    <xf numFmtId="167" fontId="13" fillId="3" borderId="12" xfId="1" applyNumberFormat="1" applyFont="1" applyFill="1" applyBorder="1" applyAlignment="1" applyProtection="1">
      <alignment vertical="center" wrapText="1"/>
      <protection locked="0"/>
    </xf>
    <xf numFmtId="166" fontId="26" fillId="3" borderId="12" xfId="2" applyNumberFormat="1" applyFont="1" applyFill="1" applyBorder="1" applyAlignment="1" applyProtection="1">
      <alignment horizontal="center" vertical="center" wrapText="1"/>
      <protection locked="0"/>
    </xf>
    <xf numFmtId="3" fontId="15" fillId="0" borderId="1" xfId="0" applyNumberFormat="1" applyFont="1" applyBorder="1"/>
    <xf numFmtId="3" fontId="15" fillId="2" borderId="1" xfId="0" applyNumberFormat="1" applyFont="1" applyFill="1" applyBorder="1"/>
    <xf numFmtId="3" fontId="7" fillId="5" borderId="26" xfId="3" applyNumberFormat="1" applyFont="1" applyFill="1" applyBorder="1" applyAlignment="1" applyProtection="1">
      <alignment horizontal="center" vertical="center" wrapText="1"/>
      <protection locked="0"/>
    </xf>
    <xf numFmtId="3" fontId="7" fillId="5" borderId="12" xfId="3" applyNumberFormat="1" applyFont="1" applyFill="1" applyBorder="1" applyAlignment="1" applyProtection="1">
      <alignment horizontal="center" vertical="center" wrapText="1"/>
      <protection locked="0"/>
    </xf>
    <xf numFmtId="3" fontId="7" fillId="5" borderId="14" xfId="3" applyNumberFormat="1" applyFont="1" applyFill="1" applyBorder="1" applyAlignment="1" applyProtection="1">
      <alignment vertical="center" wrapText="1"/>
      <protection locked="0"/>
    </xf>
    <xf numFmtId="3" fontId="7" fillId="5" borderId="12" xfId="3" applyNumberFormat="1" applyFont="1" applyFill="1" applyBorder="1" applyAlignment="1" applyProtection="1">
      <alignment vertical="center" wrapText="1"/>
      <protection locked="0"/>
    </xf>
    <xf numFmtId="3" fontId="7" fillId="5" borderId="12" xfId="3" applyNumberFormat="1" applyFont="1" applyFill="1" applyBorder="1" applyAlignment="1" applyProtection="1">
      <alignment horizontal="centerContinuous" vertical="center" wrapText="1"/>
      <protection locked="0"/>
    </xf>
    <xf numFmtId="167" fontId="7" fillId="5" borderId="12" xfId="1" applyNumberFormat="1" applyFont="1" applyFill="1" applyBorder="1" applyAlignment="1" applyProtection="1">
      <alignment horizontal="center" vertical="center"/>
      <protection locked="0"/>
    </xf>
    <xf numFmtId="167" fontId="7" fillId="5" borderId="12" xfId="1" applyNumberFormat="1" applyFont="1" applyFill="1" applyBorder="1" applyAlignment="1" applyProtection="1">
      <alignment vertical="center" wrapText="1"/>
      <protection locked="0"/>
    </xf>
    <xf numFmtId="15" fontId="8" fillId="8" borderId="30" xfId="0" applyNumberFormat="1" applyFont="1" applyFill="1" applyBorder="1" applyAlignment="1" applyProtection="1">
      <alignment vertical="center"/>
      <protection locked="0"/>
    </xf>
    <xf numFmtId="15" fontId="8" fillId="12" borderId="31" xfId="0" applyNumberFormat="1" applyFont="1" applyFill="1" applyBorder="1" applyAlignment="1" applyProtection="1">
      <alignment vertical="center"/>
      <protection locked="0"/>
    </xf>
    <xf numFmtId="3" fontId="7" fillId="5" borderId="32" xfId="3" applyNumberFormat="1" applyFont="1" applyFill="1" applyBorder="1" applyAlignment="1" applyProtection="1">
      <alignment horizontal="center" vertical="center" wrapText="1"/>
      <protection locked="0"/>
    </xf>
    <xf numFmtId="3" fontId="7" fillId="5" borderId="33" xfId="3" applyNumberFormat="1" applyFont="1" applyFill="1" applyBorder="1" applyAlignment="1" applyProtection="1">
      <alignment horizontal="center" vertical="center" wrapText="1"/>
      <protection locked="0"/>
    </xf>
    <xf numFmtId="0" fontId="15" fillId="0" borderId="34" xfId="0" applyFont="1" applyBorder="1" applyProtection="1">
      <protection locked="0"/>
    </xf>
    <xf numFmtId="0" fontId="15" fillId="0" borderId="35" xfId="0" applyFont="1" applyBorder="1" applyProtection="1">
      <protection locked="0"/>
    </xf>
    <xf numFmtId="0" fontId="15" fillId="2" borderId="35" xfId="0" applyFont="1" applyFill="1" applyBorder="1" applyProtection="1">
      <protection locked="0"/>
    </xf>
    <xf numFmtId="3" fontId="15" fillId="2" borderId="38" xfId="0" applyNumberFormat="1" applyFont="1" applyFill="1" applyBorder="1"/>
    <xf numFmtId="3" fontId="6" fillId="0" borderId="2" xfId="0" applyNumberFormat="1" applyFont="1" applyBorder="1"/>
    <xf numFmtId="3" fontId="6" fillId="2" borderId="2" xfId="0" applyNumberFormat="1" applyFont="1" applyFill="1" applyBorder="1"/>
    <xf numFmtId="15" fontId="8" fillId="8" borderId="31" xfId="0" applyNumberFormat="1" applyFont="1" applyFill="1" applyBorder="1" applyAlignment="1" applyProtection="1">
      <alignment vertical="center"/>
      <protection locked="0"/>
    </xf>
    <xf numFmtId="3" fontId="15" fillId="0" borderId="35" xfId="0" applyNumberFormat="1" applyFont="1" applyBorder="1"/>
    <xf numFmtId="3" fontId="15" fillId="0" borderId="36" xfId="0" applyNumberFormat="1" applyFont="1" applyBorder="1"/>
    <xf numFmtId="3" fontId="15" fillId="2" borderId="35" xfId="0" applyNumberFormat="1" applyFont="1" applyFill="1" applyBorder="1"/>
    <xf numFmtId="3" fontId="15" fillId="2" borderId="36" xfId="0" applyNumberFormat="1" applyFont="1" applyFill="1" applyBorder="1"/>
    <xf numFmtId="3" fontId="15" fillId="2" borderId="37" xfId="0" applyNumberFormat="1" applyFont="1" applyFill="1" applyBorder="1"/>
    <xf numFmtId="3" fontId="15" fillId="2" borderId="39" xfId="0" applyNumberFormat="1" applyFont="1" applyFill="1" applyBorder="1"/>
    <xf numFmtId="3" fontId="6" fillId="0" borderId="5" xfId="0" applyNumberFormat="1" applyFont="1" applyBorder="1"/>
    <xf numFmtId="3" fontId="6" fillId="2" borderId="5" xfId="0" applyNumberFormat="1" applyFont="1" applyFill="1" applyBorder="1"/>
    <xf numFmtId="167" fontId="7" fillId="5" borderId="43" xfId="1" applyNumberFormat="1" applyFont="1" applyFill="1" applyBorder="1" applyAlignment="1" applyProtection="1">
      <alignment vertical="center"/>
      <protection locked="0"/>
    </xf>
    <xf numFmtId="166" fontId="7" fillId="5" borderId="29" xfId="2" applyNumberFormat="1" applyFont="1" applyFill="1" applyBorder="1" applyAlignment="1" applyProtection="1">
      <alignment horizontal="center" vertical="center" wrapText="1"/>
      <protection locked="0"/>
    </xf>
    <xf numFmtId="15" fontId="8" fillId="12" borderId="30" xfId="0" applyNumberFormat="1" applyFont="1" applyFill="1" applyBorder="1" applyAlignment="1" applyProtection="1">
      <alignment vertical="center"/>
      <protection locked="0"/>
    </xf>
    <xf numFmtId="3" fontId="6" fillId="0" borderId="35" xfId="0" applyNumberFormat="1" applyFont="1" applyBorder="1"/>
    <xf numFmtId="3" fontId="6" fillId="0" borderId="36" xfId="0" applyNumberFormat="1" applyFont="1" applyBorder="1"/>
    <xf numFmtId="3" fontId="6" fillId="2" borderId="35" xfId="0" applyNumberFormat="1" applyFont="1" applyFill="1" applyBorder="1"/>
    <xf numFmtId="3" fontId="6" fillId="2" borderId="36" xfId="0" applyNumberFormat="1" applyFont="1" applyFill="1" applyBorder="1"/>
    <xf numFmtId="0" fontId="7" fillId="6" borderId="44" xfId="0" applyFont="1" applyFill="1" applyBorder="1"/>
    <xf numFmtId="0" fontId="7" fillId="6" borderId="45" xfId="0" applyFont="1" applyFill="1" applyBorder="1"/>
    <xf numFmtId="166" fontId="7" fillId="5" borderId="46" xfId="2" applyNumberFormat="1" applyFont="1" applyFill="1" applyBorder="1" applyAlignment="1" applyProtection="1">
      <alignment horizontal="center" vertical="center" wrapText="1"/>
      <protection locked="0"/>
    </xf>
    <xf numFmtId="0" fontId="2" fillId="7" borderId="1" xfId="0" applyFont="1" applyFill="1" applyBorder="1" applyAlignment="1">
      <alignment vertical="center" wrapText="1"/>
    </xf>
    <xf numFmtId="0" fontId="7" fillId="4" borderId="1" xfId="1" applyNumberFormat="1" applyFont="1" applyFill="1" applyBorder="1" applyAlignment="1" applyProtection="1">
      <alignment horizontal="center" vertical="center" wrapText="1"/>
      <protection locked="0"/>
    </xf>
    <xf numFmtId="3" fontId="3" fillId="20" borderId="1" xfId="0" applyNumberFormat="1" applyFont="1" applyFill="1" applyBorder="1" applyAlignment="1">
      <alignment vertical="center"/>
    </xf>
    <xf numFmtId="0" fontId="7" fillId="26" borderId="1" xfId="1" applyNumberFormat="1" applyFont="1" applyFill="1" applyBorder="1" applyAlignment="1" applyProtection="1">
      <alignment horizontal="center" vertical="center" wrapText="1"/>
      <protection locked="0"/>
    </xf>
    <xf numFmtId="3" fontId="3" fillId="2" borderId="2" xfId="0" applyNumberFormat="1" applyFont="1" applyFill="1" applyBorder="1" applyAlignment="1">
      <alignment vertical="center"/>
    </xf>
    <xf numFmtId="3" fontId="0" fillId="20" borderId="2" xfId="0" applyNumberFormat="1" applyFill="1" applyBorder="1" applyAlignment="1">
      <alignment vertical="center"/>
    </xf>
    <xf numFmtId="3" fontId="0" fillId="2" borderId="2" xfId="0" applyNumberFormat="1" applyFill="1" applyBorder="1" applyAlignment="1">
      <alignment vertical="center"/>
    </xf>
    <xf numFmtId="0" fontId="22" fillId="23" borderId="2" xfId="0" applyFont="1" applyFill="1" applyBorder="1" applyAlignment="1">
      <alignment vertical="center" wrapText="1"/>
    </xf>
    <xf numFmtId="0" fontId="22" fillId="22" borderId="2" xfId="0" applyFont="1" applyFill="1" applyBorder="1" applyAlignment="1">
      <alignment vertical="center" wrapText="1"/>
    </xf>
    <xf numFmtId="0" fontId="7" fillId="26" borderId="5" xfId="1" applyNumberFormat="1" applyFont="1" applyFill="1" applyBorder="1" applyAlignment="1" applyProtection="1">
      <alignment horizontal="center" vertical="center" wrapText="1"/>
      <protection locked="0"/>
    </xf>
    <xf numFmtId="3" fontId="3" fillId="2" borderId="5" xfId="0" applyNumberFormat="1" applyFont="1" applyFill="1" applyBorder="1" applyAlignment="1">
      <alignment vertical="center"/>
    </xf>
    <xf numFmtId="3" fontId="0" fillId="20" borderId="5" xfId="0" applyNumberFormat="1" applyFill="1" applyBorder="1" applyAlignment="1">
      <alignment vertical="center"/>
    </xf>
    <xf numFmtId="3" fontId="0" fillId="2" borderId="5" xfId="0" applyNumberFormat="1" applyFill="1" applyBorder="1" applyAlignment="1">
      <alignment vertical="center"/>
    </xf>
    <xf numFmtId="0" fontId="2" fillId="7" borderId="47" xfId="0" applyFont="1" applyFill="1" applyBorder="1" applyAlignment="1">
      <alignment vertical="center"/>
    </xf>
    <xf numFmtId="3" fontId="3" fillId="2" borderId="47" xfId="0" applyNumberFormat="1" applyFont="1" applyFill="1" applyBorder="1" applyAlignment="1">
      <alignment vertical="center"/>
    </xf>
    <xf numFmtId="3" fontId="0" fillId="20" borderId="47" xfId="0" applyNumberFormat="1" applyFill="1" applyBorder="1" applyAlignment="1">
      <alignment vertical="center"/>
    </xf>
    <xf numFmtId="3" fontId="0" fillId="2" borderId="47" xfId="0" applyNumberFormat="1" applyFill="1" applyBorder="1" applyAlignment="1">
      <alignment vertical="center"/>
    </xf>
    <xf numFmtId="0" fontId="15" fillId="0" borderId="1" xfId="0" applyFont="1" applyBorder="1" applyProtection="1">
      <protection locked="0"/>
    </xf>
    <xf numFmtId="0" fontId="15" fillId="2" borderId="1" xfId="0" applyFont="1" applyFill="1" applyBorder="1" applyAlignment="1">
      <alignment horizontal="left" wrapText="1"/>
    </xf>
    <xf numFmtId="0" fontId="15" fillId="2" borderId="1" xfId="0" applyFont="1" applyFill="1" applyBorder="1" applyAlignment="1" applyProtection="1">
      <alignment wrapText="1"/>
      <protection locked="0"/>
    </xf>
    <xf numFmtId="0" fontId="15" fillId="2" borderId="37" xfId="0" applyFont="1" applyFill="1" applyBorder="1" applyProtection="1">
      <protection locked="0"/>
    </xf>
    <xf numFmtId="0" fontId="6" fillId="2" borderId="38" xfId="0" applyFont="1" applyFill="1" applyBorder="1"/>
    <xf numFmtId="0" fontId="15" fillId="2" borderId="38" xfId="0" applyFont="1" applyFill="1" applyBorder="1" applyAlignment="1">
      <alignment horizontal="left" wrapText="1"/>
    </xf>
    <xf numFmtId="0" fontId="15" fillId="2" borderId="38" xfId="0" applyFont="1" applyFill="1" applyBorder="1" applyAlignment="1" applyProtection="1">
      <alignment wrapText="1"/>
      <protection locked="0"/>
    </xf>
    <xf numFmtId="3" fontId="6" fillId="2" borderId="40" xfId="0" applyNumberFormat="1" applyFont="1" applyFill="1" applyBorder="1"/>
    <xf numFmtId="3" fontId="6" fillId="2" borderId="38" xfId="0" applyNumberFormat="1" applyFont="1" applyFill="1" applyBorder="1"/>
    <xf numFmtId="3" fontId="6" fillId="2" borderId="37" xfId="0" applyNumberFormat="1" applyFont="1" applyFill="1" applyBorder="1"/>
    <xf numFmtId="3" fontId="6" fillId="2" borderId="39" xfId="0" applyNumberFormat="1" applyFont="1" applyFill="1" applyBorder="1"/>
    <xf numFmtId="3" fontId="6" fillId="2" borderId="41" xfId="0" applyNumberFormat="1" applyFont="1" applyFill="1" applyBorder="1"/>
    <xf numFmtId="167" fontId="13" fillId="3" borderId="48" xfId="1" applyNumberFormat="1" applyFont="1" applyFill="1" applyBorder="1" applyAlignment="1" applyProtection="1">
      <alignment vertical="center"/>
      <protection locked="0"/>
    </xf>
    <xf numFmtId="166" fontId="7" fillId="5" borderId="49" xfId="2" applyNumberFormat="1" applyFont="1" applyFill="1" applyBorder="1" applyAlignment="1" applyProtection="1">
      <alignment horizontal="center" vertical="center" wrapText="1"/>
      <protection locked="0"/>
    </xf>
    <xf numFmtId="15" fontId="8" fillId="8" borderId="50" xfId="0" applyNumberFormat="1" applyFont="1" applyFill="1" applyBorder="1" applyAlignment="1" applyProtection="1">
      <alignment vertical="center"/>
      <protection locked="0"/>
    </xf>
    <xf numFmtId="3" fontId="7" fillId="5" borderId="51" xfId="3" applyNumberFormat="1" applyFont="1" applyFill="1" applyBorder="1" applyAlignment="1" applyProtection="1">
      <alignment horizontal="center" vertical="center" wrapText="1"/>
      <protection locked="0"/>
    </xf>
    <xf numFmtId="3" fontId="15" fillId="2" borderId="52" xfId="0" applyNumberFormat="1" applyFont="1" applyFill="1" applyBorder="1" applyProtection="1">
      <protection locked="0"/>
    </xf>
    <xf numFmtId="3" fontId="15" fillId="2" borderId="47" xfId="0" applyNumberFormat="1" applyFont="1" applyFill="1" applyBorder="1" applyProtection="1">
      <protection locked="0"/>
    </xf>
    <xf numFmtId="3" fontId="15" fillId="2" borderId="53" xfId="0" applyNumberFormat="1" applyFont="1" applyFill="1" applyBorder="1" applyProtection="1">
      <protection locked="0"/>
    </xf>
    <xf numFmtId="3" fontId="15" fillId="2" borderId="54" xfId="0" applyNumberFormat="1" applyFont="1" applyFill="1" applyBorder="1" applyProtection="1">
      <protection locked="0"/>
    </xf>
    <xf numFmtId="3" fontId="27" fillId="2" borderId="1" xfId="0" applyNumberFormat="1" applyFont="1" applyFill="1" applyBorder="1" applyAlignment="1">
      <alignment vertical="center"/>
    </xf>
    <xf numFmtId="3" fontId="27" fillId="20" borderId="1" xfId="0" applyNumberFormat="1" applyFont="1" applyFill="1" applyBorder="1" applyAlignment="1">
      <alignment vertical="center"/>
    </xf>
    <xf numFmtId="3" fontId="15" fillId="0" borderId="2" xfId="0" applyNumberFormat="1" applyFont="1" applyBorder="1"/>
    <xf numFmtId="3" fontId="15" fillId="2" borderId="2" xfId="0" applyNumberFormat="1" applyFont="1" applyFill="1" applyBorder="1"/>
    <xf numFmtId="3" fontId="15" fillId="2" borderId="40" xfId="0" applyNumberFormat="1" applyFont="1" applyFill="1" applyBorder="1"/>
    <xf numFmtId="0" fontId="28" fillId="0" borderId="4" xfId="0" quotePrefix="1" applyFont="1" applyBorder="1" applyAlignment="1">
      <alignment horizontal="left" wrapText="1"/>
    </xf>
    <xf numFmtId="0" fontId="22" fillId="0" borderId="0" xfId="0" applyFont="1" applyAlignment="1" applyProtection="1">
      <alignment vertical="center" wrapText="1"/>
      <protection locked="0"/>
    </xf>
    <xf numFmtId="3" fontId="5" fillId="6" borderId="0" xfId="0" applyNumberFormat="1" applyFont="1" applyFill="1"/>
    <xf numFmtId="3" fontId="6" fillId="2" borderId="0" xfId="0" applyNumberFormat="1" applyFont="1" applyFill="1"/>
    <xf numFmtId="3" fontId="14" fillId="2" borderId="5" xfId="0" applyNumberFormat="1" applyFont="1" applyFill="1" applyBorder="1" applyAlignment="1" applyProtection="1">
      <alignment horizontal="center"/>
      <protection locked="0"/>
    </xf>
    <xf numFmtId="3" fontId="6" fillId="8" borderId="0" xfId="0" applyNumberFormat="1" applyFont="1" applyFill="1"/>
    <xf numFmtId="3" fontId="7" fillId="5" borderId="9" xfId="0" applyNumberFormat="1" applyFont="1" applyFill="1" applyBorder="1"/>
    <xf numFmtId="3" fontId="7" fillId="9" borderId="11" xfId="0" applyNumberFormat="1" applyFont="1" applyFill="1" applyBorder="1" applyAlignment="1">
      <alignment horizontal="center" vertical="center"/>
    </xf>
    <xf numFmtId="3" fontId="15" fillId="0" borderId="0" xfId="0" applyNumberFormat="1" applyFont="1" applyAlignment="1" applyProtection="1">
      <alignment horizontal="right" vertical="top"/>
      <protection locked="0"/>
    </xf>
    <xf numFmtId="3" fontId="6" fillId="0" borderId="0" xfId="0" applyNumberFormat="1" applyFont="1" applyProtection="1">
      <protection locked="0"/>
    </xf>
    <xf numFmtId="3" fontId="6" fillId="2" borderId="0" xfId="0" applyNumberFormat="1" applyFont="1" applyFill="1" applyProtection="1">
      <protection locked="0"/>
    </xf>
    <xf numFmtId="3" fontId="0" fillId="0" borderId="0" xfId="0" applyNumberFormat="1"/>
    <xf numFmtId="0" fontId="3" fillId="0" borderId="57" xfId="0" applyFont="1" applyBorder="1" applyAlignment="1">
      <alignment horizontal="center" wrapText="1"/>
    </xf>
    <xf numFmtId="1" fontId="3" fillId="20" borderId="57" xfId="0" applyNumberFormat="1" applyFont="1" applyFill="1" applyBorder="1" applyAlignment="1">
      <alignment horizontal="center"/>
    </xf>
    <xf numFmtId="0" fontId="3" fillId="20" borderId="57" xfId="0" applyFont="1" applyFill="1" applyBorder="1" applyAlignment="1">
      <alignment wrapText="1"/>
    </xf>
    <xf numFmtId="0" fontId="3" fillId="35" borderId="57" xfId="0" applyFont="1" applyFill="1" applyBorder="1" applyAlignment="1">
      <alignment horizontal="center"/>
    </xf>
    <xf numFmtId="3" fontId="3" fillId="0" borderId="0" xfId="0" applyNumberFormat="1" applyFont="1"/>
    <xf numFmtId="4" fontId="3" fillId="0" borderId="0" xfId="0" applyNumberFormat="1" applyFont="1"/>
    <xf numFmtId="169" fontId="30" fillId="0" borderId="57" xfId="0" applyNumberFormat="1" applyFont="1" applyBorder="1" applyAlignment="1">
      <alignment horizontal="center"/>
    </xf>
    <xf numFmtId="0" fontId="30" fillId="0" borderId="57" xfId="0" applyFont="1" applyBorder="1" applyAlignment="1">
      <alignment wrapText="1"/>
    </xf>
    <xf numFmtId="0" fontId="30" fillId="0" borderId="57" xfId="0" applyFont="1" applyBorder="1" applyAlignment="1">
      <alignment horizontal="center" wrapText="1"/>
    </xf>
    <xf numFmtId="0" fontId="30" fillId="36" borderId="57" xfId="0" applyFont="1" applyFill="1" applyBorder="1" applyAlignment="1">
      <alignment horizontal="center"/>
    </xf>
    <xf numFmtId="3" fontId="30" fillId="0" borderId="0" xfId="0" applyNumberFormat="1" applyFont="1"/>
    <xf numFmtId="4" fontId="30" fillId="0" borderId="0" xfId="0" applyNumberFormat="1" applyFont="1"/>
    <xf numFmtId="170" fontId="30" fillId="0" borderId="0" xfId="0" applyNumberFormat="1" applyFont="1"/>
    <xf numFmtId="0" fontId="30" fillId="0" borderId="0" xfId="0" applyFont="1"/>
    <xf numFmtId="169" fontId="19" fillId="0" borderId="57" xfId="0" applyNumberFormat="1" applyFont="1" applyBorder="1" applyAlignment="1">
      <alignment horizontal="center"/>
    </xf>
    <xf numFmtId="0" fontId="19" fillId="0" borderId="57" xfId="0" applyFont="1" applyBorder="1" applyAlignment="1">
      <alignment wrapText="1"/>
    </xf>
    <xf numFmtId="0" fontId="0" fillId="15" borderId="57" xfId="0" applyFill="1" applyBorder="1" applyAlignment="1">
      <alignment horizontal="center" wrapText="1"/>
    </xf>
    <xf numFmtId="0" fontId="0" fillId="15" borderId="57" xfId="0" applyFill="1" applyBorder="1" applyAlignment="1">
      <alignment horizontal="center"/>
    </xf>
    <xf numFmtId="0" fontId="19" fillId="37" borderId="57" xfId="0" applyFont="1" applyFill="1" applyBorder="1" applyAlignment="1">
      <alignment horizontal="center"/>
    </xf>
    <xf numFmtId="3" fontId="22" fillId="0" borderId="0" xfId="0" applyNumberFormat="1" applyFont="1" applyAlignment="1">
      <alignment horizontal="right" vertical="center" wrapText="1"/>
    </xf>
    <xf numFmtId="4" fontId="0" fillId="0" borderId="0" xfId="0" applyNumberFormat="1"/>
    <xf numFmtId="170" fontId="0" fillId="0" borderId="0" xfId="0" applyNumberFormat="1"/>
    <xf numFmtId="0" fontId="19" fillId="0" borderId="57" xfId="0" applyFont="1" applyBorder="1" applyAlignment="1">
      <alignment horizontal="center" wrapText="1"/>
    </xf>
    <xf numFmtId="0" fontId="19" fillId="0" borderId="0" xfId="0" applyFont="1"/>
    <xf numFmtId="169" fontId="0" fillId="0" borderId="57" xfId="0" applyNumberFormat="1" applyBorder="1" applyAlignment="1">
      <alignment horizontal="center"/>
    </xf>
    <xf numFmtId="0" fontId="30" fillId="15" borderId="57" xfId="0" applyFont="1" applyFill="1" applyBorder="1" applyAlignment="1">
      <alignment horizontal="right" wrapText="1"/>
    </xf>
    <xf numFmtId="0" fontId="19" fillId="15" borderId="57" xfId="0" applyFont="1" applyFill="1" applyBorder="1" applyAlignment="1">
      <alignment horizontal="center" wrapText="1"/>
    </xf>
    <xf numFmtId="0" fontId="0" fillId="0" borderId="57" xfId="0" applyBorder="1" applyAlignment="1">
      <alignment horizontal="center"/>
    </xf>
    <xf numFmtId="169" fontId="3" fillId="0" borderId="0" xfId="0" applyNumberFormat="1" applyFont="1"/>
    <xf numFmtId="171" fontId="0" fillId="15" borderId="57" xfId="0" applyNumberFormat="1" applyFill="1" applyBorder="1" applyAlignment="1">
      <alignment horizontal="center"/>
    </xf>
    <xf numFmtId="169" fontId="30" fillId="0" borderId="0" xfId="0" applyNumberFormat="1" applyFont="1"/>
    <xf numFmtId="169" fontId="0" fillId="0" borderId="0" xfId="0" applyNumberFormat="1"/>
    <xf numFmtId="169" fontId="31" fillId="0" borderId="57" xfId="0" applyNumberFormat="1" applyFont="1" applyBorder="1" applyAlignment="1">
      <alignment horizontal="center"/>
    </xf>
    <xf numFmtId="0" fontId="31" fillId="0" borderId="57" xfId="0" applyFont="1" applyBorder="1" applyAlignment="1">
      <alignment wrapText="1"/>
    </xf>
    <xf numFmtId="0" fontId="32" fillId="15" borderId="57" xfId="0" applyFont="1" applyFill="1" applyBorder="1" applyAlignment="1">
      <alignment horizontal="center" wrapText="1"/>
    </xf>
    <xf numFmtId="0" fontId="32" fillId="15" borderId="57" xfId="0" applyFont="1" applyFill="1" applyBorder="1" applyAlignment="1">
      <alignment horizontal="center"/>
    </xf>
    <xf numFmtId="0" fontId="31" fillId="37" borderId="57" xfId="0" applyFont="1" applyFill="1" applyBorder="1" applyAlignment="1">
      <alignment horizontal="center"/>
    </xf>
    <xf numFmtId="3" fontId="31" fillId="0" borderId="0" xfId="0" applyNumberFormat="1" applyFont="1" applyAlignment="1">
      <alignment horizontal="right" vertical="center" wrapText="1"/>
    </xf>
    <xf numFmtId="4" fontId="31" fillId="0" borderId="0" xfId="0" applyNumberFormat="1" applyFont="1"/>
    <xf numFmtId="170" fontId="19" fillId="0" borderId="0" xfId="0" applyNumberFormat="1" applyFont="1"/>
    <xf numFmtId="3" fontId="19" fillId="0" borderId="0" xfId="0" applyNumberFormat="1" applyFont="1"/>
    <xf numFmtId="3" fontId="31" fillId="0" borderId="0" xfId="0" applyNumberFormat="1" applyFont="1"/>
    <xf numFmtId="0" fontId="31" fillId="0" borderId="0" xfId="0" applyFont="1"/>
    <xf numFmtId="170" fontId="3" fillId="0" borderId="0" xfId="0" applyNumberFormat="1" applyFont="1"/>
    <xf numFmtId="169" fontId="0" fillId="0" borderId="0" xfId="0" applyNumberFormat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172" fontId="0" fillId="0" borderId="0" xfId="0" applyNumberFormat="1"/>
    <xf numFmtId="172" fontId="3" fillId="0" borderId="0" xfId="0" applyNumberFormat="1" applyFont="1"/>
    <xf numFmtId="173" fontId="3" fillId="0" borderId="0" xfId="0" applyNumberFormat="1" applyFont="1"/>
    <xf numFmtId="173" fontId="0" fillId="0" borderId="0" xfId="0" applyNumberFormat="1"/>
    <xf numFmtId="0" fontId="3" fillId="0" borderId="58" xfId="0" applyFont="1" applyBorder="1" applyAlignment="1">
      <alignment horizontal="center" wrapText="1"/>
    </xf>
    <xf numFmtId="0" fontId="3" fillId="35" borderId="58" xfId="0" applyFont="1" applyFill="1" applyBorder="1" applyAlignment="1">
      <alignment horizontal="center"/>
    </xf>
    <xf numFmtId="0" fontId="3" fillId="33" borderId="4" xfId="0" applyFont="1" applyFill="1" applyBorder="1" applyAlignment="1">
      <alignment horizontal="center" wrapText="1"/>
    </xf>
    <xf numFmtId="0" fontId="3" fillId="0" borderId="4" xfId="0" applyFont="1" applyBorder="1"/>
    <xf numFmtId="0" fontId="21" fillId="15" borderId="1" xfId="0" applyFont="1" applyFill="1" applyBorder="1" applyAlignment="1">
      <alignment horizontal="center" wrapText="1"/>
    </xf>
    <xf numFmtId="0" fontId="3" fillId="29" borderId="4" xfId="0" applyFont="1" applyFill="1" applyBorder="1" applyAlignment="1">
      <alignment horizontal="center"/>
    </xf>
    <xf numFmtId="0" fontId="29" fillId="30" borderId="4" xfId="0" applyFont="1" applyFill="1" applyBorder="1" applyAlignment="1">
      <alignment horizontal="center" wrapText="1"/>
    </xf>
    <xf numFmtId="0" fontId="29" fillId="31" borderId="4" xfId="0" applyFont="1" applyFill="1" applyBorder="1" applyAlignment="1">
      <alignment horizontal="center" wrapText="1"/>
    </xf>
    <xf numFmtId="0" fontId="3" fillId="30" borderId="4" xfId="0" applyFont="1" applyFill="1" applyBorder="1" applyAlignment="1">
      <alignment horizontal="center" wrapText="1"/>
    </xf>
    <xf numFmtId="0" fontId="3" fillId="32" borderId="4" xfId="0" applyFont="1" applyFill="1" applyBorder="1" applyAlignment="1">
      <alignment horizontal="center" wrapText="1"/>
    </xf>
    <xf numFmtId="0" fontId="3" fillId="14" borderId="4" xfId="0" applyFont="1" applyFill="1" applyBorder="1" applyAlignment="1">
      <alignment horizontal="center" wrapText="1"/>
    </xf>
    <xf numFmtId="0" fontId="3" fillId="31" borderId="4" xfId="0" applyFont="1" applyFill="1" applyBorder="1" applyAlignment="1">
      <alignment horizontal="center" wrapText="1"/>
    </xf>
    <xf numFmtId="0" fontId="2" fillId="10" borderId="4" xfId="0" applyFont="1" applyFill="1" applyBorder="1" applyAlignment="1">
      <alignment horizontal="center" wrapText="1"/>
    </xf>
    <xf numFmtId="0" fontId="29" fillId="34" borderId="4" xfId="0" applyFont="1" applyFill="1" applyBorder="1" applyAlignment="1">
      <alignment horizontal="center" wrapText="1"/>
    </xf>
    <xf numFmtId="3" fontId="3" fillId="31" borderId="4" xfId="0" applyNumberFormat="1" applyFont="1" applyFill="1" applyBorder="1" applyAlignment="1">
      <alignment horizontal="center" wrapText="1"/>
    </xf>
    <xf numFmtId="173" fontId="3" fillId="31" borderId="4" xfId="0" applyNumberFormat="1" applyFont="1" applyFill="1" applyBorder="1" applyAlignment="1">
      <alignment horizontal="center" wrapText="1"/>
    </xf>
    <xf numFmtId="3" fontId="34" fillId="0" borderId="0" xfId="0" applyNumberFormat="1" applyFont="1" applyAlignment="1">
      <alignment vertical="center" wrapText="1"/>
    </xf>
    <xf numFmtId="174" fontId="3" fillId="0" borderId="0" xfId="0" applyNumberFormat="1" applyFont="1"/>
    <xf numFmtId="3" fontId="3" fillId="31" borderId="60" xfId="0" applyNumberFormat="1" applyFont="1" applyFill="1" applyBorder="1" applyAlignment="1">
      <alignment horizontal="center" wrapText="1"/>
    </xf>
    <xf numFmtId="3" fontId="3" fillId="23" borderId="4" xfId="0" applyNumberFormat="1" applyFont="1" applyFill="1" applyBorder="1" applyAlignment="1">
      <alignment horizontal="center" wrapText="1"/>
    </xf>
    <xf numFmtId="0" fontId="21" fillId="33" borderId="1" xfId="0" applyFont="1" applyFill="1" applyBorder="1" applyAlignment="1">
      <alignment horizontal="center" wrapText="1"/>
    </xf>
    <xf numFmtId="3" fontId="3" fillId="23" borderId="60" xfId="0" applyNumberFormat="1" applyFont="1" applyFill="1" applyBorder="1" applyAlignment="1">
      <alignment horizontal="center" wrapText="1"/>
    </xf>
    <xf numFmtId="175" fontId="0" fillId="0" borderId="0" xfId="0" applyNumberFormat="1"/>
    <xf numFmtId="0" fontId="36" fillId="0" borderId="1" xfId="0" applyFont="1" applyBorder="1"/>
    <xf numFmtId="1" fontId="0" fillId="0" borderId="0" xfId="0" applyNumberFormat="1"/>
    <xf numFmtId="3" fontId="3" fillId="0" borderId="60" xfId="0" applyNumberFormat="1" applyFont="1" applyBorder="1" applyAlignment="1">
      <alignment horizontal="center" wrapText="1"/>
    </xf>
    <xf numFmtId="3" fontId="3" fillId="33" borderId="60" xfId="0" applyNumberFormat="1" applyFont="1" applyFill="1" applyBorder="1" applyAlignment="1">
      <alignment horizontal="center" wrapText="1"/>
    </xf>
    <xf numFmtId="3" fontId="3" fillId="18" borderId="4" xfId="0" applyNumberFormat="1" applyFont="1" applyFill="1" applyBorder="1" applyAlignment="1">
      <alignment horizontal="center" wrapText="1"/>
    </xf>
    <xf numFmtId="0" fontId="3" fillId="23" borderId="59" xfId="0" applyFont="1" applyFill="1" applyBorder="1"/>
    <xf numFmtId="0" fontId="3" fillId="23" borderId="4" xfId="0" applyFont="1" applyFill="1" applyBorder="1"/>
    <xf numFmtId="172" fontId="3" fillId="23" borderId="4" xfId="0" applyNumberFormat="1" applyFont="1" applyFill="1" applyBorder="1" applyAlignment="1">
      <alignment horizontal="center" wrapText="1"/>
    </xf>
    <xf numFmtId="3" fontId="0" fillId="0" borderId="60" xfId="0" applyNumberFormat="1" applyBorder="1" applyAlignment="1">
      <alignment horizontal="center" wrapText="1"/>
    </xf>
    <xf numFmtId="0" fontId="36" fillId="0" borderId="0" xfId="0" applyFont="1" applyAlignment="1">
      <alignment vertical="top" wrapText="1"/>
    </xf>
    <xf numFmtId="0" fontId="36" fillId="42" borderId="0" xfId="0" applyFont="1" applyFill="1" applyAlignment="1">
      <alignment vertical="top" wrapText="1"/>
    </xf>
    <xf numFmtId="43" fontId="36" fillId="0" borderId="0" xfId="7" applyFont="1" applyAlignment="1">
      <alignment vertical="top" wrapText="1"/>
    </xf>
    <xf numFmtId="43" fontId="36" fillId="0" borderId="0" xfId="1" applyFont="1" applyAlignment="1">
      <alignment vertical="top" wrapText="1"/>
    </xf>
    <xf numFmtId="0" fontId="37" fillId="0" borderId="0" xfId="0" applyFont="1" applyAlignment="1">
      <alignment vertical="top" wrapText="1"/>
    </xf>
    <xf numFmtId="43" fontId="38" fillId="43" borderId="1" xfId="1" applyFont="1" applyFill="1" applyBorder="1" applyAlignment="1">
      <alignment horizontal="center" vertical="center" wrapText="1"/>
    </xf>
    <xf numFmtId="0" fontId="39" fillId="43" borderId="2" xfId="0" applyFont="1" applyFill="1" applyBorder="1" applyAlignment="1">
      <alignment horizontal="center"/>
    </xf>
    <xf numFmtId="0" fontId="40" fillId="0" borderId="0" xfId="0" applyFont="1" applyAlignment="1">
      <alignment horizontal="center"/>
    </xf>
    <xf numFmtId="0" fontId="36" fillId="0" borderId="1" xfId="0" applyFont="1" applyBorder="1" applyAlignment="1">
      <alignment wrapText="1"/>
    </xf>
    <xf numFmtId="167" fontId="36" fillId="0" borderId="5" xfId="1" applyNumberFormat="1" applyFont="1" applyBorder="1" applyAlignment="1">
      <alignment horizontal="center"/>
    </xf>
    <xf numFmtId="167" fontId="41" fillId="38" borderId="1" xfId="0" applyNumberFormat="1" applyFont="1" applyFill="1" applyBorder="1"/>
    <xf numFmtId="167" fontId="36" fillId="0" borderId="0" xfId="0" applyNumberFormat="1" applyFont="1"/>
    <xf numFmtId="43" fontId="36" fillId="0" borderId="0" xfId="7" applyFont="1" applyFill="1" applyAlignment="1">
      <alignment vertical="top" wrapText="1"/>
    </xf>
    <xf numFmtId="167" fontId="36" fillId="0" borderId="5" xfId="1" applyNumberFormat="1" applyFont="1" applyFill="1" applyBorder="1"/>
    <xf numFmtId="167" fontId="36" fillId="0" borderId="0" xfId="1" applyNumberFormat="1" applyFont="1" applyFill="1" applyBorder="1"/>
    <xf numFmtId="167" fontId="36" fillId="0" borderId="5" xfId="1" applyNumberFormat="1" applyFont="1" applyFill="1" applyBorder="1" applyAlignment="1">
      <alignment horizontal="center"/>
    </xf>
    <xf numFmtId="0" fontId="37" fillId="0" borderId="1" xfId="0" applyFont="1" applyBorder="1" applyAlignment="1">
      <alignment wrapText="1"/>
    </xf>
    <xf numFmtId="43" fontId="36" fillId="0" borderId="0" xfId="1" applyFont="1" applyFill="1" applyBorder="1"/>
    <xf numFmtId="167" fontId="36" fillId="0" borderId="1" xfId="1" applyNumberFormat="1" applyFont="1" applyFill="1" applyBorder="1"/>
    <xf numFmtId="167" fontId="37" fillId="0" borderId="0" xfId="0" applyNumberFormat="1" applyFont="1" applyAlignment="1">
      <alignment vertical="top" wrapText="1"/>
    </xf>
    <xf numFmtId="0" fontId="42" fillId="0" borderId="19" xfId="0" applyFont="1" applyBorder="1"/>
    <xf numFmtId="0" fontId="42" fillId="0" borderId="0" xfId="0" applyFont="1"/>
    <xf numFmtId="0" fontId="40" fillId="0" borderId="0" xfId="0" applyFont="1"/>
    <xf numFmtId="0" fontId="36" fillId="0" borderId="61" xfId="0" applyFont="1" applyBorder="1"/>
    <xf numFmtId="0" fontId="36" fillId="0" borderId="61" xfId="0" applyFont="1" applyBorder="1" applyAlignment="1">
      <alignment vertical="top" wrapText="1"/>
    </xf>
    <xf numFmtId="43" fontId="37" fillId="0" borderId="0" xfId="0" applyNumberFormat="1" applyFont="1" applyAlignment="1">
      <alignment vertical="top" wrapText="1"/>
    </xf>
    <xf numFmtId="43" fontId="38" fillId="43" borderId="4" xfId="1" applyFont="1" applyFill="1" applyBorder="1" applyAlignment="1">
      <alignment horizontal="center" vertical="center" wrapText="1"/>
    </xf>
    <xf numFmtId="0" fontId="40" fillId="38" borderId="3" xfId="0" applyFont="1" applyFill="1" applyBorder="1"/>
    <xf numFmtId="176" fontId="43" fillId="0" borderId="0" xfId="0" applyNumberFormat="1" applyFont="1" applyAlignment="1">
      <alignment vertical="top" wrapText="1"/>
    </xf>
    <xf numFmtId="177" fontId="36" fillId="0" borderId="0" xfId="0" applyNumberFormat="1" applyFont="1"/>
    <xf numFmtId="0" fontId="36" fillId="0" borderId="2" xfId="0" applyFont="1" applyBorder="1" applyAlignment="1">
      <alignment horizontal="left" vertical="center" wrapText="1"/>
    </xf>
    <xf numFmtId="0" fontId="36" fillId="0" borderId="16" xfId="0" applyFont="1" applyBorder="1" applyAlignment="1">
      <alignment horizontal="left" vertical="center" wrapText="1"/>
    </xf>
    <xf numFmtId="0" fontId="36" fillId="0" borderId="5" xfId="0" applyFont="1" applyBorder="1" applyAlignment="1">
      <alignment horizontal="left" vertical="center" wrapText="1"/>
    </xf>
    <xf numFmtId="176" fontId="40" fillId="38" borderId="2" xfId="1" applyNumberFormat="1" applyFont="1" applyFill="1" applyBorder="1"/>
    <xf numFmtId="0" fontId="36" fillId="0" borderId="1" xfId="0" applyFont="1" applyBorder="1" applyAlignment="1">
      <alignment horizontal="right"/>
    </xf>
    <xf numFmtId="164" fontId="37" fillId="0" borderId="0" xfId="0" applyNumberFormat="1" applyFont="1" applyAlignment="1">
      <alignment vertical="top" wrapText="1"/>
    </xf>
    <xf numFmtId="0" fontId="36" fillId="0" borderId="0" xfId="0" applyFont="1" applyAlignment="1">
      <alignment wrapText="1"/>
    </xf>
    <xf numFmtId="167" fontId="36" fillId="0" borderId="1" xfId="0" applyNumberFormat="1" applyFont="1" applyBorder="1" applyAlignment="1">
      <alignment horizontal="center"/>
    </xf>
    <xf numFmtId="0" fontId="43" fillId="0" borderId="0" xfId="0" applyFont="1" applyAlignment="1">
      <alignment vertical="top" wrapText="1"/>
    </xf>
    <xf numFmtId="167" fontId="36" fillId="0" borderId="1" xfId="0" applyNumberFormat="1" applyFont="1" applyBorder="1"/>
    <xf numFmtId="43" fontId="36" fillId="0" borderId="0" xfId="0" applyNumberFormat="1" applyFont="1"/>
    <xf numFmtId="167" fontId="37" fillId="0" borderId="0" xfId="0" applyNumberFormat="1" applyFont="1" applyAlignment="1">
      <alignment vertical="top"/>
    </xf>
    <xf numFmtId="0" fontId="40" fillId="2" borderId="0" xfId="0" applyFont="1" applyFill="1"/>
    <xf numFmtId="167" fontId="37" fillId="0" borderId="62" xfId="0" applyNumberFormat="1" applyFont="1" applyBorder="1" applyAlignment="1">
      <alignment wrapText="1"/>
    </xf>
    <xf numFmtId="167" fontId="37" fillId="0" borderId="62" xfId="0" applyNumberFormat="1" applyFont="1" applyBorder="1"/>
    <xf numFmtId="176" fontId="37" fillId="0" borderId="0" xfId="0" applyNumberFormat="1" applyFont="1" applyAlignment="1">
      <alignment vertical="top" wrapText="1"/>
    </xf>
    <xf numFmtId="43" fontId="36" fillId="0" borderId="1" xfId="0" applyNumberFormat="1" applyFont="1" applyBorder="1"/>
    <xf numFmtId="167" fontId="40" fillId="40" borderId="1" xfId="0" applyNumberFormat="1" applyFont="1" applyFill="1" applyBorder="1"/>
    <xf numFmtId="176" fontId="40" fillId="38" borderId="65" xfId="1" applyNumberFormat="1" applyFont="1" applyFill="1" applyBorder="1"/>
    <xf numFmtId="167" fontId="40" fillId="0" borderId="0" xfId="0" applyNumberFormat="1" applyFont="1"/>
    <xf numFmtId="0" fontId="40" fillId="38" borderId="3" xfId="0" applyFont="1" applyFill="1" applyBorder="1" applyAlignment="1">
      <alignment horizontal="center"/>
    </xf>
    <xf numFmtId="167" fontId="36" fillId="0" borderId="1" xfId="0" applyNumberFormat="1" applyFont="1" applyBorder="1" applyAlignment="1">
      <alignment horizontal="right"/>
    </xf>
    <xf numFmtId="176" fontId="40" fillId="38" borderId="1" xfId="1" applyNumberFormat="1" applyFont="1" applyFill="1" applyBorder="1"/>
    <xf numFmtId="167" fontId="36" fillId="0" borderId="0" xfId="0" applyNumberFormat="1" applyFont="1" applyAlignment="1">
      <alignment vertical="top" wrapText="1"/>
    </xf>
    <xf numFmtId="167" fontId="43" fillId="0" borderId="0" xfId="0" applyNumberFormat="1" applyFont="1" applyAlignment="1">
      <alignment vertical="top" wrapText="1"/>
    </xf>
    <xf numFmtId="167" fontId="37" fillId="0" borderId="1" xfId="0" applyNumberFormat="1" applyFont="1" applyBorder="1"/>
    <xf numFmtId="43" fontId="37" fillId="0" borderId="0" xfId="1" applyFont="1" applyFill="1" applyAlignment="1">
      <alignment vertical="top" wrapText="1"/>
    </xf>
    <xf numFmtId="0" fontId="40" fillId="0" borderId="19" xfId="0" applyFont="1" applyBorder="1" applyAlignment="1">
      <alignment horizontal="left" wrapText="1"/>
    </xf>
    <xf numFmtId="0" fontId="40" fillId="0" borderId="20" xfId="0" applyFont="1" applyBorder="1" applyAlignment="1">
      <alignment horizontal="left" wrapText="1"/>
    </xf>
    <xf numFmtId="167" fontId="40" fillId="0" borderId="1" xfId="0" applyNumberFormat="1" applyFont="1" applyBorder="1"/>
    <xf numFmtId="176" fontId="40" fillId="0" borderId="0" xfId="1" applyNumberFormat="1" applyFont="1" applyFill="1" applyBorder="1"/>
    <xf numFmtId="167" fontId="37" fillId="23" borderId="1" xfId="0" applyNumberFormat="1" applyFont="1" applyFill="1" applyBorder="1" applyAlignment="1">
      <alignment horizontal="right"/>
    </xf>
    <xf numFmtId="167" fontId="36" fillId="23" borderId="1" xfId="0" applyNumberFormat="1" applyFont="1" applyFill="1" applyBorder="1" applyAlignment="1">
      <alignment horizontal="right"/>
    </xf>
    <xf numFmtId="43" fontId="36" fillId="0" borderId="0" xfId="0" applyNumberFormat="1" applyFont="1" applyAlignment="1">
      <alignment vertical="top" wrapText="1"/>
    </xf>
    <xf numFmtId="43" fontId="37" fillId="0" borderId="0" xfId="1" applyFont="1" applyAlignment="1">
      <alignment vertical="top" wrapText="1"/>
    </xf>
    <xf numFmtId="164" fontId="40" fillId="38" borderId="1" xfId="0" applyNumberFormat="1" applyFont="1" applyFill="1" applyBorder="1" applyAlignment="1">
      <alignment horizontal="center"/>
    </xf>
    <xf numFmtId="0" fontId="41" fillId="0" borderId="0" xfId="0" applyFont="1"/>
    <xf numFmtId="167" fontId="37" fillId="0" borderId="0" xfId="0" applyNumberFormat="1" applyFont="1" applyAlignment="1">
      <alignment wrapText="1"/>
    </xf>
    <xf numFmtId="0" fontId="36" fillId="23" borderId="1" xfId="0" applyFont="1" applyFill="1" applyBorder="1" applyAlignment="1">
      <alignment horizontal="right"/>
    </xf>
    <xf numFmtId="0" fontId="36" fillId="0" borderId="66" xfId="0" applyFont="1" applyBorder="1" applyAlignment="1">
      <alignment horizontal="left"/>
    </xf>
    <xf numFmtId="0" fontId="36" fillId="0" borderId="16" xfId="0" applyFont="1" applyBorder="1" applyAlignment="1">
      <alignment horizontal="left"/>
    </xf>
    <xf numFmtId="0" fontId="36" fillId="0" borderId="5" xfId="0" applyFont="1" applyBorder="1" applyAlignment="1">
      <alignment horizontal="left"/>
    </xf>
    <xf numFmtId="176" fontId="36" fillId="0" borderId="0" xfId="0" applyNumberFormat="1" applyFont="1" applyAlignment="1">
      <alignment vertical="top" wrapText="1"/>
    </xf>
    <xf numFmtId="0" fontId="37" fillId="0" borderId="2" xfId="0" applyFont="1" applyBorder="1" applyAlignment="1">
      <alignment horizontal="left" vertical="center" wrapText="1"/>
    </xf>
    <xf numFmtId="0" fontId="46" fillId="0" borderId="16" xfId="0" applyFont="1" applyBorder="1" applyAlignment="1">
      <alignment horizontal="left" vertical="center" wrapText="1"/>
    </xf>
    <xf numFmtId="0" fontId="46" fillId="0" borderId="5" xfId="0" applyFont="1" applyBorder="1" applyAlignment="1">
      <alignment horizontal="left" vertical="center" wrapText="1"/>
    </xf>
    <xf numFmtId="43" fontId="37" fillId="0" borderId="1" xfId="0" applyNumberFormat="1" applyFont="1" applyBorder="1"/>
    <xf numFmtId="43" fontId="37" fillId="0" borderId="0" xfId="7" applyFont="1" applyAlignment="1">
      <alignment vertical="top" wrapText="1"/>
    </xf>
    <xf numFmtId="0" fontId="41" fillId="0" borderId="0" xfId="0" applyFont="1" applyAlignment="1">
      <alignment horizontal="left" vertical="top"/>
    </xf>
    <xf numFmtId="167" fontId="37" fillId="0" borderId="0" xfId="0" applyNumberFormat="1" applyFont="1" applyAlignment="1">
      <alignment horizontal="left" vertical="top" wrapText="1"/>
    </xf>
    <xf numFmtId="167" fontId="36" fillId="2" borderId="1" xfId="0" applyNumberFormat="1" applyFont="1" applyFill="1" applyBorder="1"/>
    <xf numFmtId="167" fontId="37" fillId="0" borderId="0" xfId="1" applyNumberFormat="1" applyFont="1" applyFill="1" applyBorder="1"/>
    <xf numFmtId="43" fontId="37" fillId="0" borderId="0" xfId="7" applyFont="1" applyFill="1" applyAlignment="1">
      <alignment vertical="top" wrapText="1"/>
    </xf>
    <xf numFmtId="0" fontId="41" fillId="0" borderId="62" xfId="0" applyFont="1" applyBorder="1" applyAlignment="1">
      <alignment horizontal="left" vertical="top"/>
    </xf>
    <xf numFmtId="0" fontId="37" fillId="0" borderId="0" xfId="0" applyFont="1"/>
    <xf numFmtId="0" fontId="36" fillId="0" borderId="0" xfId="0" applyFont="1"/>
    <xf numFmtId="0" fontId="37" fillId="0" borderId="0" xfId="0" applyFont="1" applyAlignment="1">
      <alignment vertical="top"/>
    </xf>
    <xf numFmtId="43" fontId="37" fillId="0" borderId="0" xfId="7" applyFont="1" applyFill="1" applyBorder="1" applyAlignment="1">
      <alignment vertical="top" wrapText="1"/>
    </xf>
    <xf numFmtId="43" fontId="36" fillId="0" borderId="0" xfId="7" applyFont="1" applyBorder="1" applyAlignment="1">
      <alignment vertical="top" wrapText="1"/>
    </xf>
    <xf numFmtId="167" fontId="36" fillId="23" borderId="1" xfId="0" applyNumberFormat="1" applyFont="1" applyFill="1" applyBorder="1"/>
    <xf numFmtId="167" fontId="40" fillId="38" borderId="1" xfId="0" applyNumberFormat="1" applyFont="1" applyFill="1" applyBorder="1"/>
    <xf numFmtId="167" fontId="37" fillId="0" borderId="0" xfId="0" applyNumberFormat="1" applyFont="1"/>
    <xf numFmtId="167" fontId="40" fillId="38" borderId="65" xfId="0" applyNumberFormat="1" applyFont="1" applyFill="1" applyBorder="1"/>
    <xf numFmtId="0" fontId="40" fillId="0" borderId="0" xfId="0" applyFont="1" applyAlignment="1">
      <alignment horizontal="center" vertical="top" wrapText="1"/>
    </xf>
    <xf numFmtId="167" fontId="37" fillId="23" borderId="1" xfId="0" applyNumberFormat="1" applyFont="1" applyFill="1" applyBorder="1"/>
    <xf numFmtId="0" fontId="40" fillId="38" borderId="1" xfId="0" applyFont="1" applyFill="1" applyBorder="1" applyAlignment="1">
      <alignment horizontal="center"/>
    </xf>
    <xf numFmtId="167" fontId="36" fillId="0" borderId="0" xfId="0" applyNumberFormat="1" applyFont="1" applyAlignment="1">
      <alignment wrapText="1"/>
    </xf>
    <xf numFmtId="167" fontId="41" fillId="0" borderId="0" xfId="0" applyNumberFormat="1" applyFont="1"/>
    <xf numFmtId="43" fontId="38" fillId="11" borderId="1" xfId="1" applyFont="1" applyFill="1" applyBorder="1" applyAlignment="1">
      <alignment horizontal="center" vertical="center" wrapText="1"/>
    </xf>
    <xf numFmtId="167" fontId="37" fillId="0" borderId="62" xfId="0" applyNumberFormat="1" applyFont="1" applyBorder="1" applyAlignment="1">
      <alignment horizontal="left" vertical="top" wrapText="1"/>
    </xf>
    <xf numFmtId="0" fontId="40" fillId="38" borderId="2" xfId="0" applyFont="1" applyFill="1" applyBorder="1"/>
    <xf numFmtId="43" fontId="38" fillId="0" borderId="0" xfId="1" applyFont="1" applyFill="1" applyBorder="1" applyAlignment="1">
      <alignment horizontal="center" vertical="center" wrapText="1"/>
    </xf>
    <xf numFmtId="167" fontId="40" fillId="38" borderId="2" xfId="0" applyNumberFormat="1" applyFont="1" applyFill="1" applyBorder="1"/>
    <xf numFmtId="43" fontId="36" fillId="0" borderId="1" xfId="1" applyFont="1" applyBorder="1"/>
    <xf numFmtId="164" fontId="40" fillId="0" borderId="0" xfId="0" applyNumberFormat="1" applyFont="1"/>
    <xf numFmtId="164" fontId="37" fillId="0" borderId="1" xfId="0" applyNumberFormat="1" applyFont="1" applyBorder="1"/>
    <xf numFmtId="167" fontId="40" fillId="38" borderId="67" xfId="0" applyNumberFormat="1" applyFont="1" applyFill="1" applyBorder="1"/>
    <xf numFmtId="0" fontId="41" fillId="0" borderId="0" xfId="0" applyFont="1" applyAlignment="1">
      <alignment horizontal="center" vertical="center"/>
    </xf>
    <xf numFmtId="167" fontId="37" fillId="0" borderId="1" xfId="10" applyNumberFormat="1" applyFont="1" applyFill="1" applyBorder="1" applyAlignment="1">
      <alignment horizontal="right"/>
    </xf>
    <xf numFmtId="0" fontId="40" fillId="38" borderId="2" xfId="0" applyFont="1" applyFill="1" applyBorder="1" applyAlignment="1">
      <alignment horizontal="center"/>
    </xf>
    <xf numFmtId="43" fontId="37" fillId="0" borderId="62" xfId="0" applyNumberFormat="1" applyFont="1" applyBorder="1" applyAlignment="1">
      <alignment horizontal="left" vertical="top" wrapText="1"/>
    </xf>
    <xf numFmtId="43" fontId="38" fillId="43" borderId="2" xfId="1" applyFont="1" applyFill="1" applyBorder="1" applyAlignment="1">
      <alignment horizontal="left" vertical="center" wrapText="1"/>
    </xf>
    <xf numFmtId="0" fontId="40" fillId="38" borderId="65" xfId="0" applyFont="1" applyFill="1" applyBorder="1" applyAlignment="1">
      <alignment horizontal="center"/>
    </xf>
    <xf numFmtId="0" fontId="47" fillId="0" borderId="0" xfId="0" applyFont="1"/>
    <xf numFmtId="167" fontId="48" fillId="0" borderId="2" xfId="11" applyNumberFormat="1" applyFont="1" applyBorder="1" applyAlignment="1">
      <alignment vertical="center"/>
    </xf>
    <xf numFmtId="0" fontId="37" fillId="0" borderId="16" xfId="0" applyFont="1" applyBorder="1"/>
    <xf numFmtId="0" fontId="37" fillId="0" borderId="5" xfId="0" applyFont="1" applyBorder="1"/>
    <xf numFmtId="167" fontId="37" fillId="0" borderId="16" xfId="11" applyNumberFormat="1" applyFont="1" applyFill="1" applyBorder="1" applyAlignment="1">
      <alignment vertical="center"/>
    </xf>
    <xf numFmtId="167" fontId="41" fillId="0" borderId="38" xfId="1" applyNumberFormat="1" applyFont="1" applyFill="1" applyBorder="1" applyAlignment="1">
      <alignment horizontal="center" vertical="top"/>
    </xf>
    <xf numFmtId="167" fontId="41" fillId="40" borderId="38" xfId="1" applyNumberFormat="1" applyFont="1" applyFill="1" applyBorder="1" applyAlignment="1">
      <alignment horizontal="center" vertical="top"/>
    </xf>
    <xf numFmtId="167" fontId="41" fillId="38" borderId="70" xfId="1" applyNumberFormat="1" applyFont="1" applyFill="1" applyBorder="1" applyAlignment="1">
      <alignment horizontal="right" vertical="top"/>
    </xf>
    <xf numFmtId="167" fontId="37" fillId="0" borderId="2" xfId="11" applyNumberFormat="1" applyFont="1" applyFill="1" applyBorder="1" applyAlignment="1">
      <alignment vertical="center"/>
    </xf>
    <xf numFmtId="167" fontId="37" fillId="0" borderId="1" xfId="11" applyNumberFormat="1" applyFont="1" applyFill="1" applyBorder="1" applyAlignment="1">
      <alignment vertical="center"/>
    </xf>
    <xf numFmtId="167" fontId="37" fillId="0" borderId="18" xfId="1" applyNumberFormat="1" applyFont="1" applyFill="1" applyBorder="1" applyAlignment="1">
      <alignment horizontal="right" vertical="top"/>
    </xf>
    <xf numFmtId="167" fontId="37" fillId="40" borderId="18" xfId="1" applyNumberFormat="1" applyFont="1" applyFill="1" applyBorder="1" applyAlignment="1">
      <alignment horizontal="right" vertical="top"/>
    </xf>
    <xf numFmtId="167" fontId="41" fillId="38" borderId="47" xfId="1" applyNumberFormat="1" applyFont="1" applyFill="1" applyBorder="1" applyAlignment="1">
      <alignment horizontal="right" vertical="top"/>
    </xf>
    <xf numFmtId="0" fontId="37" fillId="0" borderId="0" xfId="0" applyFont="1" applyAlignment="1">
      <alignment horizontal="left" vertical="top" wrapText="1"/>
    </xf>
    <xf numFmtId="167" fontId="37" fillId="0" borderId="5" xfId="11" applyNumberFormat="1" applyFont="1" applyFill="1" applyBorder="1" applyAlignment="1">
      <alignment vertical="center"/>
    </xf>
    <xf numFmtId="167" fontId="48" fillId="0" borderId="2" xfId="11" applyNumberFormat="1" applyFont="1" applyFill="1" applyBorder="1" applyAlignment="1">
      <alignment vertical="center"/>
    </xf>
    <xf numFmtId="167" fontId="37" fillId="0" borderId="5" xfId="1" applyNumberFormat="1" applyFont="1" applyFill="1" applyBorder="1" applyAlignment="1">
      <alignment horizontal="right" vertical="top"/>
    </xf>
    <xf numFmtId="0" fontId="37" fillId="0" borderId="71" xfId="0" applyFont="1" applyBorder="1"/>
    <xf numFmtId="167" fontId="37" fillId="0" borderId="5" xfId="1" applyNumberFormat="1" applyFont="1" applyFill="1" applyBorder="1" applyAlignment="1">
      <alignment horizontal="right" vertical="center"/>
    </xf>
    <xf numFmtId="43" fontId="37" fillId="40" borderId="18" xfId="1" applyFont="1" applyFill="1" applyBorder="1" applyAlignment="1">
      <alignment horizontal="right" vertical="top"/>
    </xf>
    <xf numFmtId="167" fontId="36" fillId="0" borderId="72" xfId="0" applyNumberFormat="1" applyFont="1" applyBorder="1" applyAlignment="1">
      <alignment vertical="center"/>
    </xf>
    <xf numFmtId="0" fontId="37" fillId="0" borderId="17" xfId="0" applyFont="1" applyBorder="1"/>
    <xf numFmtId="43" fontId="37" fillId="0" borderId="0" xfId="0" applyNumberFormat="1" applyFont="1" applyAlignment="1">
      <alignment horizontal="left" vertical="top" wrapText="1"/>
    </xf>
    <xf numFmtId="178" fontId="37" fillId="0" borderId="1" xfId="11" applyNumberFormat="1" applyFont="1" applyBorder="1" applyAlignment="1">
      <alignment vertical="center"/>
    </xf>
    <xf numFmtId="164" fontId="37" fillId="0" borderId="0" xfId="0" applyNumberFormat="1" applyFont="1" applyAlignment="1">
      <alignment horizontal="left" vertical="top" wrapText="1"/>
    </xf>
    <xf numFmtId="0" fontId="37" fillId="0" borderId="1" xfId="0" applyFont="1" applyBorder="1"/>
    <xf numFmtId="0" fontId="43" fillId="0" borderId="0" xfId="0" applyFont="1" applyAlignment="1">
      <alignment horizontal="left" vertical="center" wrapText="1"/>
    </xf>
    <xf numFmtId="179" fontId="36" fillId="0" borderId="1" xfId="7" applyNumberFormat="1" applyFont="1" applyFill="1" applyBorder="1" applyAlignment="1">
      <alignment vertical="top" wrapText="1"/>
    </xf>
    <xf numFmtId="167" fontId="37" fillId="0" borderId="1" xfId="1" applyNumberFormat="1" applyFont="1" applyFill="1" applyBorder="1" applyAlignment="1">
      <alignment horizontal="right" vertical="top"/>
    </xf>
    <xf numFmtId="0" fontId="45" fillId="0" borderId="1" xfId="12" applyFont="1" applyBorder="1" applyAlignment="1">
      <alignment horizontal="left" vertical="center"/>
    </xf>
    <xf numFmtId="0" fontId="45" fillId="0" borderId="2" xfId="12" applyFont="1" applyBorder="1" applyAlignment="1">
      <alignment horizontal="left" vertical="center"/>
    </xf>
    <xf numFmtId="167" fontId="37" fillId="0" borderId="2" xfId="11" applyNumberFormat="1" applyFont="1" applyFill="1" applyBorder="1" applyAlignment="1">
      <alignment horizontal="left" vertical="center"/>
    </xf>
    <xf numFmtId="179" fontId="36" fillId="0" borderId="0" xfId="7" applyNumberFormat="1" applyFont="1" applyFill="1" applyAlignment="1">
      <alignment vertical="top" wrapText="1"/>
    </xf>
    <xf numFmtId="167" fontId="37" fillId="0" borderId="2" xfId="11" applyNumberFormat="1" applyFont="1" applyBorder="1" applyAlignment="1">
      <alignment horizontal="left" vertical="center"/>
    </xf>
    <xf numFmtId="167" fontId="47" fillId="0" borderId="72" xfId="0" applyNumberFormat="1" applyFont="1" applyBorder="1" applyAlignment="1">
      <alignment vertical="center"/>
    </xf>
    <xf numFmtId="167" fontId="37" fillId="0" borderId="62" xfId="13" applyNumberFormat="1" applyFont="1" applyFill="1" applyBorder="1" applyAlignment="1">
      <alignment wrapText="1"/>
    </xf>
    <xf numFmtId="167" fontId="37" fillId="0" borderId="0" xfId="13" applyNumberFormat="1" applyFont="1" applyFill="1" applyBorder="1" applyAlignment="1">
      <alignment wrapText="1"/>
    </xf>
    <xf numFmtId="167" fontId="37" fillId="0" borderId="5" xfId="1" applyNumberFormat="1" applyFont="1" applyBorder="1" applyAlignment="1">
      <alignment horizontal="right" vertical="top"/>
    </xf>
    <xf numFmtId="167" fontId="37" fillId="40" borderId="17" xfId="1" applyNumberFormat="1" applyFont="1" applyFill="1" applyBorder="1" applyAlignment="1">
      <alignment horizontal="right" vertical="top"/>
    </xf>
    <xf numFmtId="0" fontId="40" fillId="0" borderId="16" xfId="0" applyFont="1" applyBorder="1"/>
    <xf numFmtId="0" fontId="40" fillId="0" borderId="5" xfId="0" applyFont="1" applyBorder="1"/>
    <xf numFmtId="3" fontId="36" fillId="2" borderId="1" xfId="0" applyNumberFormat="1" applyFont="1" applyFill="1" applyBorder="1"/>
    <xf numFmtId="0" fontId="37" fillId="0" borderId="32" xfId="0" applyFont="1" applyBorder="1" applyAlignment="1">
      <alignment vertical="center" wrapText="1"/>
    </xf>
    <xf numFmtId="0" fontId="37" fillId="0" borderId="0" xfId="0" applyFont="1" applyAlignment="1">
      <alignment vertical="center" wrapText="1"/>
    </xf>
    <xf numFmtId="167" fontId="37" fillId="0" borderId="32" xfId="0" applyNumberFormat="1" applyFont="1" applyBorder="1" applyAlignment="1">
      <alignment vertical="top" wrapText="1"/>
    </xf>
    <xf numFmtId="3" fontId="36" fillId="0" borderId="1" xfId="0" applyNumberFormat="1" applyFont="1" applyBorder="1"/>
    <xf numFmtId="0" fontId="40" fillId="0" borderId="17" xfId="0" applyFont="1" applyBorder="1"/>
    <xf numFmtId="0" fontId="40" fillId="0" borderId="18" xfId="0" applyFont="1" applyBorder="1"/>
    <xf numFmtId="167" fontId="37" fillId="0" borderId="3" xfId="11" applyNumberFormat="1" applyFont="1" applyFill="1" applyBorder="1" applyAlignment="1">
      <alignment vertical="center"/>
    </xf>
    <xf numFmtId="0" fontId="36" fillId="0" borderId="59" xfId="0" applyFont="1" applyBorder="1"/>
    <xf numFmtId="0" fontId="37" fillId="0" borderId="25" xfId="0" applyFont="1" applyBorder="1"/>
    <xf numFmtId="167" fontId="37" fillId="40" borderId="65" xfId="0" applyNumberFormat="1" applyFont="1" applyFill="1" applyBorder="1"/>
    <xf numFmtId="167" fontId="41" fillId="38" borderId="65" xfId="0" applyNumberFormat="1" applyFont="1" applyFill="1" applyBorder="1"/>
    <xf numFmtId="0" fontId="41" fillId="38" borderId="40" xfId="0" applyFont="1" applyFill="1" applyBorder="1" applyAlignment="1">
      <alignment horizontal="center"/>
    </xf>
    <xf numFmtId="43" fontId="38" fillId="0" borderId="0" xfId="1" applyFont="1" applyFill="1" applyBorder="1" applyAlignment="1">
      <alignment horizontal="left" vertical="center" wrapText="1"/>
    </xf>
    <xf numFmtId="43" fontId="38" fillId="0" borderId="16" xfId="1" applyFont="1" applyFill="1" applyBorder="1" applyAlignment="1">
      <alignment horizontal="left" vertical="center" wrapText="1"/>
    </xf>
    <xf numFmtId="43" fontId="38" fillId="0" borderId="5" xfId="1" applyFont="1" applyFill="1" applyBorder="1" applyAlignment="1">
      <alignment horizontal="left" vertical="center" wrapText="1"/>
    </xf>
    <xf numFmtId="43" fontId="38" fillId="0" borderId="5" xfId="1" applyFont="1" applyFill="1" applyBorder="1" applyAlignment="1">
      <alignment horizontal="center" vertical="center" wrapText="1"/>
    </xf>
    <xf numFmtId="167" fontId="41" fillId="0" borderId="73" xfId="1" applyNumberFormat="1" applyFont="1" applyFill="1" applyBorder="1" applyAlignment="1">
      <alignment horizontal="center" vertical="top"/>
    </xf>
    <xf numFmtId="167" fontId="41" fillId="40" borderId="74" xfId="1" applyNumberFormat="1" applyFont="1" applyFill="1" applyBorder="1" applyAlignment="1">
      <alignment horizontal="center" vertical="top"/>
    </xf>
    <xf numFmtId="167" fontId="41" fillId="38" borderId="53" xfId="1" applyNumberFormat="1" applyFont="1" applyFill="1" applyBorder="1" applyAlignment="1">
      <alignment horizontal="right" vertical="top"/>
    </xf>
    <xf numFmtId="0" fontId="41" fillId="0" borderId="62" xfId="0" applyFont="1" applyBorder="1"/>
    <xf numFmtId="178" fontId="41" fillId="0" borderId="0" xfId="1" applyNumberFormat="1" applyFont="1" applyFill="1" applyBorder="1" applyAlignment="1">
      <alignment horizontal="left" vertical="center" wrapText="1"/>
    </xf>
    <xf numFmtId="43" fontId="37" fillId="0" borderId="2" xfId="1" applyFont="1" applyFill="1" applyBorder="1" applyAlignment="1">
      <alignment horizontal="left" vertical="center"/>
    </xf>
    <xf numFmtId="43" fontId="38" fillId="0" borderId="17" xfId="1" applyFont="1" applyFill="1" applyBorder="1" applyAlignment="1">
      <alignment horizontal="left" vertical="center"/>
    </xf>
    <xf numFmtId="43" fontId="38" fillId="0" borderId="18" xfId="1" applyFont="1" applyFill="1" applyBorder="1" applyAlignment="1">
      <alignment horizontal="left" vertical="center" wrapText="1"/>
    </xf>
    <xf numFmtId="167" fontId="37" fillId="0" borderId="18" xfId="1" applyNumberFormat="1" applyFont="1" applyFill="1" applyBorder="1" applyAlignment="1">
      <alignment horizontal="center" vertical="center" wrapText="1"/>
    </xf>
    <xf numFmtId="167" fontId="37" fillId="0" borderId="18" xfId="1" applyNumberFormat="1" applyFont="1" applyFill="1" applyBorder="1" applyAlignment="1">
      <alignment horizontal="center" vertical="top"/>
    </xf>
    <xf numFmtId="167" fontId="37" fillId="40" borderId="18" xfId="1" applyNumberFormat="1" applyFont="1" applyFill="1" applyBorder="1" applyAlignment="1">
      <alignment horizontal="center" vertical="top"/>
    </xf>
    <xf numFmtId="0" fontId="41" fillId="0" borderId="32" xfId="0" applyFont="1" applyBorder="1" applyAlignment="1">
      <alignment wrapText="1"/>
    </xf>
    <xf numFmtId="0" fontId="41" fillId="0" borderId="0" xfId="0" applyFont="1" applyAlignment="1">
      <alignment wrapText="1"/>
    </xf>
    <xf numFmtId="167" fontId="37" fillId="0" borderId="1" xfId="1" applyNumberFormat="1" applyFont="1" applyFill="1" applyBorder="1" applyAlignment="1">
      <alignment horizontal="center" vertical="top"/>
    </xf>
    <xf numFmtId="43" fontId="37" fillId="0" borderId="3" xfId="1" applyFont="1" applyFill="1" applyBorder="1" applyAlignment="1">
      <alignment horizontal="left" vertical="center"/>
    </xf>
    <xf numFmtId="43" fontId="39" fillId="0" borderId="0" xfId="1" applyFont="1" applyFill="1" applyBorder="1" applyAlignment="1">
      <alignment horizontal="left" vertical="center" wrapText="1"/>
    </xf>
    <xf numFmtId="167" fontId="48" fillId="0" borderId="3" xfId="11" applyNumberFormat="1" applyFont="1" applyFill="1" applyBorder="1" applyAlignment="1">
      <alignment vertical="center"/>
    </xf>
    <xf numFmtId="43" fontId="38" fillId="0" borderId="17" xfId="1" applyFont="1" applyFill="1" applyBorder="1" applyAlignment="1">
      <alignment horizontal="left" vertical="center" wrapText="1"/>
    </xf>
    <xf numFmtId="43" fontId="38" fillId="0" borderId="18" xfId="1" applyFont="1" applyFill="1" applyBorder="1" applyAlignment="1">
      <alignment horizontal="center" vertical="center" wrapText="1"/>
    </xf>
    <xf numFmtId="167" fontId="41" fillId="0" borderId="71" xfId="1" applyNumberFormat="1" applyFont="1" applyFill="1" applyBorder="1" applyAlignment="1">
      <alignment horizontal="center" vertical="top"/>
    </xf>
    <xf numFmtId="0" fontId="37" fillId="0" borderId="16" xfId="0" applyFont="1" applyBorder="1" applyAlignment="1">
      <alignment horizontal="left"/>
    </xf>
    <xf numFmtId="0" fontId="37" fillId="0" borderId="5" xfId="0" applyFont="1" applyBorder="1" applyAlignment="1">
      <alignment horizontal="left"/>
    </xf>
    <xf numFmtId="43" fontId="37" fillId="40" borderId="18" xfId="1" applyFont="1" applyFill="1" applyBorder="1" applyAlignment="1">
      <alignment horizontal="center" vertical="top"/>
    </xf>
    <xf numFmtId="167" fontId="37" fillId="0" borderId="62" xfId="1" applyNumberFormat="1" applyFont="1" applyFill="1" applyBorder="1" applyAlignment="1">
      <alignment wrapText="1"/>
    </xf>
    <xf numFmtId="167" fontId="37" fillId="0" borderId="0" xfId="1" applyNumberFormat="1" applyFont="1" applyFill="1" applyBorder="1" applyAlignment="1">
      <alignment wrapText="1"/>
    </xf>
    <xf numFmtId="0" fontId="37" fillId="0" borderId="62" xfId="1" applyNumberFormat="1" applyFont="1" applyFill="1" applyBorder="1" applyAlignment="1">
      <alignment wrapText="1"/>
    </xf>
    <xf numFmtId="0" fontId="36" fillId="0" borderId="75" xfId="0" applyFont="1" applyBorder="1" applyAlignment="1">
      <alignment wrapText="1"/>
    </xf>
    <xf numFmtId="43" fontId="1" fillId="0" borderId="0" xfId="1" applyFont="1" applyFill="1"/>
    <xf numFmtId="43" fontId="37" fillId="0" borderId="0" xfId="1" applyFont="1" applyFill="1" applyBorder="1" applyAlignment="1">
      <alignment wrapText="1"/>
    </xf>
    <xf numFmtId="0" fontId="37" fillId="0" borderId="0" xfId="1" applyNumberFormat="1" applyFont="1" applyFill="1" applyBorder="1" applyAlignment="1">
      <alignment wrapText="1"/>
    </xf>
    <xf numFmtId="167" fontId="36" fillId="0" borderId="76" xfId="0" applyNumberFormat="1" applyFont="1" applyBorder="1" applyAlignment="1">
      <alignment horizontal="right" vertical="top"/>
    </xf>
    <xf numFmtId="167" fontId="36" fillId="0" borderId="77" xfId="0" applyNumberFormat="1" applyFont="1" applyBorder="1" applyAlignment="1">
      <alignment horizontal="right" vertical="top"/>
    </xf>
    <xf numFmtId="0" fontId="36" fillId="0" borderId="75" xfId="0" applyFont="1" applyBorder="1" applyAlignment="1">
      <alignment horizontal="left" vertical="top" wrapText="1"/>
    </xf>
    <xf numFmtId="0" fontId="41" fillId="0" borderId="71" xfId="0" applyFont="1" applyBorder="1"/>
    <xf numFmtId="0" fontId="37" fillId="0" borderId="2" xfId="0" applyFont="1" applyBorder="1"/>
    <xf numFmtId="167" fontId="43" fillId="0" borderId="62" xfId="1" applyNumberFormat="1" applyFont="1" applyFill="1" applyBorder="1" applyAlignment="1">
      <alignment wrapText="1"/>
    </xf>
    <xf numFmtId="167" fontId="43" fillId="0" borderId="0" xfId="1" applyNumberFormat="1" applyFont="1" applyFill="1" applyBorder="1" applyAlignment="1">
      <alignment wrapText="1"/>
    </xf>
    <xf numFmtId="0" fontId="37" fillId="0" borderId="78" xfId="0" applyFont="1" applyBorder="1"/>
    <xf numFmtId="0" fontId="37" fillId="0" borderId="61" xfId="0" applyFont="1" applyBorder="1"/>
    <xf numFmtId="167" fontId="37" fillId="0" borderId="38" xfId="1" applyNumberFormat="1" applyFont="1" applyFill="1" applyBorder="1" applyAlignment="1">
      <alignment horizontal="right" vertical="top"/>
    </xf>
    <xf numFmtId="167" fontId="37" fillId="0" borderId="71" xfId="1" applyNumberFormat="1" applyFont="1" applyFill="1" applyBorder="1" applyAlignment="1">
      <alignment horizontal="right" vertical="top"/>
    </xf>
    <xf numFmtId="0" fontId="40" fillId="0" borderId="79" xfId="0" applyFont="1" applyBorder="1"/>
    <xf numFmtId="167" fontId="40" fillId="40" borderId="79" xfId="0" applyNumberFormat="1" applyFont="1" applyFill="1" applyBorder="1"/>
    <xf numFmtId="167" fontId="41" fillId="38" borderId="65" xfId="1" applyNumberFormat="1" applyFont="1" applyFill="1" applyBorder="1" applyAlignment="1">
      <alignment horizontal="right" vertical="top"/>
    </xf>
    <xf numFmtId="167" fontId="41" fillId="0" borderId="0" xfId="0" applyNumberFormat="1" applyFont="1" applyAlignment="1">
      <alignment wrapText="1"/>
    </xf>
    <xf numFmtId="0" fontId="40" fillId="0" borderId="0" xfId="0" applyFont="1" applyAlignment="1">
      <alignment horizontal="left"/>
    </xf>
    <xf numFmtId="167" fontId="41" fillId="0" borderId="0" xfId="1" applyNumberFormat="1" applyFont="1" applyFill="1" applyBorder="1" applyAlignment="1">
      <alignment horizontal="right" vertical="top"/>
    </xf>
    <xf numFmtId="0" fontId="41" fillId="0" borderId="0" xfId="0" applyFont="1" applyAlignment="1">
      <alignment horizontal="center"/>
    </xf>
    <xf numFmtId="0" fontId="38" fillId="43" borderId="80" xfId="0" applyFont="1" applyFill="1" applyBorder="1" applyAlignment="1">
      <alignment horizontal="left" vertical="center"/>
    </xf>
    <xf numFmtId="0" fontId="38" fillId="43" borderId="81" xfId="0" applyFont="1" applyFill="1" applyBorder="1" applyAlignment="1">
      <alignment horizontal="left" vertical="center"/>
    </xf>
    <xf numFmtId="0" fontId="38" fillId="43" borderId="73" xfId="0" applyFont="1" applyFill="1" applyBorder="1" applyAlignment="1">
      <alignment horizontal="left" vertical="center"/>
    </xf>
    <xf numFmtId="0" fontId="39" fillId="43" borderId="80" xfId="0" applyFont="1" applyFill="1" applyBorder="1"/>
    <xf numFmtId="0" fontId="39" fillId="43" borderId="81" xfId="0" applyFont="1" applyFill="1" applyBorder="1"/>
    <xf numFmtId="0" fontId="38" fillId="43" borderId="4" xfId="0" applyFont="1" applyFill="1" applyBorder="1"/>
    <xf numFmtId="167" fontId="39" fillId="43" borderId="3" xfId="0" applyNumberFormat="1" applyFont="1" applyFill="1" applyBorder="1" applyAlignment="1">
      <alignment horizontal="center"/>
    </xf>
    <xf numFmtId="167" fontId="41" fillId="38" borderId="79" xfId="0" applyNumberFormat="1" applyFont="1" applyFill="1" applyBorder="1" applyAlignment="1">
      <alignment horizontal="center"/>
    </xf>
    <xf numFmtId="167" fontId="41" fillId="0" borderId="0" xfId="0" applyNumberFormat="1" applyFont="1" applyAlignment="1">
      <alignment horizontal="center"/>
    </xf>
    <xf numFmtId="0" fontId="37" fillId="0" borderId="66" xfId="0" applyFont="1" applyBorder="1"/>
    <xf numFmtId="0" fontId="37" fillId="0" borderId="16" xfId="0" applyFont="1" applyBorder="1" applyAlignment="1">
      <alignment wrapText="1"/>
    </xf>
    <xf numFmtId="176" fontId="37" fillId="2" borderId="1" xfId="0" applyNumberFormat="1" applyFont="1" applyFill="1" applyBorder="1" applyAlignment="1">
      <alignment horizontal="right" vertical="center"/>
    </xf>
    <xf numFmtId="167" fontId="37" fillId="0" borderId="3" xfId="1" applyNumberFormat="1" applyFont="1" applyFill="1" applyBorder="1"/>
    <xf numFmtId="167" fontId="41" fillId="38" borderId="82" xfId="1" applyNumberFormat="1" applyFont="1" applyFill="1" applyBorder="1" applyAlignment="1">
      <alignment horizontal="right" vertical="top"/>
    </xf>
    <xf numFmtId="0" fontId="37" fillId="0" borderId="19" xfId="0" applyFont="1" applyBorder="1" applyAlignment="1">
      <alignment wrapText="1"/>
    </xf>
    <xf numFmtId="0" fontId="37" fillId="2" borderId="1" xfId="0" applyFont="1" applyFill="1" applyBorder="1" applyAlignment="1">
      <alignment horizontal="center"/>
    </xf>
    <xf numFmtId="0" fontId="37" fillId="0" borderId="66" xfId="0" applyFont="1" applyBorder="1" applyAlignment="1">
      <alignment wrapText="1"/>
    </xf>
    <xf numFmtId="167" fontId="36" fillId="0" borderId="19" xfId="0" applyNumberFormat="1" applyFont="1" applyBorder="1" applyAlignment="1">
      <alignment wrapText="1"/>
    </xf>
    <xf numFmtId="0" fontId="36" fillId="2" borderId="1" xfId="0" applyFont="1" applyFill="1" applyBorder="1" applyAlignment="1">
      <alignment horizontal="center"/>
    </xf>
    <xf numFmtId="167" fontId="36" fillId="0" borderId="16" xfId="0" applyNumberFormat="1" applyFont="1" applyBorder="1"/>
    <xf numFmtId="167" fontId="37" fillId="0" borderId="16" xfId="0" applyNumberFormat="1" applyFont="1" applyBorder="1"/>
    <xf numFmtId="0" fontId="37" fillId="0" borderId="1" xfId="0" applyFont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36" fillId="0" borderId="16" xfId="0" applyFont="1" applyBorder="1"/>
    <xf numFmtId="167" fontId="49" fillId="0" borderId="0" xfId="0" applyNumberFormat="1" applyFont="1"/>
    <xf numFmtId="167" fontId="49" fillId="0" borderId="0" xfId="0" applyNumberFormat="1" applyFont="1" applyAlignment="1">
      <alignment vertical="top" wrapText="1"/>
    </xf>
    <xf numFmtId="167" fontId="36" fillId="0" borderId="16" xfId="0" applyNumberFormat="1" applyFont="1" applyBorder="1" applyAlignment="1">
      <alignment horizontal="right"/>
    </xf>
    <xf numFmtId="167" fontId="50" fillId="0" borderId="0" xfId="0" applyNumberFormat="1" applyFont="1"/>
    <xf numFmtId="167" fontId="36" fillId="0" borderId="3" xfId="0" applyNumberFormat="1" applyFont="1" applyBorder="1"/>
    <xf numFmtId="167" fontId="36" fillId="0" borderId="19" xfId="0" applyNumberFormat="1" applyFont="1" applyBorder="1"/>
    <xf numFmtId="167" fontId="37" fillId="0" borderId="5" xfId="0" applyNumberFormat="1" applyFont="1" applyBorder="1"/>
    <xf numFmtId="167" fontId="37" fillId="0" borderId="3" xfId="0" applyNumberFormat="1" applyFont="1" applyBorder="1"/>
    <xf numFmtId="167" fontId="41" fillId="38" borderId="35" xfId="1" applyNumberFormat="1" applyFont="1" applyFill="1" applyBorder="1" applyAlignment="1">
      <alignment horizontal="right" vertical="top"/>
    </xf>
    <xf numFmtId="167" fontId="47" fillId="0" borderId="0" xfId="1" applyNumberFormat="1" applyFont="1" applyFill="1" applyBorder="1" applyAlignment="1">
      <alignment horizontal="left" vertical="top" wrapText="1"/>
    </xf>
    <xf numFmtId="176" fontId="37" fillId="0" borderId="0" xfId="0" applyNumberFormat="1" applyFont="1"/>
    <xf numFmtId="0" fontId="40" fillId="38" borderId="63" xfId="0" applyFont="1" applyFill="1" applyBorder="1" applyAlignment="1">
      <alignment horizontal="left"/>
    </xf>
    <xf numFmtId="0" fontId="40" fillId="38" borderId="64" xfId="0" applyFont="1" applyFill="1" applyBorder="1" applyAlignment="1">
      <alignment horizontal="left"/>
    </xf>
    <xf numFmtId="0" fontId="40" fillId="38" borderId="41" xfId="0" applyFont="1" applyFill="1" applyBorder="1" applyAlignment="1">
      <alignment horizontal="left"/>
    </xf>
    <xf numFmtId="167" fontId="40" fillId="44" borderId="38" xfId="0" applyNumberFormat="1" applyFont="1" applyFill="1" applyBorder="1"/>
    <xf numFmtId="167" fontId="41" fillId="38" borderId="83" xfId="0" applyNumberFormat="1" applyFont="1" applyFill="1" applyBorder="1"/>
    <xf numFmtId="0" fontId="36" fillId="0" borderId="71" xfId="0" applyFont="1" applyBorder="1"/>
    <xf numFmtId="167" fontId="38" fillId="43" borderId="84" xfId="0" applyNumberFormat="1" applyFont="1" applyFill="1" applyBorder="1" applyAlignment="1">
      <alignment horizontal="center"/>
    </xf>
    <xf numFmtId="167" fontId="41" fillId="38" borderId="84" xfId="0" applyNumberFormat="1" applyFont="1" applyFill="1" applyBorder="1" applyAlignment="1">
      <alignment horizontal="center"/>
    </xf>
    <xf numFmtId="0" fontId="38" fillId="43" borderId="80" xfId="0" applyFont="1" applyFill="1" applyBorder="1"/>
    <xf numFmtId="0" fontId="38" fillId="43" borderId="81" xfId="0" applyFont="1" applyFill="1" applyBorder="1"/>
    <xf numFmtId="0" fontId="38" fillId="43" borderId="84" xfId="0" applyFont="1" applyFill="1" applyBorder="1" applyAlignment="1">
      <alignment horizontal="center"/>
    </xf>
    <xf numFmtId="0" fontId="37" fillId="0" borderId="5" xfId="0" applyFont="1" applyBorder="1" applyAlignment="1">
      <alignment wrapText="1"/>
    </xf>
    <xf numFmtId="167" fontId="40" fillId="0" borderId="0" xfId="0" applyNumberFormat="1" applyFont="1" applyAlignment="1">
      <alignment wrapText="1"/>
    </xf>
    <xf numFmtId="0" fontId="43" fillId="0" borderId="0" xfId="0" applyFont="1"/>
    <xf numFmtId="43" fontId="43" fillId="0" borderId="0" xfId="0" applyNumberFormat="1" applyFont="1"/>
    <xf numFmtId="0" fontId="36" fillId="0" borderId="0" xfId="0" applyFont="1" applyAlignment="1">
      <alignment horizontal="center"/>
    </xf>
    <xf numFmtId="0" fontId="37" fillId="0" borderId="5" xfId="0" applyFont="1" applyBorder="1" applyAlignment="1">
      <alignment horizontal="left" vertical="top" wrapText="1"/>
    </xf>
    <xf numFmtId="0" fontId="37" fillId="0" borderId="85" xfId="0" applyFont="1" applyBorder="1" applyAlignment="1">
      <alignment wrapText="1"/>
    </xf>
    <xf numFmtId="0" fontId="37" fillId="0" borderId="59" xfId="0" applyFont="1" applyBorder="1"/>
    <xf numFmtId="167" fontId="37" fillId="0" borderId="59" xfId="0" applyNumberFormat="1" applyFont="1" applyBorder="1"/>
    <xf numFmtId="0" fontId="37" fillId="0" borderId="20" xfId="0" applyFont="1" applyBorder="1" applyAlignment="1">
      <alignment wrapText="1"/>
    </xf>
    <xf numFmtId="0" fontId="37" fillId="0" borderId="0" xfId="0" applyFont="1" applyAlignment="1">
      <alignment horizontal="center" vertical="top" wrapText="1"/>
    </xf>
    <xf numFmtId="0" fontId="40" fillId="38" borderId="37" xfId="0" applyFont="1" applyFill="1" applyBorder="1" applyAlignment="1">
      <alignment horizontal="left" vertical="center" wrapText="1"/>
    </xf>
    <xf numFmtId="0" fontId="40" fillId="38" borderId="38" xfId="0" applyFont="1" applyFill="1" applyBorder="1" applyAlignment="1">
      <alignment horizontal="left" vertical="center" wrapText="1"/>
    </xf>
    <xf numFmtId="167" fontId="36" fillId="38" borderId="38" xfId="1" applyNumberFormat="1" applyFont="1" applyFill="1" applyBorder="1"/>
    <xf numFmtId="167" fontId="37" fillId="0" borderId="71" xfId="0" applyNumberFormat="1" applyFont="1" applyBorder="1" applyAlignment="1">
      <alignment vertical="top"/>
    </xf>
    <xf numFmtId="0" fontId="36" fillId="45" borderId="0" xfId="0" applyFont="1" applyFill="1" applyAlignment="1">
      <alignment vertical="top" wrapText="1"/>
    </xf>
    <xf numFmtId="0" fontId="36" fillId="45" borderId="71" xfId="0" applyFont="1" applyFill="1" applyBorder="1" applyAlignment="1">
      <alignment vertical="top" wrapText="1"/>
    </xf>
    <xf numFmtId="0" fontId="40" fillId="0" borderId="86" xfId="0" applyFont="1" applyBorder="1" applyAlignment="1">
      <alignment vertical="top" wrapText="1"/>
    </xf>
    <xf numFmtId="43" fontId="36" fillId="0" borderId="84" xfId="7" applyFont="1" applyBorder="1" applyAlignment="1">
      <alignment vertical="top" wrapText="1"/>
    </xf>
    <xf numFmtId="0" fontId="36" fillId="0" borderId="84" xfId="0" applyFont="1" applyBorder="1" applyAlignment="1">
      <alignment vertical="top" wrapText="1"/>
    </xf>
    <xf numFmtId="0" fontId="40" fillId="0" borderId="84" xfId="0" applyFont="1" applyBorder="1" applyAlignment="1">
      <alignment horizontal="right" vertical="top" wrapText="1"/>
    </xf>
    <xf numFmtId="167" fontId="40" fillId="0" borderId="87" xfId="0" applyNumberFormat="1" applyFont="1" applyBorder="1" applyAlignment="1">
      <alignment vertical="top" wrapText="1"/>
    </xf>
    <xf numFmtId="167" fontId="40" fillId="42" borderId="84" xfId="0" applyNumberFormat="1" applyFont="1" applyFill="1" applyBorder="1" applyAlignment="1">
      <alignment vertical="top" wrapText="1"/>
    </xf>
    <xf numFmtId="167" fontId="40" fillId="0" borderId="0" xfId="0" applyNumberFormat="1" applyFont="1" applyAlignment="1">
      <alignment vertical="top" wrapText="1"/>
    </xf>
    <xf numFmtId="0" fontId="51" fillId="0" borderId="0" xfId="0" applyFont="1" applyAlignment="1">
      <alignment horizontal="center"/>
    </xf>
    <xf numFmtId="0" fontId="36" fillId="0" borderId="37" xfId="0" applyFont="1" applyBorder="1" applyAlignment="1">
      <alignment vertical="top" wrapText="1"/>
    </xf>
    <xf numFmtId="43" fontId="36" fillId="0" borderId="38" xfId="7" applyFont="1" applyBorder="1" applyAlignment="1">
      <alignment vertical="top" wrapText="1"/>
    </xf>
    <xf numFmtId="0" fontId="36" fillId="0" borderId="38" xfId="0" applyFont="1" applyBorder="1" applyAlignment="1">
      <alignment vertical="top" wrapText="1"/>
    </xf>
    <xf numFmtId="0" fontId="40" fillId="0" borderId="38" xfId="0" applyFont="1" applyBorder="1" applyAlignment="1">
      <alignment horizontal="right" vertical="top" wrapText="1"/>
    </xf>
    <xf numFmtId="167" fontId="41" fillId="0" borderId="40" xfId="0" applyNumberFormat="1" applyFont="1" applyBorder="1" applyAlignment="1">
      <alignment vertical="top" wrapText="1"/>
    </xf>
    <xf numFmtId="167" fontId="41" fillId="42" borderId="38" xfId="0" applyNumberFormat="1" applyFont="1" applyFill="1" applyBorder="1" applyAlignment="1">
      <alignment vertical="top" wrapText="1"/>
    </xf>
    <xf numFmtId="167" fontId="41" fillId="0" borderId="0" xfId="0" applyNumberFormat="1" applyFont="1" applyAlignment="1">
      <alignment vertical="top" wrapText="1"/>
    </xf>
    <xf numFmtId="43" fontId="37" fillId="0" borderId="0" xfId="0" applyNumberFormat="1" applyFont="1"/>
    <xf numFmtId="0" fontId="40" fillId="28" borderId="0" xfId="0" applyFont="1" applyFill="1" applyAlignment="1">
      <alignment horizontal="right"/>
    </xf>
    <xf numFmtId="0" fontId="40" fillId="0" borderId="0" xfId="0" applyFont="1" applyAlignment="1">
      <alignment vertical="top" wrapText="1"/>
    </xf>
    <xf numFmtId="0" fontId="40" fillId="0" borderId="1" xfId="0" applyFont="1" applyBorder="1" applyAlignment="1">
      <alignment horizontal="center" vertical="top" wrapText="1"/>
    </xf>
    <xf numFmtId="167" fontId="41" fillId="0" borderId="1" xfId="0" applyNumberFormat="1" applyFont="1" applyBorder="1" applyAlignment="1">
      <alignment vertical="top" wrapText="1"/>
    </xf>
    <xf numFmtId="43" fontId="38" fillId="0" borderId="0" xfId="0" applyNumberFormat="1" applyFont="1" applyAlignment="1">
      <alignment vertical="top" wrapText="1"/>
    </xf>
    <xf numFmtId="167" fontId="37" fillId="0" borderId="0" xfId="1" applyNumberFormat="1" applyFont="1" applyFill="1" applyAlignment="1">
      <alignment vertical="top" wrapText="1"/>
    </xf>
    <xf numFmtId="0" fontId="40" fillId="0" borderId="1" xfId="0" quotePrefix="1" applyFont="1" applyBorder="1" applyAlignment="1">
      <alignment horizontal="center" vertical="top" wrapText="1"/>
    </xf>
    <xf numFmtId="0" fontId="38" fillId="0" borderId="0" xfId="0" applyFont="1" applyAlignment="1">
      <alignment vertical="top" wrapText="1"/>
    </xf>
    <xf numFmtId="0" fontId="40" fillId="0" borderId="59" xfId="0" applyFont="1" applyBorder="1" applyAlignment="1">
      <alignment horizontal="center" vertical="top" wrapText="1"/>
    </xf>
    <xf numFmtId="167" fontId="41" fillId="0" borderId="59" xfId="0" applyNumberFormat="1" applyFont="1" applyBorder="1" applyAlignment="1">
      <alignment vertical="top" wrapText="1"/>
    </xf>
    <xf numFmtId="43" fontId="38" fillId="0" borderId="0" xfId="1" applyFont="1" applyAlignment="1">
      <alignment vertical="top" wrapText="1"/>
    </xf>
    <xf numFmtId="167" fontId="41" fillId="0" borderId="65" xfId="0" applyNumberFormat="1" applyFont="1" applyBorder="1" applyAlignment="1">
      <alignment vertical="top" wrapText="1"/>
    </xf>
    <xf numFmtId="167" fontId="38" fillId="0" borderId="0" xfId="1" applyNumberFormat="1" applyFont="1" applyAlignment="1">
      <alignment vertical="top" wrapText="1"/>
    </xf>
    <xf numFmtId="180" fontId="30" fillId="0" borderId="0" xfId="0" applyNumberFormat="1" applyFont="1"/>
    <xf numFmtId="180" fontId="0" fillId="0" borderId="0" xfId="0" applyNumberFormat="1"/>
    <xf numFmtId="0" fontId="3" fillId="38" borderId="17" xfId="0" applyFont="1" applyFill="1" applyBorder="1" applyAlignment="1">
      <alignment horizontal="center"/>
    </xf>
    <xf numFmtId="0" fontId="55" fillId="0" borderId="0" xfId="0" applyFont="1"/>
    <xf numFmtId="0" fontId="55" fillId="0" borderId="0" xfId="0" applyFont="1" applyAlignment="1">
      <alignment wrapText="1"/>
    </xf>
    <xf numFmtId="178" fontId="56" fillId="2" borderId="0" xfId="1" applyNumberFormat="1" applyFont="1" applyFill="1" applyAlignment="1">
      <alignment vertical="top" wrapText="1"/>
    </xf>
    <xf numFmtId="0" fontId="57" fillId="0" borderId="0" xfId="0" applyFont="1" applyAlignment="1">
      <alignment wrapText="1"/>
    </xf>
    <xf numFmtId="178" fontId="55" fillId="2" borderId="0" xfId="1" applyNumberFormat="1" applyFont="1" applyFill="1" applyAlignment="1">
      <alignment vertical="top" wrapText="1"/>
    </xf>
    <xf numFmtId="167" fontId="58" fillId="0" borderId="1" xfId="0" applyNumberFormat="1" applyFont="1" applyBorder="1" applyAlignment="1">
      <alignment wrapText="1"/>
    </xf>
    <xf numFmtId="0" fontId="58" fillId="0" borderId="1" xfId="0" applyFont="1" applyBorder="1"/>
    <xf numFmtId="0" fontId="58" fillId="0" borderId="0" xfId="0" applyFont="1"/>
    <xf numFmtId="43" fontId="58" fillId="0" borderId="1" xfId="0" applyNumberFormat="1" applyFont="1" applyBorder="1"/>
    <xf numFmtId="167" fontId="56" fillId="38" borderId="1" xfId="1" applyNumberFormat="1" applyFont="1" applyFill="1" applyBorder="1" applyAlignment="1">
      <alignment vertical="top"/>
    </xf>
    <xf numFmtId="0" fontId="55" fillId="0" borderId="1" xfId="0" applyFont="1" applyBorder="1"/>
    <xf numFmtId="167" fontId="58" fillId="0" borderId="1" xfId="0" applyNumberFormat="1" applyFont="1" applyBorder="1"/>
    <xf numFmtId="0" fontId="0" fillId="2" borderId="1" xfId="0" applyFill="1" applyBorder="1"/>
    <xf numFmtId="164" fontId="0" fillId="0" borderId="0" xfId="0" applyNumberFormat="1"/>
    <xf numFmtId="175" fontId="30" fillId="0" borderId="0" xfId="0" applyNumberFormat="1" applyFont="1"/>
    <xf numFmtId="180" fontId="3" fillId="0" borderId="0" xfId="0" applyNumberFormat="1" applyFont="1"/>
    <xf numFmtId="180" fontId="3" fillId="31" borderId="4" xfId="0" applyNumberFormat="1" applyFont="1" applyFill="1" applyBorder="1" applyAlignment="1">
      <alignment horizontal="center" wrapText="1"/>
    </xf>
    <xf numFmtId="175" fontId="3" fillId="0" borderId="0" xfId="0" applyNumberFormat="1" applyFont="1"/>
    <xf numFmtId="3" fontId="3" fillId="23" borderId="21" xfId="0" applyNumberFormat="1" applyFont="1" applyFill="1" applyBorder="1" applyAlignment="1">
      <alignment wrapText="1"/>
    </xf>
    <xf numFmtId="3" fontId="3" fillId="23" borderId="19" xfId="0" applyNumberFormat="1" applyFont="1" applyFill="1" applyBorder="1" applyAlignment="1">
      <alignment wrapText="1"/>
    </xf>
    <xf numFmtId="3" fontId="3" fillId="23" borderId="59" xfId="0" applyNumberFormat="1" applyFont="1" applyFill="1" applyBorder="1" applyAlignment="1">
      <alignment wrapText="1"/>
    </xf>
    <xf numFmtId="3" fontId="3" fillId="23" borderId="20" xfId="0" applyNumberFormat="1" applyFont="1" applyFill="1" applyBorder="1" applyAlignment="1">
      <alignment wrapText="1"/>
    </xf>
    <xf numFmtId="3" fontId="3" fillId="23" borderId="3" xfId="0" applyNumberFormat="1" applyFont="1" applyFill="1" applyBorder="1" applyAlignment="1">
      <alignment horizontal="center" wrapText="1"/>
    </xf>
    <xf numFmtId="0" fontId="3" fillId="31" borderId="21" xfId="0" applyFont="1" applyFill="1" applyBorder="1" applyAlignment="1">
      <alignment wrapText="1"/>
    </xf>
    <xf numFmtId="2" fontId="19" fillId="0" borderId="57" xfId="0" applyNumberFormat="1" applyFont="1" applyBorder="1" applyAlignment="1">
      <alignment horizontal="center"/>
    </xf>
    <xf numFmtId="180" fontId="19" fillId="0" borderId="0" xfId="0" applyNumberFormat="1" applyFont="1"/>
    <xf numFmtId="0" fontId="19" fillId="36" borderId="57" xfId="0" applyFont="1" applyFill="1" applyBorder="1" applyAlignment="1">
      <alignment horizontal="center"/>
    </xf>
    <xf numFmtId="4" fontId="19" fillId="0" borderId="0" xfId="0" applyNumberFormat="1" applyFont="1"/>
    <xf numFmtId="1" fontId="3" fillId="0" borderId="58" xfId="0" applyNumberFormat="1" applyFont="1" applyBorder="1" applyAlignment="1">
      <alignment horizontal="center"/>
    </xf>
    <xf numFmtId="0" fontId="3" fillId="0" borderId="58" xfId="0" applyFont="1" applyBorder="1" applyAlignment="1">
      <alignment wrapText="1"/>
    </xf>
    <xf numFmtId="0" fontId="19" fillId="0" borderId="58" xfId="0" applyFont="1" applyBorder="1" applyAlignment="1">
      <alignment wrapText="1"/>
    </xf>
    <xf numFmtId="3" fontId="3" fillId="23" borderId="19" xfId="0" applyNumberFormat="1" applyFont="1" applyFill="1" applyBorder="1" applyAlignment="1">
      <alignment horizontal="center" wrapText="1"/>
    </xf>
    <xf numFmtId="3" fontId="3" fillId="23" borderId="21" xfId="0" applyNumberFormat="1" applyFont="1" applyFill="1" applyBorder="1" applyAlignment="1">
      <alignment horizontal="center" wrapText="1"/>
    </xf>
    <xf numFmtId="175" fontId="19" fillId="0" borderId="0" xfId="0" applyNumberFormat="1" applyFont="1"/>
    <xf numFmtId="182" fontId="3" fillId="0" borderId="0" xfId="0" applyNumberFormat="1" applyFont="1"/>
    <xf numFmtId="3" fontId="59" fillId="0" borderId="0" xfId="0" applyNumberFormat="1" applyFont="1"/>
    <xf numFmtId="3" fontId="3" fillId="23" borderId="60" xfId="0" applyNumberFormat="1" applyFont="1" applyFill="1" applyBorder="1" applyAlignment="1">
      <alignment wrapText="1"/>
    </xf>
    <xf numFmtId="0" fontId="60" fillId="0" borderId="0" xfId="0" applyFont="1" applyAlignment="1">
      <alignment horizontal="right" vertical="center"/>
    </xf>
    <xf numFmtId="3" fontId="3" fillId="41" borderId="21" xfId="0" applyNumberFormat="1" applyFont="1" applyFill="1" applyBorder="1" applyAlignment="1">
      <alignment horizontal="center" wrapText="1"/>
    </xf>
    <xf numFmtId="167" fontId="41" fillId="0" borderId="0" xfId="0" applyNumberFormat="1" applyFont="1" applyAlignment="1">
      <alignment vertical="top"/>
    </xf>
    <xf numFmtId="3" fontId="3" fillId="23" borderId="1" xfId="0" applyNumberFormat="1" applyFont="1" applyFill="1" applyBorder="1" applyAlignment="1">
      <alignment horizontal="center" wrapText="1"/>
    </xf>
    <xf numFmtId="3" fontId="3" fillId="33" borderId="71" xfId="0" applyNumberFormat="1" applyFont="1" applyFill="1" applyBorder="1" applyAlignment="1">
      <alignment horizontal="center" wrapText="1"/>
    </xf>
    <xf numFmtId="167" fontId="58" fillId="0" borderId="1" xfId="0" applyNumberFormat="1" applyFont="1" applyBorder="1" applyAlignment="1">
      <alignment horizontal="left"/>
    </xf>
    <xf numFmtId="43" fontId="58" fillId="0" borderId="1" xfId="0" applyNumberFormat="1" applyFont="1" applyBorder="1" applyAlignment="1">
      <alignment horizontal="left"/>
    </xf>
    <xf numFmtId="43" fontId="55" fillId="0" borderId="1" xfId="0" applyNumberFormat="1" applyFont="1" applyBorder="1" applyAlignment="1">
      <alignment horizontal="left"/>
    </xf>
    <xf numFmtId="3" fontId="3" fillId="31" borderId="20" xfId="0" applyNumberFormat="1" applyFont="1" applyFill="1" applyBorder="1" applyAlignment="1">
      <alignment horizontal="center" wrapText="1"/>
    </xf>
    <xf numFmtId="174" fontId="0" fillId="0" borderId="0" xfId="0" applyNumberFormat="1"/>
    <xf numFmtId="3" fontId="0" fillId="33" borderId="0" xfId="0" applyNumberFormat="1" applyFill="1" applyAlignment="1">
      <alignment horizontal="center" wrapText="1"/>
    </xf>
    <xf numFmtId="3" fontId="3" fillId="39" borderId="2" xfId="0" applyNumberFormat="1" applyFont="1" applyFill="1" applyBorder="1" applyAlignment="1">
      <alignment wrapText="1"/>
    </xf>
    <xf numFmtId="175" fontId="3" fillId="31" borderId="60" xfId="0" applyNumberFormat="1" applyFont="1" applyFill="1" applyBorder="1" applyAlignment="1">
      <alignment horizontal="center" wrapText="1"/>
    </xf>
    <xf numFmtId="180" fontId="3" fillId="33" borderId="71" xfId="0" applyNumberFormat="1" applyFont="1" applyFill="1" applyBorder="1" applyAlignment="1">
      <alignment horizontal="center" wrapText="1"/>
    </xf>
    <xf numFmtId="180" fontId="3" fillId="33" borderId="60" xfId="0" applyNumberFormat="1" applyFont="1" applyFill="1" applyBorder="1" applyAlignment="1">
      <alignment horizontal="center" wrapText="1"/>
    </xf>
    <xf numFmtId="3" fontId="3" fillId="31" borderId="1" xfId="0" applyNumberFormat="1" applyFont="1" applyFill="1" applyBorder="1" applyAlignment="1">
      <alignment horizontal="center" wrapText="1"/>
    </xf>
    <xf numFmtId="174" fontId="30" fillId="0" borderId="0" xfId="0" applyNumberFormat="1" applyFont="1"/>
    <xf numFmtId="173" fontId="30" fillId="0" borderId="0" xfId="0" applyNumberFormat="1" applyFont="1"/>
    <xf numFmtId="3" fontId="30" fillId="0" borderId="60" xfId="0" applyNumberFormat="1" applyFont="1" applyBorder="1" applyAlignment="1">
      <alignment horizontal="center" wrapText="1"/>
    </xf>
    <xf numFmtId="0" fontId="55" fillId="0" borderId="1" xfId="0" applyFont="1" applyBorder="1" applyAlignment="1">
      <alignment horizontal="center" wrapText="1"/>
    </xf>
    <xf numFmtId="167" fontId="55" fillId="0" borderId="1" xfId="1" applyNumberFormat="1" applyFont="1" applyBorder="1" applyAlignment="1">
      <alignment horizontal="center" wrapText="1"/>
    </xf>
    <xf numFmtId="0" fontId="55" fillId="0" borderId="0" xfId="0" applyFont="1" applyAlignment="1">
      <alignment horizontal="center" wrapText="1"/>
    </xf>
    <xf numFmtId="0" fontId="55" fillId="46" borderId="0" xfId="0" applyFont="1" applyFill="1" applyAlignment="1">
      <alignment wrapText="1"/>
    </xf>
    <xf numFmtId="167" fontId="56" fillId="0" borderId="1" xfId="0" applyNumberFormat="1" applyFont="1" applyBorder="1" applyAlignment="1">
      <alignment horizontal="left"/>
    </xf>
    <xf numFmtId="167" fontId="57" fillId="0" borderId="1" xfId="1" applyNumberFormat="1" applyFont="1" applyBorder="1" applyAlignment="1">
      <alignment wrapText="1"/>
    </xf>
    <xf numFmtId="167" fontId="57" fillId="0" borderId="1" xfId="0" applyNumberFormat="1" applyFont="1" applyBorder="1" applyAlignment="1">
      <alignment horizontal="left"/>
    </xf>
    <xf numFmtId="167" fontId="58" fillId="0" borderId="1" xfId="1" applyNumberFormat="1" applyFont="1" applyBorder="1"/>
    <xf numFmtId="0" fontId="56" fillId="0" borderId="0" xfId="0" applyFont="1" applyAlignment="1">
      <alignment wrapText="1"/>
    </xf>
    <xf numFmtId="9" fontId="57" fillId="0" borderId="0" xfId="14" applyFont="1" applyAlignment="1">
      <alignment horizontal="center" wrapText="1"/>
    </xf>
    <xf numFmtId="167" fontId="55" fillId="0" borderId="1" xfId="0" applyNumberFormat="1" applyFont="1" applyBorder="1" applyAlignment="1">
      <alignment horizontal="left"/>
    </xf>
    <xf numFmtId="167" fontId="55" fillId="0" borderId="1" xfId="1" applyNumberFormat="1" applyFont="1" applyBorder="1"/>
    <xf numFmtId="167" fontId="58" fillId="0" borderId="1" xfId="1" applyNumberFormat="1" applyFont="1" applyBorder="1" applyAlignment="1">
      <alignment wrapText="1"/>
    </xf>
    <xf numFmtId="167" fontId="58" fillId="42" borderId="1" xfId="0" applyNumberFormat="1" applyFont="1" applyFill="1" applyBorder="1" applyAlignment="1">
      <alignment wrapText="1"/>
    </xf>
    <xf numFmtId="167" fontId="58" fillId="42" borderId="1" xfId="1" applyNumberFormat="1" applyFont="1" applyFill="1" applyBorder="1"/>
    <xf numFmtId="9" fontId="57" fillId="0" borderId="0" xfId="14" applyFont="1" applyFill="1" applyAlignment="1">
      <alignment horizontal="center" wrapText="1"/>
    </xf>
    <xf numFmtId="164" fontId="55" fillId="0" borderId="0" xfId="0" applyNumberFormat="1" applyFont="1"/>
    <xf numFmtId="178" fontId="55" fillId="2" borderId="0" xfId="15" applyNumberFormat="1" applyFont="1" applyFill="1" applyAlignment="1">
      <alignment vertical="top" wrapText="1"/>
    </xf>
    <xf numFmtId="167" fontId="57" fillId="0" borderId="1" xfId="1" applyNumberFormat="1" applyFont="1" applyFill="1" applyBorder="1" applyAlignment="1">
      <alignment vertical="top"/>
    </xf>
    <xf numFmtId="167" fontId="56" fillId="0" borderId="1" xfId="1" applyNumberFormat="1" applyFont="1" applyFill="1" applyBorder="1" applyAlignment="1">
      <alignment vertical="top"/>
    </xf>
    <xf numFmtId="0" fontId="55" fillId="42" borderId="0" xfId="0" applyFont="1" applyFill="1" applyAlignment="1">
      <alignment vertical="top" wrapText="1"/>
    </xf>
    <xf numFmtId="43" fontId="58" fillId="0" borderId="1" xfId="1" applyFont="1" applyBorder="1" applyAlignment="1">
      <alignment vertical="center"/>
    </xf>
    <xf numFmtId="0" fontId="3" fillId="47" borderId="1" xfId="0" applyFont="1" applyFill="1" applyBorder="1"/>
    <xf numFmtId="43" fontId="3" fillId="47" borderId="1" xfId="1" applyFont="1" applyFill="1" applyBorder="1"/>
    <xf numFmtId="43" fontId="0" fillId="0" borderId="0" xfId="1" applyFont="1"/>
    <xf numFmtId="43" fontId="3" fillId="0" borderId="0" xfId="1" applyFont="1" applyFill="1"/>
    <xf numFmtId="164" fontId="3" fillId="47" borderId="1" xfId="0" applyNumberFormat="1" applyFont="1" applyFill="1" applyBorder="1"/>
    <xf numFmtId="167" fontId="3" fillId="47" borderId="1" xfId="1" applyNumberFormat="1" applyFont="1" applyFill="1" applyBorder="1"/>
    <xf numFmtId="164" fontId="3" fillId="47" borderId="1" xfId="0" applyNumberFormat="1" applyFont="1" applyFill="1" applyBorder="1" applyAlignment="1">
      <alignment horizontal="right"/>
    </xf>
    <xf numFmtId="9" fontId="0" fillId="0" borderId="0" xfId="14" applyFont="1"/>
    <xf numFmtId="2" fontId="3" fillId="47" borderId="1" xfId="0" applyNumberFormat="1" applyFont="1" applyFill="1" applyBorder="1" applyAlignment="1">
      <alignment horizontal="right"/>
    </xf>
    <xf numFmtId="0" fontId="1" fillId="0" borderId="0" xfId="0" applyFont="1"/>
    <xf numFmtId="167" fontId="0" fillId="0" borderId="0" xfId="1" applyNumberFormat="1" applyFont="1"/>
    <xf numFmtId="0" fontId="61" fillId="0" borderId="0" xfId="0" applyFont="1"/>
    <xf numFmtId="0" fontId="61" fillId="0" borderId="0" xfId="0" applyFont="1" applyAlignment="1">
      <alignment horizontal="center"/>
    </xf>
    <xf numFmtId="0" fontId="62" fillId="0" borderId="1" xfId="0" applyFont="1" applyBorder="1"/>
    <xf numFmtId="0" fontId="62" fillId="0" borderId="1" xfId="0" applyFont="1" applyBorder="1" applyAlignment="1">
      <alignment wrapText="1"/>
    </xf>
    <xf numFmtId="0" fontId="61" fillId="0" borderId="1" xfId="0" applyFont="1" applyBorder="1"/>
    <xf numFmtId="0" fontId="61" fillId="0" borderId="1" xfId="0" applyFont="1" applyBorder="1" applyAlignment="1">
      <alignment wrapText="1"/>
    </xf>
    <xf numFmtId="0" fontId="63" fillId="0" borderId="1" xfId="0" applyFont="1" applyBorder="1"/>
    <xf numFmtId="2" fontId="63" fillId="0" borderId="1" xfId="0" applyNumberFormat="1" applyFont="1" applyBorder="1"/>
    <xf numFmtId="0" fontId="61" fillId="0" borderId="1" xfId="0" applyFont="1" applyBorder="1" applyAlignment="1">
      <alignment vertical="center"/>
    </xf>
    <xf numFmtId="0" fontId="61" fillId="0" borderId="1" xfId="0" applyFont="1" applyBorder="1" applyAlignment="1">
      <alignment vertical="center" wrapText="1"/>
    </xf>
    <xf numFmtId="167" fontId="64" fillId="0" borderId="1" xfId="1" applyNumberFormat="1" applyFont="1" applyFill="1" applyBorder="1" applyAlignment="1">
      <alignment wrapText="1"/>
    </xf>
    <xf numFmtId="0" fontId="65" fillId="0" borderId="0" xfId="0" applyFont="1"/>
    <xf numFmtId="167" fontId="64" fillId="2" borderId="1" xfId="1" applyNumberFormat="1" applyFont="1" applyFill="1" applyBorder="1" applyAlignment="1">
      <alignment wrapText="1"/>
    </xf>
    <xf numFmtId="2" fontId="61" fillId="0" borderId="1" xfId="0" applyNumberFormat="1" applyFont="1" applyBorder="1"/>
    <xf numFmtId="9" fontId="61" fillId="0" borderId="1" xfId="14" applyFont="1" applyBorder="1" applyAlignment="1">
      <alignment horizontal="center" vertical="center" wrapText="1"/>
    </xf>
    <xf numFmtId="168" fontId="61" fillId="0" borderId="1" xfId="14" applyNumberFormat="1" applyFont="1" applyBorder="1" applyAlignment="1">
      <alignment horizontal="center" vertical="center" wrapText="1"/>
    </xf>
    <xf numFmtId="183" fontId="61" fillId="0" borderId="1" xfId="0" applyNumberFormat="1" applyFont="1" applyBorder="1"/>
    <xf numFmtId="10" fontId="61" fillId="0" borderId="1" xfId="14" applyNumberFormat="1" applyFont="1" applyBorder="1" applyAlignment="1">
      <alignment horizontal="center" vertical="center" wrapText="1"/>
    </xf>
    <xf numFmtId="184" fontId="61" fillId="0" borderId="1" xfId="0" applyNumberFormat="1" applyFont="1" applyBorder="1"/>
    <xf numFmtId="0" fontId="62" fillId="42" borderId="1" xfId="0" applyFont="1" applyFill="1" applyBorder="1" applyAlignment="1">
      <alignment horizontal="center" vertical="center"/>
    </xf>
    <xf numFmtId="2" fontId="62" fillId="42" borderId="1" xfId="0" applyNumberFormat="1" applyFont="1" applyFill="1" applyBorder="1"/>
    <xf numFmtId="0" fontId="61" fillId="42" borderId="1" xfId="0" applyFont="1" applyFill="1" applyBorder="1"/>
    <xf numFmtId="0" fontId="61" fillId="40" borderId="0" xfId="0" applyFont="1" applyFill="1"/>
    <xf numFmtId="0" fontId="61" fillId="0" borderId="0" xfId="0" applyFont="1" applyAlignment="1">
      <alignment horizontal="left" vertical="top" wrapText="1"/>
    </xf>
    <xf numFmtId="0" fontId="62" fillId="0" borderId="1" xfId="0" applyFont="1" applyBorder="1" applyAlignment="1">
      <alignment horizontal="left" vertical="top" wrapText="1"/>
    </xf>
    <xf numFmtId="0" fontId="61" fillId="0" borderId="1" xfId="0" applyFont="1" applyBorder="1" applyAlignment="1">
      <alignment horizontal="left" vertical="top" wrapText="1"/>
    </xf>
    <xf numFmtId="2" fontId="61" fillId="0" borderId="1" xfId="0" applyNumberFormat="1" applyFont="1" applyBorder="1" applyAlignment="1">
      <alignment horizontal="left" vertical="top" wrapText="1"/>
    </xf>
    <xf numFmtId="0" fontId="61" fillId="0" borderId="1" xfId="0" applyFont="1" applyBorder="1" applyAlignment="1">
      <alignment horizontal="center" vertical="top" wrapText="1"/>
    </xf>
    <xf numFmtId="9" fontId="61" fillId="0" borderId="1" xfId="14" applyFont="1" applyBorder="1" applyAlignment="1">
      <alignment horizontal="left" vertical="top" wrapText="1"/>
    </xf>
    <xf numFmtId="0" fontId="61" fillId="0" borderId="1" xfId="0" applyFont="1" applyBorder="1" applyAlignment="1">
      <alignment horizontal="center"/>
    </xf>
    <xf numFmtId="168" fontId="61" fillId="0" borderId="1" xfId="14" applyNumberFormat="1" applyFont="1" applyBorder="1" applyAlignment="1">
      <alignment horizontal="left" vertical="top" wrapText="1"/>
    </xf>
    <xf numFmtId="10" fontId="61" fillId="0" borderId="1" xfId="14" applyNumberFormat="1" applyFont="1" applyBorder="1" applyAlignment="1">
      <alignment horizontal="left" vertical="top" wrapText="1"/>
    </xf>
    <xf numFmtId="183" fontId="61" fillId="0" borderId="1" xfId="0" applyNumberFormat="1" applyFont="1" applyBorder="1" applyAlignment="1">
      <alignment horizontal="left" vertical="top" wrapText="1"/>
    </xf>
    <xf numFmtId="0" fontId="62" fillId="42" borderId="1" xfId="0" applyFont="1" applyFill="1" applyBorder="1" applyAlignment="1">
      <alignment horizontal="left" vertical="top" wrapText="1"/>
    </xf>
    <xf numFmtId="2" fontId="62" fillId="42" borderId="1" xfId="0" applyNumberFormat="1" applyFont="1" applyFill="1" applyBorder="1" applyAlignment="1">
      <alignment horizontal="left" vertical="top" wrapText="1"/>
    </xf>
    <xf numFmtId="0" fontId="61" fillId="42" borderId="1" xfId="0" applyFont="1" applyFill="1" applyBorder="1" applyAlignment="1">
      <alignment horizontal="center" vertical="top" wrapText="1"/>
    </xf>
    <xf numFmtId="0" fontId="61" fillId="42" borderId="1" xfId="0" applyFont="1" applyFill="1" applyBorder="1" applyAlignment="1">
      <alignment horizontal="left" vertical="top" wrapText="1"/>
    </xf>
    <xf numFmtId="183" fontId="62" fillId="42" borderId="1" xfId="0" applyNumberFormat="1" applyFont="1" applyFill="1" applyBorder="1" applyAlignment="1">
      <alignment horizontal="left" vertical="top" wrapText="1"/>
    </xf>
    <xf numFmtId="0" fontId="62" fillId="42" borderId="1" xfId="0" applyFont="1" applyFill="1" applyBorder="1" applyAlignment="1">
      <alignment vertical="top" wrapText="1"/>
    </xf>
    <xf numFmtId="0" fontId="61" fillId="0" borderId="1" xfId="0" applyFont="1" applyBorder="1" applyAlignment="1">
      <alignment horizontal="left" wrapText="1"/>
    </xf>
    <xf numFmtId="0" fontId="66" fillId="0" borderId="0" xfId="0" applyFont="1"/>
    <xf numFmtId="0" fontId="66" fillId="0" borderId="1" xfId="0" applyFont="1" applyBorder="1"/>
    <xf numFmtId="0" fontId="66" fillId="0" borderId="1" xfId="0" applyFont="1" applyBorder="1" applyAlignment="1">
      <alignment horizontal="left"/>
    </xf>
    <xf numFmtId="0" fontId="66" fillId="0" borderId="1" xfId="0" applyFont="1" applyBorder="1" applyAlignment="1">
      <alignment wrapText="1"/>
    </xf>
    <xf numFmtId="0" fontId="66" fillId="0" borderId="1" xfId="0" applyFont="1" applyBorder="1" applyAlignment="1">
      <alignment horizontal="center"/>
    </xf>
    <xf numFmtId="0" fontId="66" fillId="0" borderId="2" xfId="0" applyFont="1" applyBorder="1" applyAlignment="1">
      <alignment horizontal="center"/>
    </xf>
    <xf numFmtId="183" fontId="66" fillId="0" borderId="1" xfId="0" applyNumberFormat="1" applyFont="1" applyBorder="1" applyAlignment="1">
      <alignment horizontal="left"/>
    </xf>
    <xf numFmtId="0" fontId="61" fillId="2" borderId="0" xfId="0" applyFont="1" applyFill="1"/>
    <xf numFmtId="0" fontId="67" fillId="42" borderId="1" xfId="0" applyFont="1" applyFill="1" applyBorder="1"/>
    <xf numFmtId="44" fontId="67" fillId="42" borderId="1" xfId="2" applyFont="1" applyFill="1" applyBorder="1" applyAlignment="1">
      <alignment horizontal="left"/>
    </xf>
    <xf numFmtId="183" fontId="67" fillId="42" borderId="1" xfId="0" applyNumberFormat="1" applyFont="1" applyFill="1" applyBorder="1" applyAlignment="1">
      <alignment horizontal="left"/>
    </xf>
    <xf numFmtId="0" fontId="67" fillId="42" borderId="1" xfId="0" applyFont="1" applyFill="1" applyBorder="1" applyAlignment="1">
      <alignment horizontal="center"/>
    </xf>
    <xf numFmtId="175" fontId="61" fillId="40" borderId="0" xfId="0" applyNumberFormat="1" applyFont="1" applyFill="1"/>
    <xf numFmtId="175" fontId="61" fillId="40" borderId="0" xfId="0" applyNumberFormat="1" applyFont="1" applyFill="1" applyAlignment="1">
      <alignment horizontal="left"/>
    </xf>
    <xf numFmtId="175" fontId="61" fillId="40" borderId="0" xfId="0" applyNumberFormat="1" applyFont="1" applyFill="1" applyAlignment="1">
      <alignment horizontal="left" vertical="top" wrapText="1"/>
    </xf>
    <xf numFmtId="0" fontId="3" fillId="38" borderId="16" xfId="0" applyFont="1" applyFill="1" applyBorder="1" applyAlignment="1">
      <alignment horizontal="center"/>
    </xf>
    <xf numFmtId="175" fontId="3" fillId="18" borderId="4" xfId="0" applyNumberFormat="1" applyFont="1" applyFill="1" applyBorder="1" applyAlignment="1">
      <alignment horizontal="center" wrapText="1"/>
    </xf>
    <xf numFmtId="175" fontId="3" fillId="18" borderId="0" xfId="0" applyNumberFormat="1" applyFont="1" applyFill="1"/>
    <xf numFmtId="3" fontId="3" fillId="40" borderId="0" xfId="1" applyNumberFormat="1" applyFont="1" applyFill="1"/>
    <xf numFmtId="0" fontId="59" fillId="0" borderId="57" xfId="0" applyFont="1" applyBorder="1" applyAlignment="1">
      <alignment wrapText="1"/>
    </xf>
    <xf numFmtId="0" fontId="0" fillId="39" borderId="89" xfId="0" applyFill="1" applyBorder="1"/>
    <xf numFmtId="0" fontId="0" fillId="39" borderId="92" xfId="0" applyFill="1" applyBorder="1" applyAlignment="1">
      <alignment wrapText="1"/>
    </xf>
    <xf numFmtId="0" fontId="0" fillId="48" borderId="1" xfId="0" applyFill="1" applyBorder="1" applyAlignment="1">
      <alignment wrapText="1"/>
    </xf>
    <xf numFmtId="0" fontId="0" fillId="49" borderId="1" xfId="0" applyFill="1" applyBorder="1" applyAlignment="1">
      <alignment wrapText="1"/>
    </xf>
    <xf numFmtId="0" fontId="0" fillId="21" borderId="1" xfId="0" applyFill="1" applyBorder="1" applyAlignment="1">
      <alignment wrapText="1"/>
    </xf>
    <xf numFmtId="0" fontId="0" fillId="40" borderId="1" xfId="0" applyFill="1" applyBorder="1" applyAlignment="1">
      <alignment wrapText="1"/>
    </xf>
    <xf numFmtId="0" fontId="0" fillId="18" borderId="1" xfId="0" applyFill="1" applyBorder="1" applyAlignment="1">
      <alignment wrapText="1"/>
    </xf>
    <xf numFmtId="0" fontId="0" fillId="29" borderId="1" xfId="0" applyFill="1" applyBorder="1" applyAlignment="1">
      <alignment wrapText="1"/>
    </xf>
    <xf numFmtId="0" fontId="0" fillId="29" borderId="93" xfId="0" applyFill="1" applyBorder="1" applyAlignment="1">
      <alignment wrapText="1"/>
    </xf>
    <xf numFmtId="0" fontId="0" fillId="39" borderId="92" xfId="0" applyFill="1" applyBorder="1"/>
    <xf numFmtId="167" fontId="3" fillId="48" borderId="1" xfId="1" applyNumberFormat="1" applyFont="1" applyFill="1" applyBorder="1"/>
    <xf numFmtId="167" fontId="0" fillId="48" borderId="1" xfId="1" applyNumberFormat="1" applyFont="1" applyFill="1" applyBorder="1"/>
    <xf numFmtId="167" fontId="3" fillId="49" borderId="1" xfId="1" applyNumberFormat="1" applyFont="1" applyFill="1" applyBorder="1"/>
    <xf numFmtId="167" fontId="0" fillId="49" borderId="1" xfId="1" applyNumberFormat="1" applyFont="1" applyFill="1" applyBorder="1"/>
    <xf numFmtId="167" fontId="3" fillId="21" borderId="1" xfId="1" applyNumberFormat="1" applyFont="1" applyFill="1" applyBorder="1"/>
    <xf numFmtId="167" fontId="0" fillId="21" borderId="1" xfId="1" applyNumberFormat="1" applyFont="1" applyFill="1" applyBorder="1"/>
    <xf numFmtId="167" fontId="3" fillId="40" borderId="1" xfId="1" applyNumberFormat="1" applyFont="1" applyFill="1" applyBorder="1"/>
    <xf numFmtId="167" fontId="0" fillId="40" borderId="1" xfId="1" applyNumberFormat="1" applyFont="1" applyFill="1" applyBorder="1"/>
    <xf numFmtId="167" fontId="3" fillId="18" borderId="1" xfId="1" applyNumberFormat="1" applyFont="1" applyFill="1" applyBorder="1"/>
    <xf numFmtId="167" fontId="0" fillId="18" borderId="1" xfId="1" applyNumberFormat="1" applyFont="1" applyFill="1" applyBorder="1"/>
    <xf numFmtId="167" fontId="3" fillId="29" borderId="1" xfId="1" applyNumberFormat="1" applyFont="1" applyFill="1" applyBorder="1"/>
    <xf numFmtId="167" fontId="0" fillId="29" borderId="1" xfId="1" applyNumberFormat="1" applyFont="1" applyFill="1" applyBorder="1"/>
    <xf numFmtId="167" fontId="3" fillId="29" borderId="93" xfId="0" applyNumberFormat="1" applyFont="1" applyFill="1" applyBorder="1"/>
    <xf numFmtId="167" fontId="0" fillId="0" borderId="0" xfId="0" applyNumberFormat="1"/>
    <xf numFmtId="0" fontId="0" fillId="39" borderId="94" xfId="0" applyFill="1" applyBorder="1"/>
    <xf numFmtId="167" fontId="3" fillId="48" borderId="59" xfId="1" applyNumberFormat="1" applyFont="1" applyFill="1" applyBorder="1"/>
    <xf numFmtId="167" fontId="0" fillId="48" borderId="95" xfId="1" applyNumberFormat="1" applyFont="1" applyFill="1" applyBorder="1"/>
    <xf numFmtId="167" fontId="3" fillId="48" borderId="95" xfId="1" applyNumberFormat="1" applyFont="1" applyFill="1" applyBorder="1"/>
    <xf numFmtId="167" fontId="3" fillId="49" borderId="95" xfId="1" applyNumberFormat="1" applyFont="1" applyFill="1" applyBorder="1"/>
    <xf numFmtId="167" fontId="0" fillId="49" borderId="95" xfId="1" applyNumberFormat="1" applyFont="1" applyFill="1" applyBorder="1"/>
    <xf numFmtId="167" fontId="3" fillId="21" borderId="95" xfId="1" applyNumberFormat="1" applyFont="1" applyFill="1" applyBorder="1"/>
    <xf numFmtId="167" fontId="0" fillId="21" borderId="95" xfId="1" applyNumberFormat="1" applyFont="1" applyFill="1" applyBorder="1"/>
    <xf numFmtId="167" fontId="3" fillId="40" borderId="95" xfId="1" applyNumberFormat="1" applyFont="1" applyFill="1" applyBorder="1"/>
    <xf numFmtId="167" fontId="0" fillId="40" borderId="95" xfId="1" applyNumberFormat="1" applyFont="1" applyFill="1" applyBorder="1"/>
    <xf numFmtId="167" fontId="3" fillId="18" borderId="95" xfId="1" applyNumberFormat="1" applyFont="1" applyFill="1" applyBorder="1"/>
    <xf numFmtId="167" fontId="0" fillId="18" borderId="95" xfId="1" applyNumberFormat="1" applyFont="1" applyFill="1" applyBorder="1"/>
    <xf numFmtId="167" fontId="3" fillId="29" borderId="95" xfId="1" applyNumberFormat="1" applyFont="1" applyFill="1" applyBorder="1"/>
    <xf numFmtId="167" fontId="0" fillId="29" borderId="95" xfId="1" applyNumberFormat="1" applyFont="1" applyFill="1" applyBorder="1"/>
    <xf numFmtId="167" fontId="3" fillId="29" borderId="96" xfId="0" applyNumberFormat="1" applyFont="1" applyFill="1" applyBorder="1"/>
    <xf numFmtId="167" fontId="0" fillId="0" borderId="65" xfId="0" applyNumberFormat="1" applyBorder="1"/>
    <xf numFmtId="0" fontId="0" fillId="29" borderId="97" xfId="0" applyFill="1" applyBorder="1"/>
    <xf numFmtId="0" fontId="0" fillId="29" borderId="99" xfId="0" applyFill="1" applyBorder="1"/>
    <xf numFmtId="0" fontId="68" fillId="29" borderId="89" xfId="0" applyFont="1" applyFill="1" applyBorder="1" applyAlignment="1">
      <alignment wrapText="1"/>
    </xf>
    <xf numFmtId="0" fontId="68" fillId="42" borderId="90" xfId="0" applyFont="1" applyFill="1" applyBorder="1"/>
    <xf numFmtId="0" fontId="69" fillId="42" borderId="91" xfId="0" applyFont="1" applyFill="1" applyBorder="1" applyAlignment="1">
      <alignment wrapText="1"/>
    </xf>
    <xf numFmtId="0" fontId="68" fillId="29" borderId="92" xfId="0" applyFont="1" applyFill="1" applyBorder="1" applyAlignment="1">
      <alignment wrapText="1"/>
    </xf>
    <xf numFmtId="167" fontId="68" fillId="42" borderId="1" xfId="0" applyNumberFormat="1" applyFont="1" applyFill="1" applyBorder="1"/>
    <xf numFmtId="167" fontId="68" fillId="42" borderId="93" xfId="0" applyNumberFormat="1" applyFont="1" applyFill="1" applyBorder="1"/>
    <xf numFmtId="167" fontId="68" fillId="29" borderId="92" xfId="0" applyNumberFormat="1" applyFont="1" applyFill="1" applyBorder="1" applyAlignment="1">
      <alignment wrapText="1"/>
    </xf>
    <xf numFmtId="43" fontId="70" fillId="42" borderId="1" xfId="0" applyNumberFormat="1" applyFont="1" applyFill="1" applyBorder="1"/>
    <xf numFmtId="185" fontId="68" fillId="42" borderId="1" xfId="2" applyNumberFormat="1" applyFont="1" applyFill="1" applyBorder="1"/>
    <xf numFmtId="44" fontId="68" fillId="42" borderId="93" xfId="2" applyFont="1" applyFill="1" applyBorder="1"/>
    <xf numFmtId="44" fontId="68" fillId="42" borderId="1" xfId="2" applyFont="1" applyFill="1" applyBorder="1"/>
    <xf numFmtId="186" fontId="0" fillId="0" borderId="0" xfId="0" applyNumberFormat="1"/>
    <xf numFmtId="0" fontId="68" fillId="29" borderId="92" xfId="0" applyFont="1" applyFill="1" applyBorder="1"/>
    <xf numFmtId="44" fontId="68" fillId="42" borderId="1" xfId="0" applyNumberFormat="1" applyFont="1" applyFill="1" applyBorder="1"/>
    <xf numFmtId="44" fontId="68" fillId="42" borderId="93" xfId="0" applyNumberFormat="1" applyFont="1" applyFill="1" applyBorder="1"/>
    <xf numFmtId="0" fontId="69" fillId="29" borderId="92" xfId="0" applyFont="1" applyFill="1" applyBorder="1" applyAlignment="1">
      <alignment wrapText="1"/>
    </xf>
    <xf numFmtId="44" fontId="69" fillId="42" borderId="1" xfId="0" applyNumberFormat="1" applyFont="1" applyFill="1" applyBorder="1"/>
    <xf numFmtId="44" fontId="69" fillId="42" borderId="93" xfId="0" applyNumberFormat="1" applyFont="1" applyFill="1" applyBorder="1"/>
    <xf numFmtId="0" fontId="0" fillId="0" borderId="93" xfId="0" applyBorder="1"/>
    <xf numFmtId="0" fontId="0" fillId="29" borderId="94" xfId="0" applyFill="1" applyBorder="1"/>
    <xf numFmtId="187" fontId="71" fillId="21" borderId="95" xfId="16" applyNumberFormat="1" applyFont="1" applyFill="1" applyBorder="1" applyAlignment="1">
      <alignment horizontal="center"/>
    </xf>
    <xf numFmtId="0" fontId="0" fillId="0" borderId="95" xfId="0" applyBorder="1"/>
    <xf numFmtId="0" fontId="0" fillId="0" borderId="96" xfId="0" applyBorder="1"/>
    <xf numFmtId="175" fontId="3" fillId="31" borderId="0" xfId="0" applyNumberFormat="1" applyFont="1" applyFill="1"/>
    <xf numFmtId="0" fontId="0" fillId="40" borderId="1" xfId="0" applyFill="1" applyBorder="1"/>
    <xf numFmtId="43" fontId="0" fillId="0" borderId="1" xfId="1" applyFont="1" applyBorder="1"/>
    <xf numFmtId="44" fontId="0" fillId="0" borderId="1" xfId="2" applyFont="1" applyBorder="1"/>
    <xf numFmtId="188" fontId="72" fillId="0" borderId="1" xfId="17" applyNumberFormat="1" applyFont="1" applyBorder="1" applyAlignment="1">
      <alignment horizontal="center"/>
    </xf>
    <xf numFmtId="0" fontId="0" fillId="0" borderId="1" xfId="0" applyBorder="1" applyAlignment="1">
      <alignment wrapText="1"/>
    </xf>
    <xf numFmtId="185" fontId="0" fillId="0" borderId="1" xfId="2" applyNumberFormat="1" applyFont="1" applyBorder="1"/>
    <xf numFmtId="0" fontId="0" fillId="42" borderId="0" xfId="0" applyFill="1"/>
    <xf numFmtId="44" fontId="0" fillId="42" borderId="1" xfId="2" applyFont="1" applyFill="1" applyBorder="1"/>
    <xf numFmtId="188" fontId="0" fillId="42" borderId="0" xfId="0" applyNumberFormat="1" applyFill="1"/>
    <xf numFmtId="167" fontId="0" fillId="42" borderId="60" xfId="1" applyNumberFormat="1" applyFont="1" applyFill="1" applyBorder="1"/>
    <xf numFmtId="188" fontId="72" fillId="42" borderId="60" xfId="17" applyNumberFormat="1" applyFont="1" applyFill="1" applyBorder="1" applyAlignment="1">
      <alignment horizontal="center"/>
    </xf>
    <xf numFmtId="0" fontId="60" fillId="0" borderId="1" xfId="18" applyFont="1" applyBorder="1" applyAlignment="1">
      <alignment horizontal="left" vertical="top" wrapText="1"/>
    </xf>
    <xf numFmtId="188" fontId="0" fillId="0" borderId="1" xfId="0" applyNumberFormat="1" applyBorder="1"/>
    <xf numFmtId="0" fontId="0" fillId="0" borderId="60" xfId="0" applyBorder="1"/>
    <xf numFmtId="188" fontId="72" fillId="0" borderId="0" xfId="17" applyNumberFormat="1" applyFont="1" applyAlignment="1">
      <alignment horizontal="center"/>
    </xf>
    <xf numFmtId="167" fontId="0" fillId="42" borderId="1" xfId="1" applyNumberFormat="1" applyFont="1" applyFill="1" applyBorder="1" applyAlignment="1">
      <alignment wrapText="1"/>
    </xf>
    <xf numFmtId="167" fontId="0" fillId="42" borderId="1" xfId="1" applyNumberFormat="1" applyFont="1" applyFill="1" applyBorder="1"/>
    <xf numFmtId="0" fontId="0" fillId="42" borderId="1" xfId="0" applyFill="1" applyBorder="1" applyAlignment="1">
      <alignment wrapText="1"/>
    </xf>
    <xf numFmtId="0" fontId="0" fillId="42" borderId="60" xfId="0" applyFill="1" applyBorder="1"/>
    <xf numFmtId="0" fontId="0" fillId="42" borderId="1" xfId="0" applyFill="1" applyBorder="1"/>
    <xf numFmtId="167" fontId="0" fillId="42" borderId="1" xfId="0" applyNumberFormat="1" applyFill="1" applyBorder="1" applyAlignment="1">
      <alignment wrapText="1"/>
    </xf>
    <xf numFmtId="0" fontId="0" fillId="2" borderId="1" xfId="0" applyFill="1" applyBorder="1" applyAlignment="1">
      <alignment wrapText="1"/>
    </xf>
    <xf numFmtId="0" fontId="0" fillId="2" borderId="60" xfId="0" applyFill="1" applyBorder="1"/>
    <xf numFmtId="178" fontId="0" fillId="2" borderId="1" xfId="1" applyNumberFormat="1" applyFont="1" applyFill="1" applyBorder="1" applyAlignment="1">
      <alignment wrapText="1"/>
    </xf>
    <xf numFmtId="167" fontId="0" fillId="2" borderId="1" xfId="0" applyNumberFormat="1" applyFill="1" applyBorder="1" applyAlignment="1">
      <alignment wrapText="1"/>
    </xf>
    <xf numFmtId="1" fontId="0" fillId="0" borderId="1" xfId="0" applyNumberFormat="1" applyBorder="1"/>
    <xf numFmtId="0" fontId="60" fillId="0" borderId="1" xfId="0" applyFont="1" applyBorder="1" applyAlignment="1">
      <alignment horizontal="left" vertical="top" wrapText="1"/>
    </xf>
    <xf numFmtId="188" fontId="0" fillId="0" borderId="59" xfId="0" applyNumberFormat="1" applyBorder="1"/>
    <xf numFmtId="0" fontId="22" fillId="2" borderId="1" xfId="0" applyFont="1" applyFill="1" applyBorder="1" applyAlignment="1">
      <alignment horizontal="left" vertical="top" wrapText="1"/>
    </xf>
    <xf numFmtId="0" fontId="22" fillId="2" borderId="59" xfId="0" applyFont="1" applyFill="1" applyBorder="1" applyAlignment="1">
      <alignment horizontal="left" vertical="top" wrapText="1"/>
    </xf>
    <xf numFmtId="0" fontId="0" fillId="0" borderId="59" xfId="0" applyBorder="1"/>
    <xf numFmtId="188" fontId="0" fillId="42" borderId="1" xfId="0" applyNumberFormat="1" applyFill="1" applyBorder="1"/>
    <xf numFmtId="0" fontId="24" fillId="0" borderId="1" xfId="0" applyFont="1" applyBorder="1" applyAlignment="1">
      <alignment horizontal="left" vertical="top" wrapText="1"/>
    </xf>
    <xf numFmtId="0" fontId="24" fillId="42" borderId="1" xfId="0" applyFont="1" applyFill="1" applyBorder="1" applyAlignment="1">
      <alignment horizontal="left" vertical="top" wrapText="1"/>
    </xf>
    <xf numFmtId="1" fontId="0" fillId="42" borderId="1" xfId="0" applyNumberFormat="1" applyFill="1" applyBorder="1"/>
    <xf numFmtId="0" fontId="22" fillId="0" borderId="1" xfId="0" applyFont="1" applyBorder="1" applyAlignment="1">
      <alignment horizontal="left" vertical="top" wrapText="1"/>
    </xf>
    <xf numFmtId="0" fontId="22" fillId="42" borderId="0" xfId="0" applyFont="1" applyFill="1" applyAlignment="1">
      <alignment horizontal="left" vertical="top" wrapText="1"/>
    </xf>
    <xf numFmtId="0" fontId="0" fillId="42" borderId="0" xfId="0" applyFill="1" applyAlignment="1">
      <alignment wrapText="1"/>
    </xf>
    <xf numFmtId="1" fontId="0" fillId="42" borderId="0" xfId="0" applyNumberFormat="1" applyFill="1"/>
    <xf numFmtId="0" fontId="22" fillId="0" borderId="1" xfId="18" applyFont="1" applyBorder="1" applyAlignment="1">
      <alignment horizontal="left" vertical="top" wrapText="1"/>
    </xf>
    <xf numFmtId="0" fontId="24" fillId="42" borderId="0" xfId="0" applyFont="1" applyFill="1" applyAlignment="1">
      <alignment horizontal="left" vertical="top" wrapText="1"/>
    </xf>
    <xf numFmtId="189" fontId="0" fillId="42" borderId="0" xfId="0" applyNumberFormat="1" applyFill="1"/>
    <xf numFmtId="189" fontId="0" fillId="0" borderId="0" xfId="0" applyNumberFormat="1"/>
    <xf numFmtId="0" fontId="73" fillId="28" borderId="0" xfId="0" applyFont="1" applyFill="1"/>
    <xf numFmtId="188" fontId="25" fillId="28" borderId="0" xfId="0" applyNumberFormat="1" applyFont="1" applyFill="1"/>
    <xf numFmtId="0" fontId="73" fillId="50" borderId="0" xfId="0" applyFont="1" applyFill="1"/>
    <xf numFmtId="44" fontId="73" fillId="50" borderId="0" xfId="2" applyFont="1" applyFill="1"/>
    <xf numFmtId="188" fontId="0" fillId="0" borderId="0" xfId="0" applyNumberFormat="1"/>
    <xf numFmtId="0" fontId="0" fillId="0" borderId="0" xfId="0" applyAlignment="1">
      <alignment horizontal="right"/>
    </xf>
    <xf numFmtId="190" fontId="0" fillId="0" borderId="0" xfId="0" applyNumberFormat="1"/>
    <xf numFmtId="181" fontId="3" fillId="0" borderId="0" xfId="0" applyNumberFormat="1" applyFont="1"/>
    <xf numFmtId="3" fontId="3" fillId="0" borderId="0" xfId="0" applyNumberFormat="1" applyFont="1" applyAlignment="1">
      <alignment horizontal="center"/>
    </xf>
    <xf numFmtId="3" fontId="30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3" fontId="19" fillId="0" borderId="0" xfId="0" applyNumberFormat="1" applyFont="1" applyAlignment="1">
      <alignment horizontal="center"/>
    </xf>
    <xf numFmtId="3" fontId="3" fillId="31" borderId="19" xfId="0" applyNumberFormat="1" applyFont="1" applyFill="1" applyBorder="1" applyAlignment="1">
      <alignment horizontal="center" wrapText="1"/>
    </xf>
    <xf numFmtId="0" fontId="3" fillId="31" borderId="19" xfId="0" applyFont="1" applyFill="1" applyBorder="1" applyAlignment="1">
      <alignment horizontal="center" wrapText="1"/>
    </xf>
    <xf numFmtId="3" fontId="3" fillId="31" borderId="2" xfId="0" applyNumberFormat="1" applyFont="1" applyFill="1" applyBorder="1" applyAlignment="1">
      <alignment horizontal="center" wrapText="1"/>
    </xf>
    <xf numFmtId="3" fontId="3" fillId="33" borderId="21" xfId="0" applyNumberFormat="1" applyFont="1" applyFill="1" applyBorder="1" applyAlignment="1">
      <alignment wrapText="1"/>
    </xf>
    <xf numFmtId="3" fontId="3" fillId="33" borderId="20" xfId="0" applyNumberFormat="1" applyFont="1" applyFill="1" applyBorder="1" applyAlignment="1">
      <alignment wrapText="1"/>
    </xf>
    <xf numFmtId="0" fontId="3" fillId="38" borderId="4" xfId="0" applyFont="1" applyFill="1" applyBorder="1"/>
    <xf numFmtId="174" fontId="3" fillId="31" borderId="19" xfId="0" applyNumberFormat="1" applyFont="1" applyFill="1" applyBorder="1" applyAlignment="1">
      <alignment horizontal="center" wrapText="1"/>
    </xf>
    <xf numFmtId="0" fontId="0" fillId="15" borderId="0" xfId="0" applyFill="1" applyAlignment="1">
      <alignment horizontal="left" vertical="top" wrapText="1"/>
    </xf>
    <xf numFmtId="0" fontId="20" fillId="2" borderId="0" xfId="0" applyFont="1" applyFill="1" applyAlignment="1">
      <alignment horizontal="center"/>
    </xf>
    <xf numFmtId="167" fontId="7" fillId="5" borderId="27" xfId="1" applyNumberFormat="1" applyFont="1" applyFill="1" applyBorder="1" applyAlignment="1" applyProtection="1">
      <alignment horizontal="left" vertical="center" wrapText="1"/>
      <protection locked="0"/>
    </xf>
    <xf numFmtId="167" fontId="7" fillId="5" borderId="28" xfId="1" applyNumberFormat="1" applyFont="1" applyFill="1" applyBorder="1" applyAlignment="1" applyProtection="1">
      <alignment horizontal="left" vertical="center" wrapText="1"/>
      <protection locked="0"/>
    </xf>
    <xf numFmtId="3" fontId="7" fillId="5" borderId="42" xfId="3" applyNumberFormat="1" applyFont="1" applyFill="1" applyBorder="1" applyAlignment="1" applyProtection="1">
      <alignment horizontal="center" vertical="center"/>
      <protection locked="0"/>
    </xf>
    <xf numFmtId="3" fontId="7" fillId="5" borderId="27" xfId="3" applyNumberFormat="1" applyFont="1" applyFill="1" applyBorder="1" applyAlignment="1" applyProtection="1">
      <alignment horizontal="center" vertical="center"/>
      <protection locked="0"/>
    </xf>
    <xf numFmtId="3" fontId="7" fillId="5" borderId="55" xfId="3" applyNumberFormat="1" applyFont="1" applyFill="1" applyBorder="1" applyAlignment="1" applyProtection="1">
      <alignment horizontal="center" vertical="center"/>
      <protection locked="0"/>
    </xf>
    <xf numFmtId="167" fontId="13" fillId="6" borderId="56" xfId="1" applyNumberFormat="1" applyFont="1" applyFill="1" applyBorder="1" applyAlignment="1" applyProtection="1">
      <alignment horizontal="center" vertical="center"/>
      <protection locked="0"/>
    </xf>
    <xf numFmtId="167" fontId="13" fillId="6" borderId="25" xfId="1" applyNumberFormat="1" applyFont="1" applyFill="1" applyBorder="1" applyAlignment="1" applyProtection="1">
      <alignment horizontal="center" vertical="center"/>
      <protection locked="0"/>
    </xf>
    <xf numFmtId="3" fontId="3" fillId="41" borderId="59" xfId="0" applyNumberFormat="1" applyFont="1" applyFill="1" applyBorder="1" applyAlignment="1">
      <alignment horizontal="center" wrapText="1"/>
    </xf>
    <xf numFmtId="3" fontId="3" fillId="41" borderId="60" xfId="0" applyNumberFormat="1" applyFont="1" applyFill="1" applyBorder="1" applyAlignment="1">
      <alignment horizontal="center" wrapText="1"/>
    </xf>
    <xf numFmtId="3" fontId="3" fillId="41" borderId="4" xfId="0" applyNumberFormat="1" applyFont="1" applyFill="1" applyBorder="1" applyAlignment="1">
      <alignment horizontal="center" wrapText="1"/>
    </xf>
    <xf numFmtId="3" fontId="35" fillId="29" borderId="17" xfId="0" applyNumberFormat="1" applyFont="1" applyFill="1" applyBorder="1" applyAlignment="1">
      <alignment horizontal="center" wrapText="1"/>
    </xf>
    <xf numFmtId="0" fontId="9" fillId="27" borderId="0" xfId="0" applyFont="1" applyFill="1" applyAlignment="1">
      <alignment horizontal="center"/>
    </xf>
    <xf numFmtId="3" fontId="3" fillId="33" borderId="21" xfId="0" applyNumberFormat="1" applyFont="1" applyFill="1" applyBorder="1" applyAlignment="1">
      <alignment horizontal="center"/>
    </xf>
    <xf numFmtId="3" fontId="3" fillId="33" borderId="19" xfId="0" applyNumberFormat="1" applyFont="1" applyFill="1" applyBorder="1" applyAlignment="1">
      <alignment horizontal="center"/>
    </xf>
    <xf numFmtId="3" fontId="3" fillId="33" borderId="20" xfId="0" applyNumberFormat="1" applyFont="1" applyFill="1" applyBorder="1" applyAlignment="1">
      <alignment horizontal="center"/>
    </xf>
    <xf numFmtId="3" fontId="3" fillId="33" borderId="3" xfId="0" applyNumberFormat="1" applyFont="1" applyFill="1" applyBorder="1" applyAlignment="1">
      <alignment horizontal="center"/>
    </xf>
    <xf numFmtId="3" fontId="3" fillId="33" borderId="17" xfId="0" applyNumberFormat="1" applyFont="1" applyFill="1" applyBorder="1" applyAlignment="1">
      <alignment horizontal="center"/>
    </xf>
    <xf numFmtId="3" fontId="3" fillId="33" borderId="18" xfId="0" applyNumberFormat="1" applyFont="1" applyFill="1" applyBorder="1" applyAlignment="1">
      <alignment horizontal="center"/>
    </xf>
    <xf numFmtId="0" fontId="3" fillId="38" borderId="4" xfId="0" applyFont="1" applyFill="1" applyBorder="1" applyAlignment="1">
      <alignment horizontal="center"/>
    </xf>
    <xf numFmtId="3" fontId="3" fillId="39" borderId="21" xfId="0" applyNumberFormat="1" applyFont="1" applyFill="1" applyBorder="1" applyAlignment="1">
      <alignment horizontal="center" wrapText="1"/>
    </xf>
    <xf numFmtId="3" fontId="3" fillId="39" borderId="19" xfId="0" applyNumberFormat="1" applyFont="1" applyFill="1" applyBorder="1" applyAlignment="1">
      <alignment horizontal="center" wrapText="1"/>
    </xf>
    <xf numFmtId="3" fontId="3" fillId="39" borderId="20" xfId="0" applyNumberFormat="1" applyFont="1" applyFill="1" applyBorder="1" applyAlignment="1">
      <alignment horizontal="center" wrapText="1"/>
    </xf>
    <xf numFmtId="0" fontId="3" fillId="33" borderId="2" xfId="0" applyFont="1" applyFill="1" applyBorder="1" applyAlignment="1">
      <alignment horizontal="center"/>
    </xf>
    <xf numFmtId="0" fontId="3" fillId="33" borderId="16" xfId="0" applyFont="1" applyFill="1" applyBorder="1" applyAlignment="1">
      <alignment horizontal="center"/>
    </xf>
    <xf numFmtId="0" fontId="3" fillId="33" borderId="5" xfId="0" applyFont="1" applyFill="1" applyBorder="1" applyAlignment="1">
      <alignment horizontal="center"/>
    </xf>
    <xf numFmtId="0" fontId="26" fillId="23" borderId="2" xfId="0" applyFont="1" applyFill="1" applyBorder="1" applyAlignment="1">
      <alignment horizontal="center" wrapText="1"/>
    </xf>
    <xf numFmtId="0" fontId="26" fillId="23" borderId="16" xfId="0" applyFont="1" applyFill="1" applyBorder="1" applyAlignment="1">
      <alignment horizontal="center" wrapText="1"/>
    </xf>
    <xf numFmtId="0" fontId="26" fillId="23" borderId="5" xfId="0" applyFont="1" applyFill="1" applyBorder="1" applyAlignment="1">
      <alignment horizontal="center" wrapText="1"/>
    </xf>
    <xf numFmtId="175" fontId="0" fillId="39" borderId="2" xfId="0" applyNumberFormat="1" applyFill="1" applyBorder="1" applyAlignment="1">
      <alignment horizontal="center" wrapText="1"/>
    </xf>
    <xf numFmtId="175" fontId="0" fillId="39" borderId="16" xfId="0" applyNumberFormat="1" applyFill="1" applyBorder="1" applyAlignment="1">
      <alignment horizontal="center" wrapText="1"/>
    </xf>
    <xf numFmtId="175" fontId="0" fillId="39" borderId="5" xfId="0" applyNumberFormat="1" applyFill="1" applyBorder="1" applyAlignment="1">
      <alignment horizontal="center" wrapText="1"/>
    </xf>
    <xf numFmtId="3" fontId="3" fillId="33" borderId="62" xfId="0" applyNumberFormat="1" applyFont="1" applyFill="1" applyBorder="1" applyAlignment="1">
      <alignment horizontal="center" wrapText="1"/>
    </xf>
    <xf numFmtId="3" fontId="3" fillId="33" borderId="0" xfId="0" applyNumberFormat="1" applyFont="1" applyFill="1" applyAlignment="1">
      <alignment horizontal="center" wrapText="1"/>
    </xf>
    <xf numFmtId="3" fontId="3" fillId="33" borderId="19" xfId="0" applyNumberFormat="1" applyFont="1" applyFill="1" applyBorder="1" applyAlignment="1">
      <alignment horizontal="center" wrapText="1"/>
    </xf>
    <xf numFmtId="0" fontId="3" fillId="31" borderId="21" xfId="0" applyFont="1" applyFill="1" applyBorder="1" applyAlignment="1">
      <alignment horizontal="center"/>
    </xf>
    <xf numFmtId="0" fontId="3" fillId="31" borderId="19" xfId="0" applyFont="1" applyFill="1" applyBorder="1" applyAlignment="1">
      <alignment horizontal="center"/>
    </xf>
    <xf numFmtId="0" fontId="3" fillId="31" borderId="20" xfId="0" applyFont="1" applyFill="1" applyBorder="1" applyAlignment="1">
      <alignment horizontal="center"/>
    </xf>
    <xf numFmtId="0" fontId="3" fillId="31" borderId="3" xfId="0" applyFont="1" applyFill="1" applyBorder="1" applyAlignment="1">
      <alignment horizontal="center"/>
    </xf>
    <xf numFmtId="0" fontId="3" fillId="31" borderId="17" xfId="0" applyFont="1" applyFill="1" applyBorder="1" applyAlignment="1">
      <alignment horizontal="center"/>
    </xf>
    <xf numFmtId="0" fontId="3" fillId="31" borderId="18" xfId="0" applyFont="1" applyFill="1" applyBorder="1" applyAlignment="1">
      <alignment horizontal="center"/>
    </xf>
    <xf numFmtId="3" fontId="3" fillId="33" borderId="2" xfId="0" applyNumberFormat="1" applyFont="1" applyFill="1" applyBorder="1" applyAlignment="1">
      <alignment horizontal="center" wrapText="1"/>
    </xf>
    <xf numFmtId="3" fontId="3" fillId="33" borderId="16" xfId="0" applyNumberFormat="1" applyFont="1" applyFill="1" applyBorder="1" applyAlignment="1">
      <alignment horizontal="center" wrapText="1"/>
    </xf>
    <xf numFmtId="3" fontId="3" fillId="33" borderId="5" xfId="0" applyNumberFormat="1" applyFont="1" applyFill="1" applyBorder="1" applyAlignment="1">
      <alignment horizontal="center" wrapText="1"/>
    </xf>
    <xf numFmtId="169" fontId="3" fillId="33" borderId="57" xfId="0" applyNumberFormat="1" applyFont="1" applyFill="1" applyBorder="1" applyAlignment="1">
      <alignment horizontal="center"/>
    </xf>
    <xf numFmtId="0" fontId="3" fillId="33" borderId="57" xfId="0" applyFont="1" applyFill="1" applyBorder="1" applyAlignment="1">
      <alignment horizontal="left" wrapText="1"/>
    </xf>
    <xf numFmtId="0" fontId="3" fillId="28" borderId="57" xfId="0" applyFont="1" applyFill="1" applyBorder="1" applyAlignment="1">
      <alignment horizontal="center" wrapText="1"/>
    </xf>
    <xf numFmtId="0" fontId="3" fillId="33" borderId="4" xfId="0" applyFont="1" applyFill="1" applyBorder="1" applyAlignment="1">
      <alignment horizontal="center" wrapText="1"/>
    </xf>
    <xf numFmtId="0" fontId="3" fillId="33" borderId="4" xfId="0" applyFont="1" applyFill="1" applyBorder="1" applyAlignment="1">
      <alignment horizontal="center"/>
    </xf>
    <xf numFmtId="0" fontId="3" fillId="0" borderId="57" xfId="0" applyFont="1" applyBorder="1" applyAlignment="1">
      <alignment horizontal="center" wrapText="1"/>
    </xf>
    <xf numFmtId="0" fontId="3" fillId="39" borderId="2" xfId="0" applyFont="1" applyFill="1" applyBorder="1" applyAlignment="1">
      <alignment horizontal="center"/>
    </xf>
    <xf numFmtId="0" fontId="3" fillId="39" borderId="16" xfId="0" applyFont="1" applyFill="1" applyBorder="1" applyAlignment="1">
      <alignment horizontal="center"/>
    </xf>
    <xf numFmtId="0" fontId="3" fillId="39" borderId="5" xfId="0" applyFont="1" applyFill="1" applyBorder="1" applyAlignment="1">
      <alignment horizontal="center"/>
    </xf>
    <xf numFmtId="3" fontId="3" fillId="34" borderId="2" xfId="0" applyNumberFormat="1" applyFont="1" applyFill="1" applyBorder="1" applyAlignment="1">
      <alignment horizontal="center" wrapText="1"/>
    </xf>
    <xf numFmtId="3" fontId="3" fillId="34" borderId="16" xfId="0" applyNumberFormat="1" applyFont="1" applyFill="1" applyBorder="1" applyAlignment="1">
      <alignment horizontal="center" wrapText="1"/>
    </xf>
    <xf numFmtId="3" fontId="3" fillId="34" borderId="5" xfId="0" applyNumberFormat="1" applyFont="1" applyFill="1" applyBorder="1" applyAlignment="1">
      <alignment horizontal="center" wrapText="1"/>
    </xf>
    <xf numFmtId="43" fontId="58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7" fontId="56" fillId="0" borderId="1" xfId="0" applyNumberFormat="1" applyFont="1" applyBorder="1" applyAlignment="1">
      <alignment horizontal="left"/>
    </xf>
    <xf numFmtId="0" fontId="57" fillId="0" borderId="0" xfId="0" applyFont="1" applyAlignment="1">
      <alignment vertical="top" wrapText="1"/>
    </xf>
    <xf numFmtId="43" fontId="55" fillId="0" borderId="1" xfId="0" applyNumberFormat="1" applyFont="1" applyBorder="1" applyAlignment="1">
      <alignment horizontal="left"/>
    </xf>
    <xf numFmtId="43" fontId="58" fillId="0" borderId="1" xfId="0" applyNumberFormat="1" applyFont="1" applyBorder="1" applyAlignment="1">
      <alignment horizontal="left"/>
    </xf>
    <xf numFmtId="167" fontId="55" fillId="0" borderId="1" xfId="0" applyNumberFormat="1" applyFont="1" applyBorder="1" applyAlignment="1">
      <alignment horizontal="left"/>
    </xf>
    <xf numFmtId="167" fontId="58" fillId="0" borderId="1" xfId="0" applyNumberFormat="1" applyFont="1" applyBorder="1" applyAlignment="1">
      <alignment horizontal="left"/>
    </xf>
    <xf numFmtId="167" fontId="58" fillId="0" borderId="1" xfId="0" applyNumberFormat="1" applyFont="1" applyBorder="1" applyAlignment="1">
      <alignment horizontal="center"/>
    </xf>
    <xf numFmtId="167" fontId="58" fillId="0" borderId="1" xfId="0" applyNumberFormat="1" applyFont="1" applyBorder="1" applyAlignment="1">
      <alignment horizontal="left" wrapText="1"/>
    </xf>
    <xf numFmtId="0" fontId="55" fillId="0" borderId="1" xfId="0" applyFont="1" applyBorder="1" applyAlignment="1">
      <alignment horizontal="left"/>
    </xf>
    <xf numFmtId="43" fontId="58" fillId="0" borderId="1" xfId="0" applyNumberFormat="1" applyFont="1" applyBorder="1" applyAlignment="1">
      <alignment horizontal="left" vertical="top" wrapText="1"/>
    </xf>
    <xf numFmtId="0" fontId="55" fillId="0" borderId="1" xfId="0" applyFont="1" applyBorder="1" applyAlignment="1">
      <alignment horizontal="left" wrapText="1"/>
    </xf>
    <xf numFmtId="167" fontId="55" fillId="0" borderId="2" xfId="0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0" fontId="0" fillId="0" borderId="5" xfId="0" applyBorder="1" applyAlignment="1">
      <alignment horizontal="left"/>
    </xf>
    <xf numFmtId="0" fontId="58" fillId="0" borderId="1" xfId="0" applyFont="1" applyBorder="1" applyAlignment="1">
      <alignment horizontal="center"/>
    </xf>
    <xf numFmtId="43" fontId="58" fillId="0" borderId="1" xfId="0" applyNumberFormat="1" applyFont="1" applyBorder="1" applyAlignment="1">
      <alignment horizontal="left" wrapText="1"/>
    </xf>
    <xf numFmtId="0" fontId="3" fillId="2" borderId="22" xfId="0" applyFont="1" applyFill="1" applyBorder="1" applyAlignment="1">
      <alignment horizontal="center"/>
    </xf>
    <xf numFmtId="0" fontId="3" fillId="2" borderId="25" xfId="0" applyFont="1" applyFill="1" applyBorder="1" applyAlignment="1">
      <alignment horizontal="center"/>
    </xf>
    <xf numFmtId="0" fontId="3" fillId="2" borderId="23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43" fontId="38" fillId="43" borderId="3" xfId="1" applyFont="1" applyFill="1" applyBorder="1" applyAlignment="1">
      <alignment horizontal="center" vertical="center"/>
    </xf>
    <xf numFmtId="43" fontId="38" fillId="43" borderId="17" xfId="1" applyFont="1" applyFill="1" applyBorder="1" applyAlignment="1">
      <alignment horizontal="center" vertical="center"/>
    </xf>
    <xf numFmtId="43" fontId="38" fillId="43" borderId="18" xfId="1" applyFont="1" applyFill="1" applyBorder="1" applyAlignment="1">
      <alignment horizontal="center" vertical="center"/>
    </xf>
    <xf numFmtId="0" fontId="36" fillId="0" borderId="2" xfId="0" applyFont="1" applyBorder="1" applyAlignment="1">
      <alignment horizontal="left" vertical="center" wrapText="1"/>
    </xf>
    <xf numFmtId="0" fontId="36" fillId="0" borderId="16" xfId="0" applyFont="1" applyBorder="1" applyAlignment="1">
      <alignment horizontal="left" vertical="center" wrapText="1"/>
    </xf>
    <xf numFmtId="0" fontId="36" fillId="0" borderId="5" xfId="0" applyFont="1" applyBorder="1" applyAlignment="1">
      <alignment horizontal="left" vertical="center" wrapText="1"/>
    </xf>
    <xf numFmtId="0" fontId="36" fillId="0" borderId="2" xfId="0" applyFont="1" applyBorder="1" applyAlignment="1">
      <alignment horizontal="left" vertical="center"/>
    </xf>
    <xf numFmtId="0" fontId="36" fillId="0" borderId="16" xfId="0" applyFont="1" applyBorder="1" applyAlignment="1">
      <alignment horizontal="left" vertical="center"/>
    </xf>
    <xf numFmtId="0" fontId="36" fillId="0" borderId="5" xfId="0" applyFont="1" applyBorder="1" applyAlignment="1">
      <alignment horizontal="left" vertical="center"/>
    </xf>
    <xf numFmtId="0" fontId="40" fillId="38" borderId="63" xfId="0" applyFont="1" applyFill="1" applyBorder="1" applyAlignment="1">
      <alignment horizontal="left" wrapText="1"/>
    </xf>
    <xf numFmtId="0" fontId="40" fillId="38" borderId="64" xfId="0" applyFont="1" applyFill="1" applyBorder="1" applyAlignment="1">
      <alignment horizontal="left" wrapText="1"/>
    </xf>
    <xf numFmtId="0" fontId="40" fillId="38" borderId="41" xfId="0" applyFont="1" applyFill="1" applyBorder="1" applyAlignment="1">
      <alignment horizontal="left" wrapText="1"/>
    </xf>
    <xf numFmtId="43" fontId="38" fillId="43" borderId="2" xfId="1" applyFont="1" applyFill="1" applyBorder="1" applyAlignment="1">
      <alignment horizontal="left" vertical="center"/>
    </xf>
    <xf numFmtId="43" fontId="38" fillId="43" borderId="16" xfId="1" applyFont="1" applyFill="1" applyBorder="1" applyAlignment="1">
      <alignment horizontal="left" vertical="center"/>
    </xf>
    <xf numFmtId="43" fontId="38" fillId="43" borderId="5" xfId="1" applyFont="1" applyFill="1" applyBorder="1" applyAlignment="1">
      <alignment horizontal="left" vertical="center"/>
    </xf>
    <xf numFmtId="43" fontId="38" fillId="43" borderId="2" xfId="1" applyFont="1" applyFill="1" applyBorder="1" applyAlignment="1">
      <alignment horizontal="center" vertical="center"/>
    </xf>
    <xf numFmtId="43" fontId="38" fillId="43" borderId="16" xfId="1" applyFont="1" applyFill="1" applyBorder="1" applyAlignment="1">
      <alignment horizontal="center" vertical="center"/>
    </xf>
    <xf numFmtId="43" fontId="38" fillId="43" borderId="5" xfId="1" applyFont="1" applyFill="1" applyBorder="1" applyAlignment="1">
      <alignment horizontal="center" vertical="center"/>
    </xf>
    <xf numFmtId="0" fontId="36" fillId="0" borderId="66" xfId="0" applyFont="1" applyBorder="1" applyAlignment="1">
      <alignment horizontal="left"/>
    </xf>
    <xf numFmtId="0" fontId="36" fillId="0" borderId="16" xfId="0" applyFont="1" applyBorder="1" applyAlignment="1">
      <alignment horizontal="left"/>
    </xf>
    <xf numFmtId="0" fontId="36" fillId="0" borderId="5" xfId="0" applyFont="1" applyBorder="1" applyAlignment="1">
      <alignment horizontal="left"/>
    </xf>
    <xf numFmtId="0" fontId="37" fillId="0" borderId="2" xfId="0" applyFont="1" applyBorder="1" applyAlignment="1">
      <alignment horizontal="left" vertical="center" wrapText="1"/>
    </xf>
    <xf numFmtId="0" fontId="37" fillId="0" borderId="16" xfId="0" applyFont="1" applyBorder="1" applyAlignment="1">
      <alignment horizontal="left" vertical="center" wrapText="1"/>
    </xf>
    <xf numFmtId="0" fontId="37" fillId="0" borderId="5" xfId="0" applyFont="1" applyBorder="1" applyAlignment="1">
      <alignment horizontal="left" vertical="center" wrapText="1"/>
    </xf>
    <xf numFmtId="0" fontId="36" fillId="2" borderId="66" xfId="0" applyFont="1" applyFill="1" applyBorder="1" applyAlignment="1">
      <alignment horizontal="left"/>
    </xf>
    <xf numFmtId="0" fontId="36" fillId="2" borderId="16" xfId="0" applyFont="1" applyFill="1" applyBorder="1" applyAlignment="1">
      <alignment horizontal="left"/>
    </xf>
    <xf numFmtId="0" fontId="36" fillId="2" borderId="5" xfId="0" applyFont="1" applyFill="1" applyBorder="1" applyAlignment="1">
      <alignment horizontal="left"/>
    </xf>
    <xf numFmtId="43" fontId="38" fillId="11" borderId="2" xfId="1" applyFont="1" applyFill="1" applyBorder="1" applyAlignment="1">
      <alignment horizontal="center" vertical="center" wrapText="1"/>
    </xf>
    <xf numFmtId="43" fontId="38" fillId="11" borderId="16" xfId="1" applyFont="1" applyFill="1" applyBorder="1" applyAlignment="1">
      <alignment horizontal="center" vertical="center" wrapText="1"/>
    </xf>
    <xf numFmtId="43" fontId="38" fillId="11" borderId="5" xfId="1" applyFont="1" applyFill="1" applyBorder="1" applyAlignment="1">
      <alignment horizontal="center" vertical="center" wrapText="1"/>
    </xf>
    <xf numFmtId="0" fontId="40" fillId="38" borderId="66" xfId="0" applyFont="1" applyFill="1" applyBorder="1" applyAlignment="1">
      <alignment horizontal="left"/>
    </xf>
    <xf numFmtId="0" fontId="40" fillId="38" borderId="16" xfId="0" applyFont="1" applyFill="1" applyBorder="1" applyAlignment="1">
      <alignment horizontal="left"/>
    </xf>
    <xf numFmtId="0" fontId="40" fillId="38" borderId="5" xfId="0" applyFont="1" applyFill="1" applyBorder="1" applyAlignment="1">
      <alignment horizontal="left"/>
    </xf>
    <xf numFmtId="43" fontId="38" fillId="11" borderId="2" xfId="1" applyFont="1" applyFill="1" applyBorder="1" applyAlignment="1">
      <alignment horizontal="left" vertical="center" wrapText="1"/>
    </xf>
    <xf numFmtId="43" fontId="38" fillId="11" borderId="16" xfId="1" applyFont="1" applyFill="1" applyBorder="1" applyAlignment="1">
      <alignment horizontal="left" vertical="center" wrapText="1"/>
    </xf>
    <xf numFmtId="43" fontId="38" fillId="11" borderId="5" xfId="1" applyFont="1" applyFill="1" applyBorder="1" applyAlignment="1">
      <alignment horizontal="left" vertical="center" wrapText="1"/>
    </xf>
    <xf numFmtId="0" fontId="36" fillId="0" borderId="66" xfId="0" applyFont="1" applyBorder="1" applyAlignment="1">
      <alignment horizontal="left" wrapText="1"/>
    </xf>
    <xf numFmtId="0" fontId="36" fillId="0" borderId="16" xfId="0" applyFont="1" applyBorder="1" applyAlignment="1">
      <alignment horizontal="left" wrapText="1"/>
    </xf>
    <xf numFmtId="0" fontId="36" fillId="0" borderId="5" xfId="0" applyFont="1" applyBorder="1" applyAlignment="1">
      <alignment horizontal="left" wrapText="1"/>
    </xf>
    <xf numFmtId="167" fontId="37" fillId="0" borderId="2" xfId="10" applyNumberFormat="1" applyFont="1" applyFill="1" applyBorder="1" applyAlignment="1">
      <alignment horizontal="left"/>
    </xf>
    <xf numFmtId="167" fontId="37" fillId="0" borderId="16" xfId="10" applyNumberFormat="1" applyFont="1" applyFill="1" applyBorder="1" applyAlignment="1">
      <alignment horizontal="left"/>
    </xf>
    <xf numFmtId="167" fontId="37" fillId="0" borderId="5" xfId="10" applyNumberFormat="1" applyFont="1" applyFill="1" applyBorder="1" applyAlignment="1">
      <alignment horizontal="left"/>
    </xf>
    <xf numFmtId="43" fontId="38" fillId="43" borderId="2" xfId="1" applyFont="1" applyFill="1" applyBorder="1" applyAlignment="1">
      <alignment horizontal="left" vertical="center" wrapText="1"/>
    </xf>
    <xf numFmtId="43" fontId="38" fillId="43" borderId="16" xfId="1" applyFont="1" applyFill="1" applyBorder="1" applyAlignment="1">
      <alignment horizontal="left" vertical="center" wrapText="1"/>
    </xf>
    <xf numFmtId="43" fontId="38" fillId="43" borderId="5" xfId="1" applyFont="1" applyFill="1" applyBorder="1" applyAlignment="1">
      <alignment horizontal="left" vertical="center" wrapText="1"/>
    </xf>
    <xf numFmtId="43" fontId="38" fillId="43" borderId="21" xfId="1" applyFont="1" applyFill="1" applyBorder="1" applyAlignment="1">
      <alignment horizontal="left" vertical="center" wrapText="1"/>
    </xf>
    <xf numFmtId="167" fontId="39" fillId="43" borderId="68" xfId="1" applyNumberFormat="1" applyFont="1" applyFill="1" applyBorder="1" applyAlignment="1">
      <alignment horizontal="center" vertical="top"/>
    </xf>
    <xf numFmtId="167" fontId="39" fillId="43" borderId="69" xfId="1" applyNumberFormat="1" applyFont="1" applyFill="1" applyBorder="1" applyAlignment="1">
      <alignment horizontal="center" vertical="top"/>
    </xf>
    <xf numFmtId="0" fontId="43" fillId="0" borderId="32" xfId="0" applyFont="1" applyBorder="1" applyAlignment="1">
      <alignment horizontal="left" vertical="center" wrapText="1"/>
    </xf>
    <xf numFmtId="3" fontId="37" fillId="0" borderId="0" xfId="0" applyNumberFormat="1" applyFont="1" applyAlignment="1">
      <alignment horizontal="center"/>
    </xf>
    <xf numFmtId="43" fontId="36" fillId="0" borderId="1" xfId="7" applyFont="1" applyBorder="1" applyAlignment="1">
      <alignment horizontal="left" vertical="top"/>
    </xf>
    <xf numFmtId="43" fontId="38" fillId="43" borderId="40" xfId="1" applyFont="1" applyFill="1" applyBorder="1" applyAlignment="1">
      <alignment horizontal="center" vertical="center" wrapText="1"/>
    </xf>
    <xf numFmtId="43" fontId="38" fillId="43" borderId="41" xfId="1" applyFont="1" applyFill="1" applyBorder="1" applyAlignment="1">
      <alignment horizontal="center" vertical="center" wrapText="1"/>
    </xf>
    <xf numFmtId="0" fontId="37" fillId="0" borderId="16" xfId="0" applyFont="1" applyBorder="1" applyAlignment="1">
      <alignment horizontal="left"/>
    </xf>
    <xf numFmtId="0" fontId="37" fillId="0" borderId="5" xfId="0" applyFont="1" applyBorder="1" applyAlignment="1">
      <alignment horizontal="left"/>
    </xf>
    <xf numFmtId="0" fontId="37" fillId="0" borderId="2" xfId="0" applyFont="1" applyBorder="1" applyAlignment="1">
      <alignment horizontal="left"/>
    </xf>
    <xf numFmtId="0" fontId="36" fillId="38" borderId="22" xfId="0" applyFont="1" applyFill="1" applyBorder="1" applyAlignment="1">
      <alignment horizontal="left"/>
    </xf>
    <xf numFmtId="0" fontId="36" fillId="38" borderId="25" xfId="0" applyFont="1" applyFill="1" applyBorder="1" applyAlignment="1">
      <alignment horizontal="left"/>
    </xf>
    <xf numFmtId="43" fontId="36" fillId="0" borderId="2" xfId="7" applyFont="1" applyBorder="1" applyAlignment="1">
      <alignment horizontal="left" vertical="top"/>
    </xf>
    <xf numFmtId="43" fontId="36" fillId="0" borderId="16" xfId="7" applyFont="1" applyBorder="1" applyAlignment="1">
      <alignment horizontal="left" vertical="top"/>
    </xf>
    <xf numFmtId="43" fontId="36" fillId="0" borderId="5" xfId="7" applyFont="1" applyBorder="1" applyAlignment="1">
      <alignment horizontal="left" vertical="top"/>
    </xf>
    <xf numFmtId="43" fontId="36" fillId="0" borderId="1" xfId="7" applyFont="1" applyBorder="1" applyAlignment="1">
      <alignment horizontal="left" vertical="top" wrapText="1"/>
    </xf>
    <xf numFmtId="43" fontId="36" fillId="0" borderId="59" xfId="7" applyFont="1" applyBorder="1" applyAlignment="1">
      <alignment horizontal="left" vertical="top"/>
    </xf>
    <xf numFmtId="0" fontId="62" fillId="42" borderId="1" xfId="0" applyFont="1" applyFill="1" applyBorder="1" applyAlignment="1">
      <alignment horizontal="left" vertical="center"/>
    </xf>
    <xf numFmtId="0" fontId="62" fillId="42" borderId="1" xfId="0" applyFont="1" applyFill="1" applyBorder="1" applyAlignment="1">
      <alignment horizontal="left" vertical="top" wrapText="1"/>
    </xf>
    <xf numFmtId="0" fontId="61" fillId="0" borderId="1" xfId="0" applyFont="1" applyBorder="1" applyAlignment="1">
      <alignment horizontal="left" vertical="center"/>
    </xf>
    <xf numFmtId="43" fontId="64" fillId="0" borderId="2" xfId="1" applyFont="1" applyFill="1" applyBorder="1" applyAlignment="1"/>
    <xf numFmtId="43" fontId="64" fillId="0" borderId="5" xfId="1" applyFont="1" applyFill="1" applyBorder="1" applyAlignment="1"/>
    <xf numFmtId="43" fontId="64" fillId="2" borderId="2" xfId="1" applyFont="1" applyFill="1" applyBorder="1" applyAlignment="1"/>
    <xf numFmtId="43" fontId="64" fillId="2" borderId="5" xfId="1" applyFont="1" applyFill="1" applyBorder="1" applyAlignment="1"/>
    <xf numFmtId="0" fontId="62" fillId="0" borderId="1" xfId="0" applyFont="1" applyBorder="1" applyAlignment="1">
      <alignment horizontal="left" vertical="center"/>
    </xf>
    <xf numFmtId="0" fontId="61" fillId="0" borderId="2" xfId="0" applyFont="1" applyBorder="1" applyAlignment="1">
      <alignment horizontal="left" vertical="center"/>
    </xf>
    <xf numFmtId="0" fontId="61" fillId="0" borderId="16" xfId="0" applyFont="1" applyBorder="1" applyAlignment="1">
      <alignment horizontal="left" vertical="center"/>
    </xf>
    <xf numFmtId="0" fontId="61" fillId="0" borderId="5" xfId="0" applyFont="1" applyBorder="1" applyAlignment="1">
      <alignment horizontal="left" vertical="center"/>
    </xf>
    <xf numFmtId="0" fontId="62" fillId="0" borderId="2" xfId="0" applyFont="1" applyBorder="1" applyAlignment="1">
      <alignment horizontal="right"/>
    </xf>
    <xf numFmtId="0" fontId="62" fillId="0" borderId="5" xfId="0" applyFont="1" applyBorder="1" applyAlignment="1">
      <alignment horizontal="right"/>
    </xf>
    <xf numFmtId="0" fontId="61" fillId="0" borderId="2" xfId="0" applyFont="1" applyBorder="1" applyAlignment="1">
      <alignment horizontal="right"/>
    </xf>
    <xf numFmtId="0" fontId="61" fillId="0" borderId="5" xfId="0" applyFont="1" applyBorder="1" applyAlignment="1">
      <alignment horizontal="right"/>
    </xf>
    <xf numFmtId="2" fontId="61" fillId="0" borderId="2" xfId="0" applyNumberFormat="1" applyFont="1" applyBorder="1" applyAlignment="1">
      <alignment horizontal="right"/>
    </xf>
    <xf numFmtId="2" fontId="61" fillId="0" borderId="5" xfId="0" applyNumberFormat="1" applyFont="1" applyBorder="1" applyAlignment="1">
      <alignment horizontal="right"/>
    </xf>
    <xf numFmtId="2" fontId="61" fillId="0" borderId="2" xfId="0" applyNumberFormat="1" applyFont="1" applyBorder="1" applyAlignment="1">
      <alignment horizontal="right" vertical="center"/>
    </xf>
    <xf numFmtId="2" fontId="61" fillId="0" borderId="5" xfId="0" applyNumberFormat="1" applyFont="1" applyBorder="1" applyAlignment="1">
      <alignment horizontal="right" vertical="center"/>
    </xf>
    <xf numFmtId="0" fontId="61" fillId="0" borderId="2" xfId="0" applyFont="1" applyBorder="1" applyAlignment="1">
      <alignment horizontal="right" vertical="center"/>
    </xf>
    <xf numFmtId="0" fontId="61" fillId="0" borderId="5" xfId="0" applyFont="1" applyBorder="1" applyAlignment="1">
      <alignment horizontal="right" vertical="center"/>
    </xf>
    <xf numFmtId="0" fontId="0" fillId="38" borderId="90" xfId="0" applyFill="1" applyBorder="1" applyAlignment="1">
      <alignment horizontal="center"/>
    </xf>
    <xf numFmtId="0" fontId="0" fillId="38" borderId="91" xfId="0" applyFill="1" applyBorder="1" applyAlignment="1">
      <alignment horizontal="center"/>
    </xf>
    <xf numFmtId="0" fontId="68" fillId="29" borderId="98" xfId="0" applyFont="1" applyFill="1" applyBorder="1" applyAlignment="1">
      <alignment horizontal="center"/>
    </xf>
    <xf numFmtId="0" fontId="0" fillId="0" borderId="88" xfId="0" applyBorder="1" applyAlignment="1">
      <alignment horizontal="left" wrapText="1"/>
    </xf>
  </cellXfs>
  <cellStyles count="19">
    <cellStyle name="Comma" xfId="1" builtinId="3"/>
    <cellStyle name="Comma 10 3" xfId="15" xr:uid="{5D3D11EA-FEE3-43FC-A63E-CE62A8E3E41B}"/>
    <cellStyle name="Comma 129" xfId="6" xr:uid="{00000000-0005-0000-0000-000001000000}"/>
    <cellStyle name="Comma 2" xfId="7" xr:uid="{00000000-0005-0000-0000-000002000000}"/>
    <cellStyle name="Comma 2 4" xfId="10" xr:uid="{D8B19B87-2F95-43FC-9D62-582904F7BA07}"/>
    <cellStyle name="Comma 3" xfId="11" xr:uid="{0440513C-D437-475A-AA77-47F118D7CEE0}"/>
    <cellStyle name="Comma 5" xfId="13" xr:uid="{11D8D7EF-5FAA-49C0-97C5-A727D28D91B0}"/>
    <cellStyle name="Currency" xfId="2" builtinId="4"/>
    <cellStyle name="Currency 2" xfId="8" xr:uid="{00000000-0005-0000-0000-000004000000}"/>
    <cellStyle name="Normal" xfId="0" builtinId="0"/>
    <cellStyle name="Normal 10" xfId="9" xr:uid="{00000000-0005-0000-0000-000006000000}"/>
    <cellStyle name="Normal 17 5" xfId="4" xr:uid="{00000000-0005-0000-0000-000007000000}"/>
    <cellStyle name="Normal 19" xfId="3" xr:uid="{00000000-0005-0000-0000-000008000000}"/>
    <cellStyle name="Normal 2" xfId="16" xr:uid="{88D72CFA-0CCC-44E6-A0E8-5293025F2790}"/>
    <cellStyle name="Normal 3" xfId="12" xr:uid="{1A35FC9F-A06A-4B88-A39D-CAA7EB2CA76D}"/>
    <cellStyle name="Normal 4 4" xfId="18" xr:uid="{9C41358B-803E-4DA8-BD3B-D1EF8EE68B78}"/>
    <cellStyle name="Normal 49" xfId="5" xr:uid="{00000000-0005-0000-0000-000009000000}"/>
    <cellStyle name="Normal 5" xfId="17" xr:uid="{AB9CCA80-8785-4CFC-8A6D-653906DA4942}"/>
    <cellStyle name="Percent" xfId="14" builtinId="5"/>
  </cellStyles>
  <dxfs count="112">
    <dxf>
      <font>
        <color theme="0"/>
      </font>
      <fill>
        <patternFill>
          <bgColor theme="1" tint="0.499984740745262"/>
        </patternFill>
      </fill>
    </dxf>
    <dxf>
      <fill>
        <patternFill>
          <bgColor theme="0" tint="-0.14996795556505021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1F497D"/>
        </patternFill>
      </fill>
    </dxf>
    <dxf>
      <font>
        <b/>
        <i val="0"/>
        <color theme="0"/>
      </font>
      <fill>
        <patternFill>
          <bgColor rgb="FF16365C"/>
        </patternFill>
      </fill>
    </dxf>
    <dxf>
      <font>
        <b/>
        <i val="0"/>
        <color theme="0"/>
      </font>
      <fill>
        <patternFill>
          <bgColor rgb="FF0F243E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rgb="FF1F497D"/>
        </patternFill>
      </fill>
    </dxf>
    <dxf>
      <font>
        <b/>
        <i val="0"/>
        <color theme="0"/>
      </font>
      <fill>
        <patternFill>
          <bgColor rgb="FF16365C"/>
        </patternFill>
      </fill>
    </dxf>
    <dxf>
      <font>
        <b/>
        <i val="0"/>
        <color theme="0"/>
      </font>
      <fill>
        <patternFill>
          <bgColor rgb="FF0F243E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2" tint="-0.24994659260841701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74996185186315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rgb="FF1F497D"/>
        </patternFill>
      </fill>
    </dxf>
    <dxf>
      <font>
        <b/>
        <i val="0"/>
        <color theme="0"/>
      </font>
      <fill>
        <patternFill>
          <bgColor rgb="FF16365C"/>
        </patternFill>
      </fill>
    </dxf>
    <dxf>
      <font>
        <b/>
        <i val="0"/>
        <color theme="0"/>
      </font>
      <fill>
        <patternFill>
          <bgColor rgb="FF0F243E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rgb="FF1F497D"/>
        </patternFill>
      </fill>
    </dxf>
    <dxf>
      <font>
        <b/>
        <i val="0"/>
        <color theme="0"/>
      </font>
      <fill>
        <patternFill>
          <bgColor rgb="FF16365C"/>
        </patternFill>
      </fill>
    </dxf>
    <dxf>
      <font>
        <b/>
        <i val="0"/>
        <color theme="0"/>
      </font>
      <fill>
        <patternFill>
          <bgColor rgb="FF0F243E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rgb="FF1F497D"/>
        </patternFill>
      </fill>
    </dxf>
    <dxf>
      <font>
        <b/>
        <i val="0"/>
        <color theme="0"/>
      </font>
      <fill>
        <patternFill>
          <bgColor rgb="FF16365C"/>
        </patternFill>
      </fill>
    </dxf>
    <dxf>
      <font>
        <b/>
        <i val="0"/>
        <color theme="0"/>
      </font>
      <fill>
        <patternFill>
          <bgColor rgb="FF0F243E"/>
        </patternFill>
      </fill>
    </dxf>
    <dxf>
      <font>
        <strike val="0"/>
        <outline val="0"/>
        <shadow val="0"/>
        <u val="none"/>
        <vertAlign val="baseline"/>
        <sz val="10"/>
        <color rgb="FF0000FF"/>
        <name val="Calibri"/>
        <scheme val="minor"/>
      </font>
      <numFmt numFmtId="3" formatCode="#,##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/>
      </border>
      <protection locked="0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" formatCode="#,##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" formatCode="#,##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" formatCode="#,##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" formatCode="#,##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" formatCode="#,##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" formatCode="#,##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" formatCode="#,##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" formatCode="#,##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" formatCode="#,##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" formatCode="#,##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" formatCode="#,##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" formatCode="#,##0"/>
      <border diagonalUp="0" diagonalDown="0">
        <left style="medium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family val="2"/>
        <scheme val="minor"/>
      </font>
      <numFmt numFmtId="3" formatCode="#,##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family val="2"/>
        <scheme val="minor"/>
      </font>
      <numFmt numFmtId="3" formatCode="#,##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family val="2"/>
        <scheme val="minor"/>
      </font>
      <numFmt numFmtId="3" formatCode="#,##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family val="2"/>
        <scheme val="minor"/>
      </font>
      <numFmt numFmtId="3" formatCode="#,##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family val="2"/>
        <scheme val="minor"/>
      </font>
      <numFmt numFmtId="3" formatCode="#,##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FF"/>
        <name val="Calibri"/>
        <scheme val="minor"/>
      </font>
      <numFmt numFmtId="3" formatCode="#,##0"/>
      <fill>
        <patternFill patternType="solid">
          <fgColor indexed="64"/>
          <bgColor theme="0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FF"/>
        <name val="Calibri"/>
        <family val="2"/>
        <scheme val="minor"/>
      </font>
      <numFmt numFmtId="3" formatCode="#,##0"/>
      <fill>
        <patternFill patternType="solid">
          <fgColor indexed="64"/>
          <bgColor theme="0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FF"/>
        <name val="Calibri"/>
        <scheme val="minor"/>
      </font>
      <numFmt numFmtId="3" formatCode="#,##0"/>
      <fill>
        <patternFill patternType="solid">
          <fgColor indexed="64"/>
          <bgColor theme="0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FF"/>
        <name val="Calibri"/>
        <scheme val="minor"/>
      </font>
      <numFmt numFmtId="3" formatCode="#,##0"/>
      <fill>
        <patternFill patternType="solid">
          <fgColor indexed="64"/>
          <bgColor theme="0"/>
        </patternFill>
      </fill>
      <border diagonalUp="0" diagonalDown="0" outline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" formatCode="#,##0"/>
      <border diagonalUp="0" diagonalDown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FF"/>
        <name val="Calibri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FF"/>
        <name val="Calibri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FF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rgb="FF0000FF"/>
        <name val="Calibri"/>
        <scheme val="minor"/>
      </font>
      <numFmt numFmtId="0" formatCode="General"/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0" formatCode="General"/>
      <border diagonalUp="0" diagonalDown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numFmt numFmtId="3" formatCode="#,##0"/>
      <fill>
        <patternFill patternType="solid">
          <fgColor indexed="64"/>
          <bgColor theme="1" tint="0.34998626667073579"/>
        </patternFill>
      </fill>
      <alignment horizontal="center" vertical="center" textRotation="0" wrapText="1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scheme val="minor"/>
      </font>
      <fill>
        <patternFill patternType="none">
          <fgColor indexed="64"/>
          <bgColor auto="1"/>
        </patternFill>
      </fill>
      <alignment vertical="top" textRotation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scheme val="minor"/>
      </font>
      <numFmt numFmtId="165" formatCode="[$-409]d\ mmm\ yyyy;@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scheme val="minor"/>
      </font>
      <fill>
        <patternFill patternType="none">
          <fgColor indexed="64"/>
          <bgColor auto="1"/>
        </patternFill>
      </fill>
      <alignment vertical="top" textRotation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vertical="top" textRotation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4" formatCode="#,##0.00"/>
      <alignment horizontal="general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numFmt numFmtId="4" formatCode="#,##0.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protection locked="1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scheme val="minor"/>
      </font>
      <fill>
        <patternFill patternType="none">
          <fgColor indexed="64"/>
          <bgColor auto="1"/>
        </patternFill>
      </fill>
      <alignment vertical="top" textRotation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scheme val="minor"/>
      </font>
      <fill>
        <patternFill patternType="none">
          <fgColor indexed="64"/>
          <bgColor auto="1"/>
        </patternFill>
      </fill>
      <alignment vertical="top" textRotation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scheme val="minor"/>
      </font>
      <fill>
        <patternFill patternType="none">
          <fgColor indexed="64"/>
          <bgColor auto="1"/>
        </patternFill>
      </fill>
      <alignment vertical="top" textRotation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</border>
      <protection locked="1" hidden="0"/>
    </dxf>
    <dxf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  <horizontal style="thin">
          <color auto="1"/>
        </horizontal>
      </border>
    </dxf>
  </dxfs>
  <tableStyles count="1" defaultTableStyle="TableStyleMedium2" defaultPivotStyle="PivotStyleLight16">
    <tableStyle name="Table Style 1" pivot="0" count="1" xr9:uid="{00000000-0011-0000-FFFF-FFFF00000000}">
      <tableStyleElement type="firstRowStripe" dxfId="111"/>
    </tableStyle>
  </tableStyles>
  <colors>
    <mruColors>
      <color rgb="FFFFFFFF"/>
      <color rgb="FF9F54AC"/>
      <color rgb="FF0000FF"/>
      <color rgb="FF16365C"/>
      <color rgb="FF0F243E"/>
      <color rgb="FFD8CFE3"/>
      <color rgb="FF8064A2"/>
      <color rgb="FFE26B0A"/>
      <color rgb="FF76933C"/>
      <color rgb="FF3186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1086-43BE-9CDA-F1E183A8F54B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1086-43BE-9CDA-F1E183A8F54B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1086-43BE-9CDA-F1E183A8F54B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1086-43BE-9CDA-F1E183A8F54B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1086-43BE-9CDA-F1E183A8F54B}"/>
              </c:ext>
            </c:extLst>
          </c:dPt>
          <c:dLbls>
            <c:numFmt formatCode="#,###,,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'NSP Needs by Year'!$H$7:$L$7</c:f>
              <c:strCache>
                <c:ptCount val="5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</c:strCache>
            </c:strRef>
          </c:cat>
          <c:val>
            <c:numRef>
              <c:f>'NSP Needs by Year'!$H$8:$L$8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634005460581.37439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86-43BE-9CDA-F1E183A8F5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01021152"/>
        <c:axId val="1601019904"/>
      </c:barChart>
      <c:catAx>
        <c:axId val="160102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019904"/>
        <c:crosses val="autoZero"/>
        <c:auto val="1"/>
        <c:lblAlgn val="ctr"/>
        <c:lblOffset val="100"/>
        <c:noMultiLvlLbl val="0"/>
      </c:catAx>
      <c:valAx>
        <c:axId val="1601019904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601021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'NSP Needs by Year'!$D$9</c:f>
              <c:strCache>
                <c:ptCount val="1"/>
                <c:pt idx="0">
                  <c:v>Objective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'NSP Needs by Year'!$H$7:$L$7</c:f>
              <c:strCache>
                <c:ptCount val="5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</c:strCache>
            </c:strRef>
          </c:cat>
          <c:val>
            <c:numRef>
              <c:f>'NSP Needs by Year'!$H$9:$L$9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464068916810.67773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5F-45BC-B59D-FE9EC70D75F4}"/>
            </c:ext>
          </c:extLst>
        </c:ser>
        <c:ser>
          <c:idx val="1"/>
          <c:order val="1"/>
          <c:tx>
            <c:strRef>
              <c:f>'NSP Needs by Year'!$D$10</c:f>
              <c:strCache>
                <c:ptCount val="1"/>
                <c:pt idx="0">
                  <c:v>Objective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'NSP Needs by Year'!$H$7:$L$7</c:f>
              <c:strCache>
                <c:ptCount val="5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</c:strCache>
            </c:strRef>
          </c:cat>
          <c:val>
            <c:numRef>
              <c:f>'NSP Needs by Year'!$H$10:$L$10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169936543770.69656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5F-45BC-B59D-FE9EC70D75F4}"/>
            </c:ext>
          </c:extLst>
        </c:ser>
        <c:ser>
          <c:idx val="2"/>
          <c:order val="2"/>
          <c:tx>
            <c:strRef>
              <c:f>'NSP Needs by Year'!$D$11</c:f>
              <c:strCache>
                <c:ptCount val="1"/>
                <c:pt idx="0">
                  <c:v>Objective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'NSP Needs by Year'!$H$7:$L$7</c:f>
              <c:strCache>
                <c:ptCount val="5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</c:strCache>
            </c:strRef>
          </c:cat>
          <c:val>
            <c:numRef>
              <c:f>'NSP Needs by Year'!$H$11:$L$11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5F-45BC-B59D-FE9EC70D75F4}"/>
            </c:ext>
          </c:extLst>
        </c:ser>
        <c:ser>
          <c:idx val="3"/>
          <c:order val="3"/>
          <c:tx>
            <c:strRef>
              <c:f>'NSP Needs by Year'!$D$12</c:f>
              <c:strCache>
                <c:ptCount val="1"/>
                <c:pt idx="0">
                  <c:v>Objective 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'NSP Needs by Year'!$H$7:$L$7</c:f>
              <c:strCache>
                <c:ptCount val="5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</c:strCache>
            </c:strRef>
          </c:cat>
          <c:val>
            <c:numRef>
              <c:f>'NSP Needs by Year'!$H$12:$L$12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5F-45BC-B59D-FE9EC70D75F4}"/>
            </c:ext>
          </c:extLst>
        </c:ser>
        <c:ser>
          <c:idx val="4"/>
          <c:order val="4"/>
          <c:tx>
            <c:strRef>
              <c:f>'NSP Needs by Year'!$D$13</c:f>
              <c:strCache>
                <c:ptCount val="1"/>
                <c:pt idx="0">
                  <c:v>Objective 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'NSP Needs by Year'!$H$7:$L$7</c:f>
              <c:strCache>
                <c:ptCount val="5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</c:strCache>
            </c:strRef>
          </c:cat>
          <c:val>
            <c:numRef>
              <c:f>'NSP Needs by Year'!$H$13:$L$13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5F-45BC-B59D-FE9EC70D75F4}"/>
            </c:ext>
          </c:extLst>
        </c:ser>
        <c:ser>
          <c:idx val="5"/>
          <c:order val="5"/>
          <c:tx>
            <c:strRef>
              <c:f>'NSP Needs by Year'!$D$14</c:f>
              <c:strCache>
                <c:ptCount val="1"/>
                <c:pt idx="0">
                  <c:v>Objective 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'NSP Needs by Year'!$H$7:$L$7</c:f>
              <c:strCache>
                <c:ptCount val="5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</c:strCache>
            </c:strRef>
          </c:cat>
          <c:val>
            <c:numRef>
              <c:f>'NSP Needs by Year'!$H$14:$L$14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5F-45BC-B59D-FE9EC70D7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1021152"/>
        <c:axId val="1601019904"/>
      </c:barChart>
      <c:catAx>
        <c:axId val="160102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019904"/>
        <c:crosses val="autoZero"/>
        <c:auto val="1"/>
        <c:lblAlgn val="ctr"/>
        <c:lblOffset val="100"/>
        <c:noMultiLvlLbl val="0"/>
      </c:catAx>
      <c:valAx>
        <c:axId val="160101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,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02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plotArea>
      <cx:plotAreaRegion>
        <cx:series layoutId="treemap" uniqueId="{A8D088C0-29D1-4A0A-AF1E-BF2EA10D9F67}">
          <cx:dataId val="0"/>
          <cx:layoutPr>
            <cx:parentLabelLayout val="overlapping"/>
          </cx:layoutPr>
        </cx:series>
      </cx:plotAreaRegion>
    </cx:plotArea>
    <cx:legend pos="b" align="ctr" overlay="0"/>
  </cx:chart>
  <cx:spPr>
    <a:ln>
      <a:solidFill>
        <a:sysClr val="windowText" lastClr="000000"/>
      </a:solidFill>
    </a:ln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116417</xdr:colOff>
      <xdr:row>2</xdr:row>
      <xdr:rowOff>105833</xdr:rowOff>
    </xdr:from>
    <xdr:to>
      <xdr:col>14</xdr:col>
      <xdr:colOff>52917</xdr:colOff>
      <xdr:row>6</xdr:row>
      <xdr:rowOff>52917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476250" y="486833"/>
          <a:ext cx="2243667" cy="89958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INSERT LOGO</a:t>
          </a:r>
          <a:r>
            <a:rPr lang="en-US" sz="1100" b="1" baseline="0">
              <a:solidFill>
                <a:srgbClr val="FF0000"/>
              </a:solidFill>
            </a:rPr>
            <a:t> HERE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0</xdr:row>
      <xdr:rowOff>88900</xdr:rowOff>
    </xdr:from>
    <xdr:to>
      <xdr:col>27</xdr:col>
      <xdr:colOff>358776</xdr:colOff>
      <xdr:row>2</xdr:row>
      <xdr:rowOff>166687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pSpPr/>
      </xdr:nvGrpSpPr>
      <xdr:grpSpPr>
        <a:xfrm>
          <a:off x="21436542" y="88900"/>
          <a:ext cx="0" cy="495829"/>
          <a:chOff x="3638550" y="295275"/>
          <a:chExt cx="4450318" cy="490537"/>
        </a:xfrm>
      </xdr:grpSpPr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00000000-0008-0000-0500-000009000000}"/>
              </a:ext>
            </a:extLst>
          </xdr:cNvPr>
          <xdr:cNvSpPr txBox="1"/>
        </xdr:nvSpPr>
        <xdr:spPr>
          <a:xfrm>
            <a:off x="3867149" y="295275"/>
            <a:ext cx="4221719" cy="490537"/>
          </a:xfrm>
          <a:prstGeom prst="roundRect">
            <a:avLst/>
          </a:prstGeom>
          <a:solidFill>
            <a:srgbClr val="FFFFE7"/>
          </a:solidFill>
          <a:ln w="38100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274320" rtlCol="0" anchor="ctr"/>
          <a:lstStyle/>
          <a:p>
            <a:pPr algn="l"/>
            <a:r>
              <a:rPr lang="en-US" sz="900" b="0">
                <a:solidFill>
                  <a:sysClr val="windowText" lastClr="000000"/>
                </a:solidFill>
              </a:rPr>
              <a:t>To change details regarding the </a:t>
            </a:r>
            <a:r>
              <a:rPr lang="en-US" sz="900" b="1">
                <a:solidFill>
                  <a:sysClr val="windowText" lastClr="000000"/>
                </a:solidFill>
              </a:rPr>
              <a:t>local currency</a:t>
            </a:r>
            <a:r>
              <a:rPr lang="en-US" sz="900" b="0">
                <a:solidFill>
                  <a:sysClr val="windowText" lastClr="000000"/>
                </a:solidFill>
              </a:rPr>
              <a:t> (e.g. currency unit, exchange rate),</a:t>
            </a:r>
            <a:r>
              <a:rPr lang="en-US" sz="900" b="0" baseline="0">
                <a:solidFill>
                  <a:sysClr val="windowText" lastClr="000000"/>
                </a:solidFill>
              </a:rPr>
              <a:t> refer to the Unit Cost tab.</a:t>
            </a:r>
            <a:endParaRPr lang="en-US" sz="900" b="0">
              <a:solidFill>
                <a:sysClr val="windowText" lastClr="000000"/>
              </a:solidFill>
            </a:endParaRPr>
          </a:p>
        </xdr:txBody>
      </xdr:sp>
      <xdr:grpSp>
        <xdr:nvGrpSpPr>
          <xdr:cNvPr id="10" name="Group 9">
            <a:extLst>
              <a:ext uri="{FF2B5EF4-FFF2-40B4-BE49-F238E27FC236}">
                <a16:creationId xmlns:a16="http://schemas.microsoft.com/office/drawing/2014/main" id="{00000000-0008-0000-0500-00000A000000}"/>
              </a:ext>
            </a:extLst>
          </xdr:cNvPr>
          <xdr:cNvGrpSpPr/>
        </xdr:nvGrpSpPr>
        <xdr:grpSpPr>
          <a:xfrm>
            <a:off x="3638550" y="304800"/>
            <a:ext cx="514418" cy="476250"/>
            <a:chOff x="3543300" y="1971675"/>
            <a:chExt cx="514418" cy="476250"/>
          </a:xfrm>
        </xdr:grpSpPr>
        <xdr:sp macro="" textlink="">
          <xdr:nvSpPr>
            <xdr:cNvPr id="11" name="Oval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SpPr/>
          </xdr:nvSpPr>
          <xdr:spPr>
            <a:xfrm>
              <a:off x="3543300" y="1971675"/>
              <a:ext cx="514418" cy="476250"/>
            </a:xfrm>
            <a:prstGeom prst="ellipse">
              <a:avLst/>
            </a:prstGeom>
            <a:solidFill>
              <a:schemeClr val="accent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" name="Oval 11">
              <a:extLst>
                <a:ext uri="{FF2B5EF4-FFF2-40B4-BE49-F238E27FC236}">
                  <a16:creationId xmlns:a16="http://schemas.microsoft.com/office/drawing/2014/main" id="{00000000-0008-0000-0500-00000C000000}"/>
                </a:ext>
              </a:extLst>
            </xdr:cNvPr>
            <xdr:cNvSpPr/>
          </xdr:nvSpPr>
          <xdr:spPr>
            <a:xfrm>
              <a:off x="3590926" y="2028825"/>
              <a:ext cx="418940" cy="371475"/>
            </a:xfrm>
            <a:prstGeom prst="ellips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00000000-0008-0000-0500-00000D000000}"/>
                </a:ext>
              </a:extLst>
            </xdr:cNvPr>
            <xdr:cNvSpPr txBox="1"/>
          </xdr:nvSpPr>
          <xdr:spPr>
            <a:xfrm>
              <a:off x="3638550" y="2028825"/>
              <a:ext cx="275332" cy="3837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sz="2000" b="1">
                  <a:solidFill>
                    <a:schemeClr val="accent1">
                      <a:lumMod val="50000"/>
                    </a:schemeClr>
                  </a:solidFill>
                  <a:latin typeface="Georgia" panose="02040502050405020303" pitchFamily="18" charset="0"/>
                  <a:cs typeface="Times New Roman" panose="02020603050405020304" pitchFamily="18" charset="0"/>
                </a:rPr>
                <a:t>i</a:t>
              </a:r>
            </a:p>
          </xdr:txBody>
        </xdr:sp>
      </xdr:grpSp>
    </xdr:grpSp>
    <xdr:clientData/>
  </xdr:twoCellAnchor>
  <xdr:twoCellAnchor>
    <xdr:from>
      <xdr:col>12</xdr:col>
      <xdr:colOff>0</xdr:colOff>
      <xdr:row>0</xdr:row>
      <xdr:rowOff>123825</xdr:rowOff>
    </xdr:from>
    <xdr:to>
      <xdr:col>13</xdr:col>
      <xdr:colOff>600075</xdr:colOff>
      <xdr:row>3</xdr:row>
      <xdr:rowOff>200025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/>
      </xdr:nvSpPr>
      <xdr:spPr>
        <a:xfrm>
          <a:off x="10572750" y="123825"/>
          <a:ext cx="1924050" cy="657225"/>
        </a:xfrm>
        <a:prstGeom prst="roundRect">
          <a:avLst/>
        </a:prstGeom>
        <a:solidFill>
          <a:srgbClr val="FFFFE7"/>
        </a:solidFill>
        <a:ln w="3810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274320" rtlCol="0" anchor="ctr"/>
        <a:lstStyle/>
        <a:p>
          <a:pPr algn="l"/>
          <a:r>
            <a:rPr lang="en-US" sz="900" b="0">
              <a:solidFill>
                <a:sysClr val="windowText" lastClr="000000"/>
              </a:solidFill>
            </a:rPr>
            <a:t>To change </a:t>
          </a:r>
          <a:r>
            <a:rPr lang="en-US" sz="900" b="1">
              <a:solidFill>
                <a:sysClr val="windowText" lastClr="000000"/>
              </a:solidFill>
            </a:rPr>
            <a:t>Resource Details</a:t>
          </a:r>
          <a:r>
            <a:rPr lang="en-US" sz="900" b="0">
              <a:solidFill>
                <a:sysClr val="windowText" lastClr="000000"/>
              </a:solidFill>
            </a:rPr>
            <a:t> (e.g. unit</a:t>
          </a:r>
          <a:r>
            <a:rPr lang="en-US" sz="900" b="0" baseline="0">
              <a:solidFill>
                <a:sysClr val="windowText" lastClr="000000"/>
              </a:solidFill>
            </a:rPr>
            <a:t> costs), refer to the Unit Cost tab.</a:t>
          </a:r>
          <a:endParaRPr lang="en-US" sz="9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1866902</xdr:colOff>
      <xdr:row>0</xdr:row>
      <xdr:rowOff>238248</xdr:rowOff>
    </xdr:from>
    <xdr:to>
      <xdr:col>12</xdr:col>
      <xdr:colOff>229208</xdr:colOff>
      <xdr:row>3</xdr:row>
      <xdr:rowOff>123763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GrpSpPr/>
      </xdr:nvGrpSpPr>
      <xdr:grpSpPr>
        <a:xfrm>
          <a:off x="11852277" y="238248"/>
          <a:ext cx="510723" cy="472890"/>
          <a:chOff x="3543300" y="1971675"/>
          <a:chExt cx="514418" cy="476250"/>
        </a:xfrm>
      </xdr:grpSpPr>
      <xdr:sp macro="" textlink="">
        <xdr:nvSpPr>
          <xdr:cNvPr id="33" name="Oval 32">
            <a:extLst>
              <a:ext uri="{FF2B5EF4-FFF2-40B4-BE49-F238E27FC236}">
                <a16:creationId xmlns:a16="http://schemas.microsoft.com/office/drawing/2014/main" id="{00000000-0008-0000-0500-000021000000}"/>
              </a:ext>
            </a:extLst>
          </xdr:cNvPr>
          <xdr:cNvSpPr/>
        </xdr:nvSpPr>
        <xdr:spPr>
          <a:xfrm>
            <a:off x="3543300" y="1971675"/>
            <a:ext cx="514418" cy="476250"/>
          </a:xfrm>
          <a:prstGeom prst="ellipse">
            <a:avLst/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Oval 33">
            <a:extLst>
              <a:ext uri="{FF2B5EF4-FFF2-40B4-BE49-F238E27FC236}">
                <a16:creationId xmlns:a16="http://schemas.microsoft.com/office/drawing/2014/main" id="{00000000-0008-0000-0500-000022000000}"/>
              </a:ext>
            </a:extLst>
          </xdr:cNvPr>
          <xdr:cNvSpPr/>
        </xdr:nvSpPr>
        <xdr:spPr>
          <a:xfrm>
            <a:off x="3590926" y="2028825"/>
            <a:ext cx="418940" cy="371475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5" name="TextBox 34">
            <a:extLst>
              <a:ext uri="{FF2B5EF4-FFF2-40B4-BE49-F238E27FC236}">
                <a16:creationId xmlns:a16="http://schemas.microsoft.com/office/drawing/2014/main" id="{00000000-0008-0000-0500-000023000000}"/>
              </a:ext>
            </a:extLst>
          </xdr:cNvPr>
          <xdr:cNvSpPr txBox="1"/>
        </xdr:nvSpPr>
        <xdr:spPr>
          <a:xfrm>
            <a:off x="3638550" y="2028825"/>
            <a:ext cx="275332" cy="38375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2000" b="1">
                <a:solidFill>
                  <a:schemeClr val="accent1">
                    <a:lumMod val="50000"/>
                  </a:schemeClr>
                </a:solidFill>
                <a:latin typeface="Georgia" panose="02040502050405020303" pitchFamily="18" charset="0"/>
                <a:cs typeface="Times New Roman" panose="02020603050405020304" pitchFamily="18" charset="0"/>
              </a:rPr>
              <a:t>i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254000</xdr:colOff>
      <xdr:row>4</xdr:row>
      <xdr:rowOff>88900</xdr:rowOff>
    </xdr:from>
    <xdr:to>
      <xdr:col>5</xdr:col>
      <xdr:colOff>4787900</xdr:colOff>
      <xdr:row>7</xdr:row>
      <xdr:rowOff>219075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787400" y="952500"/>
          <a:ext cx="5334000" cy="1082675"/>
        </a:xfrm>
        <a:prstGeom prst="roundRect">
          <a:avLst/>
        </a:prstGeom>
        <a:solidFill>
          <a:srgbClr val="FFFFE7"/>
        </a:solidFill>
        <a:ln w="3810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274320" rtlCol="0" anchor="ctr"/>
        <a:lstStyle/>
        <a:p>
          <a:pPr algn="l"/>
          <a:r>
            <a:rPr lang="en-US" sz="1050" b="1" u="sng">
              <a:solidFill>
                <a:srgbClr val="FF0000"/>
              </a:solidFill>
            </a:rPr>
            <a:t>Do not</a:t>
          </a:r>
          <a:r>
            <a:rPr lang="en-US" sz="1050" b="1">
              <a:solidFill>
                <a:srgbClr val="FF0000"/>
              </a:solidFill>
            </a:rPr>
            <a:t> edit</a:t>
          </a:r>
          <a:r>
            <a:rPr lang="en-US" sz="1050" b="1" baseline="0">
              <a:solidFill>
                <a:srgbClr val="FF0000"/>
              </a:solidFill>
            </a:rPr>
            <a:t> this sheet directly</a:t>
          </a:r>
          <a:r>
            <a:rPr lang="en-US" sz="1050" b="0" baseline="0">
              <a:solidFill>
                <a:sysClr val="windowText" lastClr="000000"/>
              </a:solidFill>
            </a:rPr>
            <a:t>. This summary tab is an output of data from the Detailed Budget tab.</a:t>
          </a:r>
        </a:p>
        <a:p>
          <a:pPr algn="l"/>
          <a:endParaRPr lang="en-US" sz="1050" b="0" baseline="0">
            <a:solidFill>
              <a:sysClr val="windowText" lastClr="000000"/>
            </a:solidFill>
          </a:endParaRPr>
        </a:p>
        <a:p>
          <a:pPr algn="l"/>
          <a:r>
            <a:rPr lang="en-US" sz="1050" b="0">
              <a:solidFill>
                <a:sysClr val="windowText" lastClr="000000"/>
              </a:solidFill>
            </a:rPr>
            <a:t>T</a:t>
          </a:r>
          <a:r>
            <a:rPr lang="en-US" sz="1050" b="0" baseline="0">
              <a:solidFill>
                <a:sysClr val="windowText" lastClr="000000"/>
              </a:solidFill>
            </a:rPr>
            <a:t>his sheet is protected to prevent accidental editing. To unprotect, go to Review&gt;Unprotect Sheet. No password is required.</a:t>
          </a:r>
          <a:endParaRPr lang="en-US" sz="105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146050</xdr:colOff>
      <xdr:row>5</xdr:row>
      <xdr:rowOff>187325</xdr:rowOff>
    </xdr:from>
    <xdr:to>
      <xdr:col>3</xdr:col>
      <xdr:colOff>441912</xdr:colOff>
      <xdr:row>6</xdr:row>
      <xdr:rowOff>282575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527050" y="1213908"/>
          <a:ext cx="486362" cy="476250"/>
          <a:chOff x="3543300" y="1971675"/>
          <a:chExt cx="476250" cy="476250"/>
        </a:xfrm>
      </xdr:grpSpPr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SpPr/>
        </xdr:nvSpPr>
        <xdr:spPr>
          <a:xfrm>
            <a:off x="3543300" y="1971675"/>
            <a:ext cx="476250" cy="476250"/>
          </a:xfrm>
          <a:prstGeom prst="ellipse">
            <a:avLst/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SpPr/>
        </xdr:nvSpPr>
        <xdr:spPr>
          <a:xfrm>
            <a:off x="3590925" y="2028825"/>
            <a:ext cx="371475" cy="371475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 txBox="1"/>
        </xdr:nvSpPr>
        <xdr:spPr>
          <a:xfrm>
            <a:off x="3638550" y="2028825"/>
            <a:ext cx="275332" cy="38375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2000" b="1">
                <a:solidFill>
                  <a:schemeClr val="accent1">
                    <a:lumMod val="50000"/>
                  </a:schemeClr>
                </a:solidFill>
                <a:latin typeface="Georgia" panose="02040502050405020303" pitchFamily="18" charset="0"/>
                <a:cs typeface="Times New Roman" panose="02020603050405020304" pitchFamily="18" charset="0"/>
              </a:rPr>
              <a:t>i</a:t>
            </a:r>
          </a:p>
        </xdr:txBody>
      </xdr:sp>
    </xdr:grpSp>
    <xdr:clientData/>
  </xdr:twoCellAnchor>
  <xdr:twoCellAnchor>
    <xdr:from>
      <xdr:col>6</xdr:col>
      <xdr:colOff>1041400</xdr:colOff>
      <xdr:row>18</xdr:row>
      <xdr:rowOff>12700</xdr:rowOff>
    </xdr:from>
    <xdr:to>
      <xdr:col>12</xdr:col>
      <xdr:colOff>0</xdr:colOff>
      <xdr:row>32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165100</xdr:colOff>
      <xdr:row>18</xdr:row>
      <xdr:rowOff>12700</xdr:rowOff>
    </xdr:from>
    <xdr:to>
      <xdr:col>6</xdr:col>
      <xdr:colOff>0</xdr:colOff>
      <xdr:row>32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00000000-0008-0000-0200-00000A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6100" y="5232400"/>
              <a:ext cx="6242050" cy="2654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1025525</xdr:colOff>
      <xdr:row>18</xdr:row>
      <xdr:rowOff>12700</xdr:rowOff>
    </xdr:from>
    <xdr:to>
      <xdr:col>17</xdr:col>
      <xdr:colOff>1031875</xdr:colOff>
      <xdr:row>32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E\Users\Jennifer%20Wong\Desktop\TB%20activitie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ERINLE\Downloads\SMC%202021%20Budget_MC_CRS%20Review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cuments\Document%20Folders\Project%20Contracts\MACEPA\Pragmatic%20Plan%20Template\Quantification\Shekarau\2024%20SMC%20Operational%20Budget%20for%20Kwara%2015.05.2024%20FA%20Reviewed-29052024_State%20Extract_06062024.xlsx" TargetMode="External"/><Relationship Id="rId1" Type="http://schemas.openxmlformats.org/officeDocument/2006/relationships/externalLinkPath" Target="file:///C:\Users\User\Documents\Document%20Folders\Project%20Contracts\MACEPA\Pragmatic%20Plan%20Template\Quantification\Shekarau\2024%20SMC%20Operational%20Budget%20for%20Kwara%2015.05.2024%20FA%20Reviewed-29052024_State%20Extract_06062024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cuments\Document%20Folders\Project%20Contracts\MACEPA\Pragmatic%20Plan%20Template\Quantification\Copy%20of%20CRS-SFH%20Kaduna%202022%20ITN%20Campaign%20Budget_14.04.2022.xls" TargetMode="External"/><Relationship Id="rId1" Type="http://schemas.openxmlformats.org/officeDocument/2006/relationships/externalLinkPath" Target="file:///C:\Users\User\Documents\Document%20Folders\Project%20Contracts\MACEPA\Pragmatic%20Plan%20Template\Quantification\Copy%20of%20CRS-SFH%20Kaduna%202022%20ITN%20Campaign%20Budget_14.04.2022.xls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cuments\Document%20Folders\Project%20Contracts\MACEPA\Pragmatic%20Plan%20Template\Quantification\Shekarau\PMC%20Budget%202025%20-2026.xlsx" TargetMode="External"/><Relationship Id="rId1" Type="http://schemas.openxmlformats.org/officeDocument/2006/relationships/externalLinkPath" Target="file:///C:\Users\User\Documents\Document%20Folders\Project%20Contracts\MACEPA\Pragmatic%20Plan%20Template\Quantification\Shekarau\PMC%20Budget%202025%20-202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5"/>
      <sheetName val="TB activities"/>
      <sheetName val="\Users\Jennifer Wong\Desktop\TB"/>
      <sheetName val="TB activities.xlsx"/>
      <sheetName val="\E\Users\Jennifer Wong\Desktop\"/>
      <sheetName val="TB%20activities.xlsx"/>
    </sheetNames>
    <definedNames>
      <definedName name="Header1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no Budget"/>
      <sheetName val="Jigawa budget"/>
      <sheetName val="Kaduna budget"/>
      <sheetName val="Niger budget"/>
      <sheetName val="Budget checks"/>
      <sheetName val="Resource list"/>
      <sheetName val="Quantifications"/>
      <sheetName val="Short-term personnel"/>
      <sheetName val="Target population"/>
    </sheetNames>
    <sheetDataSet>
      <sheetData sheetId="0" refreshError="1">
        <row r="2">
          <cell r="A2">
            <v>1</v>
          </cell>
        </row>
        <row r="116">
          <cell r="A116">
            <v>2</v>
          </cell>
        </row>
        <row r="149">
          <cell r="A149">
            <v>3</v>
          </cell>
        </row>
        <row r="284">
          <cell r="A284">
            <v>4</v>
          </cell>
        </row>
        <row r="324">
          <cell r="A324">
            <v>5</v>
          </cell>
        </row>
        <row r="374">
          <cell r="A374">
            <v>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ummary Budget_checks"/>
      <sheetName val="Kwara Budget"/>
      <sheetName val="Quantifications_Personnel&amp;Tools"/>
      <sheetName val="Resource list"/>
      <sheetName val="Target Population"/>
      <sheetName val="Sheet1"/>
    </sheetNames>
    <sheetDataSet>
      <sheetData sheetId="0" refreshError="1"/>
      <sheetData sheetId="1">
        <row r="4">
          <cell r="B4" t="str">
            <v xml:space="preserve"> COORDINATION AND PLANNING</v>
          </cell>
        </row>
        <row r="8">
          <cell r="B8" t="str">
            <v>PROCUREMENT (NON-SMC DRUGS)</v>
          </cell>
        </row>
        <row r="9">
          <cell r="B9" t="str">
            <v>2.1  Printing of SMC training and implementation tools</v>
          </cell>
        </row>
        <row r="16">
          <cell r="F16">
            <v>24333061.927479453</v>
          </cell>
        </row>
        <row r="18">
          <cell r="B18" t="str">
            <v>2.2 Production of visibility materials</v>
          </cell>
        </row>
        <row r="25">
          <cell r="F25">
            <v>16474804.239287673</v>
          </cell>
        </row>
        <row r="27">
          <cell r="B27" t="str">
            <v>2.3  Procurement of PPEs</v>
          </cell>
        </row>
        <row r="30">
          <cell r="F30">
            <v>0</v>
          </cell>
        </row>
        <row r="42">
          <cell r="F42">
            <v>1108000</v>
          </cell>
        </row>
        <row r="46">
          <cell r="B46" t="str">
            <v>TRAINING FOR SMC DELIVERY</v>
          </cell>
        </row>
        <row r="48">
          <cell r="B48" t="str">
            <v>3.1 Conduct training of State trainers/supervisors (5/LGA) - 3days non-residential/Residential for far LGAs with one day arrival</v>
          </cell>
        </row>
        <row r="66">
          <cell r="F66">
            <v>8115200</v>
          </cell>
        </row>
        <row r="68">
          <cell r="B68" t="str">
            <v>3.2 Training of Health Facility Workers</v>
          </cell>
        </row>
        <row r="96">
          <cell r="F96">
            <v>19123448</v>
          </cell>
        </row>
        <row r="98">
          <cell r="B98" t="str">
            <v>3.3 Training of Participants - Community Drug Distributors (CDDs)</v>
          </cell>
        </row>
        <row r="128">
          <cell r="F128">
            <v>69000814.246575356</v>
          </cell>
        </row>
        <row r="130">
          <cell r="B130" t="str">
            <v>3.4 Training of Health Educators on SMC SBC</v>
          </cell>
        </row>
        <row r="148">
          <cell r="F148">
            <v>1734400</v>
          </cell>
        </row>
        <row r="151">
          <cell r="B151" t="str">
            <v>3.5 1-day orientation for Town Announcers</v>
          </cell>
        </row>
        <row r="161">
          <cell r="F161">
            <v>4318500</v>
          </cell>
        </row>
        <row r="163">
          <cell r="B163" t="str">
            <v>3.6 1-day orientation for Lead Mothers</v>
          </cell>
        </row>
        <row r="168">
          <cell r="F168">
            <v>0</v>
          </cell>
        </row>
        <row r="171">
          <cell r="B171" t="str">
            <v>LOGISTICS (OTHER PSM COST)</v>
          </cell>
        </row>
        <row r="172">
          <cell r="B172" t="str">
            <v>4.1 Support Commodity Management Review Meetings to develop and review distribution plan for each cycle</v>
          </cell>
        </row>
        <row r="185">
          <cell r="F185">
            <v>1726800</v>
          </cell>
        </row>
        <row r="187">
          <cell r="B187" t="str">
            <v>4.2 Packaging materials</v>
          </cell>
        </row>
        <row r="189">
          <cell r="F189">
            <v>0</v>
          </cell>
        </row>
        <row r="191">
          <cell r="B191" t="str">
            <v>4.3 Last Mile Distribution</v>
          </cell>
        </row>
        <row r="194">
          <cell r="F194">
            <v>0</v>
          </cell>
        </row>
        <row r="196">
          <cell r="B196" t="str">
            <v>4.4 Reverse logistics</v>
          </cell>
        </row>
        <row r="199">
          <cell r="F199">
            <v>0</v>
          </cell>
        </row>
        <row r="201">
          <cell r="B201" t="str">
            <v>ADMINISTRATION OF SPAQ TO ELIGIBLE CHILDREN (SMC CAMPAIGN PERSONNEL)</v>
          </cell>
        </row>
        <row r="203">
          <cell r="B203" t="str">
            <v>5.1 Distribution Allowance for CDDs</v>
          </cell>
        </row>
        <row r="207">
          <cell r="F207">
            <v>446946575.34246582</v>
          </cell>
        </row>
        <row r="208">
          <cell r="B208" t="str">
            <v>5.2 Transport Allowance for  CDD Recorder Provisioning and Reconciliation days</v>
          </cell>
        </row>
        <row r="212">
          <cell r="F212">
            <v>26816794.520547949</v>
          </cell>
        </row>
        <row r="215">
          <cell r="B215" t="str">
            <v xml:space="preserve">5.3 Distribution Allowances for Town Announcers </v>
          </cell>
        </row>
        <row r="218">
          <cell r="F218">
            <v>66624000</v>
          </cell>
        </row>
        <row r="221">
          <cell r="B221" t="str">
            <v>5.4 Distribution Allowances for Lead Mothers</v>
          </cell>
        </row>
        <row r="224">
          <cell r="F224">
            <v>0</v>
          </cell>
        </row>
        <row r="227">
          <cell r="B227" t="str">
            <v>5.5 Distribution/Monitoring Allowance for health facility workers</v>
          </cell>
        </row>
        <row r="234">
          <cell r="F234">
            <v>114916000</v>
          </cell>
        </row>
        <row r="237">
          <cell r="B237" t="str">
            <v>5.6 Distribution/Monitoring Allowance for LGA team</v>
          </cell>
        </row>
        <row r="242">
          <cell r="F242">
            <v>13992000</v>
          </cell>
        </row>
        <row r="244">
          <cell r="B244" t="str">
            <v>5.7 Allowance for State team</v>
          </cell>
        </row>
        <row r="252">
          <cell r="F252">
            <v>8968000</v>
          </cell>
        </row>
        <row r="254">
          <cell r="B254" t="str">
            <v>5.8 Allowance LGA TAs  (10-days per cycle) to provide compliance oversight functions during campaign and  conduct post review after the campaign</v>
          </cell>
          <cell r="C254" t="str">
            <v>No. of days</v>
          </cell>
        </row>
        <row r="257">
          <cell r="F257">
            <v>11000000</v>
          </cell>
        </row>
        <row r="259">
          <cell r="B259" t="str">
            <v>NON-SMC PERSONNEL COST</v>
          </cell>
        </row>
        <row r="260">
          <cell r="B260" t="str">
            <v>6.1 Biodata capturing  for SMC Personnel</v>
          </cell>
        </row>
        <row r="265">
          <cell r="F265">
            <v>0</v>
          </cell>
        </row>
        <row r="268">
          <cell r="B268" t="str">
            <v>6.2 End of Cycle Review Meetings at state level (4cycles)</v>
          </cell>
          <cell r="C268" t="str">
            <v>No. of days</v>
          </cell>
        </row>
        <row r="277">
          <cell r="F277">
            <v>4923200</v>
          </cell>
        </row>
        <row r="280">
          <cell r="B280" t="str">
            <v>6.3 Allowance for SMEP personnels and TAs</v>
          </cell>
          <cell r="C280" t="str">
            <v>No of days</v>
          </cell>
        </row>
        <row r="291">
          <cell r="F291">
            <v>11198200</v>
          </cell>
        </row>
      </sheetData>
      <sheetData sheetId="2">
        <row r="9">
          <cell r="C9">
            <v>652542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sting Table"/>
      <sheetName val="ITN Mass Campaign Budget"/>
      <sheetName val=" Micro quantification"/>
    </sheetNames>
    <sheetDataSet>
      <sheetData sheetId="0"/>
      <sheetData sheetId="1"/>
      <sheetData sheetId="2">
        <row r="29">
          <cell r="C29">
            <v>9811519</v>
          </cell>
          <cell r="E29">
            <v>5450843.888888889</v>
          </cell>
          <cell r="G29">
            <v>255</v>
          </cell>
          <cell r="H29">
            <v>2269</v>
          </cell>
          <cell r="I29">
            <v>4538</v>
          </cell>
          <cell r="J29">
            <v>2269</v>
          </cell>
          <cell r="L29">
            <v>44</v>
          </cell>
          <cell r="M29">
            <v>792</v>
          </cell>
          <cell r="R29">
            <v>135</v>
          </cell>
          <cell r="S29">
            <v>127</v>
          </cell>
          <cell r="U29">
            <v>1275</v>
          </cell>
          <cell r="V29">
            <v>1311.45</v>
          </cell>
          <cell r="W29">
            <v>5218.6999999999989</v>
          </cell>
          <cell r="Y29">
            <v>9983.600000000004</v>
          </cell>
          <cell r="Z29">
            <v>2609.3499999999995</v>
          </cell>
          <cell r="AA29">
            <v>5218.6999999999989</v>
          </cell>
          <cell r="AB29">
            <v>871.2</v>
          </cell>
          <cell r="AC29">
            <v>126.5</v>
          </cell>
          <cell r="AE29">
            <v>98115.190000000017</v>
          </cell>
          <cell r="AF29">
            <v>9189.4500000000007</v>
          </cell>
          <cell r="AG29">
            <v>5346</v>
          </cell>
          <cell r="AH29">
            <v>19224</v>
          </cell>
          <cell r="AI29">
            <v>16020</v>
          </cell>
          <cell r="AJ29">
            <v>7484.3999999999987</v>
          </cell>
          <cell r="AK29">
            <v>62.10000000000003</v>
          </cell>
          <cell r="AL29">
            <v>517.5</v>
          </cell>
          <cell r="AM29">
            <v>793.5</v>
          </cell>
          <cell r="AN29">
            <v>17017.5</v>
          </cell>
          <cell r="AO29">
            <v>15315.75</v>
          </cell>
          <cell r="AP29">
            <v>9076</v>
          </cell>
          <cell r="AQ29">
            <v>7750.9800000000014</v>
          </cell>
          <cell r="AR29">
            <v>167.244</v>
          </cell>
          <cell r="AS29">
            <v>2382.4499999999998</v>
          </cell>
          <cell r="AU29">
            <v>4538</v>
          </cell>
          <cell r="AV29">
            <v>2292</v>
          </cell>
          <cell r="AX29">
            <v>4166</v>
          </cell>
          <cell r="AY29">
            <v>10892.699999999999</v>
          </cell>
        </row>
        <row r="30">
          <cell r="E30">
            <v>5509778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udget"/>
      <sheetName val="Target"/>
      <sheetName val="Assumption Sheet"/>
      <sheetName val="Sheet1"/>
    </sheetNames>
    <sheetDataSet>
      <sheetData sheetId="0" refreshError="1"/>
      <sheetData sheetId="1">
        <row r="11">
          <cell r="I11">
            <v>3849526.9094694965</v>
          </cell>
        </row>
      </sheetData>
      <sheetData sheetId="2" refreshError="1"/>
      <sheetData sheetId="3">
        <row r="3">
          <cell r="B3">
            <v>55000</v>
          </cell>
        </row>
        <row r="4">
          <cell r="B4">
            <v>55000</v>
          </cell>
        </row>
        <row r="6">
          <cell r="B6">
            <v>45000</v>
          </cell>
        </row>
        <row r="9">
          <cell r="B9">
            <v>200000</v>
          </cell>
        </row>
        <row r="12">
          <cell r="B12">
            <v>52000</v>
          </cell>
        </row>
        <row r="15">
          <cell r="B15">
            <v>96000</v>
          </cell>
        </row>
        <row r="19">
          <cell r="B19">
            <v>10000</v>
          </cell>
        </row>
        <row r="20">
          <cell r="B20">
            <v>2000</v>
          </cell>
        </row>
        <row r="25">
          <cell r="B25">
            <v>3300</v>
          </cell>
        </row>
        <row r="27">
          <cell r="B27">
            <v>5200</v>
          </cell>
        </row>
        <row r="30">
          <cell r="B30">
            <v>390000</v>
          </cell>
        </row>
        <row r="31">
          <cell r="B31">
            <v>240000</v>
          </cell>
        </row>
        <row r="32">
          <cell r="B32">
            <v>130000</v>
          </cell>
        </row>
        <row r="34">
          <cell r="B34">
            <v>1000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blUnitCost" displayName="TblUnitCost" ref="B10:L517" totalsRowShown="0" headerRowDxfId="110" dataDxfId="109">
  <autoFilter ref="B10:L517" xr:uid="{00000000-0009-0000-0100-000003000000}"/>
  <tableColumns count="11">
    <tableColumn id="1" xr3:uid="{00000000-0010-0000-0100-000001000000}" name="Resource" dataDxfId="108"/>
    <tableColumn id="2" xr3:uid="{00000000-0010-0000-0100-000002000000}" name="Unit" dataDxfId="107"/>
    <tableColumn id="4" xr3:uid="{00000000-0010-0000-0100-000004000000}" name="Year" dataDxfId="106"/>
    <tableColumn id="5" xr3:uid="{00000000-0010-0000-0100-000005000000}" name="Currency" dataDxfId="105"/>
    <tableColumn id="6" xr3:uid="{00000000-0010-0000-0100-000006000000}" name="Cost" dataDxfId="104"/>
    <tableColumn id="7" xr3:uid="{00000000-0010-0000-0100-000007000000}" name="LCU" dataDxfId="103">
      <calculatedColumnFormula>IF(TblUnitCost[[#This Row],[Currency]]=LCU, TblUnitCost[[#This Row],[Cost]], IF(TblUnitCost[[#This Row],[Currency]]=ACU, TblUnitCost[[#This Row],[Cost]]*FX_Rate, "Check Ref Currency"))</calculatedColumnFormula>
    </tableColumn>
    <tableColumn id="3" xr3:uid="{618C91A3-2B17-4B4F-8801-CD315FD5051F}" name="USD Equivalence" dataDxfId="102">
      <calculatedColumnFormula>TblUnitCost[[#This Row],[Cost]]/1600</calculatedColumnFormula>
    </tableColumn>
    <tableColumn id="25" xr3:uid="{00000000-0010-0000-0100-000019000000}" name="Notes" dataDxfId="101"/>
    <tableColumn id="30" xr3:uid="{00000000-0010-0000-0100-00001E000000}" name="Source" dataDxfId="100"/>
    <tableColumn id="31" xr3:uid="{00000000-0010-0000-0100-00001F000000}" name="Updated" dataDxfId="99"/>
    <tableColumn id="32" xr3:uid="{00000000-0010-0000-0100-000020000000}" name="Validated?" dataDxfId="98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TblDetailBudget" displayName="TblDetailBudget" ref="B7:AK585" totalsRowShown="0" headerRowDxfId="97" dataDxfId="96" headerRowCellStyle="Normal 19">
  <autoFilter ref="B7:AK585" xr:uid="{00000000-0009-0000-0100-000004000000}"/>
  <tableColumns count="36">
    <tableColumn id="1" xr3:uid="{00000000-0010-0000-0000-000001000000}" name="Level" dataDxfId="95"/>
    <tableColumn id="2" xr3:uid="{00000000-0010-0000-0000-000002000000}" name="Numbering" dataDxfId="94">
      <calculatedColumnFormula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calculatedColumnFormula>
    </tableColumn>
    <tableColumn id="4" xr3:uid="{00000000-0010-0000-0000-000004000000}" name="Lvl 1 Header" dataDxfId="93">
      <calculatedColumnFormula>IF(TblDetailBudget[[#This Row],[Level]]="", "", COUNTIFS($B$8:TblDetailBudget[[#This Row],[Level]], Lvl1Hdr))</calculatedColumnFormula>
    </tableColumn>
    <tableColumn id="5" xr3:uid="{00000000-0010-0000-0000-000005000000}" name="Lvl 2 Header" dataDxfId="92">
      <calculatedColumnFormula>IF(TblDetailBudget[[#This Row],[Level]]="", "", COUNTIFS($B$8:TblDetailBudget[[#This Row],[Level]], Lvl2Hdr, $D$8:TblDetailBudget[[#This Row],[Lvl 1 Header]], TblDetailBudget[[#This Row],[Lvl 1 Header]]))</calculatedColumnFormula>
    </tableColumn>
    <tableColumn id="6" xr3:uid="{00000000-0010-0000-0000-000006000000}" name="Lvl 3 Header" dataDxfId="91">
      <calculatedColumnFormula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calculatedColumnFormula>
    </tableColumn>
    <tableColumn id="7" xr3:uid="{00000000-0010-0000-0000-000007000000}" name="Lvl 4 Header" dataDxfId="90">
      <calculatedColumnFormula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calculatedColumnFormula>
    </tableColumn>
    <tableColumn id="8" xr3:uid="{00000000-0010-0000-0000-000008000000}" name="Lvl Bottom Header" dataDxfId="89">
      <calculatedColumnFormula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calculatedColumnFormula>
    </tableColumn>
    <tableColumn id="9" xr3:uid="{00000000-0010-0000-0000-000009000000}" name="Row Title" dataDxfId="88"/>
    <tableColumn id="13" xr3:uid="{BB761CB7-4710-45B7-B19F-57FA25B2E332}" name="Implementation Level" dataDxfId="87"/>
    <tableColumn id="45" xr3:uid="{00000000-0010-0000-0000-00002D000000}" name="Justification/_x000a_Assumption/_x000a_Comments" dataDxfId="86"/>
    <tableColumn id="87" xr3:uid="{00000000-0010-0000-0000-000057000000}" name="Costing Progress Notations" dataDxfId="85"/>
    <tableColumn id="12" xr3:uid="{00000000-0010-0000-0000-00000C000000}" name="Unit Type" dataDxfId="84">
      <calculatedColumnFormula>IF(TblDetailBudget[[#This Row],[Level]]=LvlBottomHdr, IFERROR(INDEX(TblUnitCost[Unit], MATCH(TblDetailBudget[[#This Row],[Row Title]], TblUnitCost[Resource], 0)), "Invalid Resource"), "")</calculatedColumnFormula>
    </tableColumn>
    <tableColumn id="14" xr3:uid="{00000000-0010-0000-0000-00000E000000}" name="Baseline Unit Cost (LCU)" dataDxfId="83">
      <calculatedColumnFormula>IF(TblDetailBudget[[#This Row],[Level]]=LvlBottomHdr, IFERROR(INDEX(TblUnitCost[LCU], MATCH(TblDetailBudget[[#This Row],[Row Title]], TblUnitCost[Resource], 0)), "Invalid Resource"), "")</calculatedColumnFormula>
    </tableColumn>
    <tableColumn id="10" xr3:uid="{00000000-0010-0000-0000-00000A000000}" name="Quantity" dataDxfId="82"/>
    <tableColumn id="17" xr3:uid="{00000000-0010-0000-0000-000011000000}" name="Person" dataDxfId="81"/>
    <tableColumn id="11" xr3:uid="{2CC27A6D-75D7-4902-8F4C-C697FF26135F}" name="Day" dataDxfId="80"/>
    <tableColumn id="42" xr3:uid="{00000000-0010-0000-0000-00002A000000}" name="Frequency" dataDxfId="79"/>
    <tableColumn id="46" xr3:uid="{00000000-0010-0000-0000-00002E000000}" name="2021 Quant" dataDxfId="78"/>
    <tableColumn id="47" xr3:uid="{00000000-0010-0000-0000-00002F000000}" name="2022 Quant" dataDxfId="77"/>
    <tableColumn id="48" xr3:uid="{00000000-0010-0000-0000-000030000000}" name="2023 Quant" dataDxfId="76"/>
    <tableColumn id="49" xr3:uid="{00000000-0010-0000-0000-000031000000}" name="2024 Quant" dataDxfId="75"/>
    <tableColumn id="50" xr3:uid="{00000000-0010-0000-0000-000032000000}" name="2025 Quant" dataDxfId="74"/>
    <tableColumn id="88" xr3:uid="{00000000-0010-0000-0000-000058000000}" name="Total Quantity" dataDxfId="73">
      <calculatedColumnFormula>IF(TblDetailBudget[[#This Row],[Level]]=LvlBottomHdr, IF(SUM(TblDetailBudget[[#This Row],[2021 Quant]:[2025 Quant]])&gt;0, SUM(TblDetailBudget[[#This Row],[2021 Quant]:[2025 Quant]]), ""), "")</calculatedColumnFormula>
    </tableColumn>
    <tableColumn id="75" xr3:uid="{00000000-0010-0000-0000-00004B000000}" name="2021 Cost (LCU)" dataDxfId="72">
      <calculatedColumnFormula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calculatedColumnFormula>
    </tableColumn>
    <tableColumn id="76" xr3:uid="{00000000-0010-0000-0000-00004C000000}" name="2022 Cost (LCU)" dataDxfId="71">
      <calculatedColumnFormula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calculatedColumnFormula>
    </tableColumn>
    <tableColumn id="77" xr3:uid="{00000000-0010-0000-0000-00004D000000}" name="2023 Cost (LCU)" dataDxfId="70">
      <calculatedColumnFormula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calculatedColumnFormula>
    </tableColumn>
    <tableColumn id="78" xr3:uid="{00000000-0010-0000-0000-00004E000000}" name="2024 Cost (LCU)" dataDxfId="69">
      <calculatedColumnFormula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calculatedColumnFormula>
    </tableColumn>
    <tableColumn id="79" xr3:uid="{00000000-0010-0000-0000-00004F000000}" name="2025 Cost (LCU)" dataDxfId="68">
      <calculatedColumnFormula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calculatedColumnFormula>
    </tableColumn>
    <tableColumn id="80" xr3:uid="{00000000-0010-0000-0000-000050000000}" name="Total Cost (LCU)" dataDxfId="67">
      <calculatedColumnFormula>SUM(TblDetailBudget[[#This Row],[2021 Cost (LCU)]:[2025 Cost (LCU)]])</calculatedColumnFormula>
    </tableColumn>
    <tableColumn id="81" xr3:uid="{00000000-0010-0000-0000-000051000000}" name="2021 Cost (USD)" dataDxfId="66">
      <calculatedColumnFormula>IFERROR(SUM(TblDetailBudget[[#This Row],[2021 Cost (LCU)]])/FX_Rate, "")</calculatedColumnFormula>
    </tableColumn>
    <tableColumn id="82" xr3:uid="{00000000-0010-0000-0000-000052000000}" name="2022 Cost (USD)" dataDxfId="65">
      <calculatedColumnFormula>IFERROR(SUM(TblDetailBudget[[#This Row],[2022 Cost (LCU)]])/FX_Rate, "")</calculatedColumnFormula>
    </tableColumn>
    <tableColumn id="83" xr3:uid="{00000000-0010-0000-0000-000053000000}" name="2023 Cost (USD)" dataDxfId="64">
      <calculatedColumnFormula>IFERROR(SUM(TblDetailBudget[[#This Row],[2023 Cost (LCU)]])/FX_Rate, "")</calculatedColumnFormula>
    </tableColumn>
    <tableColumn id="84" xr3:uid="{00000000-0010-0000-0000-000054000000}" name="2024 Cost (USD)" dataDxfId="63">
      <calculatedColumnFormula>IFERROR(SUM(TblDetailBudget[[#This Row],[2024 Cost (LCU)]])/FX_Rate, "")</calculatedColumnFormula>
    </tableColumn>
    <tableColumn id="85" xr3:uid="{00000000-0010-0000-0000-000055000000}" name="2025 Cost (USD)" dataDxfId="62">
      <calculatedColumnFormula>IFERROR(SUM(TblDetailBudget[[#This Row],[2025 Cost (LCU)]])/FX_Rate, "")</calculatedColumnFormula>
    </tableColumn>
    <tableColumn id="86" xr3:uid="{00000000-0010-0000-0000-000056000000}" name="Total Cost (USD)" dataDxfId="61">
      <calculatedColumnFormula>SUM(TblDetailBudget[[#This Row],[2021 Cost (USD)]:[2025 Cost (USD)]])</calculatedColumnFormula>
    </tableColumn>
    <tableColumn id="3" xr3:uid="{00000000-0010-0000-0000-000003000000}" name="Prioritization" dataDxfId="6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-0.499984740745262"/>
    <pageSetUpPr autoPageBreaks="0"/>
  </sheetPr>
  <dimension ref="A1:CZ109"/>
  <sheetViews>
    <sheetView showGridLines="0" showRowColHeaders="0" zoomScale="60" zoomScaleNormal="60" zoomScaleSheetLayoutView="50" workbookViewId="0">
      <selection activeCell="AD15" sqref="AD15"/>
    </sheetView>
  </sheetViews>
  <sheetFormatPr defaultColWidth="5.7265625" defaultRowHeight="14.5"/>
  <cols>
    <col min="1" max="4" width="2.7265625" customWidth="1"/>
    <col min="5" max="9" width="4.7265625" customWidth="1"/>
    <col min="10" max="45" width="2.7265625" customWidth="1"/>
    <col min="46" max="51" width="3.26953125" customWidth="1"/>
    <col min="52" max="54" width="3.7265625" customWidth="1"/>
    <col min="55" max="72" width="2.7265625" customWidth="1"/>
  </cols>
  <sheetData>
    <row r="1" spans="1:104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</row>
    <row r="2" spans="1:104">
      <c r="A2" s="10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</row>
    <row r="3" spans="1:104">
      <c r="A3" s="10"/>
      <c r="B3" s="1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1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1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12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</row>
    <row r="4" spans="1:104" ht="23.5">
      <c r="A4" s="10"/>
      <c r="B4" s="1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12"/>
      <c r="Q4" s="2"/>
      <c r="R4" s="877" t="s">
        <v>2558</v>
      </c>
      <c r="S4" s="877"/>
      <c r="T4" s="877"/>
      <c r="U4" s="877"/>
      <c r="V4" s="877"/>
      <c r="W4" s="877"/>
      <c r="X4" s="877"/>
      <c r="Y4" s="877"/>
      <c r="Z4" s="877"/>
      <c r="AA4" s="877"/>
      <c r="AB4" s="877"/>
      <c r="AC4" s="877"/>
      <c r="AD4" s="877"/>
      <c r="AE4" s="877"/>
      <c r="AF4" s="877"/>
      <c r="AG4" s="877"/>
      <c r="AH4" s="877"/>
      <c r="AI4" s="877"/>
      <c r="AJ4" s="877"/>
      <c r="AK4" s="877"/>
      <c r="AL4" s="877"/>
      <c r="AM4" s="877"/>
      <c r="AN4" s="877"/>
      <c r="AO4" s="877"/>
      <c r="AP4" s="877"/>
      <c r="AQ4" s="2"/>
      <c r="AR4" s="12"/>
      <c r="AS4" s="2"/>
      <c r="AT4" s="6" t="s">
        <v>0</v>
      </c>
      <c r="AU4" s="2"/>
      <c r="AV4" s="2"/>
      <c r="AW4" s="2"/>
      <c r="AX4" s="2"/>
      <c r="AY4" s="2"/>
      <c r="AZ4" s="2"/>
      <c r="BA4" s="2"/>
      <c r="BB4" s="2"/>
      <c r="BC4" s="2"/>
      <c r="BD4" s="2"/>
      <c r="BE4" s="12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</row>
    <row r="5" spans="1:104" ht="13.5" customHeight="1">
      <c r="A5" s="10"/>
      <c r="B5" s="1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12"/>
      <c r="Q5" s="2"/>
      <c r="R5" s="7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12"/>
      <c r="AS5" s="2"/>
      <c r="AT5" s="21" t="s">
        <v>104</v>
      </c>
      <c r="AU5" s="2"/>
      <c r="AV5" s="2"/>
      <c r="AW5" s="2"/>
      <c r="AX5" s="2"/>
      <c r="AY5" s="2"/>
      <c r="AZ5" s="2"/>
      <c r="BA5" s="2"/>
      <c r="BB5" s="2"/>
      <c r="BC5" s="2"/>
      <c r="BD5" s="2"/>
      <c r="BE5" s="12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</row>
    <row r="6" spans="1:104" ht="23.5">
      <c r="A6" s="10"/>
      <c r="B6" s="1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12"/>
      <c r="Q6" s="2"/>
      <c r="R6" s="877" t="str">
        <f>'NSP Needs by Year'!H7&amp;"-"&amp;'NSP Needs by Year'!L7</f>
        <v>2021-2025</v>
      </c>
      <c r="S6" s="877"/>
      <c r="T6" s="877"/>
      <c r="U6" s="877"/>
      <c r="V6" s="877"/>
      <c r="W6" s="877"/>
      <c r="X6" s="877"/>
      <c r="Y6" s="877"/>
      <c r="Z6" s="877"/>
      <c r="AA6" s="877"/>
      <c r="AB6" s="877"/>
      <c r="AC6" s="877"/>
      <c r="AD6" s="877"/>
      <c r="AE6" s="877"/>
      <c r="AF6" s="877"/>
      <c r="AG6" s="877"/>
      <c r="AH6" s="877"/>
      <c r="AI6" s="877"/>
      <c r="AJ6" s="877"/>
      <c r="AK6" s="877"/>
      <c r="AL6" s="877"/>
      <c r="AM6" s="877"/>
      <c r="AN6" s="877"/>
      <c r="AO6" s="877"/>
      <c r="AP6" s="877"/>
      <c r="AQ6" s="2"/>
      <c r="AR6" s="12"/>
      <c r="AS6" s="2"/>
      <c r="AT6" s="20" t="s">
        <v>105</v>
      </c>
      <c r="AU6" s="2"/>
      <c r="AV6" s="2"/>
      <c r="AW6" s="2"/>
      <c r="AX6" s="2"/>
      <c r="AY6" s="2"/>
      <c r="AZ6" s="2"/>
      <c r="BA6" s="2"/>
      <c r="BB6" s="2"/>
      <c r="BC6" s="2"/>
      <c r="BD6" s="2"/>
      <c r="BE6" s="12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</row>
    <row r="7" spans="1:104">
      <c r="A7" s="10"/>
      <c r="B7" s="1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1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1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12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</row>
    <row r="8" spans="1:104">
      <c r="A8" s="10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</row>
    <row r="9" spans="1:104">
      <c r="A9" s="10"/>
      <c r="B9" s="1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12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</row>
    <row r="10" spans="1:104">
      <c r="A10" s="10"/>
      <c r="B10" s="12"/>
      <c r="C10" s="2"/>
      <c r="D10" s="11" t="s">
        <v>1</v>
      </c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2"/>
      <c r="BE10" s="12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</row>
    <row r="11" spans="1:104">
      <c r="A11" s="10"/>
      <c r="B11" s="12"/>
      <c r="C11" s="2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2"/>
      <c r="BE11" s="12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</row>
    <row r="12" spans="1:104">
      <c r="A12" s="10"/>
      <c r="B12" s="12"/>
      <c r="C12" s="2"/>
      <c r="D12" s="8"/>
      <c r="E12" s="22" t="s">
        <v>2</v>
      </c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8"/>
      <c r="BD12" s="2"/>
      <c r="BE12" s="12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</row>
    <row r="13" spans="1:104">
      <c r="A13" s="10"/>
      <c r="B13" s="12"/>
      <c r="C13" s="2"/>
      <c r="D13" s="8"/>
      <c r="E13" s="23" t="s">
        <v>3</v>
      </c>
      <c r="F13" s="23"/>
      <c r="G13" s="23"/>
      <c r="H13" s="23"/>
      <c r="I13" s="24"/>
      <c r="J13" s="13"/>
      <c r="K13" s="14" t="s">
        <v>4</v>
      </c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8"/>
      <c r="BD13" s="2"/>
      <c r="BE13" s="12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</row>
    <row r="14" spans="1:104">
      <c r="A14" s="10"/>
      <c r="B14" s="12"/>
      <c r="C14" s="2"/>
      <c r="D14" s="8"/>
      <c r="E14" s="25" t="s">
        <v>5</v>
      </c>
      <c r="F14" s="25"/>
      <c r="G14" s="25"/>
      <c r="H14" s="25"/>
      <c r="I14" s="26"/>
      <c r="J14" s="15"/>
      <c r="K14" s="16" t="s">
        <v>6</v>
      </c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8"/>
      <c r="BD14" s="2"/>
      <c r="BE14" s="12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</row>
    <row r="15" spans="1:104">
      <c r="A15" s="10"/>
      <c r="B15" s="12"/>
      <c r="C15" s="2"/>
      <c r="D15" s="8"/>
      <c r="E15" s="27" t="s">
        <v>5</v>
      </c>
      <c r="F15" s="27"/>
      <c r="G15" s="27"/>
      <c r="H15" s="27"/>
      <c r="I15" s="28"/>
      <c r="J15" s="17"/>
      <c r="K15" s="18" t="s">
        <v>6</v>
      </c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8"/>
      <c r="BD15" s="2"/>
      <c r="BE15" s="12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</row>
    <row r="16" spans="1:104">
      <c r="A16" s="10"/>
      <c r="B16" s="12"/>
      <c r="C16" s="2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2"/>
      <c r="BE16" s="12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</row>
    <row r="17" spans="1:104">
      <c r="A17" s="10"/>
      <c r="B17" s="12"/>
      <c r="C17" s="2"/>
      <c r="D17" s="8"/>
      <c r="E17" s="31" t="s">
        <v>7</v>
      </c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8"/>
      <c r="BD17" s="2"/>
      <c r="BE17" s="12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</row>
    <row r="18" spans="1:104">
      <c r="A18" s="10"/>
      <c r="B18" s="12"/>
      <c r="C18" s="2"/>
      <c r="D18" s="8"/>
      <c r="E18" s="29" t="s">
        <v>8</v>
      </c>
      <c r="F18" s="29"/>
      <c r="G18" s="29"/>
      <c r="H18" s="29"/>
      <c r="I18" s="30"/>
      <c r="J18" s="15"/>
      <c r="K18" s="16" t="s">
        <v>9</v>
      </c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8"/>
      <c r="BD18" s="2"/>
      <c r="BE18" s="12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</row>
    <row r="19" spans="1:104">
      <c r="A19" s="10"/>
      <c r="B19" s="12"/>
      <c r="C19" s="2"/>
      <c r="D19" s="8"/>
      <c r="E19" s="29" t="s">
        <v>10</v>
      </c>
      <c r="F19" s="29"/>
      <c r="G19" s="29"/>
      <c r="H19" s="29"/>
      <c r="I19" s="30"/>
      <c r="J19" s="15"/>
      <c r="K19" s="16" t="s">
        <v>11</v>
      </c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8"/>
      <c r="BD19" s="2"/>
      <c r="BE19" s="12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</row>
    <row r="20" spans="1:104">
      <c r="A20" s="10"/>
      <c r="B20" s="12"/>
      <c r="C20" s="2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2"/>
      <c r="BE20" s="12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</row>
    <row r="21" spans="1:104">
      <c r="A21" s="10"/>
      <c r="B21" s="12"/>
      <c r="C21" s="2"/>
      <c r="D21" s="8"/>
      <c r="E21" s="32" t="s">
        <v>12</v>
      </c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8"/>
      <c r="BD21" s="2"/>
      <c r="BE21" s="12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</row>
    <row r="22" spans="1:104">
      <c r="A22" s="10"/>
      <c r="B22" s="12"/>
      <c r="C22" s="2"/>
      <c r="D22" s="8"/>
      <c r="E22" s="33" t="s">
        <v>13</v>
      </c>
      <c r="F22" s="33"/>
      <c r="G22" s="33"/>
      <c r="H22" s="33"/>
      <c r="I22" s="34"/>
      <c r="J22" s="13"/>
      <c r="K22" s="14" t="s">
        <v>14</v>
      </c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8"/>
      <c r="BD22" s="2"/>
      <c r="BE22" s="12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</row>
    <row r="23" spans="1:104">
      <c r="A23" s="10"/>
      <c r="B23" s="12"/>
      <c r="C23" s="2"/>
      <c r="D23" s="8"/>
      <c r="E23" s="35" t="s">
        <v>13</v>
      </c>
      <c r="F23" s="35"/>
      <c r="G23" s="35"/>
      <c r="H23" s="35"/>
      <c r="I23" s="36"/>
      <c r="J23" s="15"/>
      <c r="K23" s="16" t="s">
        <v>14</v>
      </c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8"/>
      <c r="BD23" s="2"/>
      <c r="BE23" s="12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</row>
    <row r="24" spans="1:104">
      <c r="A24" s="10"/>
      <c r="B24" s="12"/>
      <c r="C24" s="2"/>
      <c r="D24" s="8"/>
      <c r="E24" s="35" t="s">
        <v>13</v>
      </c>
      <c r="F24" s="35"/>
      <c r="G24" s="35"/>
      <c r="H24" s="35"/>
      <c r="I24" s="36"/>
      <c r="J24" s="15"/>
      <c r="K24" s="16" t="s">
        <v>14</v>
      </c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8"/>
      <c r="BD24" s="2"/>
      <c r="BE24" s="12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</row>
    <row r="25" spans="1:104">
      <c r="A25" s="10"/>
      <c r="B25" s="12"/>
      <c r="C25" s="2"/>
      <c r="D25" s="8"/>
      <c r="E25" s="37" t="s">
        <v>13</v>
      </c>
      <c r="F25" s="37"/>
      <c r="G25" s="37"/>
      <c r="H25" s="37"/>
      <c r="I25" s="38"/>
      <c r="J25" s="17"/>
      <c r="K25" s="18" t="s">
        <v>14</v>
      </c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8"/>
      <c r="BD25" s="2"/>
      <c r="BE25" s="12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</row>
    <row r="26" spans="1:104">
      <c r="A26" s="10"/>
      <c r="B26" s="12"/>
      <c r="C26" s="2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2"/>
      <c r="BE26" s="12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</row>
    <row r="27" spans="1:104">
      <c r="A27" s="10"/>
      <c r="B27" s="12"/>
      <c r="C27" s="2"/>
      <c r="D27" s="8"/>
      <c r="E27" s="19" t="s">
        <v>15</v>
      </c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8"/>
      <c r="BD27" s="2"/>
      <c r="BE27" s="12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</row>
    <row r="28" spans="1:104">
      <c r="A28" s="10"/>
      <c r="B28" s="12"/>
      <c r="C28" s="2"/>
      <c r="D28" s="8"/>
      <c r="E28" s="39" t="s">
        <v>16</v>
      </c>
      <c r="F28" s="39"/>
      <c r="G28" s="39"/>
      <c r="H28" s="39"/>
      <c r="I28" s="39"/>
      <c r="J28" s="17"/>
      <c r="K28" s="18" t="s">
        <v>17</v>
      </c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8"/>
      <c r="BD28" s="2"/>
      <c r="BE28" s="12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</row>
    <row r="29" spans="1:104">
      <c r="A29" s="10"/>
      <c r="B29" s="12"/>
      <c r="C29" s="2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2"/>
      <c r="BE29" s="12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</row>
    <row r="30" spans="1:104">
      <c r="A30" s="10"/>
      <c r="B30" s="1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12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</row>
    <row r="31" spans="1:104">
      <c r="A31" s="10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</row>
    <row r="32" spans="1:104">
      <c r="A32" s="10"/>
      <c r="B32" s="1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12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</row>
    <row r="33" spans="1:104">
      <c r="A33" s="10"/>
      <c r="B33" s="12"/>
      <c r="C33" s="2"/>
      <c r="D33" s="11" t="s">
        <v>18</v>
      </c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2"/>
      <c r="BE33" s="12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</row>
    <row r="34" spans="1:104">
      <c r="A34" s="10"/>
      <c r="B34" s="12"/>
      <c r="C34" s="2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2"/>
      <c r="BE34" s="12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</row>
    <row r="35" spans="1:104" ht="15" customHeight="1">
      <c r="A35" s="10"/>
      <c r="B35" s="12"/>
      <c r="C35" s="2"/>
      <c r="D35" s="9"/>
      <c r="E35" s="876" t="s">
        <v>19</v>
      </c>
      <c r="F35" s="876"/>
      <c r="G35" s="876"/>
      <c r="H35" s="876"/>
      <c r="I35" s="876"/>
      <c r="J35" s="876"/>
      <c r="K35" s="876"/>
      <c r="L35" s="876"/>
      <c r="M35" s="876"/>
      <c r="N35" s="876"/>
      <c r="O35" s="876"/>
      <c r="P35" s="876"/>
      <c r="Q35" s="876"/>
      <c r="R35" s="876"/>
      <c r="S35" s="876"/>
      <c r="T35" s="876"/>
      <c r="U35" s="876"/>
      <c r="V35" s="876"/>
      <c r="W35" s="876"/>
      <c r="X35" s="876"/>
      <c r="Y35" s="876"/>
      <c r="Z35" s="876"/>
      <c r="AA35" s="876"/>
      <c r="AB35" s="876"/>
      <c r="AC35" s="876"/>
      <c r="AD35" s="876"/>
      <c r="AE35" s="876"/>
      <c r="AF35" s="876"/>
      <c r="AG35" s="876"/>
      <c r="AH35" s="876"/>
      <c r="AI35" s="876"/>
      <c r="AJ35" s="876"/>
      <c r="AK35" s="876"/>
      <c r="AL35" s="876"/>
      <c r="AM35" s="876"/>
      <c r="AN35" s="876"/>
      <c r="AO35" s="876"/>
      <c r="AP35" s="876"/>
      <c r="AQ35" s="876"/>
      <c r="AR35" s="876"/>
      <c r="AS35" s="876"/>
      <c r="AT35" s="876"/>
      <c r="AU35" s="876"/>
      <c r="AV35" s="876"/>
      <c r="AW35" s="876"/>
      <c r="AX35" s="876"/>
      <c r="AY35" s="876"/>
      <c r="AZ35" s="876"/>
      <c r="BA35" s="876"/>
      <c r="BB35" s="876"/>
      <c r="BC35" s="9"/>
      <c r="BD35" s="2"/>
      <c r="BE35" s="12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</row>
    <row r="36" spans="1:104">
      <c r="A36" s="10"/>
      <c r="B36" s="12"/>
      <c r="C36" s="2"/>
      <c r="D36" s="9"/>
      <c r="E36" s="876"/>
      <c r="F36" s="876"/>
      <c r="G36" s="876"/>
      <c r="H36" s="876"/>
      <c r="I36" s="876"/>
      <c r="J36" s="876"/>
      <c r="K36" s="876"/>
      <c r="L36" s="876"/>
      <c r="M36" s="876"/>
      <c r="N36" s="876"/>
      <c r="O36" s="876"/>
      <c r="P36" s="876"/>
      <c r="Q36" s="876"/>
      <c r="R36" s="876"/>
      <c r="S36" s="876"/>
      <c r="T36" s="876"/>
      <c r="U36" s="876"/>
      <c r="V36" s="876"/>
      <c r="W36" s="876"/>
      <c r="X36" s="876"/>
      <c r="Y36" s="876"/>
      <c r="Z36" s="876"/>
      <c r="AA36" s="876"/>
      <c r="AB36" s="876"/>
      <c r="AC36" s="876"/>
      <c r="AD36" s="876"/>
      <c r="AE36" s="876"/>
      <c r="AF36" s="876"/>
      <c r="AG36" s="876"/>
      <c r="AH36" s="876"/>
      <c r="AI36" s="876"/>
      <c r="AJ36" s="876"/>
      <c r="AK36" s="876"/>
      <c r="AL36" s="876"/>
      <c r="AM36" s="876"/>
      <c r="AN36" s="876"/>
      <c r="AO36" s="876"/>
      <c r="AP36" s="876"/>
      <c r="AQ36" s="876"/>
      <c r="AR36" s="876"/>
      <c r="AS36" s="876"/>
      <c r="AT36" s="876"/>
      <c r="AU36" s="876"/>
      <c r="AV36" s="876"/>
      <c r="AW36" s="876"/>
      <c r="AX36" s="876"/>
      <c r="AY36" s="876"/>
      <c r="AZ36" s="876"/>
      <c r="BA36" s="876"/>
      <c r="BB36" s="876"/>
      <c r="BC36" s="9"/>
      <c r="BD36" s="2"/>
      <c r="BE36" s="12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</row>
    <row r="37" spans="1:104">
      <c r="A37" s="10"/>
      <c r="B37" s="12"/>
      <c r="C37" s="2"/>
      <c r="D37" s="9"/>
      <c r="E37" s="876"/>
      <c r="F37" s="876"/>
      <c r="G37" s="876"/>
      <c r="H37" s="876"/>
      <c r="I37" s="876"/>
      <c r="J37" s="876"/>
      <c r="K37" s="876"/>
      <c r="L37" s="876"/>
      <c r="M37" s="876"/>
      <c r="N37" s="876"/>
      <c r="O37" s="876"/>
      <c r="P37" s="876"/>
      <c r="Q37" s="876"/>
      <c r="R37" s="876"/>
      <c r="S37" s="876"/>
      <c r="T37" s="876"/>
      <c r="U37" s="876"/>
      <c r="V37" s="876"/>
      <c r="W37" s="876"/>
      <c r="X37" s="876"/>
      <c r="Y37" s="876"/>
      <c r="Z37" s="876"/>
      <c r="AA37" s="876"/>
      <c r="AB37" s="876"/>
      <c r="AC37" s="876"/>
      <c r="AD37" s="876"/>
      <c r="AE37" s="876"/>
      <c r="AF37" s="876"/>
      <c r="AG37" s="876"/>
      <c r="AH37" s="876"/>
      <c r="AI37" s="876"/>
      <c r="AJ37" s="876"/>
      <c r="AK37" s="876"/>
      <c r="AL37" s="876"/>
      <c r="AM37" s="876"/>
      <c r="AN37" s="876"/>
      <c r="AO37" s="876"/>
      <c r="AP37" s="876"/>
      <c r="AQ37" s="876"/>
      <c r="AR37" s="876"/>
      <c r="AS37" s="876"/>
      <c r="AT37" s="876"/>
      <c r="AU37" s="876"/>
      <c r="AV37" s="876"/>
      <c r="AW37" s="876"/>
      <c r="AX37" s="876"/>
      <c r="AY37" s="876"/>
      <c r="AZ37" s="876"/>
      <c r="BA37" s="876"/>
      <c r="BB37" s="876"/>
      <c r="BC37" s="9"/>
      <c r="BD37" s="2"/>
      <c r="BE37" s="12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</row>
    <row r="38" spans="1:104">
      <c r="A38" s="10"/>
      <c r="B38" s="12"/>
      <c r="C38" s="2"/>
      <c r="D38" s="9"/>
      <c r="E38" s="876"/>
      <c r="F38" s="876"/>
      <c r="G38" s="876"/>
      <c r="H38" s="876"/>
      <c r="I38" s="876"/>
      <c r="J38" s="876"/>
      <c r="K38" s="876"/>
      <c r="L38" s="876"/>
      <c r="M38" s="876"/>
      <c r="N38" s="876"/>
      <c r="O38" s="876"/>
      <c r="P38" s="876"/>
      <c r="Q38" s="876"/>
      <c r="R38" s="876"/>
      <c r="S38" s="876"/>
      <c r="T38" s="876"/>
      <c r="U38" s="876"/>
      <c r="V38" s="876"/>
      <c r="W38" s="876"/>
      <c r="X38" s="876"/>
      <c r="Y38" s="876"/>
      <c r="Z38" s="876"/>
      <c r="AA38" s="876"/>
      <c r="AB38" s="876"/>
      <c r="AC38" s="876"/>
      <c r="AD38" s="876"/>
      <c r="AE38" s="876"/>
      <c r="AF38" s="876"/>
      <c r="AG38" s="876"/>
      <c r="AH38" s="876"/>
      <c r="AI38" s="876"/>
      <c r="AJ38" s="876"/>
      <c r="AK38" s="876"/>
      <c r="AL38" s="876"/>
      <c r="AM38" s="876"/>
      <c r="AN38" s="876"/>
      <c r="AO38" s="876"/>
      <c r="AP38" s="876"/>
      <c r="AQ38" s="876"/>
      <c r="AR38" s="876"/>
      <c r="AS38" s="876"/>
      <c r="AT38" s="876"/>
      <c r="AU38" s="876"/>
      <c r="AV38" s="876"/>
      <c r="AW38" s="876"/>
      <c r="AX38" s="876"/>
      <c r="AY38" s="876"/>
      <c r="AZ38" s="876"/>
      <c r="BA38" s="876"/>
      <c r="BB38" s="876"/>
      <c r="BC38" s="9"/>
      <c r="BD38" s="2"/>
      <c r="BE38" s="12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</row>
    <row r="39" spans="1:104">
      <c r="A39" s="10"/>
      <c r="B39" s="12"/>
      <c r="C39" s="2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2"/>
      <c r="BE39" s="12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</row>
    <row r="40" spans="1:104">
      <c r="A40" s="10"/>
      <c r="B40" s="1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12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</row>
    <row r="41" spans="1:104">
      <c r="A41" s="10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</row>
    <row r="42" spans="1:10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</row>
    <row r="43" spans="1:104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</row>
    <row r="44" spans="1:104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</row>
    <row r="45" spans="1:104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</row>
    <row r="46" spans="1:104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</row>
    <row r="47" spans="1:104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</row>
    <row r="48" spans="1:104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</row>
    <row r="49" spans="1:104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</row>
    <row r="50" spans="1:104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</row>
    <row r="51" spans="1:104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</row>
    <row r="52" spans="1:104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</row>
    <row r="53" spans="1:104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</row>
    <row r="54" spans="1:10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</row>
    <row r="55" spans="1:104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</row>
    <row r="56" spans="1:104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</row>
    <row r="57" spans="1:104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</row>
    <row r="58" spans="1:104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</row>
    <row r="59" spans="1:104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</row>
    <row r="60" spans="1:104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</row>
    <row r="61" spans="1:104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</row>
    <row r="62" spans="1:104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</row>
    <row r="63" spans="1:104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</row>
    <row r="64" spans="1:10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</row>
    <row r="65" spans="1:104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</row>
    <row r="66" spans="1:104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</row>
    <row r="67" spans="1:104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</row>
    <row r="68" spans="1:104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</row>
    <row r="69" spans="1:104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</row>
    <row r="70" spans="1:104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</row>
    <row r="71" spans="1:104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</row>
    <row r="72" spans="1:104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</row>
    <row r="73" spans="1:104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</row>
    <row r="74" spans="1:10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</row>
    <row r="75" spans="1:104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</row>
    <row r="76" spans="1:104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</row>
    <row r="77" spans="1:104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</row>
    <row r="78" spans="1:104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</row>
    <row r="79" spans="1:104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</row>
    <row r="80" spans="1:104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</row>
    <row r="81" spans="1:104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</row>
    <row r="82" spans="1:104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</row>
    <row r="83" spans="1:104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</row>
    <row r="84" spans="1:10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</row>
    <row r="85" spans="1:104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</row>
    <row r="86" spans="1:104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</row>
    <row r="87" spans="1:104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</row>
    <row r="88" spans="1:104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</row>
    <row r="89" spans="1:104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</row>
    <row r="90" spans="1:104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</row>
    <row r="91" spans="1:104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</row>
    <row r="92" spans="1:104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</row>
    <row r="93" spans="1:104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</row>
    <row r="94" spans="1:10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</row>
    <row r="95" spans="1:104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</row>
    <row r="96" spans="1:104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</row>
    <row r="97" spans="1:104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</row>
    <row r="98" spans="1:104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</row>
    <row r="99" spans="1:104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</row>
    <row r="100" spans="1:104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</row>
    <row r="101" spans="1:104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</row>
    <row r="102" spans="1:104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</row>
    <row r="103" spans="1:104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</row>
    <row r="104" spans="1:10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</row>
    <row r="105" spans="1:104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</row>
    <row r="106" spans="1:10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</row>
    <row r="107" spans="1:10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</row>
    <row r="108" spans="1:10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</row>
    <row r="109" spans="1:104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</row>
  </sheetData>
  <mergeCells count="3">
    <mergeCell ref="E35:BB38"/>
    <mergeCell ref="R4:AP4"/>
    <mergeCell ref="R6:AP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4" tint="0.59999389629810485"/>
    <pageSetUpPr autoPageBreaks="0"/>
  </sheetPr>
  <dimension ref="B1:L942"/>
  <sheetViews>
    <sheetView zoomScale="130" zoomScaleNormal="130" workbookViewId="0">
      <pane xSplit="3" ySplit="10" topLeftCell="D71" activePane="bottomRight" state="frozenSplit"/>
      <selection pane="topRight" activeCell="I21" sqref="I21"/>
      <selection pane="bottomLeft" activeCell="I21" sqref="I21"/>
      <selection pane="bottomRight" activeCell="B11" sqref="B11"/>
    </sheetView>
  </sheetViews>
  <sheetFormatPr defaultColWidth="9.1796875" defaultRowHeight="13" outlineLevelCol="1"/>
  <cols>
    <col min="1" max="1" width="2" style="41" customWidth="1"/>
    <col min="2" max="2" width="64.90625" style="41" customWidth="1"/>
    <col min="3" max="3" width="16.08984375" style="41" customWidth="1"/>
    <col min="4" max="4" width="8.6328125" style="41" customWidth="1"/>
    <col min="5" max="5" width="9.6328125" style="41" customWidth="1"/>
    <col min="6" max="6" width="11.1796875" style="198" customWidth="1"/>
    <col min="7" max="7" width="19.81640625" style="41" hidden="1" customWidth="1" outlineLevel="1"/>
    <col min="8" max="8" width="16.1796875" style="41" customWidth="1" outlineLevel="1"/>
    <col min="9" max="10" width="30.7265625" style="41" customWidth="1"/>
    <col min="11" max="11" width="14.26953125" style="41" customWidth="1"/>
    <col min="12" max="13" width="30.7265625" style="41" customWidth="1"/>
    <col min="14" max="16384" width="9.1796875" style="41"/>
  </cols>
  <sheetData>
    <row r="1" spans="2:12" s="43" customFormat="1" ht="18.5">
      <c r="B1" s="42" t="s">
        <v>74</v>
      </c>
      <c r="C1" s="92"/>
      <c r="D1" s="92"/>
      <c r="E1" s="92"/>
      <c r="F1" s="190"/>
      <c r="G1" s="92"/>
      <c r="H1" s="92"/>
      <c r="I1" s="92"/>
      <c r="J1" s="92"/>
      <c r="K1" s="92"/>
      <c r="L1" s="92"/>
    </row>
    <row r="2" spans="2:12" s="43" customFormat="1" ht="10" customHeight="1">
      <c r="F2" s="191"/>
    </row>
    <row r="3" spans="2:12" s="43" customFormat="1">
      <c r="B3" s="44" t="s">
        <v>75</v>
      </c>
      <c r="C3" s="87" t="s">
        <v>146</v>
      </c>
      <c r="D3" s="143" t="s">
        <v>76</v>
      </c>
      <c r="E3" s="144"/>
      <c r="F3" s="192" t="s">
        <v>147</v>
      </c>
    </row>
    <row r="4" spans="2:12" s="43" customFormat="1">
      <c r="B4" s="44" t="s">
        <v>77</v>
      </c>
      <c r="C4" s="87" t="s">
        <v>111</v>
      </c>
      <c r="D4" s="143" t="str">
        <f>"Exchange Rate: 1 "&amp;ACU&amp;" = ? LCU"</f>
        <v>Exchange Rate: 1 USD = ? LCU</v>
      </c>
      <c r="E4" s="144"/>
      <c r="F4" s="192">
        <v>1600</v>
      </c>
    </row>
    <row r="5" spans="2:12" s="43" customFormat="1">
      <c r="F5" s="191"/>
    </row>
    <row r="6" spans="2:12" s="43" customFormat="1" ht="10" customHeight="1">
      <c r="F6" s="191"/>
    </row>
    <row r="7" spans="2:12" s="43" customFormat="1" ht="5.25" customHeight="1">
      <c r="B7" s="45"/>
      <c r="C7" s="45"/>
      <c r="D7" s="45"/>
      <c r="E7" s="45"/>
      <c r="F7" s="193"/>
      <c r="G7" s="46"/>
      <c r="H7" s="46"/>
      <c r="I7" s="45"/>
      <c r="J7" s="45"/>
      <c r="K7" s="45"/>
      <c r="L7" s="45"/>
    </row>
    <row r="8" spans="2:12" s="43" customFormat="1" ht="15" customHeight="1">
      <c r="B8" s="47" t="s">
        <v>78</v>
      </c>
      <c r="C8" s="47"/>
      <c r="D8" s="48" t="s">
        <v>79</v>
      </c>
      <c r="E8" s="49"/>
      <c r="F8" s="194"/>
      <c r="G8" s="49"/>
      <c r="H8" s="49"/>
      <c r="I8" s="50" t="s">
        <v>80</v>
      </c>
      <c r="J8" s="51"/>
      <c r="K8" s="51"/>
      <c r="L8" s="51"/>
    </row>
    <row r="9" spans="2:12" s="43" customFormat="1">
      <c r="B9" s="52"/>
      <c r="C9" s="53"/>
      <c r="D9" s="54" t="s">
        <v>13</v>
      </c>
      <c r="E9" s="54" t="s">
        <v>13</v>
      </c>
      <c r="F9" s="195" t="s">
        <v>13</v>
      </c>
      <c r="G9" s="54" t="s">
        <v>81</v>
      </c>
      <c r="H9" s="54"/>
      <c r="I9" s="55"/>
      <c r="J9" s="56"/>
      <c r="K9" s="56"/>
      <c r="L9" s="57"/>
    </row>
    <row r="10" spans="2:12" s="43" customFormat="1">
      <c r="B10" s="52" t="s">
        <v>82</v>
      </c>
      <c r="C10" s="58" t="s">
        <v>71</v>
      </c>
      <c r="D10" s="59" t="s">
        <v>83</v>
      </c>
      <c r="E10" s="59" t="s">
        <v>84</v>
      </c>
      <c r="F10" s="195" t="s">
        <v>85</v>
      </c>
      <c r="G10" s="59" t="s">
        <v>86</v>
      </c>
      <c r="H10" s="59" t="s">
        <v>2449</v>
      </c>
      <c r="I10" s="60" t="s">
        <v>18</v>
      </c>
      <c r="J10" s="60" t="s">
        <v>87</v>
      </c>
      <c r="K10" s="60" t="s">
        <v>88</v>
      </c>
      <c r="L10" s="57" t="s">
        <v>89</v>
      </c>
    </row>
    <row r="11" spans="2:12" ht="14.25" customHeight="1">
      <c r="B11" s="96" t="s">
        <v>2415</v>
      </c>
      <c r="C11" s="96" t="s">
        <v>2534</v>
      </c>
      <c r="D11" s="97">
        <v>2024</v>
      </c>
      <c r="E11" s="97" t="s">
        <v>146</v>
      </c>
      <c r="F11" s="196">
        <v>5585</v>
      </c>
      <c r="G11" s="103">
        <f>IF(TblUnitCost[[#This Row],[Currency]]=LCU, TblUnitCost[[#This Row],[Cost]], IF(TblUnitCost[[#This Row],[Currency]]=ACU, TblUnitCost[[#This Row],[Cost]]*FX_Rate, "Check Ref Currency"))</f>
        <v>5585</v>
      </c>
      <c r="H11" s="103">
        <f>TblUnitCost[[#This Row],[Cost]]/1600</f>
        <v>3.4906250000000001</v>
      </c>
      <c r="I11" s="96" t="s">
        <v>2414</v>
      </c>
      <c r="J11" s="96" t="s">
        <v>2451</v>
      </c>
      <c r="K11" s="98"/>
      <c r="L11" s="96"/>
    </row>
    <row r="12" spans="2:12" ht="14.25" customHeight="1">
      <c r="B12" s="96" t="s">
        <v>2372</v>
      </c>
      <c r="C12" s="96" t="s">
        <v>2534</v>
      </c>
      <c r="D12" s="97">
        <v>2024</v>
      </c>
      <c r="E12" s="97" t="s">
        <v>146</v>
      </c>
      <c r="F12" s="196">
        <v>800</v>
      </c>
      <c r="G12" s="103">
        <f>IF(TblUnitCost[[#This Row],[Currency]]=LCU, TblUnitCost[[#This Row],[Cost]], IF(TblUnitCost[[#This Row],[Currency]]=ACU, TblUnitCost[[#This Row],[Cost]]*FX_Rate, "Check Ref Currency"))</f>
        <v>800</v>
      </c>
      <c r="H12" s="103">
        <f>TblUnitCost[[#This Row],[Cost]]/1600</f>
        <v>0.5</v>
      </c>
      <c r="I12" s="96" t="s">
        <v>2416</v>
      </c>
      <c r="J12" s="96" t="s">
        <v>2450</v>
      </c>
      <c r="K12" s="98"/>
      <c r="L12" s="96"/>
    </row>
    <row r="13" spans="2:12" ht="14.25" customHeight="1">
      <c r="B13" s="96" t="s">
        <v>2417</v>
      </c>
      <c r="C13" s="96" t="s">
        <v>2534</v>
      </c>
      <c r="D13" s="97">
        <v>2024</v>
      </c>
      <c r="E13" s="97" t="s">
        <v>146</v>
      </c>
      <c r="F13" s="196">
        <v>5585</v>
      </c>
      <c r="G13" s="103">
        <f>IF(TblUnitCost[[#This Row],[Currency]]=LCU, TblUnitCost[[#This Row],[Cost]], IF(TblUnitCost[[#This Row],[Currency]]=ACU, TblUnitCost[[#This Row],[Cost]]*FX_Rate, "Check Ref Currency"))</f>
        <v>5585</v>
      </c>
      <c r="H13" s="103">
        <f>TblUnitCost[[#This Row],[Cost]]/1600</f>
        <v>3.4906250000000001</v>
      </c>
      <c r="I13" s="96" t="s">
        <v>2414</v>
      </c>
      <c r="J13" s="96" t="s">
        <v>2450</v>
      </c>
      <c r="K13" s="98"/>
      <c r="L13" s="96"/>
    </row>
    <row r="14" spans="2:12" ht="14.25" customHeight="1">
      <c r="B14" s="96" t="s">
        <v>2373</v>
      </c>
      <c r="C14" s="96" t="s">
        <v>2534</v>
      </c>
      <c r="D14" s="97">
        <v>2024</v>
      </c>
      <c r="E14" s="97" t="s">
        <v>146</v>
      </c>
      <c r="F14" s="196"/>
      <c r="G14" s="103">
        <f>IF(TblUnitCost[[#This Row],[Currency]]=LCU, TblUnitCost[[#This Row],[Cost]], IF(TblUnitCost[[#This Row],[Currency]]=ACU, TblUnitCost[[#This Row],[Cost]]*FX_Rate, "Check Ref Currency"))</f>
        <v>0</v>
      </c>
      <c r="H14" s="103">
        <f>TblUnitCost[[#This Row],[Cost]]/1600</f>
        <v>0</v>
      </c>
      <c r="I14" s="96"/>
      <c r="J14" s="96"/>
      <c r="K14" s="98"/>
      <c r="L14" s="96"/>
    </row>
    <row r="15" spans="2:12" ht="14.25" customHeight="1">
      <c r="B15" s="96" t="s">
        <v>2536</v>
      </c>
      <c r="C15" s="96" t="s">
        <v>2535</v>
      </c>
      <c r="D15" s="97">
        <v>2024</v>
      </c>
      <c r="E15" s="97" t="s">
        <v>146</v>
      </c>
      <c r="F15" s="196"/>
      <c r="G15" s="103">
        <f>IF(TblUnitCost[[#This Row],[Currency]]=LCU, TblUnitCost[[#This Row],[Cost]], IF(TblUnitCost[[#This Row],[Currency]]=ACU, TblUnitCost[[#This Row],[Cost]]*FX_Rate, "Check Ref Currency"))</f>
        <v>0</v>
      </c>
      <c r="H15" s="103">
        <f>TblUnitCost[[#This Row],[Cost]]/1600</f>
        <v>0</v>
      </c>
      <c r="I15" s="96"/>
      <c r="J15" s="96"/>
      <c r="K15" s="98"/>
      <c r="L15" s="96"/>
    </row>
    <row r="16" spans="2:12" ht="14.25" customHeight="1">
      <c r="B16" s="96" t="s">
        <v>2537</v>
      </c>
      <c r="C16" s="96" t="s">
        <v>2535</v>
      </c>
      <c r="D16" s="97">
        <v>2024</v>
      </c>
      <c r="E16" s="97" t="s">
        <v>146</v>
      </c>
      <c r="F16" s="196"/>
      <c r="G16" s="103">
        <f>IF(TblUnitCost[[#This Row],[Currency]]=LCU, TblUnitCost[[#This Row],[Cost]], IF(TblUnitCost[[#This Row],[Currency]]=ACU, TblUnitCost[[#This Row],[Cost]]*FX_Rate, "Check Ref Currency"))</f>
        <v>0</v>
      </c>
      <c r="H16" s="103">
        <f>TblUnitCost[[#This Row],[Cost]]/1600</f>
        <v>0</v>
      </c>
      <c r="I16" s="96"/>
      <c r="J16" s="96"/>
      <c r="K16" s="98"/>
      <c r="L16" s="96"/>
    </row>
    <row r="17" spans="2:12" ht="14.25" customHeight="1">
      <c r="B17" s="96" t="s">
        <v>2538</v>
      </c>
      <c r="C17" s="96" t="s">
        <v>2535</v>
      </c>
      <c r="D17" s="97">
        <v>2024</v>
      </c>
      <c r="E17" s="97" t="s">
        <v>146</v>
      </c>
      <c r="F17" s="196"/>
      <c r="G17" s="103">
        <f>IF(TblUnitCost[[#This Row],[Currency]]=LCU, TblUnitCost[[#This Row],[Cost]], IF(TblUnitCost[[#This Row],[Currency]]=ACU, TblUnitCost[[#This Row],[Cost]]*FX_Rate, "Check Ref Currency"))</f>
        <v>0</v>
      </c>
      <c r="H17" s="103">
        <f>TblUnitCost[[#This Row],[Cost]]/1600</f>
        <v>0</v>
      </c>
      <c r="I17" s="96"/>
      <c r="J17" s="96"/>
      <c r="K17" s="98"/>
      <c r="L17" s="96"/>
    </row>
    <row r="18" spans="2:12" ht="14.25" customHeight="1">
      <c r="B18" s="96" t="s">
        <v>2375</v>
      </c>
      <c r="C18" s="96" t="s">
        <v>2535</v>
      </c>
      <c r="D18" s="97">
        <v>2024</v>
      </c>
      <c r="E18" s="97" t="s">
        <v>146</v>
      </c>
      <c r="F18" s="196"/>
      <c r="G18" s="103">
        <f>IF(TblUnitCost[[#This Row],[Currency]]=LCU, TblUnitCost[[#This Row],[Cost]], IF(TblUnitCost[[#This Row],[Currency]]=ACU, TblUnitCost[[#This Row],[Cost]]*FX_Rate, "Check Ref Currency"))</f>
        <v>0</v>
      </c>
      <c r="H18" s="103">
        <f>TblUnitCost[[#This Row],[Cost]]/1600</f>
        <v>0</v>
      </c>
      <c r="I18" s="96"/>
      <c r="J18" s="96"/>
      <c r="K18" s="98"/>
      <c r="L18" s="96"/>
    </row>
    <row r="19" spans="2:12" ht="14.25" customHeight="1">
      <c r="B19" s="96" t="s">
        <v>2376</v>
      </c>
      <c r="C19" s="96" t="s">
        <v>2535</v>
      </c>
      <c r="D19" s="97"/>
      <c r="E19" s="97" t="s">
        <v>146</v>
      </c>
      <c r="F19" s="196"/>
      <c r="G19" s="103">
        <f>IF(TblUnitCost[[#This Row],[Currency]]=LCU, TblUnitCost[[#This Row],[Cost]], IF(TblUnitCost[[#This Row],[Currency]]=ACU, TblUnitCost[[#This Row],[Cost]]*FX_Rate, "Check Ref Currency"))</f>
        <v>0</v>
      </c>
      <c r="H19" s="103">
        <f>TblUnitCost[[#This Row],[Cost]]/1600</f>
        <v>0</v>
      </c>
      <c r="I19" s="96"/>
      <c r="J19" s="96"/>
      <c r="K19" s="98"/>
      <c r="L19" s="96"/>
    </row>
    <row r="20" spans="2:12" ht="14.25" customHeight="1">
      <c r="B20" s="96" t="s">
        <v>2377</v>
      </c>
      <c r="C20" s="96" t="s">
        <v>2535</v>
      </c>
      <c r="D20" s="97">
        <v>2024</v>
      </c>
      <c r="E20" s="97" t="s">
        <v>146</v>
      </c>
      <c r="F20" s="196"/>
      <c r="G20" s="103">
        <f>IF(TblUnitCost[[#This Row],[Currency]]=LCU, TblUnitCost[[#This Row],[Cost]], IF(TblUnitCost[[#This Row],[Currency]]=ACU, TblUnitCost[[#This Row],[Cost]]*FX_Rate, "Check Ref Currency"))</f>
        <v>0</v>
      </c>
      <c r="H20" s="103">
        <f>TblUnitCost[[#This Row],[Cost]]/1600</f>
        <v>0</v>
      </c>
      <c r="I20" s="96"/>
      <c r="J20" s="96"/>
      <c r="K20" s="98"/>
      <c r="L20" s="96"/>
    </row>
    <row r="21" spans="2:12" ht="14.25" customHeight="1">
      <c r="B21" s="96" t="s">
        <v>2378</v>
      </c>
      <c r="C21" s="96" t="s">
        <v>2535</v>
      </c>
      <c r="D21" s="97">
        <v>2024</v>
      </c>
      <c r="E21" s="97" t="s">
        <v>146</v>
      </c>
      <c r="F21" s="196"/>
      <c r="G21" s="103">
        <f>IF(TblUnitCost[[#This Row],[Currency]]=LCU, TblUnitCost[[#This Row],[Cost]], IF(TblUnitCost[[#This Row],[Currency]]=ACU, TblUnitCost[[#This Row],[Cost]]*FX_Rate, "Check Ref Currency"))</f>
        <v>0</v>
      </c>
      <c r="H21" s="103">
        <f>TblUnitCost[[#This Row],[Cost]]/1600</f>
        <v>0</v>
      </c>
      <c r="I21" s="96"/>
      <c r="J21" s="96"/>
      <c r="K21" s="98"/>
      <c r="L21" s="96"/>
    </row>
    <row r="22" spans="2:12" ht="14.25" customHeight="1">
      <c r="B22" s="96" t="s">
        <v>2379</v>
      </c>
      <c r="C22" s="96" t="s">
        <v>2535</v>
      </c>
      <c r="D22" s="97">
        <v>2024</v>
      </c>
      <c r="E22" s="97" t="s">
        <v>146</v>
      </c>
      <c r="F22" s="196"/>
      <c r="G22" s="103">
        <f>IF(TblUnitCost[[#This Row],[Currency]]=LCU, TblUnitCost[[#This Row],[Cost]], IF(TblUnitCost[[#This Row],[Currency]]=ACU, TblUnitCost[[#This Row],[Cost]]*FX_Rate, "Check Ref Currency"))</f>
        <v>0</v>
      </c>
      <c r="H22" s="103">
        <f>TblUnitCost[[#This Row],[Cost]]/1600</f>
        <v>0</v>
      </c>
      <c r="I22" s="96"/>
      <c r="J22" s="96"/>
      <c r="K22" s="98"/>
      <c r="L22" s="96"/>
    </row>
    <row r="23" spans="2:12" ht="14.25" customHeight="1">
      <c r="B23" s="96" t="s">
        <v>2380</v>
      </c>
      <c r="C23" s="96" t="s">
        <v>2535</v>
      </c>
      <c r="D23" s="97">
        <v>2024</v>
      </c>
      <c r="E23" s="97" t="s">
        <v>146</v>
      </c>
      <c r="F23" s="196"/>
      <c r="G23" s="103">
        <f>IF(TblUnitCost[[#This Row],[Currency]]=LCU, TblUnitCost[[#This Row],[Cost]], IF(TblUnitCost[[#This Row],[Currency]]=ACU, TblUnitCost[[#This Row],[Cost]]*FX_Rate, "Check Ref Currency"))</f>
        <v>0</v>
      </c>
      <c r="H23" s="103">
        <f>TblUnitCost[[#This Row],[Cost]]/1600</f>
        <v>0</v>
      </c>
      <c r="I23" s="96"/>
      <c r="J23" s="96"/>
      <c r="K23" s="98"/>
      <c r="L23" s="96"/>
    </row>
    <row r="24" spans="2:12" ht="14.25" customHeight="1">
      <c r="B24" s="96" t="s">
        <v>2374</v>
      </c>
      <c r="C24" s="96" t="s">
        <v>2535</v>
      </c>
      <c r="D24" s="97">
        <v>2024</v>
      </c>
      <c r="E24" s="97" t="s">
        <v>146</v>
      </c>
      <c r="F24" s="196"/>
      <c r="G24" s="103">
        <f>IF(TblUnitCost[[#This Row],[Currency]]=LCU, TblUnitCost[[#This Row],[Cost]], IF(TblUnitCost[[#This Row],[Currency]]=ACU, TblUnitCost[[#This Row],[Cost]]*FX_Rate, "Check Ref Currency"))</f>
        <v>0</v>
      </c>
      <c r="H24" s="103">
        <f>TblUnitCost[[#This Row],[Cost]]/1600</f>
        <v>0</v>
      </c>
      <c r="I24" s="96"/>
      <c r="J24" s="96"/>
      <c r="K24" s="98"/>
      <c r="L24" s="96"/>
    </row>
    <row r="25" spans="2:12" ht="14.25" customHeight="1">
      <c r="B25" s="96" t="s">
        <v>2381</v>
      </c>
      <c r="C25" s="96" t="s">
        <v>2539</v>
      </c>
      <c r="D25" s="97">
        <v>2024</v>
      </c>
      <c r="E25" s="97" t="s">
        <v>146</v>
      </c>
      <c r="F25" s="196">
        <v>390</v>
      </c>
      <c r="G25" s="103">
        <f>IF(TblUnitCost[[#This Row],[Currency]]=LCU, TblUnitCost[[#This Row],[Cost]], IF(TblUnitCost[[#This Row],[Currency]]=ACU, TblUnitCost[[#This Row],[Cost]]*FX_Rate, "Check Ref Currency"))</f>
        <v>390</v>
      </c>
      <c r="H25" s="103">
        <f>TblUnitCost[[#This Row],[Cost]]/1600</f>
        <v>0.24374999999999999</v>
      </c>
      <c r="I25" s="96" t="s">
        <v>2414</v>
      </c>
      <c r="J25" s="96" t="s">
        <v>2450</v>
      </c>
      <c r="K25" s="98"/>
      <c r="L25" s="96"/>
    </row>
    <row r="26" spans="2:12" ht="14.25" customHeight="1">
      <c r="B26" s="96" t="s">
        <v>2382</v>
      </c>
      <c r="C26" s="96" t="s">
        <v>2539</v>
      </c>
      <c r="D26" s="97">
        <v>2024</v>
      </c>
      <c r="E26" s="97" t="s">
        <v>146</v>
      </c>
      <c r="F26" s="196">
        <v>435</v>
      </c>
      <c r="G26" s="103">
        <f>IF(TblUnitCost[[#This Row],[Currency]]=LCU, TblUnitCost[[#This Row],[Cost]], IF(TblUnitCost[[#This Row],[Currency]]=ACU, TblUnitCost[[#This Row],[Cost]]*FX_Rate, "Check Ref Currency"))</f>
        <v>435</v>
      </c>
      <c r="H26" s="103">
        <f>TblUnitCost[[#This Row],[Cost]]/1600</f>
        <v>0.27187499999999998</v>
      </c>
      <c r="I26" s="96" t="s">
        <v>2414</v>
      </c>
      <c r="J26" s="96" t="s">
        <v>2450</v>
      </c>
      <c r="K26" s="98"/>
      <c r="L26" s="96"/>
    </row>
    <row r="27" spans="2:12" ht="14.25" customHeight="1">
      <c r="B27" s="96" t="s">
        <v>2526</v>
      </c>
      <c r="C27" s="96" t="s">
        <v>2540</v>
      </c>
      <c r="D27" s="97">
        <v>2024</v>
      </c>
      <c r="E27" s="97" t="s">
        <v>146</v>
      </c>
      <c r="F27" s="196">
        <f>'Cost inputs for SMC Campaign'!H64</f>
        <v>2128</v>
      </c>
      <c r="G27" s="103">
        <f>IF(TblUnitCost[[#This Row],[Currency]]=LCU, TblUnitCost[[#This Row],[Cost]], IF(TblUnitCost[[#This Row],[Currency]]=ACU, TblUnitCost[[#This Row],[Cost]]*FX_Rate, "Check Ref Currency"))</f>
        <v>2128</v>
      </c>
      <c r="H27" s="103">
        <f>TblUnitCost[[#This Row],[Cost]]/1600</f>
        <v>1.33</v>
      </c>
      <c r="I27" s="96" t="s">
        <v>2414</v>
      </c>
      <c r="J27" s="96" t="s">
        <v>2450</v>
      </c>
      <c r="K27" s="98"/>
      <c r="L27" s="96"/>
    </row>
    <row r="28" spans="2:12" ht="14.25" customHeight="1">
      <c r="B28" s="96" t="s">
        <v>2665</v>
      </c>
      <c r="C28" s="96" t="s">
        <v>2541</v>
      </c>
      <c r="D28" s="97">
        <v>2024</v>
      </c>
      <c r="E28" s="97" t="s">
        <v>146</v>
      </c>
      <c r="F28" s="196">
        <f>'Cost inputs for PMC commodities'!J22</f>
        <v>327</v>
      </c>
      <c r="G28" s="103">
        <f>IF(TblUnitCost[[#This Row],[Currency]]=LCU, TblUnitCost[[#This Row],[Cost]], IF(TblUnitCost[[#This Row],[Currency]]=ACU, TblUnitCost[[#This Row],[Cost]]*FX_Rate, "Check Ref Currency"))</f>
        <v>327</v>
      </c>
      <c r="H28" s="103">
        <f>TblUnitCost[[#This Row],[Cost]]/1600</f>
        <v>0.204375</v>
      </c>
      <c r="I28" s="96" t="s">
        <v>2414</v>
      </c>
      <c r="J28" s="96" t="s">
        <v>2450</v>
      </c>
      <c r="K28" s="98"/>
      <c r="L28" s="96"/>
    </row>
    <row r="29" spans="2:12" ht="14.25" customHeight="1">
      <c r="B29" s="96" t="s">
        <v>2664</v>
      </c>
      <c r="C29" s="96" t="s">
        <v>2540</v>
      </c>
      <c r="D29" s="97">
        <v>2024</v>
      </c>
      <c r="E29" s="97" t="s">
        <v>146</v>
      </c>
      <c r="F29" s="196">
        <f>'Cost inputs-PMC SP Distribution'!J80</f>
        <v>130</v>
      </c>
      <c r="G29" s="103">
        <f>IF(TblUnitCost[[#This Row],[Currency]]=LCU, TblUnitCost[[#This Row],[Cost]], IF(TblUnitCost[[#This Row],[Currency]]=ACU, TblUnitCost[[#This Row],[Cost]]*FX_Rate, "Check Ref Currency"))</f>
        <v>130</v>
      </c>
      <c r="H29" s="103">
        <f>TblUnitCost[[#This Row],[Cost]]/1600</f>
        <v>8.1250000000000003E-2</v>
      </c>
      <c r="I29" s="96" t="s">
        <v>2414</v>
      </c>
      <c r="J29" s="96" t="s">
        <v>2450</v>
      </c>
      <c r="K29" s="98"/>
      <c r="L29" s="96"/>
    </row>
    <row r="30" spans="2:12" ht="14.25" customHeight="1">
      <c r="B30" s="96" t="s">
        <v>2383</v>
      </c>
      <c r="C30" s="96" t="s">
        <v>2541</v>
      </c>
      <c r="D30" s="97">
        <v>2024</v>
      </c>
      <c r="E30" s="97" t="s">
        <v>146</v>
      </c>
      <c r="F30" s="196">
        <v>809</v>
      </c>
      <c r="G30" s="103">
        <f>IF(TblUnitCost[[#This Row],[Currency]]=LCU, TblUnitCost[[#This Row],[Cost]], IF(TblUnitCost[[#This Row],[Currency]]=ACU, TblUnitCost[[#This Row],[Cost]]*FX_Rate, "Check Ref Currency"))</f>
        <v>809</v>
      </c>
      <c r="H30" s="103">
        <f>TblUnitCost[[#This Row],[Cost]]/1600</f>
        <v>0.50562499999999999</v>
      </c>
      <c r="I30" s="96" t="s">
        <v>2414</v>
      </c>
      <c r="J30" s="96" t="s">
        <v>2450</v>
      </c>
      <c r="K30" s="98"/>
      <c r="L30" s="96"/>
    </row>
    <row r="31" spans="2:12" ht="14.25" customHeight="1">
      <c r="B31" s="96" t="s">
        <v>2384</v>
      </c>
      <c r="C31" s="96" t="s">
        <v>2541</v>
      </c>
      <c r="D31" s="97">
        <v>2024</v>
      </c>
      <c r="E31" s="97" t="s">
        <v>146</v>
      </c>
      <c r="F31" s="196"/>
      <c r="G31" s="103"/>
      <c r="H31" s="103">
        <f>TblUnitCost[[#This Row],[Cost]]/1600</f>
        <v>0</v>
      </c>
      <c r="I31" s="96"/>
      <c r="J31" s="96"/>
      <c r="K31" s="98"/>
      <c r="L31" s="96"/>
    </row>
    <row r="32" spans="2:12" ht="14.25" customHeight="1">
      <c r="B32" s="96" t="s">
        <v>2543</v>
      </c>
      <c r="C32" s="96" t="s">
        <v>2542</v>
      </c>
      <c r="D32" s="97">
        <v>2024</v>
      </c>
      <c r="E32" s="97" t="s">
        <v>146</v>
      </c>
      <c r="F32" s="196"/>
      <c r="G32" s="103"/>
      <c r="H32" s="103">
        <f>TblUnitCost[[#This Row],[Cost]]/1600</f>
        <v>0</v>
      </c>
      <c r="I32" s="96"/>
      <c r="J32" s="96"/>
      <c r="K32" s="98"/>
      <c r="L32" s="96"/>
    </row>
    <row r="33" spans="2:12" ht="14.25" customHeight="1">
      <c r="B33" s="96" t="s">
        <v>2385</v>
      </c>
      <c r="C33" s="96" t="s">
        <v>2542</v>
      </c>
      <c r="D33" s="97">
        <v>2024</v>
      </c>
      <c r="E33" s="97" t="s">
        <v>146</v>
      </c>
      <c r="F33" s="196"/>
      <c r="G33" s="103"/>
      <c r="H33" s="103">
        <f>TblUnitCost[[#This Row],[Cost]]/1600</f>
        <v>0</v>
      </c>
      <c r="I33" s="96"/>
      <c r="J33" s="96"/>
      <c r="K33" s="98"/>
      <c r="L33" s="96"/>
    </row>
    <row r="34" spans="2:12" ht="14.25" customHeight="1">
      <c r="B34" s="96" t="s">
        <v>2386</v>
      </c>
      <c r="C34" s="96" t="s">
        <v>2540</v>
      </c>
      <c r="D34" s="97">
        <v>2024</v>
      </c>
      <c r="E34" s="97" t="s">
        <v>146</v>
      </c>
      <c r="F34" s="196"/>
      <c r="G34" s="103"/>
      <c r="H34" s="103">
        <f>TblUnitCost[[#This Row],[Cost]]/1600</f>
        <v>0</v>
      </c>
      <c r="I34" s="96"/>
      <c r="J34" s="96"/>
      <c r="K34" s="98"/>
      <c r="L34" s="96"/>
    </row>
    <row r="35" spans="2:12" ht="14.25" customHeight="1">
      <c r="B35" s="96" t="s">
        <v>2387</v>
      </c>
      <c r="C35" s="96" t="s">
        <v>2544</v>
      </c>
      <c r="D35" s="97">
        <v>2024</v>
      </c>
      <c r="E35" s="97" t="s">
        <v>146</v>
      </c>
      <c r="F35" s="196">
        <f>'Cost inputs CM commodities'!I21</f>
        <v>1952</v>
      </c>
      <c r="G35" s="103">
        <f>IF(TblUnitCost[[#This Row],[Currency]]=LCU, TblUnitCost[[#This Row],[Cost]], IF(TblUnitCost[[#This Row],[Currency]]=ACU, TblUnitCost[[#This Row],[Cost]]*FX_Rate, "Check Ref Currency"))</f>
        <v>1952</v>
      </c>
      <c r="H35" s="103">
        <f>TblUnitCost[[#This Row],[Cost]]/1600</f>
        <v>1.22</v>
      </c>
      <c r="I35" s="96" t="s">
        <v>2414</v>
      </c>
      <c r="J35" s="96" t="s">
        <v>2450</v>
      </c>
      <c r="K35" s="98"/>
      <c r="L35" s="96"/>
    </row>
    <row r="36" spans="2:12" ht="14.25" customHeight="1">
      <c r="B36" s="96" t="s">
        <v>2388</v>
      </c>
      <c r="C36" s="96" t="s">
        <v>2544</v>
      </c>
      <c r="D36" s="97">
        <v>2024</v>
      </c>
      <c r="E36" s="97" t="s">
        <v>146</v>
      </c>
      <c r="F36" s="196"/>
      <c r="G36" s="103">
        <f>IF(TblUnitCost[[#This Row],[Currency]]=LCU, TblUnitCost[[#This Row],[Cost]], IF(TblUnitCost[[#This Row],[Currency]]=ACU, TblUnitCost[[#This Row],[Cost]]*FX_Rate, "Check Ref Currency"))</f>
        <v>0</v>
      </c>
      <c r="H36" s="103">
        <f>TblUnitCost[[#This Row],[Cost]]/1600</f>
        <v>0</v>
      </c>
      <c r="I36" s="96"/>
      <c r="J36" s="96"/>
      <c r="K36" s="98"/>
      <c r="L36" s="96"/>
    </row>
    <row r="37" spans="2:12" ht="14.25" customHeight="1">
      <c r="B37" s="96" t="s">
        <v>2546</v>
      </c>
      <c r="C37" s="96" t="s">
        <v>2545</v>
      </c>
      <c r="D37" s="97">
        <v>2024</v>
      </c>
      <c r="E37" s="97" t="s">
        <v>146</v>
      </c>
      <c r="F37" s="196">
        <f>'Cost inputs CM commodities'!G27</f>
        <v>3205</v>
      </c>
      <c r="G37" s="103">
        <f>IF(TblUnitCost[[#This Row],[Currency]]=LCU, TblUnitCost[[#This Row],[Cost]], IF(TblUnitCost[[#This Row],[Currency]]=ACU, TblUnitCost[[#This Row],[Cost]]*FX_Rate, "Check Ref Currency"))</f>
        <v>3205</v>
      </c>
      <c r="H37" s="103">
        <f>TblUnitCost[[#This Row],[Cost]]/1600</f>
        <v>2.0031249999999998</v>
      </c>
      <c r="I37" s="96" t="s">
        <v>2414</v>
      </c>
      <c r="J37" s="96" t="s">
        <v>2450</v>
      </c>
      <c r="K37" s="98"/>
      <c r="L37" s="96"/>
    </row>
    <row r="38" spans="2:12" ht="14.25" customHeight="1">
      <c r="B38" s="96" t="s">
        <v>2547</v>
      </c>
      <c r="C38" s="96" t="s">
        <v>2545</v>
      </c>
      <c r="D38" s="97">
        <v>2024</v>
      </c>
      <c r="E38" s="97" t="s">
        <v>146</v>
      </c>
      <c r="F38" s="196"/>
      <c r="G38" s="103">
        <f>IF(TblUnitCost[[#This Row],[Currency]]=LCU, TblUnitCost[[#This Row],[Cost]], IF(TblUnitCost[[#This Row],[Currency]]=ACU, TblUnitCost[[#This Row],[Cost]]*FX_Rate, "Check Ref Currency"))</f>
        <v>0</v>
      </c>
      <c r="H38" s="103">
        <f>TblUnitCost[[#This Row],[Cost]]/1600</f>
        <v>0</v>
      </c>
      <c r="I38" s="96"/>
      <c r="J38" s="96"/>
      <c r="K38" s="98"/>
      <c r="L38" s="96"/>
    </row>
    <row r="39" spans="2:12" ht="14.25" customHeight="1">
      <c r="B39" s="96" t="s">
        <v>2515</v>
      </c>
      <c r="C39" s="96" t="s">
        <v>2548</v>
      </c>
      <c r="D39" s="97">
        <v>2024</v>
      </c>
      <c r="E39" s="97" t="s">
        <v>146</v>
      </c>
      <c r="F39" s="196">
        <f>'Cost inputs CM commodities'!G58</f>
        <v>703</v>
      </c>
      <c r="G39" s="103">
        <f>IF(TblUnitCost[[#This Row],[Currency]]=LCU, TblUnitCost[[#This Row],[Cost]], IF(TblUnitCost[[#This Row],[Currency]]=ACU, TblUnitCost[[#This Row],[Cost]]*FX_Rate, "Check Ref Currency"))</f>
        <v>703</v>
      </c>
      <c r="H39" s="103">
        <f>TblUnitCost[[#This Row],[Cost]]/1600</f>
        <v>0.43937500000000002</v>
      </c>
      <c r="I39" s="96" t="s">
        <v>2414</v>
      </c>
      <c r="J39" s="96" t="s">
        <v>2450</v>
      </c>
      <c r="K39" s="98"/>
      <c r="L39" s="96"/>
    </row>
    <row r="40" spans="2:12" ht="14.25" customHeight="1">
      <c r="B40" s="96" t="s">
        <v>2516</v>
      </c>
      <c r="C40" s="96" t="s">
        <v>2548</v>
      </c>
      <c r="D40" s="97">
        <v>2024</v>
      </c>
      <c r="E40" s="97" t="s">
        <v>146</v>
      </c>
      <c r="F40" s="196"/>
      <c r="G40" s="103">
        <f>IF(TblUnitCost[[#This Row],[Currency]]=LCU, TblUnitCost[[#This Row],[Cost]], IF(TblUnitCost[[#This Row],[Currency]]=ACU, TblUnitCost[[#This Row],[Cost]]*FX_Rate, "Check Ref Currency"))</f>
        <v>0</v>
      </c>
      <c r="H40" s="103">
        <f>TblUnitCost[[#This Row],[Cost]]/1600</f>
        <v>0</v>
      </c>
      <c r="I40" s="96"/>
      <c r="J40" s="96"/>
      <c r="K40" s="98"/>
      <c r="L40" s="96"/>
    </row>
    <row r="41" spans="2:12" ht="14.25" customHeight="1">
      <c r="B41" s="96" t="s">
        <v>2510</v>
      </c>
      <c r="C41" s="96" t="s">
        <v>2549</v>
      </c>
      <c r="D41" s="97">
        <v>2024</v>
      </c>
      <c r="E41" s="97" t="s">
        <v>146</v>
      </c>
      <c r="F41" s="196">
        <f>'Cost inputs CM commodities'!G50</f>
        <v>740</v>
      </c>
      <c r="G41" s="103">
        <f>IF(TblUnitCost[[#This Row],[Currency]]=LCU, TblUnitCost[[#This Row],[Cost]], IF(TblUnitCost[[#This Row],[Currency]]=ACU, TblUnitCost[[#This Row],[Cost]]*FX_Rate, "Check Ref Currency"))</f>
        <v>740</v>
      </c>
      <c r="H41" s="103">
        <f>TblUnitCost[[#This Row],[Cost]]/1600</f>
        <v>0.46250000000000002</v>
      </c>
      <c r="I41" s="96" t="s">
        <v>2414</v>
      </c>
      <c r="J41" s="96" t="s">
        <v>2450</v>
      </c>
      <c r="K41" s="98"/>
      <c r="L41" s="96"/>
    </row>
    <row r="42" spans="2:12" ht="14.25" customHeight="1">
      <c r="B42" s="96" t="s">
        <v>2511</v>
      </c>
      <c r="C42" s="96" t="s">
        <v>2549</v>
      </c>
      <c r="D42" s="97">
        <v>2024</v>
      </c>
      <c r="E42" s="97" t="s">
        <v>146</v>
      </c>
      <c r="F42" s="196"/>
      <c r="G42" s="103">
        <f>IF(TblUnitCost[[#This Row],[Currency]]=LCU, TblUnitCost[[#This Row],[Cost]], IF(TblUnitCost[[#This Row],[Currency]]=ACU, TblUnitCost[[#This Row],[Cost]]*FX_Rate, "Check Ref Currency"))</f>
        <v>0</v>
      </c>
      <c r="H42" s="103">
        <f>TblUnitCost[[#This Row],[Cost]]/1600</f>
        <v>0</v>
      </c>
      <c r="I42" s="96"/>
      <c r="J42" s="96"/>
      <c r="K42" s="98"/>
      <c r="L42" s="96"/>
    </row>
    <row r="43" spans="2:12" ht="14.25" customHeight="1">
      <c r="B43" s="96" t="s">
        <v>2389</v>
      </c>
      <c r="C43" s="96" t="s">
        <v>2550</v>
      </c>
      <c r="D43" s="97">
        <v>2024</v>
      </c>
      <c r="E43" s="97" t="s">
        <v>146</v>
      </c>
      <c r="F43" s="196"/>
      <c r="G43" s="103">
        <f>IF(TblUnitCost[[#This Row],[Currency]]=LCU, TblUnitCost[[#This Row],[Cost]], IF(TblUnitCost[[#This Row],[Currency]]=ACU, TblUnitCost[[#This Row],[Cost]]*FX_Rate, "Check Ref Currency"))</f>
        <v>0</v>
      </c>
      <c r="H43" s="103">
        <f>TblUnitCost[[#This Row],[Cost]]/1600</f>
        <v>0</v>
      </c>
      <c r="I43" s="96"/>
      <c r="J43" s="96"/>
      <c r="K43" s="98"/>
      <c r="L43" s="96"/>
    </row>
    <row r="44" spans="2:12" ht="14.25" customHeight="1">
      <c r="B44" s="96" t="s">
        <v>2390</v>
      </c>
      <c r="C44" s="96" t="s">
        <v>2550</v>
      </c>
      <c r="D44" s="97">
        <v>2024</v>
      </c>
      <c r="E44" s="97" t="s">
        <v>146</v>
      </c>
      <c r="F44" s="196"/>
      <c r="G44" s="103">
        <f>IF(TblUnitCost[[#This Row],[Currency]]=LCU, TblUnitCost[[#This Row],[Cost]], IF(TblUnitCost[[#This Row],[Currency]]=ACU, TblUnitCost[[#This Row],[Cost]]*FX_Rate, "Check Ref Currency"))</f>
        <v>0</v>
      </c>
      <c r="H44" s="103">
        <f>TblUnitCost[[#This Row],[Cost]]/1600</f>
        <v>0</v>
      </c>
      <c r="I44" s="96"/>
      <c r="J44" s="96"/>
      <c r="K44" s="98"/>
      <c r="L44" s="96"/>
    </row>
    <row r="45" spans="2:12" ht="14.25" customHeight="1">
      <c r="B45" s="96" t="s">
        <v>2391</v>
      </c>
      <c r="C45" s="96" t="s">
        <v>110</v>
      </c>
      <c r="D45" s="97">
        <v>2024</v>
      </c>
      <c r="E45" s="97" t="s">
        <v>146</v>
      </c>
      <c r="F45" s="196"/>
      <c r="G45" s="103">
        <f>IF(TblUnitCost[[#This Row],[Currency]]=LCU, TblUnitCost[[#This Row],[Cost]], IF(TblUnitCost[[#This Row],[Currency]]=ACU, TblUnitCost[[#This Row],[Cost]]*FX_Rate, "Check Ref Currency"))</f>
        <v>0</v>
      </c>
      <c r="H45" s="103">
        <f>TblUnitCost[[#This Row],[Cost]]/1600</f>
        <v>0</v>
      </c>
      <c r="I45" s="96"/>
      <c r="J45" s="96"/>
      <c r="K45" s="98"/>
      <c r="L45" s="96"/>
    </row>
    <row r="46" spans="2:12" ht="14.25" customHeight="1">
      <c r="B46" s="96" t="s">
        <v>2392</v>
      </c>
      <c r="C46" s="96" t="s">
        <v>110</v>
      </c>
      <c r="D46" s="97">
        <v>2024</v>
      </c>
      <c r="E46" s="97" t="s">
        <v>146</v>
      </c>
      <c r="F46" s="196"/>
      <c r="G46" s="103">
        <f>IF(TblUnitCost[[#This Row],[Currency]]=LCU, TblUnitCost[[#This Row],[Cost]], IF(TblUnitCost[[#This Row],[Currency]]=ACU, TblUnitCost[[#This Row],[Cost]]*FX_Rate, "Check Ref Currency"))</f>
        <v>0</v>
      </c>
      <c r="H46" s="103">
        <f>TblUnitCost[[#This Row],[Cost]]/1600</f>
        <v>0</v>
      </c>
      <c r="I46" s="96"/>
      <c r="J46" s="96"/>
      <c r="K46" s="98"/>
      <c r="L46" s="96"/>
    </row>
    <row r="47" spans="2:12" ht="14.25" customHeight="1">
      <c r="B47" s="96" t="s">
        <v>2393</v>
      </c>
      <c r="C47" s="96" t="s">
        <v>2551</v>
      </c>
      <c r="D47" s="97">
        <v>2024</v>
      </c>
      <c r="E47" s="97" t="s">
        <v>146</v>
      </c>
      <c r="F47" s="196"/>
      <c r="G47" s="103">
        <f>IF(TblUnitCost[[#This Row],[Currency]]=LCU, TblUnitCost[[#This Row],[Cost]], IF(TblUnitCost[[#This Row],[Currency]]=ACU, TblUnitCost[[#This Row],[Cost]]*FX_Rate, "Check Ref Currency"))</f>
        <v>0</v>
      </c>
      <c r="H47" s="103">
        <f>TblUnitCost[[#This Row],[Cost]]/1600</f>
        <v>0</v>
      </c>
      <c r="I47" s="96"/>
      <c r="J47" s="96"/>
      <c r="K47" s="98"/>
      <c r="L47" s="96"/>
    </row>
    <row r="48" spans="2:12" ht="14.25" customHeight="1">
      <c r="B48" s="96" t="s">
        <v>2394</v>
      </c>
      <c r="C48" s="96" t="s">
        <v>2552</v>
      </c>
      <c r="D48" s="97">
        <v>2024</v>
      </c>
      <c r="E48" s="97" t="s">
        <v>146</v>
      </c>
      <c r="F48" s="196"/>
      <c r="G48" s="103">
        <f>IF(TblUnitCost[[#This Row],[Currency]]=LCU, TblUnitCost[[#This Row],[Cost]], IF(TblUnitCost[[#This Row],[Currency]]=ACU, TblUnitCost[[#This Row],[Cost]]*FX_Rate, "Check Ref Currency"))</f>
        <v>0</v>
      </c>
      <c r="H48" s="103">
        <f>TblUnitCost[[#This Row],[Cost]]/1600</f>
        <v>0</v>
      </c>
      <c r="I48" s="96"/>
      <c r="J48" s="96"/>
      <c r="K48" s="98"/>
      <c r="L48" s="96"/>
    </row>
    <row r="49" spans="2:12" ht="14.25" customHeight="1">
      <c r="B49" s="96" t="s">
        <v>2395</v>
      </c>
      <c r="C49" s="96" t="s">
        <v>2552</v>
      </c>
      <c r="D49" s="97">
        <v>2024</v>
      </c>
      <c r="E49" s="97" t="s">
        <v>146</v>
      </c>
      <c r="F49" s="196"/>
      <c r="G49" s="103">
        <f>IF(TblUnitCost[[#This Row],[Currency]]=LCU, TblUnitCost[[#This Row],[Cost]], IF(TblUnitCost[[#This Row],[Currency]]=ACU, TblUnitCost[[#This Row],[Cost]]*FX_Rate, "Check Ref Currency"))</f>
        <v>0</v>
      </c>
      <c r="H49" s="103">
        <f>TblUnitCost[[#This Row],[Cost]]/1600</f>
        <v>0</v>
      </c>
      <c r="I49" s="96"/>
      <c r="J49" s="96"/>
      <c r="K49" s="98"/>
      <c r="L49" s="96"/>
    </row>
    <row r="50" spans="2:12" ht="14.25" customHeight="1">
      <c r="B50" s="96" t="s">
        <v>2396</v>
      </c>
      <c r="C50" s="96" t="s">
        <v>110</v>
      </c>
      <c r="D50" s="97">
        <v>2024</v>
      </c>
      <c r="E50" s="97" t="s">
        <v>146</v>
      </c>
      <c r="F50" s="196"/>
      <c r="G50" s="103">
        <f>IF(TblUnitCost[[#This Row],[Currency]]=LCU, TblUnitCost[[#This Row],[Cost]], IF(TblUnitCost[[#This Row],[Currency]]=ACU, TblUnitCost[[#This Row],[Cost]]*FX_Rate, "Check Ref Currency"))</f>
        <v>0</v>
      </c>
      <c r="H50" s="103">
        <f>TblUnitCost[[#This Row],[Cost]]/1600</f>
        <v>0</v>
      </c>
      <c r="I50" s="96"/>
      <c r="J50" s="96"/>
      <c r="K50" s="98"/>
      <c r="L50" s="96"/>
    </row>
    <row r="51" spans="2:12" ht="14.25" customHeight="1">
      <c r="B51" s="96" t="s">
        <v>2397</v>
      </c>
      <c r="C51" s="96" t="s">
        <v>110</v>
      </c>
      <c r="D51" s="97">
        <v>2024</v>
      </c>
      <c r="E51" s="97" t="s">
        <v>146</v>
      </c>
      <c r="F51" s="196"/>
      <c r="G51" s="103">
        <f>IF(TblUnitCost[[#This Row],[Currency]]=LCU, TblUnitCost[[#This Row],[Cost]], IF(TblUnitCost[[#This Row],[Currency]]=ACU, TblUnitCost[[#This Row],[Cost]]*FX_Rate, "Check Ref Currency"))</f>
        <v>0</v>
      </c>
      <c r="H51" s="103">
        <f>TblUnitCost[[#This Row],[Cost]]/1600</f>
        <v>0</v>
      </c>
      <c r="I51" s="96"/>
      <c r="J51" s="96"/>
      <c r="K51" s="98"/>
      <c r="L51" s="96"/>
    </row>
    <row r="52" spans="2:12" ht="14.25" customHeight="1">
      <c r="B52" s="96" t="s">
        <v>2398</v>
      </c>
      <c r="C52" s="96" t="s">
        <v>2553</v>
      </c>
      <c r="D52" s="97">
        <v>2024</v>
      </c>
      <c r="E52" s="97" t="s">
        <v>146</v>
      </c>
      <c r="F52" s="196"/>
      <c r="G52" s="103">
        <f>IF(TblUnitCost[[#This Row],[Currency]]=LCU, TblUnitCost[[#This Row],[Cost]], IF(TblUnitCost[[#This Row],[Currency]]=ACU, TblUnitCost[[#This Row],[Cost]]*FX_Rate, "Check Ref Currency"))</f>
        <v>0</v>
      </c>
      <c r="H52" s="103">
        <f>TblUnitCost[[#This Row],[Cost]]/1600</f>
        <v>0</v>
      </c>
      <c r="I52" s="96"/>
      <c r="J52" s="96"/>
      <c r="K52" s="98"/>
      <c r="L52" s="96"/>
    </row>
    <row r="53" spans="2:12" ht="14.25" customHeight="1">
      <c r="B53" s="96" t="s">
        <v>2399</v>
      </c>
      <c r="C53" s="96" t="s">
        <v>2553</v>
      </c>
      <c r="D53" s="97">
        <v>2024</v>
      </c>
      <c r="E53" s="97" t="s">
        <v>146</v>
      </c>
      <c r="F53" s="196"/>
      <c r="G53" s="103">
        <f>IF(TblUnitCost[[#This Row],[Currency]]=LCU, TblUnitCost[[#This Row],[Cost]], IF(TblUnitCost[[#This Row],[Currency]]=ACU, TblUnitCost[[#This Row],[Cost]]*FX_Rate, "Check Ref Currency"))</f>
        <v>0</v>
      </c>
      <c r="H53" s="103">
        <f>TblUnitCost[[#This Row],[Cost]]/1600</f>
        <v>0</v>
      </c>
      <c r="I53" s="96"/>
      <c r="J53" s="96"/>
      <c r="K53" s="98"/>
      <c r="L53" s="96"/>
    </row>
    <row r="54" spans="2:12" ht="14.25" customHeight="1">
      <c r="B54" s="96" t="s">
        <v>118</v>
      </c>
      <c r="C54" s="96" t="s">
        <v>2554</v>
      </c>
      <c r="D54" s="97">
        <v>2024</v>
      </c>
      <c r="E54" s="97" t="s">
        <v>146</v>
      </c>
      <c r="F54" s="196"/>
      <c r="G54" s="103">
        <f>IF(TblUnitCost[[#This Row],[Currency]]=LCU, TblUnitCost[[#This Row],[Cost]], IF(TblUnitCost[[#This Row],[Currency]]=ACU, TblUnitCost[[#This Row],[Cost]]*FX_Rate, "Check Ref Currency"))</f>
        <v>0</v>
      </c>
      <c r="H54" s="103">
        <f>TblUnitCost[[#This Row],[Cost]]/1600</f>
        <v>0</v>
      </c>
      <c r="I54" s="96"/>
      <c r="J54" s="96"/>
      <c r="K54" s="98"/>
      <c r="L54" s="96"/>
    </row>
    <row r="55" spans="2:12" ht="14.25" customHeight="1">
      <c r="B55" s="96" t="s">
        <v>119</v>
      </c>
      <c r="C55" s="96" t="s">
        <v>2554</v>
      </c>
      <c r="D55" s="97">
        <v>2024</v>
      </c>
      <c r="E55" s="97" t="s">
        <v>146</v>
      </c>
      <c r="F55" s="196"/>
      <c r="G55" s="103">
        <f>IF(TblUnitCost[[#This Row],[Currency]]=LCU, TblUnitCost[[#This Row],[Cost]], IF(TblUnitCost[[#This Row],[Currency]]=ACU, TblUnitCost[[#This Row],[Cost]]*FX_Rate, "Check Ref Currency"))</f>
        <v>0</v>
      </c>
      <c r="H55" s="103">
        <f>TblUnitCost[[#This Row],[Cost]]/1600</f>
        <v>0</v>
      </c>
      <c r="I55" s="96"/>
      <c r="J55" s="96"/>
      <c r="K55" s="98"/>
      <c r="L55" s="96"/>
    </row>
    <row r="56" spans="2:12" ht="14.25" customHeight="1">
      <c r="B56" s="96" t="s">
        <v>120</v>
      </c>
      <c r="C56" s="96" t="s">
        <v>2554</v>
      </c>
      <c r="D56" s="97">
        <v>2024</v>
      </c>
      <c r="E56" s="97" t="s">
        <v>146</v>
      </c>
      <c r="F56" s="196"/>
      <c r="G56" s="103">
        <f>IF(TblUnitCost[[#This Row],[Currency]]=LCU, TblUnitCost[[#This Row],[Cost]], IF(TblUnitCost[[#This Row],[Currency]]=ACU, TblUnitCost[[#This Row],[Cost]]*FX_Rate, "Check Ref Currency"))</f>
        <v>0</v>
      </c>
      <c r="H56" s="103">
        <f>TblUnitCost[[#This Row],[Cost]]/1600</f>
        <v>0</v>
      </c>
      <c r="I56" s="96"/>
      <c r="J56" s="96"/>
      <c r="K56" s="98"/>
      <c r="L56" s="96"/>
    </row>
    <row r="57" spans="2:12">
      <c r="B57" s="96" t="s">
        <v>121</v>
      </c>
      <c r="C57" s="96" t="s">
        <v>2554</v>
      </c>
      <c r="D57" s="97">
        <v>2024</v>
      </c>
      <c r="E57" s="97" t="s">
        <v>146</v>
      </c>
      <c r="F57" s="196"/>
      <c r="G57" s="103"/>
      <c r="H57" s="103">
        <f>TblUnitCost[[#This Row],[Cost]]/1600</f>
        <v>0</v>
      </c>
      <c r="I57" s="96"/>
      <c r="J57" s="96"/>
      <c r="K57" s="98"/>
      <c r="L57" s="96"/>
    </row>
    <row r="58" spans="2:12">
      <c r="B58" s="96" t="s">
        <v>122</v>
      </c>
      <c r="C58" s="96" t="s">
        <v>2554</v>
      </c>
      <c r="D58" s="97">
        <v>2024</v>
      </c>
      <c r="E58" s="97" t="s">
        <v>146</v>
      </c>
      <c r="F58" s="196"/>
      <c r="G58" s="103"/>
      <c r="H58" s="103">
        <f>TblUnitCost[[#This Row],[Cost]]/1600</f>
        <v>0</v>
      </c>
      <c r="I58" s="96"/>
      <c r="J58" s="96"/>
      <c r="K58" s="98"/>
      <c r="L58" s="96"/>
    </row>
    <row r="59" spans="2:12">
      <c r="B59" s="96" t="s">
        <v>123</v>
      </c>
      <c r="C59" s="96" t="s">
        <v>2554</v>
      </c>
      <c r="D59" s="97">
        <v>2024</v>
      </c>
      <c r="E59" s="97" t="s">
        <v>146</v>
      </c>
      <c r="F59" s="196"/>
      <c r="G59" s="103">
        <f>IF(TblUnitCost[[#This Row],[Currency]]=LCU, TblUnitCost[[#This Row],[Cost]], IF(TblUnitCost[[#This Row],[Currency]]=ACU, TblUnitCost[[#This Row],[Cost]]*FX_Rate, "Check Ref Currency"))</f>
        <v>0</v>
      </c>
      <c r="H59" s="103">
        <f>TblUnitCost[[#This Row],[Cost]]/1600</f>
        <v>0</v>
      </c>
      <c r="I59" s="96"/>
      <c r="J59" s="96"/>
      <c r="K59" s="98"/>
      <c r="L59" s="96"/>
    </row>
    <row r="60" spans="2:12">
      <c r="B60" s="96" t="s">
        <v>124</v>
      </c>
      <c r="C60" s="96" t="s">
        <v>2554</v>
      </c>
      <c r="D60" s="97">
        <v>2024</v>
      </c>
      <c r="E60" s="97" t="s">
        <v>146</v>
      </c>
      <c r="F60" s="196"/>
      <c r="G60" s="103">
        <f>IF(TblUnitCost[[#This Row],[Currency]]=LCU, TblUnitCost[[#This Row],[Cost]], IF(TblUnitCost[[#This Row],[Currency]]=ACU, TblUnitCost[[#This Row],[Cost]]*FX_Rate, "Check Ref Currency"))</f>
        <v>0</v>
      </c>
      <c r="H60" s="103">
        <f>TblUnitCost[[#This Row],[Cost]]/1600</f>
        <v>0</v>
      </c>
      <c r="I60" s="96"/>
      <c r="J60" s="96"/>
      <c r="K60" s="98"/>
      <c r="L60" s="96"/>
    </row>
    <row r="61" spans="2:12">
      <c r="B61" s="96" t="s">
        <v>125</v>
      </c>
      <c r="C61" s="96" t="s">
        <v>2554</v>
      </c>
      <c r="D61" s="97">
        <v>2024</v>
      </c>
      <c r="E61" s="97" t="s">
        <v>146</v>
      </c>
      <c r="F61" s="196"/>
      <c r="G61" s="103">
        <f>IF(TblUnitCost[[#This Row],[Currency]]=LCU, TblUnitCost[[#This Row],[Cost]], IF(TblUnitCost[[#This Row],[Currency]]=ACU, TblUnitCost[[#This Row],[Cost]]*FX_Rate, "Check Ref Currency"))</f>
        <v>0</v>
      </c>
      <c r="H61" s="103">
        <f>TblUnitCost[[#This Row],[Cost]]/1600</f>
        <v>0</v>
      </c>
      <c r="I61" s="96"/>
      <c r="J61" s="96"/>
      <c r="K61" s="98"/>
      <c r="L61" s="96"/>
    </row>
    <row r="62" spans="2:12">
      <c r="B62" s="96" t="s">
        <v>126</v>
      </c>
      <c r="C62" s="96" t="s">
        <v>2554</v>
      </c>
      <c r="D62" s="97">
        <v>2024</v>
      </c>
      <c r="E62" s="97" t="s">
        <v>146</v>
      </c>
      <c r="F62" s="196"/>
      <c r="G62" s="103">
        <f>IF(TblUnitCost[[#This Row],[Currency]]=LCU, TblUnitCost[[#This Row],[Cost]], IF(TblUnitCost[[#This Row],[Currency]]=ACU, TblUnitCost[[#This Row],[Cost]]*FX_Rate, "Check Ref Currency"))</f>
        <v>0</v>
      </c>
      <c r="H62" s="103">
        <f>TblUnitCost[[#This Row],[Cost]]/1600</f>
        <v>0</v>
      </c>
      <c r="I62" s="96"/>
      <c r="J62" s="96"/>
      <c r="K62" s="98"/>
      <c r="L62" s="96"/>
    </row>
    <row r="63" spans="2:12">
      <c r="B63" s="96" t="s">
        <v>127</v>
      </c>
      <c r="C63" s="96" t="s">
        <v>2554</v>
      </c>
      <c r="D63" s="97">
        <v>2024</v>
      </c>
      <c r="E63" s="97" t="s">
        <v>146</v>
      </c>
      <c r="F63" s="196"/>
      <c r="G63" s="103">
        <f>IF(TblUnitCost[[#This Row],[Currency]]=LCU, TblUnitCost[[#This Row],[Cost]], IF(TblUnitCost[[#This Row],[Currency]]=ACU, TblUnitCost[[#This Row],[Cost]]*FX_Rate, "Check Ref Currency"))</f>
        <v>0</v>
      </c>
      <c r="H63" s="103">
        <f>TblUnitCost[[#This Row],[Cost]]/1600</f>
        <v>0</v>
      </c>
      <c r="I63" s="96"/>
      <c r="J63" s="96"/>
      <c r="K63" s="98"/>
      <c r="L63" s="96"/>
    </row>
    <row r="64" spans="2:12">
      <c r="B64" s="96" t="s">
        <v>128</v>
      </c>
      <c r="C64" s="96" t="s">
        <v>2554</v>
      </c>
      <c r="D64" s="97">
        <v>2024</v>
      </c>
      <c r="E64" s="97" t="s">
        <v>146</v>
      </c>
      <c r="F64" s="196"/>
      <c r="G64" s="103">
        <f>IF(TblUnitCost[[#This Row],[Currency]]=LCU, TblUnitCost[[#This Row],[Cost]], IF(TblUnitCost[[#This Row],[Currency]]=ACU, TblUnitCost[[#This Row],[Cost]]*FX_Rate, "Check Ref Currency"))</f>
        <v>0</v>
      </c>
      <c r="H64" s="103">
        <f>TblUnitCost[[#This Row],[Cost]]/1600</f>
        <v>0</v>
      </c>
      <c r="I64" s="96"/>
      <c r="J64" s="96"/>
      <c r="K64" s="98"/>
      <c r="L64" s="96"/>
    </row>
    <row r="65" spans="2:12">
      <c r="B65" s="96" t="s">
        <v>129</v>
      </c>
      <c r="C65" s="96" t="s">
        <v>2554</v>
      </c>
      <c r="D65" s="97">
        <v>2024</v>
      </c>
      <c r="E65" s="97" t="s">
        <v>146</v>
      </c>
      <c r="F65" s="196"/>
      <c r="G65" s="103">
        <f>IF(TblUnitCost[[#This Row],[Currency]]=LCU, TblUnitCost[[#This Row],[Cost]], IF(TblUnitCost[[#This Row],[Currency]]=ACU, TblUnitCost[[#This Row],[Cost]]*FX_Rate, "Check Ref Currency"))</f>
        <v>0</v>
      </c>
      <c r="H65" s="103">
        <f>TblUnitCost[[#This Row],[Cost]]/1600</f>
        <v>0</v>
      </c>
      <c r="I65" s="96"/>
      <c r="J65" s="96"/>
      <c r="K65" s="98"/>
      <c r="L65" s="96"/>
    </row>
    <row r="66" spans="2:12">
      <c r="B66" s="96" t="s">
        <v>2400</v>
      </c>
      <c r="C66" s="96" t="s">
        <v>2314</v>
      </c>
      <c r="D66" s="97">
        <v>2024</v>
      </c>
      <c r="E66" s="97" t="s">
        <v>146</v>
      </c>
      <c r="F66" s="196"/>
      <c r="G66" s="103">
        <f>IF(TblUnitCost[[#This Row],[Currency]]=LCU, TblUnitCost[[#This Row],[Cost]], IF(TblUnitCost[[#This Row],[Currency]]=ACU, TblUnitCost[[#This Row],[Cost]]*FX_Rate, "Check Ref Currency"))</f>
        <v>0</v>
      </c>
      <c r="H66" s="103">
        <f>TblUnitCost[[#This Row],[Cost]]/1600</f>
        <v>0</v>
      </c>
      <c r="I66" s="96"/>
      <c r="J66" s="96"/>
      <c r="K66" s="98"/>
      <c r="L66" s="96"/>
    </row>
    <row r="67" spans="2:12">
      <c r="B67" s="96" t="s">
        <v>130</v>
      </c>
      <c r="C67" s="96" t="s">
        <v>110</v>
      </c>
      <c r="D67" s="97">
        <v>2024</v>
      </c>
      <c r="E67" s="97" t="s">
        <v>146</v>
      </c>
      <c r="F67" s="196"/>
      <c r="G67" s="103">
        <f>IF(TblUnitCost[[#This Row],[Currency]]=LCU, TblUnitCost[[#This Row],[Cost]], IF(TblUnitCost[[#This Row],[Currency]]=ACU, TblUnitCost[[#This Row],[Cost]]*FX_Rate, "Check Ref Currency"))</f>
        <v>0</v>
      </c>
      <c r="H67" s="103">
        <f>TblUnitCost[[#This Row],[Cost]]/1600</f>
        <v>0</v>
      </c>
      <c r="I67" s="96"/>
      <c r="J67" s="96"/>
      <c r="K67" s="98"/>
      <c r="L67" s="96"/>
    </row>
    <row r="68" spans="2:12">
      <c r="B68" s="96" t="s">
        <v>131</v>
      </c>
      <c r="C68" s="96" t="s">
        <v>2555</v>
      </c>
      <c r="D68" s="97">
        <v>2024</v>
      </c>
      <c r="E68" s="97" t="s">
        <v>146</v>
      </c>
      <c r="F68" s="196"/>
      <c r="G68" s="103">
        <f>IF(TblUnitCost[[#This Row],[Currency]]=LCU, TblUnitCost[[#This Row],[Cost]], IF(TblUnitCost[[#This Row],[Currency]]=ACU, TblUnitCost[[#This Row],[Cost]]*FX_Rate, "Check Ref Currency"))</f>
        <v>0</v>
      </c>
      <c r="H68" s="103">
        <f>TblUnitCost[[#This Row],[Cost]]/1600</f>
        <v>0</v>
      </c>
      <c r="I68" s="96"/>
      <c r="J68" s="96"/>
      <c r="K68" s="98"/>
      <c r="L68" s="96"/>
    </row>
    <row r="69" spans="2:12">
      <c r="B69" s="96" t="s">
        <v>132</v>
      </c>
      <c r="C69" s="96" t="s">
        <v>2555</v>
      </c>
      <c r="D69" s="97">
        <v>2024</v>
      </c>
      <c r="E69" s="97" t="s">
        <v>146</v>
      </c>
      <c r="F69" s="196"/>
      <c r="G69" s="103">
        <f>IF(TblUnitCost[[#This Row],[Currency]]=LCU, TblUnitCost[[#This Row],[Cost]], IF(TblUnitCost[[#This Row],[Currency]]=ACU, TblUnitCost[[#This Row],[Cost]]*FX_Rate, "Check Ref Currency"))</f>
        <v>0</v>
      </c>
      <c r="H69" s="103">
        <f>TblUnitCost[[#This Row],[Cost]]/1600</f>
        <v>0</v>
      </c>
      <c r="I69" s="96"/>
      <c r="J69" s="96"/>
      <c r="K69" s="98"/>
      <c r="L69" s="96"/>
    </row>
    <row r="70" spans="2:12">
      <c r="B70" s="96" t="s">
        <v>133</v>
      </c>
      <c r="C70" s="96" t="s">
        <v>110</v>
      </c>
      <c r="D70" s="97">
        <v>2024</v>
      </c>
      <c r="E70" s="97" t="s">
        <v>146</v>
      </c>
      <c r="F70" s="196"/>
      <c r="G70" s="103">
        <f>IF(TblUnitCost[[#This Row],[Currency]]=LCU, TblUnitCost[[#This Row],[Cost]], IF(TblUnitCost[[#This Row],[Currency]]=ACU, TblUnitCost[[#This Row],[Cost]]*FX_Rate, "Check Ref Currency"))</f>
        <v>0</v>
      </c>
      <c r="H70" s="103">
        <f>TblUnitCost[[#This Row],[Cost]]/1600</f>
        <v>0</v>
      </c>
      <c r="I70" s="96"/>
      <c r="J70" s="96"/>
      <c r="K70" s="98"/>
      <c r="L70" s="96"/>
    </row>
    <row r="71" spans="2:12">
      <c r="B71" s="96" t="s">
        <v>1875</v>
      </c>
      <c r="C71" s="96" t="s">
        <v>110</v>
      </c>
      <c r="D71" s="97">
        <v>2024</v>
      </c>
      <c r="E71" s="97" t="s">
        <v>146</v>
      </c>
      <c r="F71" s="196"/>
      <c r="G71" s="103">
        <f>IF(TblUnitCost[[#This Row],[Currency]]=LCU, TblUnitCost[[#This Row],[Cost]], IF(TblUnitCost[[#This Row],[Currency]]=ACU, TblUnitCost[[#This Row],[Cost]]*FX_Rate, "Check Ref Currency"))</f>
        <v>0</v>
      </c>
      <c r="H71" s="103">
        <f>TblUnitCost[[#This Row],[Cost]]/1600</f>
        <v>0</v>
      </c>
      <c r="I71" s="96"/>
      <c r="J71" s="96"/>
      <c r="K71" s="98"/>
      <c r="L71" s="96"/>
    </row>
    <row r="72" spans="2:12">
      <c r="B72" s="96" t="s">
        <v>1876</v>
      </c>
      <c r="C72" s="96" t="s">
        <v>110</v>
      </c>
      <c r="D72" s="97">
        <v>2024</v>
      </c>
      <c r="E72" s="97" t="s">
        <v>146</v>
      </c>
      <c r="F72" s="196"/>
      <c r="G72" s="103">
        <f>IF(TblUnitCost[[#This Row],[Currency]]=LCU, TblUnitCost[[#This Row],[Cost]], IF(TblUnitCost[[#This Row],[Currency]]=ACU, TblUnitCost[[#This Row],[Cost]]*FX_Rate, "Check Ref Currency"))</f>
        <v>0</v>
      </c>
      <c r="H72" s="103">
        <f>TblUnitCost[[#This Row],[Cost]]/1600</f>
        <v>0</v>
      </c>
      <c r="I72" s="96"/>
      <c r="J72" s="96"/>
      <c r="K72" s="98"/>
      <c r="L72" s="96"/>
    </row>
    <row r="73" spans="2:12">
      <c r="B73" s="96" t="s">
        <v>72</v>
      </c>
      <c r="C73" s="96" t="s">
        <v>2533</v>
      </c>
      <c r="D73" s="97">
        <v>2024</v>
      </c>
      <c r="E73" s="97" t="s">
        <v>146</v>
      </c>
      <c r="F73" s="196"/>
      <c r="G73" s="103">
        <f>IF(TblUnitCost[[#This Row],[Currency]]=LCU, TblUnitCost[[#This Row],[Cost]], IF(TblUnitCost[[#This Row],[Currency]]=ACU, TblUnitCost[[#This Row],[Cost]]*FX_Rate, "Check Ref Currency"))</f>
        <v>0</v>
      </c>
      <c r="H73" s="103">
        <f>TblUnitCost[[#This Row],[Cost]]/1600</f>
        <v>0</v>
      </c>
      <c r="I73" s="96"/>
      <c r="J73" s="96"/>
      <c r="K73" s="98"/>
      <c r="L73" s="96"/>
    </row>
    <row r="74" spans="2:12">
      <c r="B74" s="96" t="s">
        <v>134</v>
      </c>
      <c r="C74" s="96" t="s">
        <v>2533</v>
      </c>
      <c r="D74" s="97">
        <v>2024</v>
      </c>
      <c r="E74" s="97" t="s">
        <v>146</v>
      </c>
      <c r="F74" s="196"/>
      <c r="G74" s="103">
        <f>IF(TblUnitCost[[#This Row],[Currency]]=LCU, TblUnitCost[[#This Row],[Cost]], IF(TblUnitCost[[#This Row],[Currency]]=ACU, TblUnitCost[[#This Row],[Cost]]*FX_Rate, "Check Ref Currency"))</f>
        <v>0</v>
      </c>
      <c r="H74" s="103">
        <f>TblUnitCost[[#This Row],[Cost]]/1600</f>
        <v>0</v>
      </c>
      <c r="I74" s="96"/>
      <c r="J74" s="96"/>
      <c r="K74" s="98"/>
      <c r="L74" s="96"/>
    </row>
    <row r="75" spans="2:12">
      <c r="B75" s="96" t="s">
        <v>135</v>
      </c>
      <c r="C75" s="96" t="s">
        <v>2533</v>
      </c>
      <c r="D75" s="97">
        <v>2024</v>
      </c>
      <c r="E75" s="97" t="s">
        <v>146</v>
      </c>
      <c r="F75" s="196"/>
      <c r="G75" s="103">
        <f>IF(TblUnitCost[[#This Row],[Currency]]=LCU, TblUnitCost[[#This Row],[Cost]], IF(TblUnitCost[[#This Row],[Currency]]=ACU, TblUnitCost[[#This Row],[Cost]]*FX_Rate, "Check Ref Currency"))</f>
        <v>0</v>
      </c>
      <c r="H75" s="103">
        <f>TblUnitCost[[#This Row],[Cost]]/1600</f>
        <v>0</v>
      </c>
      <c r="I75" s="96"/>
      <c r="J75" s="96"/>
      <c r="K75" s="98"/>
      <c r="L75" s="96"/>
    </row>
    <row r="76" spans="2:12">
      <c r="B76" s="96" t="s">
        <v>136</v>
      </c>
      <c r="C76" s="96" t="s">
        <v>2533</v>
      </c>
      <c r="D76" s="97">
        <v>2024</v>
      </c>
      <c r="E76" s="97" t="s">
        <v>146</v>
      </c>
      <c r="F76" s="196"/>
      <c r="G76" s="103">
        <f>IF(TblUnitCost[[#This Row],[Currency]]=LCU, TblUnitCost[[#This Row],[Cost]], IF(TblUnitCost[[#This Row],[Currency]]=ACU, TblUnitCost[[#This Row],[Cost]]*FX_Rate, "Check Ref Currency"))</f>
        <v>0</v>
      </c>
      <c r="H76" s="103">
        <f>TblUnitCost[[#This Row],[Cost]]/1600</f>
        <v>0</v>
      </c>
      <c r="I76" s="96"/>
      <c r="J76" s="96"/>
      <c r="K76" s="98"/>
      <c r="L76" s="96"/>
    </row>
    <row r="77" spans="2:12">
      <c r="B77" s="96" t="s">
        <v>137</v>
      </c>
      <c r="C77" s="96" t="s">
        <v>2533</v>
      </c>
      <c r="D77" s="97">
        <v>2024</v>
      </c>
      <c r="E77" s="97" t="s">
        <v>146</v>
      </c>
      <c r="F77" s="196"/>
      <c r="G77" s="103">
        <f>IF(TblUnitCost[[#This Row],[Currency]]=LCU, TblUnitCost[[#This Row],[Cost]], IF(TblUnitCost[[#This Row],[Currency]]=ACU, TblUnitCost[[#This Row],[Cost]]*FX_Rate, "Check Ref Currency"))</f>
        <v>0</v>
      </c>
      <c r="H77" s="103">
        <f>TblUnitCost[[#This Row],[Cost]]/1600</f>
        <v>0</v>
      </c>
      <c r="I77" s="96"/>
      <c r="J77" s="96"/>
      <c r="K77" s="98"/>
      <c r="L77" s="96"/>
    </row>
    <row r="78" spans="2:12">
      <c r="B78" s="96" t="s">
        <v>138</v>
      </c>
      <c r="C78" s="96" t="s">
        <v>2533</v>
      </c>
      <c r="D78" s="97">
        <v>2024</v>
      </c>
      <c r="E78" s="97" t="s">
        <v>146</v>
      </c>
      <c r="F78" s="196"/>
      <c r="G78" s="103">
        <f>IF(TblUnitCost[[#This Row],[Currency]]=LCU, TblUnitCost[[#This Row],[Cost]], IF(TblUnitCost[[#This Row],[Currency]]=ACU, TblUnitCost[[#This Row],[Cost]]*FX_Rate, "Check Ref Currency"))</f>
        <v>0</v>
      </c>
      <c r="H78" s="103">
        <f>TblUnitCost[[#This Row],[Cost]]/1600</f>
        <v>0</v>
      </c>
      <c r="I78" s="96"/>
      <c r="J78" s="96"/>
      <c r="K78" s="98"/>
      <c r="L78" s="96"/>
    </row>
    <row r="79" spans="2:12">
      <c r="B79" s="96" t="s">
        <v>139</v>
      </c>
      <c r="C79" s="96" t="s">
        <v>2533</v>
      </c>
      <c r="D79" s="97">
        <v>2024</v>
      </c>
      <c r="E79" s="97" t="s">
        <v>146</v>
      </c>
      <c r="F79" s="196"/>
      <c r="G79" s="103">
        <f>IF(TblUnitCost[[#This Row],[Currency]]=LCU, TblUnitCost[[#This Row],[Cost]], IF(TblUnitCost[[#This Row],[Currency]]=ACU, TblUnitCost[[#This Row],[Cost]]*FX_Rate, "Check Ref Currency"))</f>
        <v>0</v>
      </c>
      <c r="H79" s="103">
        <f>TblUnitCost[[#This Row],[Cost]]/1600</f>
        <v>0</v>
      </c>
      <c r="I79" s="96"/>
      <c r="J79" s="96"/>
      <c r="K79" s="98"/>
      <c r="L79" s="96"/>
    </row>
    <row r="80" spans="2:12">
      <c r="B80" s="96" t="s">
        <v>140</v>
      </c>
      <c r="C80" s="96" t="s">
        <v>2556</v>
      </c>
      <c r="D80" s="97">
        <v>2024</v>
      </c>
      <c r="E80" s="97" t="s">
        <v>146</v>
      </c>
      <c r="F80" s="196"/>
      <c r="G80" s="103">
        <f>IF(TblUnitCost[[#This Row],[Currency]]=LCU, TblUnitCost[[#This Row],[Cost]], IF(TblUnitCost[[#This Row],[Currency]]=ACU, TblUnitCost[[#This Row],[Cost]]*FX_Rate, "Check Ref Currency"))</f>
        <v>0</v>
      </c>
      <c r="H80" s="103">
        <f>TblUnitCost[[#This Row],[Cost]]/1600</f>
        <v>0</v>
      </c>
      <c r="I80" s="96"/>
      <c r="J80" s="96"/>
      <c r="K80" s="98"/>
      <c r="L80" s="96"/>
    </row>
    <row r="81" spans="2:12">
      <c r="B81" s="96" t="s">
        <v>141</v>
      </c>
      <c r="C81" s="96" t="s">
        <v>2556</v>
      </c>
      <c r="D81" s="97">
        <v>2024</v>
      </c>
      <c r="E81" s="97" t="s">
        <v>146</v>
      </c>
      <c r="F81" s="196"/>
      <c r="G81" s="103">
        <f>IF(TblUnitCost[[#This Row],[Currency]]=LCU, TblUnitCost[[#This Row],[Cost]], IF(TblUnitCost[[#This Row],[Currency]]=ACU, TblUnitCost[[#This Row],[Cost]]*FX_Rate, "Check Ref Currency"))</f>
        <v>0</v>
      </c>
      <c r="H81" s="103">
        <f>TblUnitCost[[#This Row],[Cost]]/1600</f>
        <v>0</v>
      </c>
      <c r="I81" s="96"/>
      <c r="J81" s="96"/>
      <c r="K81" s="98"/>
      <c r="L81" s="96"/>
    </row>
    <row r="82" spans="2:12">
      <c r="B82" s="96" t="s">
        <v>142</v>
      </c>
      <c r="C82" s="96" t="s">
        <v>2556</v>
      </c>
      <c r="D82" s="97">
        <v>2024</v>
      </c>
      <c r="E82" s="97" t="s">
        <v>146</v>
      </c>
      <c r="F82" s="196"/>
      <c r="G82" s="103">
        <f>IF(TblUnitCost[[#This Row],[Currency]]=LCU, TblUnitCost[[#This Row],[Cost]], IF(TblUnitCost[[#This Row],[Currency]]=ACU, TblUnitCost[[#This Row],[Cost]]*FX_Rate, "Check Ref Currency"))</f>
        <v>0</v>
      </c>
      <c r="H82" s="103">
        <f>TblUnitCost[[#This Row],[Cost]]/1600</f>
        <v>0</v>
      </c>
      <c r="I82" s="96"/>
      <c r="J82" s="96"/>
      <c r="K82" s="98"/>
      <c r="L82" s="96"/>
    </row>
    <row r="83" spans="2:12">
      <c r="B83" s="96" t="s">
        <v>73</v>
      </c>
      <c r="C83" s="96" t="s">
        <v>2314</v>
      </c>
      <c r="D83" s="97">
        <v>2024</v>
      </c>
      <c r="E83" s="97" t="s">
        <v>146</v>
      </c>
      <c r="F83" s="196"/>
      <c r="G83" s="103">
        <f>IF(TblUnitCost[[#This Row],[Currency]]=LCU, TblUnitCost[[#This Row],[Cost]], IF(TblUnitCost[[#This Row],[Currency]]=ACU, TblUnitCost[[#This Row],[Cost]]*FX_Rate, "Check Ref Currency"))</f>
        <v>0</v>
      </c>
      <c r="H83" s="103">
        <f>TblUnitCost[[#This Row],[Cost]]/1600</f>
        <v>0</v>
      </c>
      <c r="I83" s="96"/>
      <c r="J83" s="96"/>
      <c r="K83" s="98"/>
      <c r="L83" s="96"/>
    </row>
    <row r="84" spans="2:12">
      <c r="B84" s="96" t="s">
        <v>1887</v>
      </c>
      <c r="C84" s="96" t="s">
        <v>2533</v>
      </c>
      <c r="D84" s="97">
        <v>2024</v>
      </c>
      <c r="E84" s="97" t="s">
        <v>146</v>
      </c>
      <c r="F84" s="196">
        <v>654000</v>
      </c>
      <c r="G84" s="103">
        <f>IF(TblUnitCost[[#This Row],[Currency]]=LCU, TblUnitCost[[#This Row],[Cost]], IF(TblUnitCost[[#This Row],[Currency]]=ACU, TblUnitCost[[#This Row],[Cost]]*FX_Rate, "Check Ref Currency"))</f>
        <v>654000</v>
      </c>
      <c r="H84" s="103">
        <f>TblUnitCost[[#This Row],[Cost]]/1600</f>
        <v>408.75</v>
      </c>
      <c r="I84" s="96"/>
      <c r="J84" s="96"/>
      <c r="K84" s="98"/>
      <c r="L84" s="96"/>
    </row>
    <row r="85" spans="2:12">
      <c r="B85" s="96" t="s">
        <v>1888</v>
      </c>
      <c r="C85" s="96" t="s">
        <v>2533</v>
      </c>
      <c r="D85" s="97">
        <v>2024</v>
      </c>
      <c r="E85" s="97" t="s">
        <v>146</v>
      </c>
      <c r="F85" s="196">
        <v>368167</v>
      </c>
      <c r="G85" s="103">
        <f>IF(TblUnitCost[[#This Row],[Currency]]=LCU, TblUnitCost[[#This Row],[Cost]], IF(TblUnitCost[[#This Row],[Currency]]=ACU, TblUnitCost[[#This Row],[Cost]]*FX_Rate, "Check Ref Currency"))</f>
        <v>368167</v>
      </c>
      <c r="H85" s="103">
        <f>TblUnitCost[[#This Row],[Cost]]/1600</f>
        <v>230.104375</v>
      </c>
      <c r="I85" s="96"/>
      <c r="J85" s="96"/>
      <c r="K85" s="98"/>
      <c r="L85" s="96"/>
    </row>
    <row r="86" spans="2:12">
      <c r="B86" s="96" t="s">
        <v>1894</v>
      </c>
      <c r="C86" s="96" t="s">
        <v>2533</v>
      </c>
      <c r="D86" s="97">
        <v>2024</v>
      </c>
      <c r="E86" s="97" t="s">
        <v>146</v>
      </c>
      <c r="F86" s="196">
        <v>487333</v>
      </c>
      <c r="G86" s="103">
        <f>IF(TblUnitCost[[#This Row],[Currency]]=LCU, TblUnitCost[[#This Row],[Cost]], IF(TblUnitCost[[#This Row],[Currency]]=ACU, TblUnitCost[[#This Row],[Cost]]*FX_Rate, "Check Ref Currency"))</f>
        <v>487333</v>
      </c>
      <c r="H86" s="103">
        <f>TblUnitCost[[#This Row],[Cost]]/1600</f>
        <v>304.583125</v>
      </c>
      <c r="I86" s="96"/>
      <c r="J86" s="96"/>
      <c r="K86" s="98"/>
      <c r="L86" s="96"/>
    </row>
    <row r="87" spans="2:12">
      <c r="B87" s="96" t="s">
        <v>1895</v>
      </c>
      <c r="C87" s="96" t="s">
        <v>2533</v>
      </c>
      <c r="D87" s="97">
        <v>2024</v>
      </c>
      <c r="E87" s="97" t="s">
        <v>146</v>
      </c>
      <c r="F87" s="196">
        <v>265667</v>
      </c>
      <c r="G87" s="103">
        <f>IF(TblUnitCost[[#This Row],[Currency]]=LCU, TblUnitCost[[#This Row],[Cost]], IF(TblUnitCost[[#This Row],[Currency]]=ACU, TblUnitCost[[#This Row],[Cost]]*FX_Rate, "Check Ref Currency"))</f>
        <v>265667</v>
      </c>
      <c r="H87" s="103">
        <f>TblUnitCost[[#This Row],[Cost]]/1600</f>
        <v>166.041875</v>
      </c>
      <c r="I87" s="96"/>
      <c r="J87" s="96"/>
      <c r="K87" s="98"/>
      <c r="L87" s="96"/>
    </row>
    <row r="88" spans="2:12">
      <c r="B88" s="96" t="s">
        <v>1892</v>
      </c>
      <c r="C88" s="96" t="s">
        <v>2533</v>
      </c>
      <c r="D88" s="97">
        <v>2024</v>
      </c>
      <c r="E88" s="97" t="s">
        <v>146</v>
      </c>
      <c r="F88" s="196">
        <v>149833</v>
      </c>
      <c r="G88" s="103">
        <f>IF(TblUnitCost[[#This Row],[Currency]]=LCU, TblUnitCost[[#This Row],[Cost]], IF(TblUnitCost[[#This Row],[Currency]]=ACU, TblUnitCost[[#This Row],[Cost]]*FX_Rate, "Check Ref Currency"))</f>
        <v>149833</v>
      </c>
      <c r="H88" s="103">
        <f>TblUnitCost[[#This Row],[Cost]]/1600</f>
        <v>93.645624999999995</v>
      </c>
      <c r="I88" s="96"/>
      <c r="J88" s="96"/>
      <c r="K88" s="98"/>
      <c r="L88" s="96"/>
    </row>
    <row r="89" spans="2:12">
      <c r="B89" s="96" t="s">
        <v>2370</v>
      </c>
      <c r="C89" s="96" t="s">
        <v>2314</v>
      </c>
      <c r="D89" s="97">
        <v>2024</v>
      </c>
      <c r="E89" s="97" t="s">
        <v>146</v>
      </c>
      <c r="F89" s="196"/>
      <c r="G89" s="103">
        <f>IF(TblUnitCost[[#This Row],[Currency]]=LCU, TblUnitCost[[#This Row],[Cost]], IF(TblUnitCost[[#This Row],[Currency]]=ACU, TblUnitCost[[#This Row],[Cost]]*FX_Rate, "Check Ref Currency"))</f>
        <v>0</v>
      </c>
      <c r="H89" s="103">
        <f>TblUnitCost[[#This Row],[Cost]]/1600</f>
        <v>0</v>
      </c>
      <c r="I89" s="96"/>
      <c r="J89" s="96"/>
      <c r="K89" s="98"/>
      <c r="L89" s="96"/>
    </row>
    <row r="90" spans="2:12">
      <c r="B90" s="96" t="s">
        <v>143</v>
      </c>
      <c r="C90" s="96" t="s">
        <v>2314</v>
      </c>
      <c r="D90" s="97">
        <v>2024</v>
      </c>
      <c r="E90" s="97" t="s">
        <v>146</v>
      </c>
      <c r="F90" s="196"/>
      <c r="G90" s="103">
        <f>IF(TblUnitCost[[#This Row],[Currency]]=LCU, TblUnitCost[[#This Row],[Cost]], IF(TblUnitCost[[#This Row],[Currency]]=ACU, TblUnitCost[[#This Row],[Cost]]*FX_Rate, "Check Ref Currency"))</f>
        <v>0</v>
      </c>
      <c r="H90" s="103">
        <f>TblUnitCost[[#This Row],[Cost]]/1600</f>
        <v>0</v>
      </c>
      <c r="I90" s="96"/>
      <c r="J90" s="96"/>
      <c r="K90" s="98"/>
      <c r="L90" s="96"/>
    </row>
    <row r="91" spans="2:12">
      <c r="B91" s="96" t="s">
        <v>2371</v>
      </c>
      <c r="C91" s="96" t="s">
        <v>2314</v>
      </c>
      <c r="D91" s="97">
        <v>2024</v>
      </c>
      <c r="E91" s="97" t="s">
        <v>146</v>
      </c>
      <c r="F91" s="196"/>
      <c r="G91" s="103">
        <f>IF(TblUnitCost[[#This Row],[Currency]]=LCU, TblUnitCost[[#This Row],[Cost]], IF(TblUnitCost[[#This Row],[Currency]]=ACU, TblUnitCost[[#This Row],[Cost]]*FX_Rate, "Check Ref Currency"))</f>
        <v>0</v>
      </c>
      <c r="H91" s="103">
        <f>TblUnitCost[[#This Row],[Cost]]/1600</f>
        <v>0</v>
      </c>
      <c r="I91" s="96"/>
      <c r="J91" s="96"/>
      <c r="K91" s="98"/>
      <c r="L91" s="96"/>
    </row>
    <row r="92" spans="2:12">
      <c r="B92" s="96" t="s">
        <v>1878</v>
      </c>
      <c r="C92" s="96" t="s">
        <v>2314</v>
      </c>
      <c r="D92" s="97">
        <v>2024</v>
      </c>
      <c r="E92" s="97" t="s">
        <v>146</v>
      </c>
      <c r="F92" s="196">
        <v>7500</v>
      </c>
      <c r="G92" s="103">
        <f>IF(TblUnitCost[[#This Row],[Currency]]=LCU, TblUnitCost[[#This Row],[Cost]], IF(TblUnitCost[[#This Row],[Currency]]=ACU, TblUnitCost[[#This Row],[Cost]]*FX_Rate, "Check Ref Currency"))</f>
        <v>7500</v>
      </c>
      <c r="H92" s="103">
        <f>TblUnitCost[[#This Row],[Cost]]/1600</f>
        <v>4.6875</v>
      </c>
      <c r="I92" s="96"/>
      <c r="J92" s="96"/>
      <c r="K92" s="98"/>
      <c r="L92" s="96"/>
    </row>
    <row r="93" spans="2:12">
      <c r="B93" s="96" t="s">
        <v>1877</v>
      </c>
      <c r="C93" s="96" t="s">
        <v>2314</v>
      </c>
      <c r="D93" s="97">
        <v>2024</v>
      </c>
      <c r="E93" s="97" t="s">
        <v>146</v>
      </c>
      <c r="F93" s="196">
        <v>15000</v>
      </c>
      <c r="G93" s="103">
        <f>IF(TblUnitCost[[#This Row],[Currency]]=LCU, TblUnitCost[[#This Row],[Cost]], IF(TblUnitCost[[#This Row],[Currency]]=ACU, TblUnitCost[[#This Row],[Cost]]*FX_Rate, "Check Ref Currency"))</f>
        <v>15000</v>
      </c>
      <c r="H93" s="103">
        <f>TblUnitCost[[#This Row],[Cost]]/1600</f>
        <v>9.375</v>
      </c>
      <c r="I93" s="96"/>
      <c r="J93" s="96"/>
      <c r="K93" s="98"/>
      <c r="L93" s="96"/>
    </row>
    <row r="94" spans="2:12">
      <c r="B94" s="96" t="s">
        <v>1879</v>
      </c>
      <c r="C94" s="96" t="s">
        <v>2314</v>
      </c>
      <c r="D94" s="97">
        <v>2024</v>
      </c>
      <c r="E94" s="97" t="s">
        <v>146</v>
      </c>
      <c r="F94" s="196">
        <v>5000</v>
      </c>
      <c r="G94" s="103">
        <f>IF(TblUnitCost[[#This Row],[Currency]]=LCU, TblUnitCost[[#This Row],[Cost]], IF(TblUnitCost[[#This Row],[Currency]]=ACU, TblUnitCost[[#This Row],[Cost]]*FX_Rate, "Check Ref Currency"))</f>
        <v>5000</v>
      </c>
      <c r="H94" s="103">
        <f>TblUnitCost[[#This Row],[Cost]]/1600</f>
        <v>3.125</v>
      </c>
      <c r="I94" s="96"/>
      <c r="J94" s="96"/>
      <c r="K94" s="98"/>
      <c r="L94" s="96"/>
    </row>
    <row r="95" spans="2:12">
      <c r="B95" s="96" t="s">
        <v>145</v>
      </c>
      <c r="C95" s="96" t="s">
        <v>2549</v>
      </c>
      <c r="D95" s="97">
        <v>2024</v>
      </c>
      <c r="E95" s="97" t="s">
        <v>146</v>
      </c>
      <c r="F95" s="196"/>
      <c r="G95" s="103">
        <f>IF(TblUnitCost[[#This Row],[Currency]]=LCU, TblUnitCost[[#This Row],[Cost]], IF(TblUnitCost[[#This Row],[Currency]]=ACU, TblUnitCost[[#This Row],[Cost]]*FX_Rate, "Check Ref Currency"))</f>
        <v>0</v>
      </c>
      <c r="H95" s="103">
        <f>TblUnitCost[[#This Row],[Cost]]/1600</f>
        <v>0</v>
      </c>
      <c r="I95" s="96"/>
      <c r="J95" s="96"/>
      <c r="K95" s="98"/>
      <c r="L95" s="96"/>
    </row>
    <row r="96" spans="2:12">
      <c r="B96" s="96" t="s">
        <v>183</v>
      </c>
      <c r="C96" s="96" t="s">
        <v>2533</v>
      </c>
      <c r="D96" s="97">
        <v>2024</v>
      </c>
      <c r="E96" s="97" t="s">
        <v>146</v>
      </c>
      <c r="F96" s="196">
        <v>50000</v>
      </c>
      <c r="G96" s="103">
        <f>IF(TblUnitCost[[#This Row],[Currency]]=LCU, TblUnitCost[[#This Row],[Cost]], IF(TblUnitCost[[#This Row],[Currency]]=ACU, TblUnitCost[[#This Row],[Cost]]*FX_Rate, "Check Ref Currency"))</f>
        <v>50000</v>
      </c>
      <c r="H96" s="103">
        <f>TblUnitCost[[#This Row],[Cost]]/1600</f>
        <v>31.25</v>
      </c>
      <c r="I96" s="96"/>
      <c r="J96" s="96"/>
      <c r="K96" s="98"/>
      <c r="L96" s="96"/>
    </row>
    <row r="97" spans="2:12">
      <c r="B97" s="96" t="s">
        <v>184</v>
      </c>
      <c r="C97" s="96" t="s">
        <v>2533</v>
      </c>
      <c r="D97" s="97">
        <v>2024</v>
      </c>
      <c r="E97" s="97" t="s">
        <v>146</v>
      </c>
      <c r="F97" s="196">
        <v>30000</v>
      </c>
      <c r="G97" s="103">
        <f>IF(TblUnitCost[[#This Row],[Currency]]=LCU, TblUnitCost[[#This Row],[Cost]], IF(TblUnitCost[[#This Row],[Currency]]=ACU, TblUnitCost[[#This Row],[Cost]]*FX_Rate, "Check Ref Currency"))</f>
        <v>30000</v>
      </c>
      <c r="H97" s="103">
        <f>TblUnitCost[[#This Row],[Cost]]/1600</f>
        <v>18.75</v>
      </c>
      <c r="I97" s="96"/>
      <c r="J97" s="96"/>
      <c r="K97" s="98"/>
      <c r="L97" s="96"/>
    </row>
    <row r="98" spans="2:12">
      <c r="B98" s="96" t="s">
        <v>185</v>
      </c>
      <c r="C98" s="96" t="s">
        <v>2533</v>
      </c>
      <c r="D98" s="97">
        <v>2024</v>
      </c>
      <c r="E98" s="97" t="s">
        <v>146</v>
      </c>
      <c r="F98" s="196">
        <v>20000</v>
      </c>
      <c r="G98" s="103">
        <f>IF(TblUnitCost[[#This Row],[Currency]]=LCU, TblUnitCost[[#This Row],[Cost]], IF(TblUnitCost[[#This Row],[Currency]]=ACU, TblUnitCost[[#This Row],[Cost]]*FX_Rate, "Check Ref Currency"))</f>
        <v>20000</v>
      </c>
      <c r="H98" s="103">
        <f>TblUnitCost[[#This Row],[Cost]]/1600</f>
        <v>12.5</v>
      </c>
      <c r="I98" s="96"/>
      <c r="J98" s="96"/>
      <c r="K98" s="98"/>
      <c r="L98" s="96"/>
    </row>
    <row r="99" spans="2:12">
      <c r="B99" s="96"/>
      <c r="C99" s="96"/>
      <c r="D99" s="97"/>
      <c r="E99" s="97"/>
      <c r="F99" s="196"/>
      <c r="G99" s="103"/>
      <c r="H99" s="103"/>
      <c r="I99" s="96"/>
      <c r="J99" s="96"/>
      <c r="K99" s="98"/>
      <c r="L99" s="96"/>
    </row>
    <row r="100" spans="2:12">
      <c r="B100" s="96"/>
      <c r="C100" s="96"/>
      <c r="D100" s="97"/>
      <c r="E100" s="97"/>
      <c r="F100" s="196"/>
      <c r="G100" s="103"/>
      <c r="H100" s="103"/>
      <c r="I100" s="96"/>
      <c r="J100" s="96"/>
      <c r="K100" s="98"/>
      <c r="L100" s="96"/>
    </row>
    <row r="101" spans="2:12">
      <c r="B101" s="96"/>
      <c r="C101" s="96"/>
      <c r="D101" s="97"/>
      <c r="E101" s="97"/>
      <c r="F101" s="196"/>
      <c r="G101" s="103"/>
      <c r="H101" s="103"/>
      <c r="I101" s="96"/>
      <c r="J101" s="96"/>
      <c r="K101" s="98"/>
      <c r="L101" s="96"/>
    </row>
    <row r="102" spans="2:12">
      <c r="B102" s="96"/>
      <c r="C102" s="96"/>
      <c r="D102" s="97"/>
      <c r="E102" s="97"/>
      <c r="F102" s="196"/>
      <c r="G102" s="103"/>
      <c r="H102" s="103"/>
      <c r="I102" s="96"/>
      <c r="J102" s="96"/>
      <c r="K102" s="98"/>
      <c r="L102" s="96"/>
    </row>
    <row r="103" spans="2:12">
      <c r="B103" s="96"/>
      <c r="C103" s="96"/>
      <c r="D103" s="97"/>
      <c r="E103" s="97"/>
      <c r="F103" s="196"/>
      <c r="G103" s="103"/>
      <c r="H103" s="103"/>
      <c r="I103" s="96"/>
      <c r="J103" s="96"/>
      <c r="K103" s="98"/>
      <c r="L103" s="96"/>
    </row>
    <row r="104" spans="2:12">
      <c r="B104" s="96"/>
      <c r="C104" s="96"/>
      <c r="D104" s="97"/>
      <c r="E104" s="97"/>
      <c r="F104" s="196"/>
      <c r="G104" s="103" t="str">
        <f>IF(TblUnitCost[[#This Row],[Currency]]=LCU, TblUnitCost[[#This Row],[Cost]], IF(TblUnitCost[[#This Row],[Currency]]=ACU, TblUnitCost[[#This Row],[Cost]]*FX_Rate, "Check Ref Currency"))</f>
        <v>Check Ref Currency</v>
      </c>
      <c r="H104" s="103">
        <f>TblUnitCost[[#This Row],[Cost]]/1600</f>
        <v>0</v>
      </c>
      <c r="I104" s="96"/>
      <c r="J104" s="96"/>
      <c r="K104" s="98"/>
      <c r="L104" s="96"/>
    </row>
    <row r="105" spans="2:12">
      <c r="B105" s="96"/>
      <c r="C105" s="96"/>
      <c r="D105" s="97"/>
      <c r="E105" s="97"/>
      <c r="F105" s="196"/>
      <c r="G105" s="103"/>
      <c r="H105" s="103">
        <f>TblUnitCost[[#This Row],[Cost]]/1600</f>
        <v>0</v>
      </c>
      <c r="I105" s="96"/>
      <c r="J105" s="96"/>
      <c r="K105" s="98"/>
      <c r="L105" s="96"/>
    </row>
    <row r="106" spans="2:12">
      <c r="B106" s="96"/>
      <c r="C106" s="96"/>
      <c r="D106" s="97"/>
      <c r="E106" s="97"/>
      <c r="F106" s="196"/>
      <c r="G106" s="103"/>
      <c r="H106" s="103">
        <f>TblUnitCost[[#This Row],[Cost]]/1600</f>
        <v>0</v>
      </c>
      <c r="I106" s="96"/>
      <c r="J106" s="96"/>
      <c r="K106" s="98"/>
      <c r="L106" s="96"/>
    </row>
    <row r="107" spans="2:12">
      <c r="B107" s="96"/>
      <c r="C107" s="96"/>
      <c r="D107" s="97"/>
      <c r="E107" s="97"/>
      <c r="F107" s="196"/>
      <c r="G107" s="103" t="str">
        <f>IF(TblUnitCost[[#This Row],[Currency]]=LCU, TblUnitCost[[#This Row],[Cost]], IF(TblUnitCost[[#This Row],[Currency]]=ACU, TblUnitCost[[#This Row],[Cost]]*FX_Rate, "Check Ref Currency"))</f>
        <v>Check Ref Currency</v>
      </c>
      <c r="H107" s="103">
        <f>TblUnitCost[[#This Row],[Cost]]/1600</f>
        <v>0</v>
      </c>
      <c r="I107" s="96"/>
      <c r="J107" s="96"/>
      <c r="K107" s="98"/>
      <c r="L107" s="96"/>
    </row>
    <row r="108" spans="2:12">
      <c r="B108" s="96"/>
      <c r="C108" s="96"/>
      <c r="D108" s="97"/>
      <c r="E108" s="97"/>
      <c r="F108" s="196"/>
      <c r="G108" s="103" t="str">
        <f>IF(TblUnitCost[[#This Row],[Currency]]=LCU, TblUnitCost[[#This Row],[Cost]], IF(TblUnitCost[[#This Row],[Currency]]=ACU, TblUnitCost[[#This Row],[Cost]]*FX_Rate, "Check Ref Currency"))</f>
        <v>Check Ref Currency</v>
      </c>
      <c r="H108" s="103">
        <f>TblUnitCost[[#This Row],[Cost]]/1600</f>
        <v>0</v>
      </c>
      <c r="I108" s="96"/>
      <c r="J108" s="96"/>
      <c r="K108" s="98"/>
      <c r="L108" s="96"/>
    </row>
    <row r="109" spans="2:12">
      <c r="B109" s="96"/>
      <c r="C109" s="96"/>
      <c r="D109" s="97"/>
      <c r="E109" s="97"/>
      <c r="F109" s="196"/>
      <c r="G109" s="103"/>
      <c r="H109" s="103">
        <f>TblUnitCost[[#This Row],[Cost]]/1600</f>
        <v>0</v>
      </c>
      <c r="I109" s="96"/>
      <c r="J109" s="96"/>
      <c r="K109" s="98"/>
      <c r="L109" s="96"/>
    </row>
    <row r="110" spans="2:12">
      <c r="B110" s="96"/>
      <c r="C110" s="96"/>
      <c r="D110" s="97"/>
      <c r="E110" s="97"/>
      <c r="F110" s="196"/>
      <c r="G110" s="103"/>
      <c r="H110" s="103">
        <f>TblUnitCost[[#This Row],[Cost]]/1600</f>
        <v>0</v>
      </c>
      <c r="I110" s="96"/>
      <c r="J110" s="96"/>
      <c r="K110" s="98"/>
      <c r="L110" s="96"/>
    </row>
    <row r="111" spans="2:12">
      <c r="B111" s="96"/>
      <c r="C111" s="96"/>
      <c r="D111" s="97"/>
      <c r="E111" s="97"/>
      <c r="F111" s="196"/>
      <c r="G111" s="103"/>
      <c r="H111" s="103">
        <f>TblUnitCost[[#This Row],[Cost]]/1600</f>
        <v>0</v>
      </c>
      <c r="I111" s="96"/>
      <c r="J111" s="96"/>
      <c r="K111" s="98"/>
      <c r="L111" s="96"/>
    </row>
    <row r="112" spans="2:12">
      <c r="B112" s="96"/>
      <c r="C112" s="96"/>
      <c r="D112" s="97"/>
      <c r="E112" s="97"/>
      <c r="F112" s="196"/>
      <c r="G112" s="103"/>
      <c r="H112" s="103">
        <f>TblUnitCost[[#This Row],[Cost]]/1600</f>
        <v>0</v>
      </c>
      <c r="I112" s="96"/>
      <c r="J112" s="96"/>
      <c r="K112" s="98"/>
      <c r="L112" s="96"/>
    </row>
    <row r="113" spans="2:12">
      <c r="B113" s="96"/>
      <c r="C113" s="96"/>
      <c r="D113" s="97"/>
      <c r="E113" s="97"/>
      <c r="F113" s="196"/>
      <c r="G113" s="103"/>
      <c r="H113" s="103">
        <f>TblUnitCost[[#This Row],[Cost]]/1600</f>
        <v>0</v>
      </c>
      <c r="I113" s="96"/>
      <c r="J113" s="96"/>
      <c r="K113" s="98"/>
      <c r="L113" s="96"/>
    </row>
    <row r="114" spans="2:12">
      <c r="B114" s="96"/>
      <c r="C114" s="96"/>
      <c r="D114" s="97"/>
      <c r="E114" s="97"/>
      <c r="F114" s="196"/>
      <c r="G114" s="103" t="str">
        <f>IF(TblUnitCost[[#This Row],[Currency]]=LCU, TblUnitCost[[#This Row],[Cost]], IF(TblUnitCost[[#This Row],[Currency]]=ACU, TblUnitCost[[#This Row],[Cost]]*FX_Rate, "Check Ref Currency"))</f>
        <v>Check Ref Currency</v>
      </c>
      <c r="H114" s="103">
        <f>TblUnitCost[[#This Row],[Cost]]/1600</f>
        <v>0</v>
      </c>
      <c r="I114" s="96"/>
      <c r="J114" s="96"/>
      <c r="K114" s="98"/>
      <c r="L114" s="96"/>
    </row>
    <row r="115" spans="2:12">
      <c r="B115" s="96"/>
      <c r="C115" s="96"/>
      <c r="D115" s="97"/>
      <c r="E115" s="97"/>
      <c r="F115" s="196"/>
      <c r="G115" s="103" t="str">
        <f>IF(TblUnitCost[[#This Row],[Currency]]=LCU, TblUnitCost[[#This Row],[Cost]], IF(TblUnitCost[[#This Row],[Currency]]=ACU, TblUnitCost[[#This Row],[Cost]]*FX_Rate, "Check Ref Currency"))</f>
        <v>Check Ref Currency</v>
      </c>
      <c r="H115" s="103">
        <f>TblUnitCost[[#This Row],[Cost]]/1600</f>
        <v>0</v>
      </c>
      <c r="I115" s="96"/>
      <c r="J115" s="96"/>
      <c r="K115" s="98"/>
      <c r="L115" s="96"/>
    </row>
    <row r="116" spans="2:12">
      <c r="B116" s="96"/>
      <c r="C116" s="96"/>
      <c r="D116" s="97"/>
      <c r="E116" s="97"/>
      <c r="F116" s="196"/>
      <c r="G116" s="103" t="str">
        <f>IF(TblUnitCost[[#This Row],[Currency]]=LCU, TblUnitCost[[#This Row],[Cost]], IF(TblUnitCost[[#This Row],[Currency]]=ACU, TblUnitCost[[#This Row],[Cost]]*FX_Rate, "Check Ref Currency"))</f>
        <v>Check Ref Currency</v>
      </c>
      <c r="H116" s="103">
        <f>TblUnitCost[[#This Row],[Cost]]/1600</f>
        <v>0</v>
      </c>
      <c r="I116" s="96"/>
      <c r="J116" s="96"/>
      <c r="K116" s="98"/>
      <c r="L116" s="96"/>
    </row>
    <row r="117" spans="2:12">
      <c r="B117" s="96"/>
      <c r="C117" s="96"/>
      <c r="D117" s="97"/>
      <c r="E117" s="97"/>
      <c r="F117" s="196"/>
      <c r="G117" s="103" t="str">
        <f>IF(TblUnitCost[[#This Row],[Currency]]=LCU, TblUnitCost[[#This Row],[Cost]], IF(TblUnitCost[[#This Row],[Currency]]=ACU, TblUnitCost[[#This Row],[Cost]]*FX_Rate, "Check Ref Currency"))</f>
        <v>Check Ref Currency</v>
      </c>
      <c r="H117" s="103">
        <f>TblUnitCost[[#This Row],[Cost]]/1600</f>
        <v>0</v>
      </c>
      <c r="I117" s="96"/>
      <c r="J117" s="96"/>
      <c r="K117" s="98"/>
      <c r="L117" s="96"/>
    </row>
    <row r="118" spans="2:12">
      <c r="B118" s="96"/>
      <c r="C118" s="96"/>
      <c r="D118" s="97"/>
      <c r="E118" s="97"/>
      <c r="F118" s="196"/>
      <c r="G118" s="103" t="str">
        <f>IF(TblUnitCost[[#This Row],[Currency]]=LCU, TblUnitCost[[#This Row],[Cost]], IF(TblUnitCost[[#This Row],[Currency]]=ACU, TblUnitCost[[#This Row],[Cost]]*FX_Rate, "Check Ref Currency"))</f>
        <v>Check Ref Currency</v>
      </c>
      <c r="H118" s="103">
        <f>TblUnitCost[[#This Row],[Cost]]/1600</f>
        <v>0</v>
      </c>
      <c r="I118" s="96"/>
      <c r="J118" s="96"/>
      <c r="K118" s="98"/>
      <c r="L118" s="96"/>
    </row>
    <row r="119" spans="2:12">
      <c r="B119" s="96"/>
      <c r="C119" s="96"/>
      <c r="D119" s="97"/>
      <c r="E119" s="97"/>
      <c r="F119" s="196"/>
      <c r="G119" s="103" t="str">
        <f>IF(TblUnitCost[[#This Row],[Currency]]=LCU, TblUnitCost[[#This Row],[Cost]], IF(TblUnitCost[[#This Row],[Currency]]=ACU, TblUnitCost[[#This Row],[Cost]]*FX_Rate, "Check Ref Currency"))</f>
        <v>Check Ref Currency</v>
      </c>
      <c r="H119" s="103">
        <f>TblUnitCost[[#This Row],[Cost]]/1600</f>
        <v>0</v>
      </c>
      <c r="I119" s="96"/>
      <c r="J119" s="96"/>
      <c r="K119" s="98"/>
      <c r="L119" s="96"/>
    </row>
    <row r="120" spans="2:12">
      <c r="B120" s="96"/>
      <c r="C120" s="96"/>
      <c r="D120" s="97"/>
      <c r="E120" s="97"/>
      <c r="F120" s="196"/>
      <c r="G120" s="103" t="str">
        <f>IF(TblUnitCost[[#This Row],[Currency]]=LCU, TblUnitCost[[#This Row],[Cost]], IF(TblUnitCost[[#This Row],[Currency]]=ACU, TblUnitCost[[#This Row],[Cost]]*FX_Rate, "Check Ref Currency"))</f>
        <v>Check Ref Currency</v>
      </c>
      <c r="H120" s="103">
        <f>TblUnitCost[[#This Row],[Cost]]/1600</f>
        <v>0</v>
      </c>
      <c r="I120" s="96"/>
      <c r="J120" s="96"/>
      <c r="K120" s="98"/>
      <c r="L120" s="96"/>
    </row>
    <row r="121" spans="2:12">
      <c r="B121" s="96"/>
      <c r="C121" s="96"/>
      <c r="D121" s="97"/>
      <c r="E121" s="97"/>
      <c r="F121" s="196"/>
      <c r="G121" s="103" t="str">
        <f>IF(TblUnitCost[[#This Row],[Currency]]=LCU, TblUnitCost[[#This Row],[Cost]], IF(TblUnitCost[[#This Row],[Currency]]=ACU, TblUnitCost[[#This Row],[Cost]]*FX_Rate, "Check Ref Currency"))</f>
        <v>Check Ref Currency</v>
      </c>
      <c r="H121" s="103">
        <f>TblUnitCost[[#This Row],[Cost]]/1600</f>
        <v>0</v>
      </c>
      <c r="I121" s="96"/>
      <c r="J121" s="96"/>
      <c r="K121" s="98"/>
      <c r="L121" s="96"/>
    </row>
    <row r="122" spans="2:12">
      <c r="B122" s="96"/>
      <c r="C122" s="96"/>
      <c r="D122" s="97"/>
      <c r="E122" s="97"/>
      <c r="F122" s="196"/>
      <c r="G122" s="103" t="str">
        <f>IF(TblUnitCost[[#This Row],[Currency]]=LCU, TblUnitCost[[#This Row],[Cost]], IF(TblUnitCost[[#This Row],[Currency]]=ACU, TblUnitCost[[#This Row],[Cost]]*FX_Rate, "Check Ref Currency"))</f>
        <v>Check Ref Currency</v>
      </c>
      <c r="H122" s="103">
        <f>TblUnitCost[[#This Row],[Cost]]/1600</f>
        <v>0</v>
      </c>
      <c r="I122" s="96"/>
      <c r="J122" s="96"/>
      <c r="K122" s="98"/>
      <c r="L122" s="96"/>
    </row>
    <row r="123" spans="2:12">
      <c r="B123" s="96"/>
      <c r="C123" s="96"/>
      <c r="D123" s="97"/>
      <c r="E123" s="97"/>
      <c r="F123" s="196"/>
      <c r="G123" s="103" t="str">
        <f>IF(TblUnitCost[[#This Row],[Currency]]=LCU, TblUnitCost[[#This Row],[Cost]], IF(TblUnitCost[[#This Row],[Currency]]=ACU, TblUnitCost[[#This Row],[Cost]]*FX_Rate, "Check Ref Currency"))</f>
        <v>Check Ref Currency</v>
      </c>
      <c r="H123" s="103">
        <f>TblUnitCost[[#This Row],[Cost]]/1600</f>
        <v>0</v>
      </c>
      <c r="I123" s="96"/>
      <c r="J123" s="96"/>
      <c r="K123" s="98"/>
      <c r="L123" s="96"/>
    </row>
    <row r="124" spans="2:12">
      <c r="B124" s="96"/>
      <c r="C124" s="96"/>
      <c r="D124" s="97"/>
      <c r="E124" s="97"/>
      <c r="F124" s="196"/>
      <c r="G124" s="103" t="str">
        <f>IF(TblUnitCost[[#This Row],[Currency]]=LCU, TblUnitCost[[#This Row],[Cost]], IF(TblUnitCost[[#This Row],[Currency]]=ACU, TblUnitCost[[#This Row],[Cost]]*FX_Rate, "Check Ref Currency"))</f>
        <v>Check Ref Currency</v>
      </c>
      <c r="H124" s="103">
        <f>TblUnitCost[[#This Row],[Cost]]/1600</f>
        <v>0</v>
      </c>
      <c r="I124" s="96"/>
      <c r="J124" s="96"/>
      <c r="K124" s="98"/>
      <c r="L124" s="96"/>
    </row>
    <row r="125" spans="2:12">
      <c r="B125" s="96"/>
      <c r="C125" s="96"/>
      <c r="D125" s="97"/>
      <c r="E125" s="97"/>
      <c r="F125" s="196"/>
      <c r="G125" s="103" t="str">
        <f>IF(TblUnitCost[[#This Row],[Currency]]=LCU, TblUnitCost[[#This Row],[Cost]], IF(TblUnitCost[[#This Row],[Currency]]=ACU, TblUnitCost[[#This Row],[Cost]]*FX_Rate, "Check Ref Currency"))</f>
        <v>Check Ref Currency</v>
      </c>
      <c r="H125" s="103">
        <f>TblUnitCost[[#This Row],[Cost]]/1600</f>
        <v>0</v>
      </c>
      <c r="I125" s="96"/>
      <c r="J125" s="96"/>
      <c r="K125" s="98"/>
      <c r="L125" s="96"/>
    </row>
    <row r="126" spans="2:12">
      <c r="B126" s="96"/>
      <c r="C126" s="96"/>
      <c r="D126" s="97"/>
      <c r="E126" s="97"/>
      <c r="F126" s="196"/>
      <c r="G126" s="103" t="str">
        <f>IF(TblUnitCost[[#This Row],[Currency]]=LCU, TblUnitCost[[#This Row],[Cost]], IF(TblUnitCost[[#This Row],[Currency]]=ACU, TblUnitCost[[#This Row],[Cost]]*FX_Rate, "Check Ref Currency"))</f>
        <v>Check Ref Currency</v>
      </c>
      <c r="H126" s="103">
        <f>TblUnitCost[[#This Row],[Cost]]/1600</f>
        <v>0</v>
      </c>
      <c r="I126" s="96"/>
      <c r="J126" s="96"/>
      <c r="K126" s="98"/>
      <c r="L126" s="96"/>
    </row>
    <row r="127" spans="2:12">
      <c r="B127" s="96"/>
      <c r="C127" s="96"/>
      <c r="D127" s="97"/>
      <c r="E127" s="97"/>
      <c r="F127" s="196"/>
      <c r="G127" s="103" t="str">
        <f>IF(TblUnitCost[[#This Row],[Currency]]=LCU, TblUnitCost[[#This Row],[Cost]], IF(TblUnitCost[[#This Row],[Currency]]=ACU, TblUnitCost[[#This Row],[Cost]]*FX_Rate, "Check Ref Currency"))</f>
        <v>Check Ref Currency</v>
      </c>
      <c r="H127" s="103">
        <f>TblUnitCost[[#This Row],[Cost]]/1600</f>
        <v>0</v>
      </c>
      <c r="I127" s="96"/>
      <c r="J127" s="96"/>
      <c r="K127" s="98"/>
      <c r="L127" s="96"/>
    </row>
    <row r="128" spans="2:12">
      <c r="B128" s="96"/>
      <c r="C128" s="96"/>
      <c r="D128" s="97"/>
      <c r="E128" s="97"/>
      <c r="F128" s="196"/>
      <c r="G128" s="103" t="str">
        <f>IF(TblUnitCost[[#This Row],[Currency]]=LCU, TblUnitCost[[#This Row],[Cost]], IF(TblUnitCost[[#This Row],[Currency]]=ACU, TblUnitCost[[#This Row],[Cost]]*FX_Rate, "Check Ref Currency"))</f>
        <v>Check Ref Currency</v>
      </c>
      <c r="H128" s="103">
        <f>TblUnitCost[[#This Row],[Cost]]/1600</f>
        <v>0</v>
      </c>
      <c r="I128" s="96"/>
      <c r="J128" s="96"/>
      <c r="K128" s="98"/>
      <c r="L128" s="96"/>
    </row>
    <row r="129" spans="2:12">
      <c r="B129" s="96"/>
      <c r="C129" s="96"/>
      <c r="D129" s="97"/>
      <c r="E129" s="97"/>
      <c r="F129" s="196"/>
      <c r="G129" s="103" t="str">
        <f>IF(TblUnitCost[[#This Row],[Currency]]=LCU, TblUnitCost[[#This Row],[Cost]], IF(TblUnitCost[[#This Row],[Currency]]=ACU, TblUnitCost[[#This Row],[Cost]]*FX_Rate, "Check Ref Currency"))</f>
        <v>Check Ref Currency</v>
      </c>
      <c r="H129" s="103">
        <f>TblUnitCost[[#This Row],[Cost]]/1600</f>
        <v>0</v>
      </c>
      <c r="I129" s="96"/>
      <c r="J129" s="96"/>
      <c r="K129" s="98"/>
      <c r="L129" s="96"/>
    </row>
    <row r="130" spans="2:12">
      <c r="B130" s="96"/>
      <c r="C130" s="96"/>
      <c r="D130" s="97"/>
      <c r="E130" s="97"/>
      <c r="F130" s="196"/>
      <c r="G130" s="103" t="str">
        <f>IF(TblUnitCost[[#This Row],[Currency]]=LCU, TblUnitCost[[#This Row],[Cost]], IF(TblUnitCost[[#This Row],[Currency]]=ACU, TblUnitCost[[#This Row],[Cost]]*FX_Rate, "Check Ref Currency"))</f>
        <v>Check Ref Currency</v>
      </c>
      <c r="H130" s="103">
        <f>TblUnitCost[[#This Row],[Cost]]/1600</f>
        <v>0</v>
      </c>
      <c r="I130" s="96"/>
      <c r="J130" s="96"/>
      <c r="K130" s="98"/>
      <c r="L130" s="96"/>
    </row>
    <row r="131" spans="2:12">
      <c r="B131" s="96"/>
      <c r="C131" s="96"/>
      <c r="D131" s="97"/>
      <c r="E131" s="97"/>
      <c r="F131" s="196"/>
      <c r="G131" s="103" t="str">
        <f>IF(TblUnitCost[[#This Row],[Currency]]=LCU, TblUnitCost[[#This Row],[Cost]], IF(TblUnitCost[[#This Row],[Currency]]=ACU, TblUnitCost[[#This Row],[Cost]]*FX_Rate, "Check Ref Currency"))</f>
        <v>Check Ref Currency</v>
      </c>
      <c r="H131" s="103">
        <f>TblUnitCost[[#This Row],[Cost]]/1600</f>
        <v>0</v>
      </c>
      <c r="I131" s="96"/>
      <c r="J131" s="96"/>
      <c r="K131" s="98"/>
      <c r="L131" s="96"/>
    </row>
    <row r="132" spans="2:12">
      <c r="B132" s="96"/>
      <c r="C132" s="96"/>
      <c r="D132" s="97"/>
      <c r="E132" s="97"/>
      <c r="F132" s="196"/>
      <c r="G132" s="103" t="str">
        <f>IF(TblUnitCost[[#This Row],[Currency]]=LCU, TblUnitCost[[#This Row],[Cost]], IF(TblUnitCost[[#This Row],[Currency]]=ACU, TblUnitCost[[#This Row],[Cost]]*FX_Rate, "Check Ref Currency"))</f>
        <v>Check Ref Currency</v>
      </c>
      <c r="H132" s="103">
        <f>TblUnitCost[[#This Row],[Cost]]/1600</f>
        <v>0</v>
      </c>
      <c r="I132" s="96"/>
      <c r="J132" s="96"/>
      <c r="K132" s="98"/>
      <c r="L132" s="96"/>
    </row>
    <row r="133" spans="2:12">
      <c r="B133" s="96"/>
      <c r="C133" s="96"/>
      <c r="D133" s="97"/>
      <c r="E133" s="97"/>
      <c r="F133" s="196"/>
      <c r="G133" s="103" t="str">
        <f>IF(TblUnitCost[[#This Row],[Currency]]=LCU, TblUnitCost[[#This Row],[Cost]], IF(TblUnitCost[[#This Row],[Currency]]=ACU, TblUnitCost[[#This Row],[Cost]]*FX_Rate, "Check Ref Currency"))</f>
        <v>Check Ref Currency</v>
      </c>
      <c r="H133" s="103">
        <f>TblUnitCost[[#This Row],[Cost]]/1600</f>
        <v>0</v>
      </c>
      <c r="I133" s="96"/>
      <c r="J133" s="96"/>
      <c r="K133" s="98"/>
      <c r="L133" s="96"/>
    </row>
    <row r="134" spans="2:12">
      <c r="B134" s="96"/>
      <c r="C134" s="96"/>
      <c r="D134" s="97"/>
      <c r="E134" s="97"/>
      <c r="F134" s="196"/>
      <c r="G134" s="103" t="str">
        <f>IF(TblUnitCost[[#This Row],[Currency]]=LCU, TblUnitCost[[#This Row],[Cost]], IF(TblUnitCost[[#This Row],[Currency]]=ACU, TblUnitCost[[#This Row],[Cost]]*FX_Rate, "Check Ref Currency"))</f>
        <v>Check Ref Currency</v>
      </c>
      <c r="H134" s="103">
        <f>TblUnitCost[[#This Row],[Cost]]/1600</f>
        <v>0</v>
      </c>
      <c r="I134" s="96"/>
      <c r="J134" s="96"/>
      <c r="K134" s="98"/>
      <c r="L134" s="96"/>
    </row>
    <row r="135" spans="2:12">
      <c r="B135" s="96"/>
      <c r="C135" s="96"/>
      <c r="D135" s="97"/>
      <c r="E135" s="97"/>
      <c r="F135" s="196"/>
      <c r="G135" s="103" t="str">
        <f>IF(TblUnitCost[[#This Row],[Currency]]=LCU, TblUnitCost[[#This Row],[Cost]], IF(TblUnitCost[[#This Row],[Currency]]=ACU, TblUnitCost[[#This Row],[Cost]]*FX_Rate, "Check Ref Currency"))</f>
        <v>Check Ref Currency</v>
      </c>
      <c r="H135" s="103">
        <f>TblUnitCost[[#This Row],[Cost]]/1600</f>
        <v>0</v>
      </c>
      <c r="I135" s="96"/>
      <c r="J135" s="96"/>
      <c r="K135" s="98"/>
      <c r="L135" s="96"/>
    </row>
    <row r="136" spans="2:12">
      <c r="B136" s="96"/>
      <c r="C136" s="96"/>
      <c r="D136" s="97"/>
      <c r="E136" s="97"/>
      <c r="F136" s="196"/>
      <c r="G136" s="103" t="str">
        <f>IF(TblUnitCost[[#This Row],[Currency]]=LCU, TblUnitCost[[#This Row],[Cost]], IF(TblUnitCost[[#This Row],[Currency]]=ACU, TblUnitCost[[#This Row],[Cost]]*FX_Rate, "Check Ref Currency"))</f>
        <v>Check Ref Currency</v>
      </c>
      <c r="H136" s="103">
        <f>TblUnitCost[[#This Row],[Cost]]/1600</f>
        <v>0</v>
      </c>
      <c r="I136" s="96"/>
      <c r="J136" s="96"/>
      <c r="K136" s="98"/>
      <c r="L136" s="96"/>
    </row>
    <row r="137" spans="2:12">
      <c r="B137" s="96"/>
      <c r="C137" s="96"/>
      <c r="D137" s="97"/>
      <c r="E137" s="97"/>
      <c r="F137" s="196"/>
      <c r="G137" s="103" t="str">
        <f>IF(TblUnitCost[[#This Row],[Currency]]=LCU, TblUnitCost[[#This Row],[Cost]], IF(TblUnitCost[[#This Row],[Currency]]=ACU, TblUnitCost[[#This Row],[Cost]]*FX_Rate, "Check Ref Currency"))</f>
        <v>Check Ref Currency</v>
      </c>
      <c r="H137" s="103">
        <f>TblUnitCost[[#This Row],[Cost]]/1600</f>
        <v>0</v>
      </c>
      <c r="I137" s="96"/>
      <c r="J137" s="96"/>
      <c r="K137" s="98"/>
      <c r="L137" s="96"/>
    </row>
    <row r="138" spans="2:12">
      <c r="B138" s="96"/>
      <c r="C138" s="96"/>
      <c r="D138" s="97"/>
      <c r="E138" s="97"/>
      <c r="F138" s="196"/>
      <c r="G138" s="103" t="str">
        <f>IF(TblUnitCost[[#This Row],[Currency]]=LCU, TblUnitCost[[#This Row],[Cost]], IF(TblUnitCost[[#This Row],[Currency]]=ACU, TblUnitCost[[#This Row],[Cost]]*FX_Rate, "Check Ref Currency"))</f>
        <v>Check Ref Currency</v>
      </c>
      <c r="H138" s="103">
        <f>TblUnitCost[[#This Row],[Cost]]/1600</f>
        <v>0</v>
      </c>
      <c r="I138" s="96"/>
      <c r="J138" s="96"/>
      <c r="K138" s="98"/>
      <c r="L138" s="96"/>
    </row>
    <row r="139" spans="2:12">
      <c r="B139" s="96"/>
      <c r="C139" s="96"/>
      <c r="D139" s="97"/>
      <c r="E139" s="97"/>
      <c r="F139" s="196"/>
      <c r="G139" s="103" t="str">
        <f>IF(TblUnitCost[[#This Row],[Currency]]=LCU, TblUnitCost[[#This Row],[Cost]], IF(TblUnitCost[[#This Row],[Currency]]=ACU, TblUnitCost[[#This Row],[Cost]]*FX_Rate, "Check Ref Currency"))</f>
        <v>Check Ref Currency</v>
      </c>
      <c r="H139" s="103">
        <f>TblUnitCost[[#This Row],[Cost]]/1600</f>
        <v>0</v>
      </c>
      <c r="I139" s="96"/>
      <c r="J139" s="96"/>
      <c r="K139" s="98"/>
      <c r="L139" s="96"/>
    </row>
    <row r="140" spans="2:12">
      <c r="B140" s="96"/>
      <c r="C140" s="96"/>
      <c r="D140" s="97"/>
      <c r="E140" s="97"/>
      <c r="F140" s="196"/>
      <c r="G140" s="103" t="str">
        <f>IF(TblUnitCost[[#This Row],[Currency]]=LCU, TblUnitCost[[#This Row],[Cost]], IF(TblUnitCost[[#This Row],[Currency]]=ACU, TblUnitCost[[#This Row],[Cost]]*FX_Rate, "Check Ref Currency"))</f>
        <v>Check Ref Currency</v>
      </c>
      <c r="H140" s="103">
        <f>TblUnitCost[[#This Row],[Cost]]/1600</f>
        <v>0</v>
      </c>
      <c r="I140" s="96"/>
      <c r="J140" s="96"/>
      <c r="K140" s="98"/>
      <c r="L140" s="96"/>
    </row>
    <row r="141" spans="2:12">
      <c r="B141" s="96"/>
      <c r="C141" s="96"/>
      <c r="D141" s="97"/>
      <c r="E141" s="97"/>
      <c r="F141" s="196"/>
      <c r="G141" s="103" t="str">
        <f>IF(TblUnitCost[[#This Row],[Currency]]=LCU, TblUnitCost[[#This Row],[Cost]], IF(TblUnitCost[[#This Row],[Currency]]=ACU, TblUnitCost[[#This Row],[Cost]]*FX_Rate, "Check Ref Currency"))</f>
        <v>Check Ref Currency</v>
      </c>
      <c r="H141" s="103">
        <f>TblUnitCost[[#This Row],[Cost]]/1600</f>
        <v>0</v>
      </c>
      <c r="I141" s="96"/>
      <c r="J141" s="96"/>
      <c r="K141" s="98"/>
      <c r="L141" s="96"/>
    </row>
    <row r="142" spans="2:12">
      <c r="B142" s="96"/>
      <c r="C142" s="96"/>
      <c r="D142" s="97"/>
      <c r="E142" s="97"/>
      <c r="F142" s="196"/>
      <c r="G142" s="103" t="str">
        <f>IF(TblUnitCost[[#This Row],[Currency]]=LCU, TblUnitCost[[#This Row],[Cost]], IF(TblUnitCost[[#This Row],[Currency]]=ACU, TblUnitCost[[#This Row],[Cost]]*FX_Rate, "Check Ref Currency"))</f>
        <v>Check Ref Currency</v>
      </c>
      <c r="H142" s="103">
        <f>TblUnitCost[[#This Row],[Cost]]/1600</f>
        <v>0</v>
      </c>
      <c r="I142" s="96"/>
      <c r="J142" s="96"/>
      <c r="K142" s="98"/>
      <c r="L142" s="96"/>
    </row>
    <row r="143" spans="2:12">
      <c r="B143" s="96"/>
      <c r="C143" s="96"/>
      <c r="D143" s="97"/>
      <c r="E143" s="97"/>
      <c r="F143" s="196"/>
      <c r="G143" s="103" t="str">
        <f>IF(TblUnitCost[[#This Row],[Currency]]=LCU, TblUnitCost[[#This Row],[Cost]], IF(TblUnitCost[[#This Row],[Currency]]=ACU, TblUnitCost[[#This Row],[Cost]]*FX_Rate, "Check Ref Currency"))</f>
        <v>Check Ref Currency</v>
      </c>
      <c r="H143" s="103">
        <f>TblUnitCost[[#This Row],[Cost]]/1600</f>
        <v>0</v>
      </c>
      <c r="I143" s="96"/>
      <c r="J143" s="96"/>
      <c r="K143" s="98"/>
      <c r="L143" s="96"/>
    </row>
    <row r="144" spans="2:12">
      <c r="B144" s="96"/>
      <c r="C144" s="96"/>
      <c r="D144" s="97"/>
      <c r="E144" s="97"/>
      <c r="F144" s="196"/>
      <c r="G144" s="103" t="str">
        <f>IF(TblUnitCost[[#This Row],[Currency]]=LCU, TblUnitCost[[#This Row],[Cost]], IF(TblUnitCost[[#This Row],[Currency]]=ACU, TblUnitCost[[#This Row],[Cost]]*FX_Rate, "Check Ref Currency"))</f>
        <v>Check Ref Currency</v>
      </c>
      <c r="H144" s="103">
        <f>TblUnitCost[[#This Row],[Cost]]/1600</f>
        <v>0</v>
      </c>
      <c r="I144" s="96"/>
      <c r="J144" s="96"/>
      <c r="K144" s="98"/>
      <c r="L144" s="96"/>
    </row>
    <row r="145" spans="2:12">
      <c r="B145" s="96"/>
      <c r="C145" s="96"/>
      <c r="D145" s="97"/>
      <c r="E145" s="97"/>
      <c r="F145" s="196"/>
      <c r="G145" s="103" t="str">
        <f>IF(TblUnitCost[[#This Row],[Currency]]=LCU, TblUnitCost[[#This Row],[Cost]], IF(TblUnitCost[[#This Row],[Currency]]=ACU, TblUnitCost[[#This Row],[Cost]]*FX_Rate, "Check Ref Currency"))</f>
        <v>Check Ref Currency</v>
      </c>
      <c r="H145" s="103">
        <f>TblUnitCost[[#This Row],[Cost]]/1600</f>
        <v>0</v>
      </c>
      <c r="I145" s="96"/>
      <c r="J145" s="96"/>
      <c r="K145" s="98"/>
      <c r="L145" s="96"/>
    </row>
    <row r="146" spans="2:12">
      <c r="B146" s="96"/>
      <c r="C146" s="96"/>
      <c r="D146" s="97"/>
      <c r="E146" s="97"/>
      <c r="F146" s="196"/>
      <c r="G146" s="103" t="str">
        <f>IF(TblUnitCost[[#This Row],[Currency]]=LCU, TblUnitCost[[#This Row],[Cost]], IF(TblUnitCost[[#This Row],[Currency]]=ACU, TblUnitCost[[#This Row],[Cost]]*FX_Rate, "Check Ref Currency"))</f>
        <v>Check Ref Currency</v>
      </c>
      <c r="H146" s="103">
        <f>TblUnitCost[[#This Row],[Cost]]/1600</f>
        <v>0</v>
      </c>
      <c r="I146" s="96"/>
      <c r="J146" s="96"/>
      <c r="K146" s="98"/>
      <c r="L146" s="96"/>
    </row>
    <row r="147" spans="2:12">
      <c r="B147" s="96"/>
      <c r="C147" s="96"/>
      <c r="D147" s="97"/>
      <c r="E147" s="97"/>
      <c r="F147" s="196"/>
      <c r="G147" s="103" t="str">
        <f>IF(TblUnitCost[[#This Row],[Currency]]=LCU, TblUnitCost[[#This Row],[Cost]], IF(TblUnitCost[[#This Row],[Currency]]=ACU, TblUnitCost[[#This Row],[Cost]]*FX_Rate, "Check Ref Currency"))</f>
        <v>Check Ref Currency</v>
      </c>
      <c r="H147" s="103">
        <f>TblUnitCost[[#This Row],[Cost]]/1600</f>
        <v>0</v>
      </c>
      <c r="I147" s="96"/>
      <c r="J147" s="96"/>
      <c r="K147" s="98"/>
      <c r="L147" s="96"/>
    </row>
    <row r="148" spans="2:12">
      <c r="B148" s="96"/>
      <c r="C148" s="96"/>
      <c r="D148" s="97"/>
      <c r="E148" s="97"/>
      <c r="F148" s="196"/>
      <c r="G148" s="103" t="str">
        <f>IF(TblUnitCost[[#This Row],[Currency]]=LCU, TblUnitCost[[#This Row],[Cost]], IF(TblUnitCost[[#This Row],[Currency]]=ACU, TblUnitCost[[#This Row],[Cost]]*FX_Rate, "Check Ref Currency"))</f>
        <v>Check Ref Currency</v>
      </c>
      <c r="H148" s="103">
        <f>TblUnitCost[[#This Row],[Cost]]/1600</f>
        <v>0</v>
      </c>
      <c r="I148" s="96"/>
      <c r="J148" s="96"/>
      <c r="K148" s="98"/>
      <c r="L148" s="96"/>
    </row>
    <row r="149" spans="2:12">
      <c r="B149" s="96"/>
      <c r="C149" s="96"/>
      <c r="D149" s="97"/>
      <c r="E149" s="97"/>
      <c r="F149" s="196"/>
      <c r="G149" s="103" t="str">
        <f>IF(TblUnitCost[[#This Row],[Currency]]=LCU, TblUnitCost[[#This Row],[Cost]], IF(TblUnitCost[[#This Row],[Currency]]=ACU, TblUnitCost[[#This Row],[Cost]]*FX_Rate, "Check Ref Currency"))</f>
        <v>Check Ref Currency</v>
      </c>
      <c r="H149" s="103">
        <f>TblUnitCost[[#This Row],[Cost]]/1600</f>
        <v>0</v>
      </c>
      <c r="I149" s="96"/>
      <c r="J149" s="96"/>
      <c r="K149" s="98"/>
      <c r="L149" s="96"/>
    </row>
    <row r="150" spans="2:12">
      <c r="B150" s="96"/>
      <c r="C150" s="96"/>
      <c r="D150" s="97"/>
      <c r="E150" s="97"/>
      <c r="F150" s="196"/>
      <c r="G150" s="103" t="str">
        <f>IF(TblUnitCost[[#This Row],[Currency]]=LCU, TblUnitCost[[#This Row],[Cost]], IF(TblUnitCost[[#This Row],[Currency]]=ACU, TblUnitCost[[#This Row],[Cost]]*FX_Rate, "Check Ref Currency"))</f>
        <v>Check Ref Currency</v>
      </c>
      <c r="H150" s="103">
        <f>TblUnitCost[[#This Row],[Cost]]/1600</f>
        <v>0</v>
      </c>
      <c r="I150" s="96"/>
      <c r="J150" s="96"/>
      <c r="K150" s="98"/>
      <c r="L150" s="96"/>
    </row>
    <row r="151" spans="2:12">
      <c r="B151" s="96"/>
      <c r="C151" s="96"/>
      <c r="D151" s="97"/>
      <c r="E151" s="97"/>
      <c r="F151" s="196"/>
      <c r="G151" s="103" t="str">
        <f>IF(TblUnitCost[[#This Row],[Currency]]=LCU, TblUnitCost[[#This Row],[Cost]], IF(TblUnitCost[[#This Row],[Currency]]=ACU, TblUnitCost[[#This Row],[Cost]]*FX_Rate, "Check Ref Currency"))</f>
        <v>Check Ref Currency</v>
      </c>
      <c r="H151" s="103">
        <f>TblUnitCost[[#This Row],[Cost]]/1600</f>
        <v>0</v>
      </c>
      <c r="I151" s="96"/>
      <c r="J151" s="96"/>
      <c r="K151" s="98"/>
      <c r="L151" s="96"/>
    </row>
    <row r="152" spans="2:12">
      <c r="B152" s="96"/>
      <c r="C152" s="96"/>
      <c r="D152" s="97"/>
      <c r="E152" s="97"/>
      <c r="F152" s="196"/>
      <c r="G152" s="103" t="str">
        <f>IF(TblUnitCost[[#This Row],[Currency]]=LCU, TblUnitCost[[#This Row],[Cost]], IF(TblUnitCost[[#This Row],[Currency]]=ACU, TblUnitCost[[#This Row],[Cost]]*FX_Rate, "Check Ref Currency"))</f>
        <v>Check Ref Currency</v>
      </c>
      <c r="H152" s="103">
        <f>TblUnitCost[[#This Row],[Cost]]/1600</f>
        <v>0</v>
      </c>
      <c r="I152" s="96"/>
      <c r="J152" s="96"/>
      <c r="K152" s="98"/>
      <c r="L152" s="96"/>
    </row>
    <row r="153" spans="2:12">
      <c r="B153" s="96"/>
      <c r="C153" s="96"/>
      <c r="D153" s="97"/>
      <c r="E153" s="97"/>
      <c r="F153" s="196"/>
      <c r="G153" s="103" t="str">
        <f>IF(TblUnitCost[[#This Row],[Currency]]=LCU, TblUnitCost[[#This Row],[Cost]], IF(TblUnitCost[[#This Row],[Currency]]=ACU, TblUnitCost[[#This Row],[Cost]]*FX_Rate, "Check Ref Currency"))</f>
        <v>Check Ref Currency</v>
      </c>
      <c r="H153" s="103">
        <f>TblUnitCost[[#This Row],[Cost]]/1600</f>
        <v>0</v>
      </c>
      <c r="I153" s="96"/>
      <c r="J153" s="96"/>
      <c r="K153" s="98"/>
      <c r="L153" s="96"/>
    </row>
    <row r="154" spans="2:12">
      <c r="B154" s="96"/>
      <c r="C154" s="96"/>
      <c r="D154" s="97"/>
      <c r="E154" s="97"/>
      <c r="F154" s="196"/>
      <c r="G154" s="103" t="str">
        <f>IF(TblUnitCost[[#This Row],[Currency]]=LCU, TblUnitCost[[#This Row],[Cost]], IF(TblUnitCost[[#This Row],[Currency]]=ACU, TblUnitCost[[#This Row],[Cost]]*FX_Rate, "Check Ref Currency"))</f>
        <v>Check Ref Currency</v>
      </c>
      <c r="H154" s="103">
        <f>TblUnitCost[[#This Row],[Cost]]/1600</f>
        <v>0</v>
      </c>
      <c r="I154" s="96"/>
      <c r="J154" s="96"/>
      <c r="K154" s="98"/>
      <c r="L154" s="96"/>
    </row>
    <row r="155" spans="2:12">
      <c r="B155" s="96"/>
      <c r="C155" s="96"/>
      <c r="D155" s="97"/>
      <c r="E155" s="97"/>
      <c r="F155" s="196"/>
      <c r="G155" s="103" t="str">
        <f>IF(TblUnitCost[[#This Row],[Currency]]=LCU, TblUnitCost[[#This Row],[Cost]], IF(TblUnitCost[[#This Row],[Currency]]=ACU, TblUnitCost[[#This Row],[Cost]]*FX_Rate, "Check Ref Currency"))</f>
        <v>Check Ref Currency</v>
      </c>
      <c r="H155" s="103">
        <f>TblUnitCost[[#This Row],[Cost]]/1600</f>
        <v>0</v>
      </c>
      <c r="I155" s="96"/>
      <c r="J155" s="96"/>
      <c r="K155" s="98"/>
      <c r="L155" s="96"/>
    </row>
    <row r="156" spans="2:12">
      <c r="B156" s="96"/>
      <c r="C156" s="96"/>
      <c r="D156" s="97"/>
      <c r="E156" s="97"/>
      <c r="F156" s="196"/>
      <c r="G156" s="103" t="str">
        <f>IF(TblUnitCost[[#This Row],[Currency]]=LCU, TblUnitCost[[#This Row],[Cost]], IF(TblUnitCost[[#This Row],[Currency]]=ACU, TblUnitCost[[#This Row],[Cost]]*FX_Rate, "Check Ref Currency"))</f>
        <v>Check Ref Currency</v>
      </c>
      <c r="H156" s="103">
        <f>TblUnitCost[[#This Row],[Cost]]/1600</f>
        <v>0</v>
      </c>
      <c r="I156" s="96"/>
      <c r="J156" s="96"/>
      <c r="K156" s="98"/>
      <c r="L156" s="96"/>
    </row>
    <row r="157" spans="2:12">
      <c r="B157" s="96"/>
      <c r="C157" s="96"/>
      <c r="D157" s="97"/>
      <c r="E157" s="97"/>
      <c r="F157" s="196"/>
      <c r="G157" s="103" t="str">
        <f>IF(TblUnitCost[[#This Row],[Currency]]=LCU, TblUnitCost[[#This Row],[Cost]], IF(TblUnitCost[[#This Row],[Currency]]=ACU, TblUnitCost[[#This Row],[Cost]]*FX_Rate, "Check Ref Currency"))</f>
        <v>Check Ref Currency</v>
      </c>
      <c r="H157" s="103">
        <f>TblUnitCost[[#This Row],[Cost]]/1600</f>
        <v>0</v>
      </c>
      <c r="I157" s="96"/>
      <c r="J157" s="96"/>
      <c r="K157" s="98"/>
      <c r="L157" s="96"/>
    </row>
    <row r="158" spans="2:12">
      <c r="B158" s="96"/>
      <c r="C158" s="96"/>
      <c r="D158" s="97"/>
      <c r="E158" s="97"/>
      <c r="F158" s="196"/>
      <c r="G158" s="103" t="str">
        <f>IF(TblUnitCost[[#This Row],[Currency]]=LCU, TblUnitCost[[#This Row],[Cost]], IF(TblUnitCost[[#This Row],[Currency]]=ACU, TblUnitCost[[#This Row],[Cost]]*FX_Rate, "Check Ref Currency"))</f>
        <v>Check Ref Currency</v>
      </c>
      <c r="H158" s="103">
        <f>TblUnitCost[[#This Row],[Cost]]/1600</f>
        <v>0</v>
      </c>
      <c r="I158" s="96"/>
      <c r="J158" s="96"/>
      <c r="K158" s="98"/>
      <c r="L158" s="96"/>
    </row>
    <row r="159" spans="2:12">
      <c r="B159" s="96"/>
      <c r="C159" s="96"/>
      <c r="D159" s="97"/>
      <c r="E159" s="97"/>
      <c r="F159" s="196"/>
      <c r="G159" s="103" t="str">
        <f>IF(TblUnitCost[[#This Row],[Currency]]=LCU, TblUnitCost[[#This Row],[Cost]], IF(TblUnitCost[[#This Row],[Currency]]=ACU, TblUnitCost[[#This Row],[Cost]]*FX_Rate, "Check Ref Currency"))</f>
        <v>Check Ref Currency</v>
      </c>
      <c r="H159" s="103">
        <f>TblUnitCost[[#This Row],[Cost]]/1600</f>
        <v>0</v>
      </c>
      <c r="I159" s="96"/>
      <c r="J159" s="96"/>
      <c r="K159" s="98"/>
      <c r="L159" s="96"/>
    </row>
    <row r="160" spans="2:12">
      <c r="B160" s="96"/>
      <c r="C160" s="96"/>
      <c r="D160" s="97"/>
      <c r="E160" s="97"/>
      <c r="F160" s="196"/>
      <c r="G160" s="103" t="str">
        <f>IF(TblUnitCost[[#This Row],[Currency]]=LCU, TblUnitCost[[#This Row],[Cost]], IF(TblUnitCost[[#This Row],[Currency]]=ACU, TblUnitCost[[#This Row],[Cost]]*FX_Rate, "Check Ref Currency"))</f>
        <v>Check Ref Currency</v>
      </c>
      <c r="H160" s="103">
        <f>TblUnitCost[[#This Row],[Cost]]/1600</f>
        <v>0</v>
      </c>
      <c r="I160" s="96"/>
      <c r="J160" s="96"/>
      <c r="K160" s="98"/>
      <c r="L160" s="96"/>
    </row>
    <row r="161" spans="2:12">
      <c r="B161" s="96"/>
      <c r="C161" s="96"/>
      <c r="D161" s="97"/>
      <c r="E161" s="97"/>
      <c r="F161" s="196"/>
      <c r="G161" s="103" t="str">
        <f>IF(TblUnitCost[[#This Row],[Currency]]=LCU, TblUnitCost[[#This Row],[Cost]], IF(TblUnitCost[[#This Row],[Currency]]=ACU, TblUnitCost[[#This Row],[Cost]]*FX_Rate, "Check Ref Currency"))</f>
        <v>Check Ref Currency</v>
      </c>
      <c r="H161" s="103">
        <f>TblUnitCost[[#This Row],[Cost]]/1600</f>
        <v>0</v>
      </c>
      <c r="I161" s="96"/>
      <c r="J161" s="96"/>
      <c r="K161" s="98"/>
      <c r="L161" s="96"/>
    </row>
    <row r="162" spans="2:12">
      <c r="B162" s="96"/>
      <c r="C162" s="96"/>
      <c r="D162" s="97"/>
      <c r="E162" s="97"/>
      <c r="F162" s="196"/>
      <c r="G162" s="103" t="str">
        <f>IF(TblUnitCost[[#This Row],[Currency]]=LCU, TblUnitCost[[#This Row],[Cost]], IF(TblUnitCost[[#This Row],[Currency]]=ACU, TblUnitCost[[#This Row],[Cost]]*FX_Rate, "Check Ref Currency"))</f>
        <v>Check Ref Currency</v>
      </c>
      <c r="H162" s="103">
        <f>TblUnitCost[[#This Row],[Cost]]/1600</f>
        <v>0</v>
      </c>
      <c r="I162" s="96"/>
      <c r="J162" s="96"/>
      <c r="K162" s="98"/>
      <c r="L162" s="96"/>
    </row>
    <row r="163" spans="2:12">
      <c r="B163" s="96"/>
      <c r="C163" s="96"/>
      <c r="D163" s="97"/>
      <c r="E163" s="97"/>
      <c r="F163" s="196"/>
      <c r="G163" s="103" t="str">
        <f>IF(TblUnitCost[[#This Row],[Currency]]=LCU, TblUnitCost[[#This Row],[Cost]], IF(TblUnitCost[[#This Row],[Currency]]=ACU, TblUnitCost[[#This Row],[Cost]]*FX_Rate, "Check Ref Currency"))</f>
        <v>Check Ref Currency</v>
      </c>
      <c r="H163" s="103">
        <f>TblUnitCost[[#This Row],[Cost]]/1600</f>
        <v>0</v>
      </c>
      <c r="I163" s="96"/>
      <c r="J163" s="96"/>
      <c r="K163" s="98"/>
      <c r="L163" s="96"/>
    </row>
    <row r="164" spans="2:12">
      <c r="B164" s="96"/>
      <c r="C164" s="96"/>
      <c r="D164" s="97"/>
      <c r="E164" s="97"/>
      <c r="F164" s="196"/>
      <c r="G164" s="103" t="str">
        <f>IF(TblUnitCost[[#This Row],[Currency]]=LCU, TblUnitCost[[#This Row],[Cost]], IF(TblUnitCost[[#This Row],[Currency]]=ACU, TblUnitCost[[#This Row],[Cost]]*FX_Rate, "Check Ref Currency"))</f>
        <v>Check Ref Currency</v>
      </c>
      <c r="H164" s="103">
        <f>TblUnitCost[[#This Row],[Cost]]/1600</f>
        <v>0</v>
      </c>
      <c r="I164" s="96"/>
      <c r="J164" s="96"/>
      <c r="K164" s="98"/>
      <c r="L164" s="96"/>
    </row>
    <row r="165" spans="2:12">
      <c r="B165" s="96"/>
      <c r="C165" s="96"/>
      <c r="D165" s="97"/>
      <c r="E165" s="97"/>
      <c r="F165" s="196"/>
      <c r="G165" s="103" t="str">
        <f>IF(TblUnitCost[[#This Row],[Currency]]=LCU, TblUnitCost[[#This Row],[Cost]], IF(TblUnitCost[[#This Row],[Currency]]=ACU, TblUnitCost[[#This Row],[Cost]]*FX_Rate, "Check Ref Currency"))</f>
        <v>Check Ref Currency</v>
      </c>
      <c r="H165" s="103">
        <f>TblUnitCost[[#This Row],[Cost]]/1600</f>
        <v>0</v>
      </c>
      <c r="I165" s="96"/>
      <c r="J165" s="96"/>
      <c r="K165" s="98"/>
      <c r="L165" s="96"/>
    </row>
    <row r="166" spans="2:12">
      <c r="B166" s="96"/>
      <c r="C166" s="96"/>
      <c r="D166" s="97"/>
      <c r="E166" s="97"/>
      <c r="F166" s="196"/>
      <c r="G166" s="103" t="str">
        <f>IF(TblUnitCost[[#This Row],[Currency]]=LCU, TblUnitCost[[#This Row],[Cost]], IF(TblUnitCost[[#This Row],[Currency]]=ACU, TblUnitCost[[#This Row],[Cost]]*FX_Rate, "Check Ref Currency"))</f>
        <v>Check Ref Currency</v>
      </c>
      <c r="H166" s="103">
        <f>TblUnitCost[[#This Row],[Cost]]/1600</f>
        <v>0</v>
      </c>
      <c r="I166" s="96"/>
      <c r="J166" s="96"/>
      <c r="K166" s="98"/>
      <c r="L166" s="96"/>
    </row>
    <row r="167" spans="2:12">
      <c r="B167" s="96"/>
      <c r="C167" s="96"/>
      <c r="D167" s="97"/>
      <c r="E167" s="97"/>
      <c r="F167" s="196"/>
      <c r="G167" s="103" t="str">
        <f>IF(TblUnitCost[[#This Row],[Currency]]=LCU, TblUnitCost[[#This Row],[Cost]], IF(TblUnitCost[[#This Row],[Currency]]=ACU, TblUnitCost[[#This Row],[Cost]]*FX_Rate, "Check Ref Currency"))</f>
        <v>Check Ref Currency</v>
      </c>
      <c r="H167" s="103">
        <f>TblUnitCost[[#This Row],[Cost]]/1600</f>
        <v>0</v>
      </c>
      <c r="I167" s="96"/>
      <c r="J167" s="96"/>
      <c r="K167" s="98"/>
      <c r="L167" s="96"/>
    </row>
    <row r="168" spans="2:12">
      <c r="B168" s="96"/>
      <c r="C168" s="96"/>
      <c r="D168" s="97"/>
      <c r="E168" s="97"/>
      <c r="F168" s="196"/>
      <c r="G168" s="103" t="str">
        <f>IF(TblUnitCost[[#This Row],[Currency]]=LCU, TblUnitCost[[#This Row],[Cost]], IF(TblUnitCost[[#This Row],[Currency]]=ACU, TblUnitCost[[#This Row],[Cost]]*FX_Rate, "Check Ref Currency"))</f>
        <v>Check Ref Currency</v>
      </c>
      <c r="H168" s="103">
        <f>TblUnitCost[[#This Row],[Cost]]/1600</f>
        <v>0</v>
      </c>
      <c r="I168" s="96"/>
      <c r="J168" s="96"/>
      <c r="K168" s="98"/>
      <c r="L168" s="96"/>
    </row>
    <row r="169" spans="2:12">
      <c r="B169" s="96"/>
      <c r="C169" s="96"/>
      <c r="D169" s="97"/>
      <c r="E169" s="97"/>
      <c r="F169" s="196"/>
      <c r="G169" s="103" t="str">
        <f>IF(TblUnitCost[[#This Row],[Currency]]=LCU, TblUnitCost[[#This Row],[Cost]], IF(TblUnitCost[[#This Row],[Currency]]=ACU, TblUnitCost[[#This Row],[Cost]]*FX_Rate, "Check Ref Currency"))</f>
        <v>Check Ref Currency</v>
      </c>
      <c r="H169" s="103">
        <f>TblUnitCost[[#This Row],[Cost]]/1600</f>
        <v>0</v>
      </c>
      <c r="I169" s="96"/>
      <c r="J169" s="96"/>
      <c r="K169" s="98"/>
      <c r="L169" s="96"/>
    </row>
    <row r="170" spans="2:12">
      <c r="B170" s="96"/>
      <c r="C170" s="96"/>
      <c r="D170" s="97"/>
      <c r="E170" s="97"/>
      <c r="F170" s="196"/>
      <c r="G170" s="103" t="str">
        <f>IF(TblUnitCost[[#This Row],[Currency]]=LCU, TblUnitCost[[#This Row],[Cost]], IF(TblUnitCost[[#This Row],[Currency]]=ACU, TblUnitCost[[#This Row],[Cost]]*FX_Rate, "Check Ref Currency"))</f>
        <v>Check Ref Currency</v>
      </c>
      <c r="H170" s="103">
        <f>TblUnitCost[[#This Row],[Cost]]/1600</f>
        <v>0</v>
      </c>
      <c r="I170" s="96"/>
      <c r="J170" s="96"/>
      <c r="K170" s="98"/>
      <c r="L170" s="96"/>
    </row>
    <row r="171" spans="2:12">
      <c r="B171" s="96"/>
      <c r="C171" s="96"/>
      <c r="D171" s="97"/>
      <c r="E171" s="97"/>
      <c r="F171" s="196"/>
      <c r="G171" s="103" t="str">
        <f>IF(TblUnitCost[[#This Row],[Currency]]=LCU, TblUnitCost[[#This Row],[Cost]], IF(TblUnitCost[[#This Row],[Currency]]=ACU, TblUnitCost[[#This Row],[Cost]]*FX_Rate, "Check Ref Currency"))</f>
        <v>Check Ref Currency</v>
      </c>
      <c r="H171" s="103">
        <f>TblUnitCost[[#This Row],[Cost]]/1600</f>
        <v>0</v>
      </c>
      <c r="I171" s="96"/>
      <c r="J171" s="96"/>
      <c r="K171" s="98"/>
      <c r="L171" s="96"/>
    </row>
    <row r="172" spans="2:12">
      <c r="B172" s="96"/>
      <c r="C172" s="96"/>
      <c r="D172" s="97"/>
      <c r="E172" s="97"/>
      <c r="F172" s="196"/>
      <c r="G172" s="103" t="str">
        <f>IF(TblUnitCost[[#This Row],[Currency]]=LCU, TblUnitCost[[#This Row],[Cost]], IF(TblUnitCost[[#This Row],[Currency]]=ACU, TblUnitCost[[#This Row],[Cost]]*FX_Rate, "Check Ref Currency"))</f>
        <v>Check Ref Currency</v>
      </c>
      <c r="H172" s="103">
        <f>TblUnitCost[[#This Row],[Cost]]/1600</f>
        <v>0</v>
      </c>
      <c r="I172" s="96"/>
      <c r="J172" s="96"/>
      <c r="K172" s="98"/>
      <c r="L172" s="96"/>
    </row>
    <row r="173" spans="2:12">
      <c r="B173" s="96"/>
      <c r="C173" s="96"/>
      <c r="D173" s="97"/>
      <c r="E173" s="97"/>
      <c r="F173" s="196"/>
      <c r="G173" s="103" t="str">
        <f>IF(TblUnitCost[[#This Row],[Currency]]=LCU, TblUnitCost[[#This Row],[Cost]], IF(TblUnitCost[[#This Row],[Currency]]=ACU, TblUnitCost[[#This Row],[Cost]]*FX_Rate, "Check Ref Currency"))</f>
        <v>Check Ref Currency</v>
      </c>
      <c r="H173" s="103">
        <f>TblUnitCost[[#This Row],[Cost]]/1600</f>
        <v>0</v>
      </c>
      <c r="I173" s="96"/>
      <c r="J173" s="96"/>
      <c r="K173" s="98"/>
      <c r="L173" s="96"/>
    </row>
    <row r="174" spans="2:12">
      <c r="B174" s="96"/>
      <c r="C174" s="96"/>
      <c r="D174" s="97"/>
      <c r="E174" s="97"/>
      <c r="F174" s="196"/>
      <c r="G174" s="103" t="str">
        <f>IF(TblUnitCost[[#This Row],[Currency]]=LCU, TblUnitCost[[#This Row],[Cost]], IF(TblUnitCost[[#This Row],[Currency]]=ACU, TblUnitCost[[#This Row],[Cost]]*FX_Rate, "Check Ref Currency"))</f>
        <v>Check Ref Currency</v>
      </c>
      <c r="H174" s="103">
        <f>TblUnitCost[[#This Row],[Cost]]/1600</f>
        <v>0</v>
      </c>
      <c r="I174" s="96"/>
      <c r="J174" s="96"/>
      <c r="K174" s="98"/>
      <c r="L174" s="96"/>
    </row>
    <row r="175" spans="2:12">
      <c r="B175" s="96"/>
      <c r="C175" s="96"/>
      <c r="D175" s="97"/>
      <c r="E175" s="97"/>
      <c r="F175" s="196"/>
      <c r="G175" s="103" t="str">
        <f>IF(TblUnitCost[[#This Row],[Currency]]=LCU, TblUnitCost[[#This Row],[Cost]], IF(TblUnitCost[[#This Row],[Currency]]=ACU, TblUnitCost[[#This Row],[Cost]]*FX_Rate, "Check Ref Currency"))</f>
        <v>Check Ref Currency</v>
      </c>
      <c r="H175" s="103">
        <f>TblUnitCost[[#This Row],[Cost]]/1600</f>
        <v>0</v>
      </c>
      <c r="I175" s="96"/>
      <c r="J175" s="96"/>
      <c r="K175" s="98"/>
      <c r="L175" s="96"/>
    </row>
    <row r="176" spans="2:12">
      <c r="B176" s="96"/>
      <c r="C176" s="96"/>
      <c r="D176" s="97"/>
      <c r="E176" s="97"/>
      <c r="F176" s="196"/>
      <c r="G176" s="103" t="str">
        <f>IF(TblUnitCost[[#This Row],[Currency]]=LCU, TblUnitCost[[#This Row],[Cost]], IF(TblUnitCost[[#This Row],[Currency]]=ACU, TblUnitCost[[#This Row],[Cost]]*FX_Rate, "Check Ref Currency"))</f>
        <v>Check Ref Currency</v>
      </c>
      <c r="H176" s="103">
        <f>TblUnitCost[[#This Row],[Cost]]/1600</f>
        <v>0</v>
      </c>
      <c r="I176" s="96"/>
      <c r="J176" s="96"/>
      <c r="K176" s="98"/>
      <c r="L176" s="96"/>
    </row>
    <row r="177" spans="2:12">
      <c r="B177" s="96"/>
      <c r="C177" s="96"/>
      <c r="D177" s="97"/>
      <c r="E177" s="97"/>
      <c r="F177" s="196"/>
      <c r="G177" s="103" t="str">
        <f>IF(TblUnitCost[[#This Row],[Currency]]=LCU, TblUnitCost[[#This Row],[Cost]], IF(TblUnitCost[[#This Row],[Currency]]=ACU, TblUnitCost[[#This Row],[Cost]]*FX_Rate, "Check Ref Currency"))</f>
        <v>Check Ref Currency</v>
      </c>
      <c r="H177" s="103">
        <f>TblUnitCost[[#This Row],[Cost]]/1600</f>
        <v>0</v>
      </c>
      <c r="I177" s="96"/>
      <c r="J177" s="96"/>
      <c r="K177" s="98"/>
      <c r="L177" s="96"/>
    </row>
    <row r="178" spans="2:12">
      <c r="B178" s="96"/>
      <c r="C178" s="96"/>
      <c r="D178" s="97"/>
      <c r="E178" s="97"/>
      <c r="F178" s="196"/>
      <c r="G178" s="103" t="str">
        <f>IF(TblUnitCost[[#This Row],[Currency]]=LCU, TblUnitCost[[#This Row],[Cost]], IF(TblUnitCost[[#This Row],[Currency]]=ACU, TblUnitCost[[#This Row],[Cost]]*FX_Rate, "Check Ref Currency"))</f>
        <v>Check Ref Currency</v>
      </c>
      <c r="H178" s="103">
        <f>TblUnitCost[[#This Row],[Cost]]/1600</f>
        <v>0</v>
      </c>
      <c r="I178" s="96"/>
      <c r="J178" s="96"/>
      <c r="K178" s="98"/>
      <c r="L178" s="96"/>
    </row>
    <row r="179" spans="2:12">
      <c r="B179" s="96"/>
      <c r="C179" s="96"/>
      <c r="D179" s="97"/>
      <c r="E179" s="97"/>
      <c r="F179" s="196"/>
      <c r="G179" s="103" t="str">
        <f>IF(TblUnitCost[[#This Row],[Currency]]=LCU, TblUnitCost[[#This Row],[Cost]], IF(TblUnitCost[[#This Row],[Currency]]=ACU, TblUnitCost[[#This Row],[Cost]]*FX_Rate, "Check Ref Currency"))</f>
        <v>Check Ref Currency</v>
      </c>
      <c r="H179" s="103">
        <f>TblUnitCost[[#This Row],[Cost]]/1600</f>
        <v>0</v>
      </c>
      <c r="I179" s="96"/>
      <c r="J179" s="96"/>
      <c r="K179" s="98"/>
      <c r="L179" s="96"/>
    </row>
    <row r="180" spans="2:12">
      <c r="B180" s="96"/>
      <c r="C180" s="96"/>
      <c r="D180" s="97"/>
      <c r="E180" s="97"/>
      <c r="F180" s="196"/>
      <c r="G180" s="103" t="str">
        <f>IF(TblUnitCost[[#This Row],[Currency]]=LCU, TblUnitCost[[#This Row],[Cost]], IF(TblUnitCost[[#This Row],[Currency]]=ACU, TblUnitCost[[#This Row],[Cost]]*FX_Rate, "Check Ref Currency"))</f>
        <v>Check Ref Currency</v>
      </c>
      <c r="H180" s="103">
        <f>TblUnitCost[[#This Row],[Cost]]/1600</f>
        <v>0</v>
      </c>
      <c r="I180" s="96"/>
      <c r="J180" s="96"/>
      <c r="K180" s="98"/>
      <c r="L180" s="96"/>
    </row>
    <row r="181" spans="2:12">
      <c r="B181" s="96"/>
      <c r="C181" s="96"/>
      <c r="D181" s="97"/>
      <c r="E181" s="97"/>
      <c r="F181" s="196"/>
      <c r="G181" s="103" t="str">
        <f>IF(TblUnitCost[[#This Row],[Currency]]=LCU, TblUnitCost[[#This Row],[Cost]], IF(TblUnitCost[[#This Row],[Currency]]=ACU, TblUnitCost[[#This Row],[Cost]]*FX_Rate, "Check Ref Currency"))</f>
        <v>Check Ref Currency</v>
      </c>
      <c r="H181" s="103">
        <f>TblUnitCost[[#This Row],[Cost]]/1600</f>
        <v>0</v>
      </c>
      <c r="I181" s="96"/>
      <c r="J181" s="96"/>
      <c r="K181" s="98"/>
      <c r="L181" s="96"/>
    </row>
    <row r="182" spans="2:12">
      <c r="B182" s="96"/>
      <c r="C182" s="96"/>
      <c r="D182" s="97"/>
      <c r="E182" s="97"/>
      <c r="F182" s="196"/>
      <c r="G182" s="103" t="str">
        <f>IF(TblUnitCost[[#This Row],[Currency]]=LCU, TblUnitCost[[#This Row],[Cost]], IF(TblUnitCost[[#This Row],[Currency]]=ACU, TblUnitCost[[#This Row],[Cost]]*FX_Rate, "Check Ref Currency"))</f>
        <v>Check Ref Currency</v>
      </c>
      <c r="H182" s="103">
        <f>TblUnitCost[[#This Row],[Cost]]/1600</f>
        <v>0</v>
      </c>
      <c r="I182" s="96"/>
      <c r="J182" s="96"/>
      <c r="K182" s="98"/>
      <c r="L182" s="96"/>
    </row>
    <row r="183" spans="2:12">
      <c r="B183" s="96"/>
      <c r="C183" s="96"/>
      <c r="D183" s="97"/>
      <c r="E183" s="97"/>
      <c r="F183" s="196"/>
      <c r="G183" s="103" t="str">
        <f>IF(TblUnitCost[[#This Row],[Currency]]=LCU, TblUnitCost[[#This Row],[Cost]], IF(TblUnitCost[[#This Row],[Currency]]=ACU, TblUnitCost[[#This Row],[Cost]]*FX_Rate, "Check Ref Currency"))</f>
        <v>Check Ref Currency</v>
      </c>
      <c r="H183" s="103">
        <f>TblUnitCost[[#This Row],[Cost]]/1600</f>
        <v>0</v>
      </c>
      <c r="I183" s="96"/>
      <c r="J183" s="96"/>
      <c r="K183" s="98"/>
      <c r="L183" s="96"/>
    </row>
    <row r="184" spans="2:12">
      <c r="B184" s="96"/>
      <c r="C184" s="96"/>
      <c r="D184" s="97"/>
      <c r="E184" s="97"/>
      <c r="F184" s="196"/>
      <c r="G184" s="103" t="str">
        <f>IF(TblUnitCost[[#This Row],[Currency]]=LCU, TblUnitCost[[#This Row],[Cost]], IF(TblUnitCost[[#This Row],[Currency]]=ACU, TblUnitCost[[#This Row],[Cost]]*FX_Rate, "Check Ref Currency"))</f>
        <v>Check Ref Currency</v>
      </c>
      <c r="H184" s="103">
        <f>TblUnitCost[[#This Row],[Cost]]/1600</f>
        <v>0</v>
      </c>
      <c r="I184" s="96"/>
      <c r="J184" s="96"/>
      <c r="K184" s="98"/>
      <c r="L184" s="96"/>
    </row>
    <row r="185" spans="2:12">
      <c r="B185" s="96"/>
      <c r="C185" s="96"/>
      <c r="D185" s="97"/>
      <c r="E185" s="97"/>
      <c r="F185" s="196"/>
      <c r="G185" s="103" t="str">
        <f>IF(TblUnitCost[[#This Row],[Currency]]=LCU, TblUnitCost[[#This Row],[Cost]], IF(TblUnitCost[[#This Row],[Currency]]=ACU, TblUnitCost[[#This Row],[Cost]]*FX_Rate, "Check Ref Currency"))</f>
        <v>Check Ref Currency</v>
      </c>
      <c r="H185" s="103">
        <f>TblUnitCost[[#This Row],[Cost]]/1600</f>
        <v>0</v>
      </c>
      <c r="I185" s="96"/>
      <c r="J185" s="96"/>
      <c r="K185" s="98"/>
      <c r="L185" s="96"/>
    </row>
    <row r="186" spans="2:12">
      <c r="B186" s="96"/>
      <c r="C186" s="96"/>
      <c r="D186" s="97"/>
      <c r="E186" s="97"/>
      <c r="F186" s="196"/>
      <c r="G186" s="103" t="str">
        <f>IF(TblUnitCost[[#This Row],[Currency]]=LCU, TblUnitCost[[#This Row],[Cost]], IF(TblUnitCost[[#This Row],[Currency]]=ACU, TblUnitCost[[#This Row],[Cost]]*FX_Rate, "Check Ref Currency"))</f>
        <v>Check Ref Currency</v>
      </c>
      <c r="H186" s="103">
        <f>TblUnitCost[[#This Row],[Cost]]/1600</f>
        <v>0</v>
      </c>
      <c r="I186" s="96"/>
      <c r="J186" s="96"/>
      <c r="K186" s="98"/>
      <c r="L186" s="96"/>
    </row>
    <row r="187" spans="2:12">
      <c r="B187" s="96"/>
      <c r="C187" s="96"/>
      <c r="D187" s="97"/>
      <c r="E187" s="97"/>
      <c r="F187" s="196"/>
      <c r="G187" s="103" t="str">
        <f>IF(TblUnitCost[[#This Row],[Currency]]=LCU, TblUnitCost[[#This Row],[Cost]], IF(TblUnitCost[[#This Row],[Currency]]=ACU, TblUnitCost[[#This Row],[Cost]]*FX_Rate, "Check Ref Currency"))</f>
        <v>Check Ref Currency</v>
      </c>
      <c r="H187" s="103">
        <f>TblUnitCost[[#This Row],[Cost]]/1600</f>
        <v>0</v>
      </c>
      <c r="I187" s="96"/>
      <c r="J187" s="96"/>
      <c r="K187" s="98"/>
      <c r="L187" s="96"/>
    </row>
    <row r="188" spans="2:12">
      <c r="B188" s="96"/>
      <c r="C188" s="96"/>
      <c r="D188" s="97"/>
      <c r="E188" s="97"/>
      <c r="F188" s="196"/>
      <c r="G188" s="103" t="str">
        <f>IF(TblUnitCost[[#This Row],[Currency]]=LCU, TblUnitCost[[#This Row],[Cost]], IF(TblUnitCost[[#This Row],[Currency]]=ACU, TblUnitCost[[#This Row],[Cost]]*FX_Rate, "Check Ref Currency"))</f>
        <v>Check Ref Currency</v>
      </c>
      <c r="H188" s="103">
        <f>TblUnitCost[[#This Row],[Cost]]/1600</f>
        <v>0</v>
      </c>
      <c r="I188" s="96"/>
      <c r="J188" s="96"/>
      <c r="K188" s="98"/>
      <c r="L188" s="96"/>
    </row>
    <row r="189" spans="2:12">
      <c r="B189" s="96"/>
      <c r="C189" s="96"/>
      <c r="D189" s="97"/>
      <c r="E189" s="97"/>
      <c r="F189" s="196"/>
      <c r="G189" s="103" t="str">
        <f>IF(TblUnitCost[[#This Row],[Currency]]=LCU, TblUnitCost[[#This Row],[Cost]], IF(TblUnitCost[[#This Row],[Currency]]=ACU, TblUnitCost[[#This Row],[Cost]]*FX_Rate, "Check Ref Currency"))</f>
        <v>Check Ref Currency</v>
      </c>
      <c r="H189" s="103">
        <f>TblUnitCost[[#This Row],[Cost]]/1600</f>
        <v>0</v>
      </c>
      <c r="I189" s="96"/>
      <c r="J189" s="96"/>
      <c r="K189" s="98"/>
      <c r="L189" s="96"/>
    </row>
    <row r="190" spans="2:12">
      <c r="B190" s="96"/>
      <c r="C190" s="96"/>
      <c r="D190" s="97"/>
      <c r="E190" s="97"/>
      <c r="F190" s="196"/>
      <c r="G190" s="103" t="str">
        <f>IF(TblUnitCost[[#This Row],[Currency]]=LCU, TblUnitCost[[#This Row],[Cost]], IF(TblUnitCost[[#This Row],[Currency]]=ACU, TblUnitCost[[#This Row],[Cost]]*FX_Rate, "Check Ref Currency"))</f>
        <v>Check Ref Currency</v>
      </c>
      <c r="H190" s="103">
        <f>TblUnitCost[[#This Row],[Cost]]/1600</f>
        <v>0</v>
      </c>
      <c r="I190" s="96"/>
      <c r="J190" s="96"/>
      <c r="K190" s="98"/>
      <c r="L190" s="96"/>
    </row>
    <row r="191" spans="2:12">
      <c r="B191" s="96"/>
      <c r="C191" s="96"/>
      <c r="D191" s="97"/>
      <c r="E191" s="97"/>
      <c r="F191" s="196"/>
      <c r="G191" s="103" t="str">
        <f>IF(TblUnitCost[[#This Row],[Currency]]=LCU, TblUnitCost[[#This Row],[Cost]], IF(TblUnitCost[[#This Row],[Currency]]=ACU, TblUnitCost[[#This Row],[Cost]]*FX_Rate, "Check Ref Currency"))</f>
        <v>Check Ref Currency</v>
      </c>
      <c r="H191" s="103">
        <f>TblUnitCost[[#This Row],[Cost]]/1600</f>
        <v>0</v>
      </c>
      <c r="I191" s="96"/>
      <c r="J191" s="96"/>
      <c r="K191" s="98"/>
      <c r="L191" s="96"/>
    </row>
    <row r="192" spans="2:12">
      <c r="B192" s="96"/>
      <c r="C192" s="96"/>
      <c r="D192" s="97"/>
      <c r="E192" s="97"/>
      <c r="F192" s="196"/>
      <c r="G192" s="103" t="str">
        <f>IF(TblUnitCost[[#This Row],[Currency]]=LCU, TblUnitCost[[#This Row],[Cost]], IF(TblUnitCost[[#This Row],[Currency]]=ACU, TblUnitCost[[#This Row],[Cost]]*FX_Rate, "Check Ref Currency"))</f>
        <v>Check Ref Currency</v>
      </c>
      <c r="H192" s="103">
        <f>TblUnitCost[[#This Row],[Cost]]/1600</f>
        <v>0</v>
      </c>
      <c r="I192" s="96"/>
      <c r="J192" s="96"/>
      <c r="K192" s="98"/>
      <c r="L192" s="96"/>
    </row>
    <row r="193" spans="2:12">
      <c r="B193" s="96"/>
      <c r="C193" s="96"/>
      <c r="D193" s="97"/>
      <c r="E193" s="97"/>
      <c r="F193" s="196"/>
      <c r="G193" s="103" t="str">
        <f>IF(TblUnitCost[[#This Row],[Currency]]=LCU, TblUnitCost[[#This Row],[Cost]], IF(TblUnitCost[[#This Row],[Currency]]=ACU, TblUnitCost[[#This Row],[Cost]]*FX_Rate, "Check Ref Currency"))</f>
        <v>Check Ref Currency</v>
      </c>
      <c r="H193" s="103">
        <f>TblUnitCost[[#This Row],[Cost]]/1600</f>
        <v>0</v>
      </c>
      <c r="I193" s="96"/>
      <c r="J193" s="96"/>
      <c r="K193" s="98"/>
      <c r="L193" s="96"/>
    </row>
    <row r="194" spans="2:12">
      <c r="B194" s="96"/>
      <c r="C194" s="96"/>
      <c r="D194" s="97"/>
      <c r="E194" s="97"/>
      <c r="F194" s="196"/>
      <c r="G194" s="103" t="str">
        <f>IF(TblUnitCost[[#This Row],[Currency]]=LCU, TblUnitCost[[#This Row],[Cost]], IF(TblUnitCost[[#This Row],[Currency]]=ACU, TblUnitCost[[#This Row],[Cost]]*FX_Rate, "Check Ref Currency"))</f>
        <v>Check Ref Currency</v>
      </c>
      <c r="H194" s="103">
        <f>TblUnitCost[[#This Row],[Cost]]/1600</f>
        <v>0</v>
      </c>
      <c r="I194" s="96"/>
      <c r="J194" s="96"/>
      <c r="K194" s="98"/>
      <c r="L194" s="96"/>
    </row>
    <row r="195" spans="2:12">
      <c r="B195" s="96"/>
      <c r="C195" s="96"/>
      <c r="D195" s="97"/>
      <c r="E195" s="97"/>
      <c r="F195" s="196"/>
      <c r="G195" s="103" t="str">
        <f>IF(TblUnitCost[[#This Row],[Currency]]=LCU, TblUnitCost[[#This Row],[Cost]], IF(TblUnitCost[[#This Row],[Currency]]=ACU, TblUnitCost[[#This Row],[Cost]]*FX_Rate, "Check Ref Currency"))</f>
        <v>Check Ref Currency</v>
      </c>
      <c r="H195" s="103">
        <f>TblUnitCost[[#This Row],[Cost]]/1600</f>
        <v>0</v>
      </c>
      <c r="I195" s="96"/>
      <c r="J195" s="96"/>
      <c r="K195" s="98"/>
      <c r="L195" s="96"/>
    </row>
    <row r="196" spans="2:12">
      <c r="B196" s="96"/>
      <c r="C196" s="96"/>
      <c r="D196" s="97"/>
      <c r="E196" s="97"/>
      <c r="F196" s="196"/>
      <c r="G196" s="103" t="str">
        <f>IF(TblUnitCost[[#This Row],[Currency]]=LCU, TblUnitCost[[#This Row],[Cost]], IF(TblUnitCost[[#This Row],[Currency]]=ACU, TblUnitCost[[#This Row],[Cost]]*FX_Rate, "Check Ref Currency"))</f>
        <v>Check Ref Currency</v>
      </c>
      <c r="H196" s="103">
        <f>TblUnitCost[[#This Row],[Cost]]/1600</f>
        <v>0</v>
      </c>
      <c r="I196" s="96"/>
      <c r="J196" s="96"/>
      <c r="K196" s="98"/>
      <c r="L196" s="96"/>
    </row>
    <row r="197" spans="2:12">
      <c r="B197" s="96"/>
      <c r="C197" s="96"/>
      <c r="D197" s="97"/>
      <c r="E197" s="97"/>
      <c r="F197" s="196"/>
      <c r="G197" s="103" t="str">
        <f>IF(TblUnitCost[[#This Row],[Currency]]=LCU, TblUnitCost[[#This Row],[Cost]], IF(TblUnitCost[[#This Row],[Currency]]=ACU, TblUnitCost[[#This Row],[Cost]]*FX_Rate, "Check Ref Currency"))</f>
        <v>Check Ref Currency</v>
      </c>
      <c r="H197" s="103">
        <f>TblUnitCost[[#This Row],[Cost]]/1600</f>
        <v>0</v>
      </c>
      <c r="I197" s="96"/>
      <c r="J197" s="96"/>
      <c r="K197" s="98"/>
      <c r="L197" s="96"/>
    </row>
    <row r="198" spans="2:12">
      <c r="B198" s="96"/>
      <c r="C198" s="96"/>
      <c r="D198" s="97"/>
      <c r="E198" s="97"/>
      <c r="F198" s="196"/>
      <c r="G198" s="103" t="str">
        <f>IF(TblUnitCost[[#This Row],[Currency]]=LCU, TblUnitCost[[#This Row],[Cost]], IF(TblUnitCost[[#This Row],[Currency]]=ACU, TblUnitCost[[#This Row],[Cost]]*FX_Rate, "Check Ref Currency"))</f>
        <v>Check Ref Currency</v>
      </c>
      <c r="H198" s="103">
        <f>TblUnitCost[[#This Row],[Cost]]/1600</f>
        <v>0</v>
      </c>
      <c r="I198" s="96"/>
      <c r="J198" s="96"/>
      <c r="K198" s="98"/>
      <c r="L198" s="96"/>
    </row>
    <row r="199" spans="2:12">
      <c r="B199" s="96"/>
      <c r="C199" s="96"/>
      <c r="D199" s="97"/>
      <c r="E199" s="97"/>
      <c r="F199" s="196"/>
      <c r="G199" s="103" t="str">
        <f>IF(TblUnitCost[[#This Row],[Currency]]=LCU, TblUnitCost[[#This Row],[Cost]], IF(TblUnitCost[[#This Row],[Currency]]=ACU, TblUnitCost[[#This Row],[Cost]]*FX_Rate, "Check Ref Currency"))</f>
        <v>Check Ref Currency</v>
      </c>
      <c r="H199" s="103">
        <f>TblUnitCost[[#This Row],[Cost]]/1600</f>
        <v>0</v>
      </c>
      <c r="I199" s="96"/>
      <c r="J199" s="96"/>
      <c r="K199" s="98"/>
      <c r="L199" s="96"/>
    </row>
    <row r="200" spans="2:12">
      <c r="B200" s="96"/>
      <c r="C200" s="96"/>
      <c r="D200" s="97"/>
      <c r="E200" s="97"/>
      <c r="F200" s="196"/>
      <c r="G200" s="103" t="str">
        <f>IF(TblUnitCost[[#This Row],[Currency]]=LCU, TblUnitCost[[#This Row],[Cost]], IF(TblUnitCost[[#This Row],[Currency]]=ACU, TblUnitCost[[#This Row],[Cost]]*FX_Rate, "Check Ref Currency"))</f>
        <v>Check Ref Currency</v>
      </c>
      <c r="H200" s="103">
        <f>TblUnitCost[[#This Row],[Cost]]/1600</f>
        <v>0</v>
      </c>
      <c r="I200" s="96"/>
      <c r="J200" s="96"/>
      <c r="K200" s="98"/>
      <c r="L200" s="96"/>
    </row>
    <row r="201" spans="2:12">
      <c r="B201" s="96"/>
      <c r="C201" s="96"/>
      <c r="D201" s="97"/>
      <c r="E201" s="97"/>
      <c r="F201" s="196"/>
      <c r="G201" s="103" t="str">
        <f>IF(TblUnitCost[[#This Row],[Currency]]=LCU, TblUnitCost[[#This Row],[Cost]], IF(TblUnitCost[[#This Row],[Currency]]=ACU, TblUnitCost[[#This Row],[Cost]]*FX_Rate, "Check Ref Currency"))</f>
        <v>Check Ref Currency</v>
      </c>
      <c r="H201" s="103">
        <f>TblUnitCost[[#This Row],[Cost]]/1600</f>
        <v>0</v>
      </c>
      <c r="I201" s="96"/>
      <c r="J201" s="96"/>
      <c r="K201" s="98"/>
      <c r="L201" s="96"/>
    </row>
    <row r="202" spans="2:12">
      <c r="B202" s="96"/>
      <c r="C202" s="96"/>
      <c r="D202" s="97"/>
      <c r="E202" s="97"/>
      <c r="F202" s="196"/>
      <c r="G202" s="103" t="str">
        <f>IF(TblUnitCost[[#This Row],[Currency]]=LCU, TblUnitCost[[#This Row],[Cost]], IF(TblUnitCost[[#This Row],[Currency]]=ACU, TblUnitCost[[#This Row],[Cost]]*FX_Rate, "Check Ref Currency"))</f>
        <v>Check Ref Currency</v>
      </c>
      <c r="H202" s="103">
        <f>TblUnitCost[[#This Row],[Cost]]/1600</f>
        <v>0</v>
      </c>
      <c r="I202" s="96"/>
      <c r="J202" s="96"/>
      <c r="K202" s="98"/>
      <c r="L202" s="96"/>
    </row>
    <row r="203" spans="2:12">
      <c r="B203" s="96"/>
      <c r="C203" s="96"/>
      <c r="D203" s="97"/>
      <c r="E203" s="97"/>
      <c r="F203" s="196"/>
      <c r="G203" s="103" t="str">
        <f>IF(TblUnitCost[[#This Row],[Currency]]=LCU, TblUnitCost[[#This Row],[Cost]], IF(TblUnitCost[[#This Row],[Currency]]=ACU, TblUnitCost[[#This Row],[Cost]]*FX_Rate, "Check Ref Currency"))</f>
        <v>Check Ref Currency</v>
      </c>
      <c r="H203" s="103">
        <f>TblUnitCost[[#This Row],[Cost]]/1600</f>
        <v>0</v>
      </c>
      <c r="I203" s="96"/>
      <c r="J203" s="96"/>
      <c r="K203" s="98"/>
      <c r="L203" s="96"/>
    </row>
    <row r="204" spans="2:12">
      <c r="B204" s="96"/>
      <c r="C204" s="96"/>
      <c r="D204" s="97"/>
      <c r="E204" s="97"/>
      <c r="F204" s="196"/>
      <c r="G204" s="103" t="str">
        <f>IF(TblUnitCost[[#This Row],[Currency]]=LCU, TblUnitCost[[#This Row],[Cost]], IF(TblUnitCost[[#This Row],[Currency]]=ACU, TblUnitCost[[#This Row],[Cost]]*FX_Rate, "Check Ref Currency"))</f>
        <v>Check Ref Currency</v>
      </c>
      <c r="H204" s="103">
        <f>TblUnitCost[[#This Row],[Cost]]/1600</f>
        <v>0</v>
      </c>
      <c r="I204" s="96"/>
      <c r="J204" s="96"/>
      <c r="K204" s="98"/>
      <c r="L204" s="96"/>
    </row>
    <row r="205" spans="2:12">
      <c r="B205" s="96"/>
      <c r="C205" s="96"/>
      <c r="D205" s="97"/>
      <c r="E205" s="97"/>
      <c r="F205" s="196"/>
      <c r="G205" s="103" t="str">
        <f>IF(TblUnitCost[[#This Row],[Currency]]=LCU, TblUnitCost[[#This Row],[Cost]], IF(TblUnitCost[[#This Row],[Currency]]=ACU, TblUnitCost[[#This Row],[Cost]]*FX_Rate, "Check Ref Currency"))</f>
        <v>Check Ref Currency</v>
      </c>
      <c r="H205" s="103">
        <f>TblUnitCost[[#This Row],[Cost]]/1600</f>
        <v>0</v>
      </c>
      <c r="I205" s="96"/>
      <c r="J205" s="96"/>
      <c r="K205" s="98"/>
      <c r="L205" s="96"/>
    </row>
    <row r="206" spans="2:12">
      <c r="B206" s="96"/>
      <c r="C206" s="96"/>
      <c r="D206" s="97"/>
      <c r="E206" s="97"/>
      <c r="F206" s="196"/>
      <c r="G206" s="103" t="str">
        <f>IF(TblUnitCost[[#This Row],[Currency]]=LCU, TblUnitCost[[#This Row],[Cost]], IF(TblUnitCost[[#This Row],[Currency]]=ACU, TblUnitCost[[#This Row],[Cost]]*FX_Rate, "Check Ref Currency"))</f>
        <v>Check Ref Currency</v>
      </c>
      <c r="H206" s="103">
        <f>TblUnitCost[[#This Row],[Cost]]/1600</f>
        <v>0</v>
      </c>
      <c r="I206" s="96"/>
      <c r="J206" s="96"/>
      <c r="K206" s="98"/>
      <c r="L206" s="96"/>
    </row>
    <row r="207" spans="2:12">
      <c r="B207" s="96"/>
      <c r="C207" s="96"/>
      <c r="D207" s="97"/>
      <c r="E207" s="97"/>
      <c r="F207" s="196"/>
      <c r="G207" s="103" t="str">
        <f>IF(TblUnitCost[[#This Row],[Currency]]=LCU, TblUnitCost[[#This Row],[Cost]], IF(TblUnitCost[[#This Row],[Currency]]=ACU, TblUnitCost[[#This Row],[Cost]]*FX_Rate, "Check Ref Currency"))</f>
        <v>Check Ref Currency</v>
      </c>
      <c r="H207" s="103">
        <f>TblUnitCost[[#This Row],[Cost]]/1600</f>
        <v>0</v>
      </c>
      <c r="I207" s="96"/>
      <c r="J207" s="96"/>
      <c r="K207" s="98"/>
      <c r="L207" s="96"/>
    </row>
    <row r="208" spans="2:12">
      <c r="B208" s="96"/>
      <c r="C208" s="96"/>
      <c r="D208" s="97"/>
      <c r="E208" s="97"/>
      <c r="F208" s="196"/>
      <c r="G208" s="103" t="str">
        <f>IF(TblUnitCost[[#This Row],[Currency]]=LCU, TblUnitCost[[#This Row],[Cost]], IF(TblUnitCost[[#This Row],[Currency]]=ACU, TblUnitCost[[#This Row],[Cost]]*FX_Rate, "Check Ref Currency"))</f>
        <v>Check Ref Currency</v>
      </c>
      <c r="H208" s="103">
        <f>TblUnitCost[[#This Row],[Cost]]/1600</f>
        <v>0</v>
      </c>
      <c r="I208" s="96"/>
      <c r="J208" s="96"/>
      <c r="K208" s="98"/>
      <c r="L208" s="96"/>
    </row>
    <row r="209" spans="2:12">
      <c r="B209" s="96"/>
      <c r="C209" s="96"/>
      <c r="D209" s="97"/>
      <c r="E209" s="97"/>
      <c r="F209" s="196"/>
      <c r="G209" s="103" t="str">
        <f>IF(TblUnitCost[[#This Row],[Currency]]=LCU, TblUnitCost[[#This Row],[Cost]], IF(TblUnitCost[[#This Row],[Currency]]=ACU, TblUnitCost[[#This Row],[Cost]]*FX_Rate, "Check Ref Currency"))</f>
        <v>Check Ref Currency</v>
      </c>
      <c r="H209" s="103">
        <f>TblUnitCost[[#This Row],[Cost]]/1600</f>
        <v>0</v>
      </c>
      <c r="I209" s="96"/>
      <c r="J209" s="96"/>
      <c r="K209" s="98"/>
      <c r="L209" s="96"/>
    </row>
    <row r="210" spans="2:12">
      <c r="B210" s="96"/>
      <c r="C210" s="96"/>
      <c r="D210" s="97"/>
      <c r="E210" s="97"/>
      <c r="F210" s="196"/>
      <c r="G210" s="103" t="str">
        <f>IF(TblUnitCost[[#This Row],[Currency]]=LCU, TblUnitCost[[#This Row],[Cost]], IF(TblUnitCost[[#This Row],[Currency]]=ACU, TblUnitCost[[#This Row],[Cost]]*FX_Rate, "Check Ref Currency"))</f>
        <v>Check Ref Currency</v>
      </c>
      <c r="H210" s="103">
        <f>TblUnitCost[[#This Row],[Cost]]/1600</f>
        <v>0</v>
      </c>
      <c r="I210" s="96"/>
      <c r="J210" s="96"/>
      <c r="K210" s="98"/>
      <c r="L210" s="96"/>
    </row>
    <row r="211" spans="2:12">
      <c r="B211" s="96"/>
      <c r="C211" s="96"/>
      <c r="D211" s="97"/>
      <c r="E211" s="97"/>
      <c r="F211" s="196"/>
      <c r="G211" s="103" t="str">
        <f>IF(TblUnitCost[[#This Row],[Currency]]=LCU, TblUnitCost[[#This Row],[Cost]], IF(TblUnitCost[[#This Row],[Currency]]=ACU, TblUnitCost[[#This Row],[Cost]]*FX_Rate, "Check Ref Currency"))</f>
        <v>Check Ref Currency</v>
      </c>
      <c r="H211" s="103">
        <f>TblUnitCost[[#This Row],[Cost]]/1600</f>
        <v>0</v>
      </c>
      <c r="I211" s="96"/>
      <c r="J211" s="96"/>
      <c r="K211" s="98"/>
      <c r="L211" s="96"/>
    </row>
    <row r="212" spans="2:12">
      <c r="B212" s="96"/>
      <c r="C212" s="96"/>
      <c r="D212" s="97"/>
      <c r="E212" s="97"/>
      <c r="F212" s="196"/>
      <c r="G212" s="103" t="str">
        <f>IF(TblUnitCost[[#This Row],[Currency]]=LCU, TblUnitCost[[#This Row],[Cost]], IF(TblUnitCost[[#This Row],[Currency]]=ACU, TblUnitCost[[#This Row],[Cost]]*FX_Rate, "Check Ref Currency"))</f>
        <v>Check Ref Currency</v>
      </c>
      <c r="H212" s="103">
        <f>TblUnitCost[[#This Row],[Cost]]/1600</f>
        <v>0</v>
      </c>
      <c r="I212" s="96"/>
      <c r="J212" s="96"/>
      <c r="K212" s="98"/>
      <c r="L212" s="96"/>
    </row>
    <row r="213" spans="2:12">
      <c r="B213" s="96"/>
      <c r="C213" s="96"/>
      <c r="D213" s="97"/>
      <c r="E213" s="97"/>
      <c r="F213" s="196"/>
      <c r="G213" s="103" t="str">
        <f>IF(TblUnitCost[[#This Row],[Currency]]=LCU, TblUnitCost[[#This Row],[Cost]], IF(TblUnitCost[[#This Row],[Currency]]=ACU, TblUnitCost[[#This Row],[Cost]]*FX_Rate, "Check Ref Currency"))</f>
        <v>Check Ref Currency</v>
      </c>
      <c r="H213" s="103">
        <f>TblUnitCost[[#This Row],[Cost]]/1600</f>
        <v>0</v>
      </c>
      <c r="I213" s="96"/>
      <c r="J213" s="96"/>
      <c r="K213" s="98"/>
      <c r="L213" s="96"/>
    </row>
    <row r="214" spans="2:12">
      <c r="B214" s="96"/>
      <c r="C214" s="96"/>
      <c r="D214" s="97"/>
      <c r="E214" s="97"/>
      <c r="F214" s="196"/>
      <c r="G214" s="103" t="str">
        <f>IF(TblUnitCost[[#This Row],[Currency]]=LCU, TblUnitCost[[#This Row],[Cost]], IF(TblUnitCost[[#This Row],[Currency]]=ACU, TblUnitCost[[#This Row],[Cost]]*FX_Rate, "Check Ref Currency"))</f>
        <v>Check Ref Currency</v>
      </c>
      <c r="H214" s="103">
        <f>TblUnitCost[[#This Row],[Cost]]/1600</f>
        <v>0</v>
      </c>
      <c r="I214" s="96"/>
      <c r="J214" s="96"/>
      <c r="K214" s="98"/>
      <c r="L214" s="96"/>
    </row>
    <row r="215" spans="2:12">
      <c r="B215" s="96"/>
      <c r="C215" s="96"/>
      <c r="D215" s="97"/>
      <c r="E215" s="97"/>
      <c r="F215" s="196"/>
      <c r="G215" s="103" t="str">
        <f>IF(TblUnitCost[[#This Row],[Currency]]=LCU, TblUnitCost[[#This Row],[Cost]], IF(TblUnitCost[[#This Row],[Currency]]=ACU, TblUnitCost[[#This Row],[Cost]]*FX_Rate, "Check Ref Currency"))</f>
        <v>Check Ref Currency</v>
      </c>
      <c r="H215" s="103">
        <f>TblUnitCost[[#This Row],[Cost]]/1600</f>
        <v>0</v>
      </c>
      <c r="I215" s="96"/>
      <c r="J215" s="96"/>
      <c r="K215" s="98"/>
      <c r="L215" s="96"/>
    </row>
    <row r="216" spans="2:12">
      <c r="B216" s="96"/>
      <c r="C216" s="96"/>
      <c r="D216" s="97"/>
      <c r="E216" s="97"/>
      <c r="F216" s="196"/>
      <c r="G216" s="103" t="str">
        <f>IF(TblUnitCost[[#This Row],[Currency]]=LCU, TblUnitCost[[#This Row],[Cost]], IF(TblUnitCost[[#This Row],[Currency]]=ACU, TblUnitCost[[#This Row],[Cost]]*FX_Rate, "Check Ref Currency"))</f>
        <v>Check Ref Currency</v>
      </c>
      <c r="H216" s="103">
        <f>TblUnitCost[[#This Row],[Cost]]/1600</f>
        <v>0</v>
      </c>
      <c r="I216" s="96"/>
      <c r="J216" s="96"/>
      <c r="K216" s="98"/>
      <c r="L216" s="96"/>
    </row>
    <row r="217" spans="2:12">
      <c r="B217" s="96"/>
      <c r="C217" s="96"/>
      <c r="D217" s="97"/>
      <c r="E217" s="97"/>
      <c r="F217" s="196"/>
      <c r="G217" s="103" t="str">
        <f>IF(TblUnitCost[[#This Row],[Currency]]=LCU, TblUnitCost[[#This Row],[Cost]], IF(TblUnitCost[[#This Row],[Currency]]=ACU, TblUnitCost[[#This Row],[Cost]]*FX_Rate, "Check Ref Currency"))</f>
        <v>Check Ref Currency</v>
      </c>
      <c r="H217" s="103">
        <f>TblUnitCost[[#This Row],[Cost]]/1600</f>
        <v>0</v>
      </c>
      <c r="I217" s="96"/>
      <c r="J217" s="96"/>
      <c r="K217" s="98"/>
      <c r="L217" s="96"/>
    </row>
    <row r="218" spans="2:12">
      <c r="B218" s="96"/>
      <c r="C218" s="96"/>
      <c r="D218" s="97"/>
      <c r="E218" s="97"/>
      <c r="F218" s="196"/>
      <c r="G218" s="103" t="str">
        <f>IF(TblUnitCost[[#This Row],[Currency]]=LCU, TblUnitCost[[#This Row],[Cost]], IF(TblUnitCost[[#This Row],[Currency]]=ACU, TblUnitCost[[#This Row],[Cost]]*FX_Rate, "Check Ref Currency"))</f>
        <v>Check Ref Currency</v>
      </c>
      <c r="H218" s="103">
        <f>TblUnitCost[[#This Row],[Cost]]/1600</f>
        <v>0</v>
      </c>
      <c r="I218" s="96"/>
      <c r="J218" s="96"/>
      <c r="K218" s="98"/>
      <c r="L218" s="96"/>
    </row>
    <row r="219" spans="2:12">
      <c r="B219" s="96"/>
      <c r="C219" s="96"/>
      <c r="D219" s="97"/>
      <c r="E219" s="97"/>
      <c r="F219" s="196"/>
      <c r="G219" s="103" t="str">
        <f>IF(TblUnitCost[[#This Row],[Currency]]=LCU, TblUnitCost[[#This Row],[Cost]], IF(TblUnitCost[[#This Row],[Currency]]=ACU, TblUnitCost[[#This Row],[Cost]]*FX_Rate, "Check Ref Currency"))</f>
        <v>Check Ref Currency</v>
      </c>
      <c r="H219" s="103">
        <f>TblUnitCost[[#This Row],[Cost]]/1600</f>
        <v>0</v>
      </c>
      <c r="I219" s="96"/>
      <c r="J219" s="96"/>
      <c r="K219" s="98"/>
      <c r="L219" s="96"/>
    </row>
    <row r="220" spans="2:12">
      <c r="B220" s="96"/>
      <c r="C220" s="96"/>
      <c r="D220" s="97"/>
      <c r="E220" s="97"/>
      <c r="F220" s="196"/>
      <c r="G220" s="103" t="str">
        <f>IF(TblUnitCost[[#This Row],[Currency]]=LCU, TblUnitCost[[#This Row],[Cost]], IF(TblUnitCost[[#This Row],[Currency]]=ACU, TblUnitCost[[#This Row],[Cost]]*FX_Rate, "Check Ref Currency"))</f>
        <v>Check Ref Currency</v>
      </c>
      <c r="H220" s="103">
        <f>TblUnitCost[[#This Row],[Cost]]/1600</f>
        <v>0</v>
      </c>
      <c r="I220" s="96"/>
      <c r="J220" s="96"/>
      <c r="K220" s="98"/>
      <c r="L220" s="96"/>
    </row>
    <row r="221" spans="2:12">
      <c r="B221" s="96"/>
      <c r="C221" s="96"/>
      <c r="D221" s="97"/>
      <c r="E221" s="97"/>
      <c r="F221" s="196"/>
      <c r="G221" s="103" t="str">
        <f>IF(TblUnitCost[[#This Row],[Currency]]=LCU, TblUnitCost[[#This Row],[Cost]], IF(TblUnitCost[[#This Row],[Currency]]=ACU, TblUnitCost[[#This Row],[Cost]]*FX_Rate, "Check Ref Currency"))</f>
        <v>Check Ref Currency</v>
      </c>
      <c r="H221" s="103">
        <f>TblUnitCost[[#This Row],[Cost]]/1600</f>
        <v>0</v>
      </c>
      <c r="I221" s="96"/>
      <c r="J221" s="96"/>
      <c r="K221" s="98"/>
      <c r="L221" s="96"/>
    </row>
    <row r="222" spans="2:12">
      <c r="B222" s="96"/>
      <c r="C222" s="96"/>
      <c r="D222" s="97"/>
      <c r="E222" s="97"/>
      <c r="F222" s="196"/>
      <c r="G222" s="103" t="str">
        <f>IF(TblUnitCost[[#This Row],[Currency]]=LCU, TblUnitCost[[#This Row],[Cost]], IF(TblUnitCost[[#This Row],[Currency]]=ACU, TblUnitCost[[#This Row],[Cost]]*FX_Rate, "Check Ref Currency"))</f>
        <v>Check Ref Currency</v>
      </c>
      <c r="H222" s="103">
        <f>TblUnitCost[[#This Row],[Cost]]/1600</f>
        <v>0</v>
      </c>
      <c r="I222" s="96"/>
      <c r="J222" s="96"/>
      <c r="K222" s="98"/>
      <c r="L222" s="96"/>
    </row>
    <row r="223" spans="2:12">
      <c r="B223" s="96"/>
      <c r="C223" s="96"/>
      <c r="D223" s="97"/>
      <c r="E223" s="97"/>
      <c r="F223" s="196"/>
      <c r="G223" s="103" t="str">
        <f>IF(TblUnitCost[[#This Row],[Currency]]=LCU, TblUnitCost[[#This Row],[Cost]], IF(TblUnitCost[[#This Row],[Currency]]=ACU, TblUnitCost[[#This Row],[Cost]]*FX_Rate, "Check Ref Currency"))</f>
        <v>Check Ref Currency</v>
      </c>
      <c r="H223" s="103">
        <f>TblUnitCost[[#This Row],[Cost]]/1600</f>
        <v>0</v>
      </c>
      <c r="I223" s="96"/>
      <c r="J223" s="96"/>
      <c r="K223" s="98"/>
      <c r="L223" s="96"/>
    </row>
    <row r="224" spans="2:12">
      <c r="B224" s="96"/>
      <c r="C224" s="96"/>
      <c r="D224" s="97"/>
      <c r="E224" s="97"/>
      <c r="F224" s="196"/>
      <c r="G224" s="103" t="str">
        <f>IF(TblUnitCost[[#This Row],[Currency]]=LCU, TblUnitCost[[#This Row],[Cost]], IF(TblUnitCost[[#This Row],[Currency]]=ACU, TblUnitCost[[#This Row],[Cost]]*FX_Rate, "Check Ref Currency"))</f>
        <v>Check Ref Currency</v>
      </c>
      <c r="H224" s="103">
        <f>TblUnitCost[[#This Row],[Cost]]/1600</f>
        <v>0</v>
      </c>
      <c r="I224" s="96"/>
      <c r="J224" s="96"/>
      <c r="K224" s="98"/>
      <c r="L224" s="96"/>
    </row>
    <row r="225" spans="2:12">
      <c r="B225" s="96"/>
      <c r="C225" s="96"/>
      <c r="D225" s="97"/>
      <c r="E225" s="97"/>
      <c r="F225" s="196"/>
      <c r="G225" s="103" t="str">
        <f>IF(TblUnitCost[[#This Row],[Currency]]=LCU, TblUnitCost[[#This Row],[Cost]], IF(TblUnitCost[[#This Row],[Currency]]=ACU, TblUnitCost[[#This Row],[Cost]]*FX_Rate, "Check Ref Currency"))</f>
        <v>Check Ref Currency</v>
      </c>
      <c r="H225" s="103">
        <f>TblUnitCost[[#This Row],[Cost]]/1600</f>
        <v>0</v>
      </c>
      <c r="I225" s="96"/>
      <c r="J225" s="96"/>
      <c r="K225" s="98"/>
      <c r="L225" s="96"/>
    </row>
    <row r="226" spans="2:12">
      <c r="B226" s="96"/>
      <c r="C226" s="96"/>
      <c r="D226" s="97"/>
      <c r="E226" s="97"/>
      <c r="F226" s="196"/>
      <c r="G226" s="103" t="str">
        <f>IF(TblUnitCost[[#This Row],[Currency]]=LCU, TblUnitCost[[#This Row],[Cost]], IF(TblUnitCost[[#This Row],[Currency]]=ACU, TblUnitCost[[#This Row],[Cost]]*FX_Rate, "Check Ref Currency"))</f>
        <v>Check Ref Currency</v>
      </c>
      <c r="H226" s="103">
        <f>TblUnitCost[[#This Row],[Cost]]/1600</f>
        <v>0</v>
      </c>
      <c r="I226" s="96"/>
      <c r="J226" s="96"/>
      <c r="K226" s="98"/>
      <c r="L226" s="96"/>
    </row>
    <row r="227" spans="2:12">
      <c r="B227" s="96"/>
      <c r="C227" s="96"/>
      <c r="D227" s="97"/>
      <c r="E227" s="97"/>
      <c r="F227" s="196"/>
      <c r="G227" s="103" t="str">
        <f>IF(TblUnitCost[[#This Row],[Currency]]=LCU, TblUnitCost[[#This Row],[Cost]], IF(TblUnitCost[[#This Row],[Currency]]=ACU, TblUnitCost[[#This Row],[Cost]]*FX_Rate, "Check Ref Currency"))</f>
        <v>Check Ref Currency</v>
      </c>
      <c r="H227" s="103">
        <f>TblUnitCost[[#This Row],[Cost]]/1600</f>
        <v>0</v>
      </c>
      <c r="I227" s="96"/>
      <c r="J227" s="96"/>
      <c r="K227" s="98"/>
      <c r="L227" s="96"/>
    </row>
    <row r="228" spans="2:12">
      <c r="B228" s="96"/>
      <c r="C228" s="96"/>
      <c r="D228" s="97"/>
      <c r="E228" s="97"/>
      <c r="F228" s="196"/>
      <c r="G228" s="103" t="str">
        <f>IF(TblUnitCost[[#This Row],[Currency]]=LCU, TblUnitCost[[#This Row],[Cost]], IF(TblUnitCost[[#This Row],[Currency]]=ACU, TblUnitCost[[#This Row],[Cost]]*FX_Rate, "Check Ref Currency"))</f>
        <v>Check Ref Currency</v>
      </c>
      <c r="H228" s="103">
        <f>TblUnitCost[[#This Row],[Cost]]/1600</f>
        <v>0</v>
      </c>
      <c r="I228" s="96"/>
      <c r="J228" s="96"/>
      <c r="K228" s="98"/>
      <c r="L228" s="96"/>
    </row>
    <row r="229" spans="2:12">
      <c r="B229" s="96"/>
      <c r="C229" s="96"/>
      <c r="D229" s="97"/>
      <c r="E229" s="97"/>
      <c r="F229" s="196"/>
      <c r="G229" s="103" t="str">
        <f>IF(TblUnitCost[[#This Row],[Currency]]=LCU, TblUnitCost[[#This Row],[Cost]], IF(TblUnitCost[[#This Row],[Currency]]=ACU, TblUnitCost[[#This Row],[Cost]]*FX_Rate, "Check Ref Currency"))</f>
        <v>Check Ref Currency</v>
      </c>
      <c r="H229" s="103">
        <f>TblUnitCost[[#This Row],[Cost]]/1600</f>
        <v>0</v>
      </c>
      <c r="I229" s="96"/>
      <c r="J229" s="96"/>
      <c r="K229" s="98"/>
      <c r="L229" s="96"/>
    </row>
    <row r="230" spans="2:12">
      <c r="B230" s="96"/>
      <c r="C230" s="96"/>
      <c r="D230" s="97"/>
      <c r="E230" s="97"/>
      <c r="F230" s="196"/>
      <c r="G230" s="103" t="str">
        <f>IF(TblUnitCost[[#This Row],[Currency]]=LCU, TblUnitCost[[#This Row],[Cost]], IF(TblUnitCost[[#This Row],[Currency]]=ACU, TblUnitCost[[#This Row],[Cost]]*FX_Rate, "Check Ref Currency"))</f>
        <v>Check Ref Currency</v>
      </c>
      <c r="H230" s="103">
        <f>TblUnitCost[[#This Row],[Cost]]/1600</f>
        <v>0</v>
      </c>
      <c r="I230" s="96"/>
      <c r="J230" s="96"/>
      <c r="K230" s="98"/>
      <c r="L230" s="96"/>
    </row>
    <row r="231" spans="2:12">
      <c r="B231" s="96"/>
      <c r="C231" s="96"/>
      <c r="D231" s="97"/>
      <c r="E231" s="97"/>
      <c r="F231" s="196"/>
      <c r="G231" s="103" t="str">
        <f>IF(TblUnitCost[[#This Row],[Currency]]=LCU, TblUnitCost[[#This Row],[Cost]], IF(TblUnitCost[[#This Row],[Currency]]=ACU, TblUnitCost[[#This Row],[Cost]]*FX_Rate, "Check Ref Currency"))</f>
        <v>Check Ref Currency</v>
      </c>
      <c r="H231" s="103">
        <f>TblUnitCost[[#This Row],[Cost]]/1600</f>
        <v>0</v>
      </c>
      <c r="I231" s="96"/>
      <c r="J231" s="96"/>
      <c r="K231" s="98"/>
      <c r="L231" s="96"/>
    </row>
    <row r="232" spans="2:12">
      <c r="B232" s="96"/>
      <c r="C232" s="96"/>
      <c r="D232" s="97"/>
      <c r="E232" s="97"/>
      <c r="F232" s="196"/>
      <c r="G232" s="103" t="str">
        <f>IF(TblUnitCost[[#This Row],[Currency]]=LCU, TblUnitCost[[#This Row],[Cost]], IF(TblUnitCost[[#This Row],[Currency]]=ACU, TblUnitCost[[#This Row],[Cost]]*FX_Rate, "Check Ref Currency"))</f>
        <v>Check Ref Currency</v>
      </c>
      <c r="H232" s="103">
        <f>TblUnitCost[[#This Row],[Cost]]/1600</f>
        <v>0</v>
      </c>
      <c r="I232" s="96"/>
      <c r="J232" s="96"/>
      <c r="K232" s="98"/>
      <c r="L232" s="96"/>
    </row>
    <row r="233" spans="2:12">
      <c r="B233" s="96"/>
      <c r="C233" s="96"/>
      <c r="D233" s="97"/>
      <c r="E233" s="97"/>
      <c r="F233" s="196"/>
      <c r="G233" s="103" t="str">
        <f>IF(TblUnitCost[[#This Row],[Currency]]=LCU, TblUnitCost[[#This Row],[Cost]], IF(TblUnitCost[[#This Row],[Currency]]=ACU, TblUnitCost[[#This Row],[Cost]]*FX_Rate, "Check Ref Currency"))</f>
        <v>Check Ref Currency</v>
      </c>
      <c r="H233" s="103">
        <f>TblUnitCost[[#This Row],[Cost]]/1600</f>
        <v>0</v>
      </c>
      <c r="I233" s="96"/>
      <c r="J233" s="96"/>
      <c r="K233" s="98"/>
      <c r="L233" s="96"/>
    </row>
    <row r="234" spans="2:12">
      <c r="B234" s="96"/>
      <c r="C234" s="96"/>
      <c r="D234" s="97"/>
      <c r="E234" s="97"/>
      <c r="F234" s="196"/>
      <c r="G234" s="103" t="str">
        <f>IF(TblUnitCost[[#This Row],[Currency]]=LCU, TblUnitCost[[#This Row],[Cost]], IF(TblUnitCost[[#This Row],[Currency]]=ACU, TblUnitCost[[#This Row],[Cost]]*FX_Rate, "Check Ref Currency"))</f>
        <v>Check Ref Currency</v>
      </c>
      <c r="H234" s="103">
        <f>TblUnitCost[[#This Row],[Cost]]/1600</f>
        <v>0</v>
      </c>
      <c r="I234" s="96"/>
      <c r="J234" s="96"/>
      <c r="K234" s="98"/>
      <c r="L234" s="96"/>
    </row>
    <row r="235" spans="2:12">
      <c r="B235" s="96"/>
      <c r="C235" s="96"/>
      <c r="D235" s="97"/>
      <c r="E235" s="97"/>
      <c r="F235" s="196"/>
      <c r="G235" s="103" t="str">
        <f>IF(TblUnitCost[[#This Row],[Currency]]=LCU, TblUnitCost[[#This Row],[Cost]], IF(TblUnitCost[[#This Row],[Currency]]=ACU, TblUnitCost[[#This Row],[Cost]]*FX_Rate, "Check Ref Currency"))</f>
        <v>Check Ref Currency</v>
      </c>
      <c r="H235" s="103">
        <f>TblUnitCost[[#This Row],[Cost]]/1600</f>
        <v>0</v>
      </c>
      <c r="I235" s="96"/>
      <c r="J235" s="96"/>
      <c r="K235" s="98"/>
      <c r="L235" s="96"/>
    </row>
    <row r="236" spans="2:12">
      <c r="B236" s="96"/>
      <c r="C236" s="96"/>
      <c r="D236" s="97"/>
      <c r="E236" s="97"/>
      <c r="F236" s="196"/>
      <c r="G236" s="103" t="str">
        <f>IF(TblUnitCost[[#This Row],[Currency]]=LCU, TblUnitCost[[#This Row],[Cost]], IF(TblUnitCost[[#This Row],[Currency]]=ACU, TblUnitCost[[#This Row],[Cost]]*FX_Rate, "Check Ref Currency"))</f>
        <v>Check Ref Currency</v>
      </c>
      <c r="H236" s="103">
        <f>TblUnitCost[[#This Row],[Cost]]/1600</f>
        <v>0</v>
      </c>
      <c r="I236" s="96"/>
      <c r="J236" s="96"/>
      <c r="K236" s="98"/>
      <c r="L236" s="96"/>
    </row>
    <row r="237" spans="2:12">
      <c r="B237" s="96"/>
      <c r="C237" s="96"/>
      <c r="D237" s="97"/>
      <c r="E237" s="97"/>
      <c r="F237" s="196"/>
      <c r="G237" s="103" t="str">
        <f>IF(TblUnitCost[[#This Row],[Currency]]=LCU, TblUnitCost[[#This Row],[Cost]], IF(TblUnitCost[[#This Row],[Currency]]=ACU, TblUnitCost[[#This Row],[Cost]]*FX_Rate, "Check Ref Currency"))</f>
        <v>Check Ref Currency</v>
      </c>
      <c r="H237" s="103">
        <f>TblUnitCost[[#This Row],[Cost]]/1600</f>
        <v>0</v>
      </c>
      <c r="I237" s="96"/>
      <c r="J237" s="96"/>
      <c r="K237" s="98"/>
      <c r="L237" s="96"/>
    </row>
    <row r="238" spans="2:12">
      <c r="B238" s="96"/>
      <c r="C238" s="96"/>
      <c r="D238" s="97"/>
      <c r="E238" s="97"/>
      <c r="F238" s="196"/>
      <c r="G238" s="103" t="str">
        <f>IF(TblUnitCost[[#This Row],[Currency]]=LCU, TblUnitCost[[#This Row],[Cost]], IF(TblUnitCost[[#This Row],[Currency]]=ACU, TblUnitCost[[#This Row],[Cost]]*FX_Rate, "Check Ref Currency"))</f>
        <v>Check Ref Currency</v>
      </c>
      <c r="H238" s="103">
        <f>TblUnitCost[[#This Row],[Cost]]/1600</f>
        <v>0</v>
      </c>
      <c r="I238" s="96"/>
      <c r="J238" s="96"/>
      <c r="K238" s="98"/>
      <c r="L238" s="96"/>
    </row>
    <row r="239" spans="2:12">
      <c r="B239" s="96"/>
      <c r="C239" s="96"/>
      <c r="D239" s="97"/>
      <c r="E239" s="97"/>
      <c r="F239" s="196"/>
      <c r="G239" s="103" t="str">
        <f>IF(TblUnitCost[[#This Row],[Currency]]=LCU, TblUnitCost[[#This Row],[Cost]], IF(TblUnitCost[[#This Row],[Currency]]=ACU, TblUnitCost[[#This Row],[Cost]]*FX_Rate, "Check Ref Currency"))</f>
        <v>Check Ref Currency</v>
      </c>
      <c r="H239" s="103">
        <f>TblUnitCost[[#This Row],[Cost]]/1600</f>
        <v>0</v>
      </c>
      <c r="I239" s="96"/>
      <c r="J239" s="96"/>
      <c r="K239" s="98"/>
      <c r="L239" s="96"/>
    </row>
    <row r="240" spans="2:12">
      <c r="B240" s="96"/>
      <c r="C240" s="96"/>
      <c r="D240" s="97"/>
      <c r="E240" s="97"/>
      <c r="F240" s="196"/>
      <c r="G240" s="103" t="str">
        <f>IF(TblUnitCost[[#This Row],[Currency]]=LCU, TblUnitCost[[#This Row],[Cost]], IF(TblUnitCost[[#This Row],[Currency]]=ACU, TblUnitCost[[#This Row],[Cost]]*FX_Rate, "Check Ref Currency"))</f>
        <v>Check Ref Currency</v>
      </c>
      <c r="H240" s="103">
        <f>TblUnitCost[[#This Row],[Cost]]/1600</f>
        <v>0</v>
      </c>
      <c r="I240" s="96"/>
      <c r="J240" s="96"/>
      <c r="K240" s="98"/>
      <c r="L240" s="96"/>
    </row>
    <row r="241" spans="2:12">
      <c r="B241" s="96"/>
      <c r="C241" s="96"/>
      <c r="D241" s="97"/>
      <c r="E241" s="97"/>
      <c r="F241" s="196"/>
      <c r="G241" s="103" t="str">
        <f>IF(TblUnitCost[[#This Row],[Currency]]=LCU, TblUnitCost[[#This Row],[Cost]], IF(TblUnitCost[[#This Row],[Currency]]=ACU, TblUnitCost[[#This Row],[Cost]]*FX_Rate, "Check Ref Currency"))</f>
        <v>Check Ref Currency</v>
      </c>
      <c r="H241" s="103">
        <f>TblUnitCost[[#This Row],[Cost]]/1600</f>
        <v>0</v>
      </c>
      <c r="I241" s="96"/>
      <c r="J241" s="96"/>
      <c r="K241" s="98"/>
      <c r="L241" s="96"/>
    </row>
    <row r="242" spans="2:12">
      <c r="B242" s="96"/>
      <c r="C242" s="96"/>
      <c r="D242" s="97"/>
      <c r="E242" s="97"/>
      <c r="F242" s="196"/>
      <c r="G242" s="103" t="str">
        <f>IF(TblUnitCost[[#This Row],[Currency]]=LCU, TblUnitCost[[#This Row],[Cost]], IF(TblUnitCost[[#This Row],[Currency]]=ACU, TblUnitCost[[#This Row],[Cost]]*FX_Rate, "Check Ref Currency"))</f>
        <v>Check Ref Currency</v>
      </c>
      <c r="H242" s="103">
        <f>TblUnitCost[[#This Row],[Cost]]/1600</f>
        <v>0</v>
      </c>
      <c r="I242" s="96"/>
      <c r="J242" s="96"/>
      <c r="K242" s="98"/>
      <c r="L242" s="96"/>
    </row>
    <row r="243" spans="2:12">
      <c r="B243" s="96"/>
      <c r="C243" s="96"/>
      <c r="D243" s="97"/>
      <c r="E243" s="97"/>
      <c r="F243" s="196"/>
      <c r="G243" s="103" t="str">
        <f>IF(TblUnitCost[[#This Row],[Currency]]=LCU, TblUnitCost[[#This Row],[Cost]], IF(TblUnitCost[[#This Row],[Currency]]=ACU, TblUnitCost[[#This Row],[Cost]]*FX_Rate, "Check Ref Currency"))</f>
        <v>Check Ref Currency</v>
      </c>
      <c r="H243" s="103">
        <f>TblUnitCost[[#This Row],[Cost]]/1600</f>
        <v>0</v>
      </c>
      <c r="I243" s="96"/>
      <c r="J243" s="96"/>
      <c r="K243" s="98"/>
      <c r="L243" s="96"/>
    </row>
    <row r="244" spans="2:12">
      <c r="B244" s="96"/>
      <c r="C244" s="96"/>
      <c r="D244" s="97"/>
      <c r="E244" s="97"/>
      <c r="F244" s="196"/>
      <c r="G244" s="103" t="str">
        <f>IF(TblUnitCost[[#This Row],[Currency]]=LCU, TblUnitCost[[#This Row],[Cost]], IF(TblUnitCost[[#This Row],[Currency]]=ACU, TblUnitCost[[#This Row],[Cost]]*FX_Rate, "Check Ref Currency"))</f>
        <v>Check Ref Currency</v>
      </c>
      <c r="H244" s="103">
        <f>TblUnitCost[[#This Row],[Cost]]/1600</f>
        <v>0</v>
      </c>
      <c r="I244" s="96"/>
      <c r="J244" s="96"/>
      <c r="K244" s="98"/>
      <c r="L244" s="96"/>
    </row>
    <row r="245" spans="2:12">
      <c r="B245" s="96"/>
      <c r="C245" s="96"/>
      <c r="D245" s="97"/>
      <c r="E245" s="97"/>
      <c r="F245" s="196"/>
      <c r="G245" s="103" t="str">
        <f>IF(TblUnitCost[[#This Row],[Currency]]=LCU, TblUnitCost[[#This Row],[Cost]], IF(TblUnitCost[[#This Row],[Currency]]=ACU, TblUnitCost[[#This Row],[Cost]]*FX_Rate, "Check Ref Currency"))</f>
        <v>Check Ref Currency</v>
      </c>
      <c r="H245" s="103">
        <f>TblUnitCost[[#This Row],[Cost]]/1600</f>
        <v>0</v>
      </c>
      <c r="I245" s="96"/>
      <c r="J245" s="96"/>
      <c r="K245" s="98"/>
      <c r="L245" s="96"/>
    </row>
    <row r="246" spans="2:12">
      <c r="B246" s="96"/>
      <c r="C246" s="96"/>
      <c r="D246" s="97"/>
      <c r="E246" s="97"/>
      <c r="F246" s="196"/>
      <c r="G246" s="103" t="str">
        <f>IF(TblUnitCost[[#This Row],[Currency]]=LCU, TblUnitCost[[#This Row],[Cost]], IF(TblUnitCost[[#This Row],[Currency]]=ACU, TblUnitCost[[#This Row],[Cost]]*FX_Rate, "Check Ref Currency"))</f>
        <v>Check Ref Currency</v>
      </c>
      <c r="H246" s="103">
        <f>TblUnitCost[[#This Row],[Cost]]/1600</f>
        <v>0</v>
      </c>
      <c r="I246" s="96"/>
      <c r="J246" s="96"/>
      <c r="K246" s="98"/>
      <c r="L246" s="96"/>
    </row>
    <row r="247" spans="2:12">
      <c r="B247" s="96"/>
      <c r="C247" s="96"/>
      <c r="D247" s="97"/>
      <c r="E247" s="97"/>
      <c r="F247" s="196"/>
      <c r="G247" s="103" t="str">
        <f>IF(TblUnitCost[[#This Row],[Currency]]=LCU, TblUnitCost[[#This Row],[Cost]], IF(TblUnitCost[[#This Row],[Currency]]=ACU, TblUnitCost[[#This Row],[Cost]]*FX_Rate, "Check Ref Currency"))</f>
        <v>Check Ref Currency</v>
      </c>
      <c r="H247" s="103">
        <f>TblUnitCost[[#This Row],[Cost]]/1600</f>
        <v>0</v>
      </c>
      <c r="I247" s="96"/>
      <c r="J247" s="96"/>
      <c r="K247" s="98"/>
      <c r="L247" s="96"/>
    </row>
    <row r="248" spans="2:12">
      <c r="B248" s="96"/>
      <c r="C248" s="96"/>
      <c r="D248" s="97"/>
      <c r="E248" s="97"/>
      <c r="F248" s="196"/>
      <c r="G248" s="103" t="str">
        <f>IF(TblUnitCost[[#This Row],[Currency]]=LCU, TblUnitCost[[#This Row],[Cost]], IF(TblUnitCost[[#This Row],[Currency]]=ACU, TblUnitCost[[#This Row],[Cost]]*FX_Rate, "Check Ref Currency"))</f>
        <v>Check Ref Currency</v>
      </c>
      <c r="H248" s="103">
        <f>TblUnitCost[[#This Row],[Cost]]/1600</f>
        <v>0</v>
      </c>
      <c r="I248" s="96"/>
      <c r="J248" s="96"/>
      <c r="K248" s="98"/>
      <c r="L248" s="96"/>
    </row>
    <row r="249" spans="2:12">
      <c r="B249" s="96"/>
      <c r="C249" s="96"/>
      <c r="D249" s="97"/>
      <c r="E249" s="97"/>
      <c r="F249" s="196"/>
      <c r="G249" s="103" t="str">
        <f>IF(TblUnitCost[[#This Row],[Currency]]=LCU, TblUnitCost[[#This Row],[Cost]], IF(TblUnitCost[[#This Row],[Currency]]=ACU, TblUnitCost[[#This Row],[Cost]]*FX_Rate, "Check Ref Currency"))</f>
        <v>Check Ref Currency</v>
      </c>
      <c r="H249" s="103">
        <f>TblUnitCost[[#This Row],[Cost]]/1600</f>
        <v>0</v>
      </c>
      <c r="I249" s="96"/>
      <c r="J249" s="96"/>
      <c r="K249" s="98"/>
      <c r="L249" s="96"/>
    </row>
    <row r="250" spans="2:12">
      <c r="B250" s="96"/>
      <c r="C250" s="96"/>
      <c r="D250" s="97"/>
      <c r="E250" s="97"/>
      <c r="F250" s="196"/>
      <c r="G250" s="103" t="str">
        <f>IF(TblUnitCost[[#This Row],[Currency]]=LCU, TblUnitCost[[#This Row],[Cost]], IF(TblUnitCost[[#This Row],[Currency]]=ACU, TblUnitCost[[#This Row],[Cost]]*FX_Rate, "Check Ref Currency"))</f>
        <v>Check Ref Currency</v>
      </c>
      <c r="H250" s="103">
        <f>TblUnitCost[[#This Row],[Cost]]/1600</f>
        <v>0</v>
      </c>
      <c r="I250" s="96"/>
      <c r="J250" s="96"/>
      <c r="K250" s="98"/>
      <c r="L250" s="96"/>
    </row>
    <row r="251" spans="2:12">
      <c r="B251" s="96"/>
      <c r="C251" s="96"/>
      <c r="D251" s="97"/>
      <c r="E251" s="97"/>
      <c r="F251" s="196"/>
      <c r="G251" s="103" t="str">
        <f>IF(TblUnitCost[[#This Row],[Currency]]=LCU, TblUnitCost[[#This Row],[Cost]], IF(TblUnitCost[[#This Row],[Currency]]=ACU, TblUnitCost[[#This Row],[Cost]]*FX_Rate, "Check Ref Currency"))</f>
        <v>Check Ref Currency</v>
      </c>
      <c r="H251" s="103">
        <f>TblUnitCost[[#This Row],[Cost]]/1600</f>
        <v>0</v>
      </c>
      <c r="I251" s="96"/>
      <c r="J251" s="96"/>
      <c r="K251" s="98"/>
      <c r="L251" s="96"/>
    </row>
    <row r="252" spans="2:12">
      <c r="B252" s="96"/>
      <c r="C252" s="96"/>
      <c r="D252" s="97"/>
      <c r="E252" s="97"/>
      <c r="F252" s="196"/>
      <c r="G252" s="103" t="str">
        <f>IF(TblUnitCost[[#This Row],[Currency]]=LCU, TblUnitCost[[#This Row],[Cost]], IF(TblUnitCost[[#This Row],[Currency]]=ACU, TblUnitCost[[#This Row],[Cost]]*FX_Rate, "Check Ref Currency"))</f>
        <v>Check Ref Currency</v>
      </c>
      <c r="H252" s="103">
        <f>TblUnitCost[[#This Row],[Cost]]/1600</f>
        <v>0</v>
      </c>
      <c r="I252" s="96"/>
      <c r="J252" s="96"/>
      <c r="K252" s="98"/>
      <c r="L252" s="96"/>
    </row>
    <row r="253" spans="2:12">
      <c r="B253" s="96"/>
      <c r="C253" s="96"/>
      <c r="D253" s="97"/>
      <c r="E253" s="97"/>
      <c r="F253" s="196"/>
      <c r="G253" s="103" t="str">
        <f>IF(TblUnitCost[[#This Row],[Currency]]=LCU, TblUnitCost[[#This Row],[Cost]], IF(TblUnitCost[[#This Row],[Currency]]=ACU, TblUnitCost[[#This Row],[Cost]]*FX_Rate, "Check Ref Currency"))</f>
        <v>Check Ref Currency</v>
      </c>
      <c r="H253" s="103">
        <f>TblUnitCost[[#This Row],[Cost]]/1600</f>
        <v>0</v>
      </c>
      <c r="I253" s="96"/>
      <c r="J253" s="96"/>
      <c r="K253" s="98"/>
      <c r="L253" s="96"/>
    </row>
    <row r="254" spans="2:12">
      <c r="B254" s="96"/>
      <c r="C254" s="96"/>
      <c r="D254" s="97"/>
      <c r="E254" s="97"/>
      <c r="F254" s="196"/>
      <c r="G254" s="103" t="str">
        <f>IF(TblUnitCost[[#This Row],[Currency]]=LCU, TblUnitCost[[#This Row],[Cost]], IF(TblUnitCost[[#This Row],[Currency]]=ACU, TblUnitCost[[#This Row],[Cost]]*FX_Rate, "Check Ref Currency"))</f>
        <v>Check Ref Currency</v>
      </c>
      <c r="H254" s="103">
        <f>TblUnitCost[[#This Row],[Cost]]/1600</f>
        <v>0</v>
      </c>
      <c r="I254" s="96"/>
      <c r="J254" s="96"/>
      <c r="K254" s="98"/>
      <c r="L254" s="96"/>
    </row>
    <row r="255" spans="2:12">
      <c r="B255" s="96"/>
      <c r="C255" s="96"/>
      <c r="D255" s="97"/>
      <c r="E255" s="97"/>
      <c r="F255" s="196"/>
      <c r="G255" s="103" t="str">
        <f>IF(TblUnitCost[[#This Row],[Currency]]=LCU, TblUnitCost[[#This Row],[Cost]], IF(TblUnitCost[[#This Row],[Currency]]=ACU, TblUnitCost[[#This Row],[Cost]]*FX_Rate, "Check Ref Currency"))</f>
        <v>Check Ref Currency</v>
      </c>
      <c r="H255" s="103">
        <f>TblUnitCost[[#This Row],[Cost]]/1600</f>
        <v>0</v>
      </c>
      <c r="I255" s="96"/>
      <c r="J255" s="96"/>
      <c r="K255" s="98"/>
      <c r="L255" s="96"/>
    </row>
    <row r="256" spans="2:12">
      <c r="B256" s="96"/>
      <c r="C256" s="96"/>
      <c r="D256" s="97"/>
      <c r="E256" s="97"/>
      <c r="F256" s="196"/>
      <c r="G256" s="103" t="str">
        <f>IF(TblUnitCost[[#This Row],[Currency]]=LCU, TblUnitCost[[#This Row],[Cost]], IF(TblUnitCost[[#This Row],[Currency]]=ACU, TblUnitCost[[#This Row],[Cost]]*FX_Rate, "Check Ref Currency"))</f>
        <v>Check Ref Currency</v>
      </c>
      <c r="H256" s="103">
        <f>TblUnitCost[[#This Row],[Cost]]/1600</f>
        <v>0</v>
      </c>
      <c r="I256" s="96"/>
      <c r="J256" s="96"/>
      <c r="K256" s="98"/>
      <c r="L256" s="96"/>
    </row>
    <row r="257" spans="2:12">
      <c r="B257" s="96"/>
      <c r="C257" s="96"/>
      <c r="D257" s="97"/>
      <c r="E257" s="97"/>
      <c r="F257" s="196"/>
      <c r="G257" s="103" t="str">
        <f>IF(TblUnitCost[[#This Row],[Currency]]=LCU, TblUnitCost[[#This Row],[Cost]], IF(TblUnitCost[[#This Row],[Currency]]=ACU, TblUnitCost[[#This Row],[Cost]]*FX_Rate, "Check Ref Currency"))</f>
        <v>Check Ref Currency</v>
      </c>
      <c r="H257" s="103">
        <f>TblUnitCost[[#This Row],[Cost]]/1600</f>
        <v>0</v>
      </c>
      <c r="I257" s="96"/>
      <c r="J257" s="96"/>
      <c r="K257" s="98"/>
      <c r="L257" s="96"/>
    </row>
    <row r="258" spans="2:12">
      <c r="B258" s="96"/>
      <c r="C258" s="96"/>
      <c r="D258" s="97"/>
      <c r="E258" s="97"/>
      <c r="F258" s="196"/>
      <c r="G258" s="103" t="str">
        <f>IF(TblUnitCost[[#This Row],[Currency]]=LCU, TblUnitCost[[#This Row],[Cost]], IF(TblUnitCost[[#This Row],[Currency]]=ACU, TblUnitCost[[#This Row],[Cost]]*FX_Rate, "Check Ref Currency"))</f>
        <v>Check Ref Currency</v>
      </c>
      <c r="H258" s="103">
        <f>TblUnitCost[[#This Row],[Cost]]/1600</f>
        <v>0</v>
      </c>
      <c r="I258" s="96"/>
      <c r="J258" s="96"/>
      <c r="K258" s="98"/>
      <c r="L258" s="96"/>
    </row>
    <row r="259" spans="2:12">
      <c r="B259" s="96"/>
      <c r="C259" s="96"/>
      <c r="D259" s="97"/>
      <c r="E259" s="97"/>
      <c r="F259" s="196"/>
      <c r="G259" s="103" t="str">
        <f>IF(TblUnitCost[[#This Row],[Currency]]=LCU, TblUnitCost[[#This Row],[Cost]], IF(TblUnitCost[[#This Row],[Currency]]=ACU, TblUnitCost[[#This Row],[Cost]]*FX_Rate, "Check Ref Currency"))</f>
        <v>Check Ref Currency</v>
      </c>
      <c r="H259" s="103">
        <f>TblUnitCost[[#This Row],[Cost]]/1600</f>
        <v>0</v>
      </c>
      <c r="I259" s="96"/>
      <c r="J259" s="96"/>
      <c r="K259" s="98"/>
      <c r="L259" s="96"/>
    </row>
    <row r="260" spans="2:12">
      <c r="B260" s="96"/>
      <c r="C260" s="96"/>
      <c r="D260" s="97"/>
      <c r="E260" s="97"/>
      <c r="F260" s="196"/>
      <c r="G260" s="103" t="str">
        <f>IF(TblUnitCost[[#This Row],[Currency]]=LCU, TblUnitCost[[#This Row],[Cost]], IF(TblUnitCost[[#This Row],[Currency]]=ACU, TblUnitCost[[#This Row],[Cost]]*FX_Rate, "Check Ref Currency"))</f>
        <v>Check Ref Currency</v>
      </c>
      <c r="H260" s="103">
        <f>TblUnitCost[[#This Row],[Cost]]/1600</f>
        <v>0</v>
      </c>
      <c r="I260" s="96"/>
      <c r="J260" s="96"/>
      <c r="K260" s="98"/>
      <c r="L260" s="96"/>
    </row>
    <row r="261" spans="2:12">
      <c r="B261" s="96"/>
      <c r="C261" s="96"/>
      <c r="D261" s="97"/>
      <c r="E261" s="97"/>
      <c r="F261" s="196"/>
      <c r="G261" s="103" t="str">
        <f>IF(TblUnitCost[[#This Row],[Currency]]=LCU, TblUnitCost[[#This Row],[Cost]], IF(TblUnitCost[[#This Row],[Currency]]=ACU, TblUnitCost[[#This Row],[Cost]]*FX_Rate, "Check Ref Currency"))</f>
        <v>Check Ref Currency</v>
      </c>
      <c r="H261" s="103">
        <f>TblUnitCost[[#This Row],[Cost]]/1600</f>
        <v>0</v>
      </c>
      <c r="I261" s="96"/>
      <c r="J261" s="96"/>
      <c r="K261" s="98"/>
      <c r="L261" s="96"/>
    </row>
    <row r="262" spans="2:12">
      <c r="B262" s="96"/>
      <c r="C262" s="96"/>
      <c r="D262" s="97"/>
      <c r="E262" s="97"/>
      <c r="F262" s="196"/>
      <c r="G262" s="103" t="str">
        <f>IF(TblUnitCost[[#This Row],[Currency]]=LCU, TblUnitCost[[#This Row],[Cost]], IF(TblUnitCost[[#This Row],[Currency]]=ACU, TblUnitCost[[#This Row],[Cost]]*FX_Rate, "Check Ref Currency"))</f>
        <v>Check Ref Currency</v>
      </c>
      <c r="H262" s="103">
        <f>TblUnitCost[[#This Row],[Cost]]/1600</f>
        <v>0</v>
      </c>
      <c r="I262" s="96"/>
      <c r="J262" s="96"/>
      <c r="K262" s="98"/>
      <c r="L262" s="96"/>
    </row>
    <row r="263" spans="2:12">
      <c r="B263" s="96"/>
      <c r="C263" s="96"/>
      <c r="D263" s="97"/>
      <c r="E263" s="97"/>
      <c r="F263" s="196"/>
      <c r="G263" s="103" t="str">
        <f>IF(TblUnitCost[[#This Row],[Currency]]=LCU, TblUnitCost[[#This Row],[Cost]], IF(TblUnitCost[[#This Row],[Currency]]=ACU, TblUnitCost[[#This Row],[Cost]]*FX_Rate, "Check Ref Currency"))</f>
        <v>Check Ref Currency</v>
      </c>
      <c r="H263" s="103">
        <f>TblUnitCost[[#This Row],[Cost]]/1600</f>
        <v>0</v>
      </c>
      <c r="I263" s="96"/>
      <c r="J263" s="96"/>
      <c r="K263" s="98"/>
      <c r="L263" s="96"/>
    </row>
    <row r="264" spans="2:12">
      <c r="B264" s="96"/>
      <c r="C264" s="96"/>
      <c r="D264" s="97"/>
      <c r="E264" s="97"/>
      <c r="F264" s="196"/>
      <c r="G264" s="103" t="str">
        <f>IF(TblUnitCost[[#This Row],[Currency]]=LCU, TblUnitCost[[#This Row],[Cost]], IF(TblUnitCost[[#This Row],[Currency]]=ACU, TblUnitCost[[#This Row],[Cost]]*FX_Rate, "Check Ref Currency"))</f>
        <v>Check Ref Currency</v>
      </c>
      <c r="H264" s="103">
        <f>TblUnitCost[[#This Row],[Cost]]/1600</f>
        <v>0</v>
      </c>
      <c r="I264" s="96"/>
      <c r="J264" s="96"/>
      <c r="K264" s="98"/>
      <c r="L264" s="96"/>
    </row>
    <row r="265" spans="2:12">
      <c r="B265" s="96"/>
      <c r="C265" s="96"/>
      <c r="D265" s="97"/>
      <c r="E265" s="97"/>
      <c r="F265" s="196"/>
      <c r="G265" s="103" t="str">
        <f>IF(TblUnitCost[[#This Row],[Currency]]=LCU, TblUnitCost[[#This Row],[Cost]], IF(TblUnitCost[[#This Row],[Currency]]=ACU, TblUnitCost[[#This Row],[Cost]]*FX_Rate, "Check Ref Currency"))</f>
        <v>Check Ref Currency</v>
      </c>
      <c r="H265" s="103">
        <f>TblUnitCost[[#This Row],[Cost]]/1600</f>
        <v>0</v>
      </c>
      <c r="I265" s="96"/>
      <c r="J265" s="96"/>
      <c r="K265" s="98"/>
      <c r="L265" s="96"/>
    </row>
    <row r="266" spans="2:12">
      <c r="B266" s="96"/>
      <c r="C266" s="96"/>
      <c r="D266" s="97"/>
      <c r="E266" s="97"/>
      <c r="F266" s="196"/>
      <c r="G266" s="103" t="str">
        <f>IF(TblUnitCost[[#This Row],[Currency]]=LCU, TblUnitCost[[#This Row],[Cost]], IF(TblUnitCost[[#This Row],[Currency]]=ACU, TblUnitCost[[#This Row],[Cost]]*FX_Rate, "Check Ref Currency"))</f>
        <v>Check Ref Currency</v>
      </c>
      <c r="H266" s="103">
        <f>TblUnitCost[[#This Row],[Cost]]/1600</f>
        <v>0</v>
      </c>
      <c r="I266" s="96"/>
      <c r="J266" s="96"/>
      <c r="K266" s="98"/>
      <c r="L266" s="96"/>
    </row>
    <row r="267" spans="2:12">
      <c r="B267" s="96"/>
      <c r="C267" s="96"/>
      <c r="D267" s="97"/>
      <c r="E267" s="97"/>
      <c r="F267" s="196"/>
      <c r="G267" s="103" t="str">
        <f>IF(TblUnitCost[[#This Row],[Currency]]=LCU, TblUnitCost[[#This Row],[Cost]], IF(TblUnitCost[[#This Row],[Currency]]=ACU, TblUnitCost[[#This Row],[Cost]]*FX_Rate, "Check Ref Currency"))</f>
        <v>Check Ref Currency</v>
      </c>
      <c r="H267" s="103">
        <f>TblUnitCost[[#This Row],[Cost]]/1600</f>
        <v>0</v>
      </c>
      <c r="I267" s="96"/>
      <c r="J267" s="96"/>
      <c r="K267" s="98"/>
      <c r="L267" s="96"/>
    </row>
    <row r="268" spans="2:12">
      <c r="B268" s="96"/>
      <c r="C268" s="96"/>
      <c r="D268" s="97"/>
      <c r="E268" s="97"/>
      <c r="F268" s="196"/>
      <c r="G268" s="103" t="str">
        <f>IF(TblUnitCost[[#This Row],[Currency]]=LCU, TblUnitCost[[#This Row],[Cost]], IF(TblUnitCost[[#This Row],[Currency]]=ACU, TblUnitCost[[#This Row],[Cost]]*FX_Rate, "Check Ref Currency"))</f>
        <v>Check Ref Currency</v>
      </c>
      <c r="H268" s="103">
        <f>TblUnitCost[[#This Row],[Cost]]/1600</f>
        <v>0</v>
      </c>
      <c r="I268" s="96"/>
      <c r="J268" s="96"/>
      <c r="K268" s="98"/>
      <c r="L268" s="96"/>
    </row>
    <row r="269" spans="2:12">
      <c r="B269" s="96"/>
      <c r="C269" s="96"/>
      <c r="D269" s="97"/>
      <c r="E269" s="97"/>
      <c r="F269" s="196"/>
      <c r="G269" s="103" t="str">
        <f>IF(TblUnitCost[[#This Row],[Currency]]=LCU, TblUnitCost[[#This Row],[Cost]], IF(TblUnitCost[[#This Row],[Currency]]=ACU, TblUnitCost[[#This Row],[Cost]]*FX_Rate, "Check Ref Currency"))</f>
        <v>Check Ref Currency</v>
      </c>
      <c r="H269" s="103">
        <f>TblUnitCost[[#This Row],[Cost]]/1600</f>
        <v>0</v>
      </c>
      <c r="I269" s="96"/>
      <c r="J269" s="96"/>
      <c r="K269" s="98"/>
      <c r="L269" s="96"/>
    </row>
    <row r="270" spans="2:12">
      <c r="B270" s="96"/>
      <c r="C270" s="96"/>
      <c r="D270" s="97"/>
      <c r="E270" s="97"/>
      <c r="F270" s="196"/>
      <c r="G270" s="103" t="str">
        <f>IF(TblUnitCost[[#This Row],[Currency]]=LCU, TblUnitCost[[#This Row],[Cost]], IF(TblUnitCost[[#This Row],[Currency]]=ACU, TblUnitCost[[#This Row],[Cost]]*FX_Rate, "Check Ref Currency"))</f>
        <v>Check Ref Currency</v>
      </c>
      <c r="H270" s="103">
        <f>TblUnitCost[[#This Row],[Cost]]/1600</f>
        <v>0</v>
      </c>
      <c r="I270" s="96"/>
      <c r="J270" s="96"/>
      <c r="K270" s="98"/>
      <c r="L270" s="96"/>
    </row>
    <row r="271" spans="2:12">
      <c r="B271" s="96"/>
      <c r="C271" s="96"/>
      <c r="D271" s="97"/>
      <c r="E271" s="97"/>
      <c r="F271" s="196"/>
      <c r="G271" s="103" t="str">
        <f>IF(TblUnitCost[[#This Row],[Currency]]=LCU, TblUnitCost[[#This Row],[Cost]], IF(TblUnitCost[[#This Row],[Currency]]=ACU, TblUnitCost[[#This Row],[Cost]]*FX_Rate, "Check Ref Currency"))</f>
        <v>Check Ref Currency</v>
      </c>
      <c r="H271" s="103">
        <f>TblUnitCost[[#This Row],[Cost]]/1600</f>
        <v>0</v>
      </c>
      <c r="I271" s="96"/>
      <c r="J271" s="96"/>
      <c r="K271" s="98"/>
      <c r="L271" s="96"/>
    </row>
    <row r="272" spans="2:12">
      <c r="B272" s="96"/>
      <c r="C272" s="96"/>
      <c r="D272" s="97"/>
      <c r="E272" s="97"/>
      <c r="F272" s="196"/>
      <c r="G272" s="103" t="str">
        <f>IF(TblUnitCost[[#This Row],[Currency]]=LCU, TblUnitCost[[#This Row],[Cost]], IF(TblUnitCost[[#This Row],[Currency]]=ACU, TblUnitCost[[#This Row],[Cost]]*FX_Rate, "Check Ref Currency"))</f>
        <v>Check Ref Currency</v>
      </c>
      <c r="H272" s="103">
        <f>TblUnitCost[[#This Row],[Cost]]/1600</f>
        <v>0</v>
      </c>
      <c r="I272" s="96"/>
      <c r="J272" s="96"/>
      <c r="K272" s="98"/>
      <c r="L272" s="96"/>
    </row>
    <row r="273" spans="2:12">
      <c r="B273" s="96"/>
      <c r="C273" s="96"/>
      <c r="D273" s="97"/>
      <c r="E273" s="97"/>
      <c r="F273" s="196"/>
      <c r="G273" s="103" t="str">
        <f>IF(TblUnitCost[[#This Row],[Currency]]=LCU, TblUnitCost[[#This Row],[Cost]], IF(TblUnitCost[[#This Row],[Currency]]=ACU, TblUnitCost[[#This Row],[Cost]]*FX_Rate, "Check Ref Currency"))</f>
        <v>Check Ref Currency</v>
      </c>
      <c r="H273" s="103">
        <f>TblUnitCost[[#This Row],[Cost]]/1600</f>
        <v>0</v>
      </c>
      <c r="I273" s="96"/>
      <c r="J273" s="96"/>
      <c r="K273" s="98"/>
      <c r="L273" s="96"/>
    </row>
    <row r="274" spans="2:12">
      <c r="B274" s="96"/>
      <c r="C274" s="96"/>
      <c r="D274" s="97"/>
      <c r="E274" s="97"/>
      <c r="F274" s="196"/>
      <c r="G274" s="103" t="str">
        <f>IF(TblUnitCost[[#This Row],[Currency]]=LCU, TblUnitCost[[#This Row],[Cost]], IF(TblUnitCost[[#This Row],[Currency]]=ACU, TblUnitCost[[#This Row],[Cost]]*FX_Rate, "Check Ref Currency"))</f>
        <v>Check Ref Currency</v>
      </c>
      <c r="H274" s="103">
        <f>TblUnitCost[[#This Row],[Cost]]/1600</f>
        <v>0</v>
      </c>
      <c r="I274" s="96"/>
      <c r="J274" s="96"/>
      <c r="K274" s="98"/>
      <c r="L274" s="96"/>
    </row>
    <row r="275" spans="2:12">
      <c r="B275" s="96"/>
      <c r="C275" s="96"/>
      <c r="D275" s="97"/>
      <c r="E275" s="97"/>
      <c r="F275" s="196"/>
      <c r="G275" s="103" t="str">
        <f>IF(TblUnitCost[[#This Row],[Currency]]=LCU, TblUnitCost[[#This Row],[Cost]], IF(TblUnitCost[[#This Row],[Currency]]=ACU, TblUnitCost[[#This Row],[Cost]]*FX_Rate, "Check Ref Currency"))</f>
        <v>Check Ref Currency</v>
      </c>
      <c r="H275" s="103">
        <f>TblUnitCost[[#This Row],[Cost]]/1600</f>
        <v>0</v>
      </c>
      <c r="I275" s="96"/>
      <c r="J275" s="96"/>
      <c r="K275" s="98"/>
      <c r="L275" s="96"/>
    </row>
    <row r="276" spans="2:12">
      <c r="B276" s="96"/>
      <c r="C276" s="96"/>
      <c r="D276" s="97"/>
      <c r="E276" s="97"/>
      <c r="F276" s="196"/>
      <c r="G276" s="103" t="str">
        <f>IF(TblUnitCost[[#This Row],[Currency]]=LCU, TblUnitCost[[#This Row],[Cost]], IF(TblUnitCost[[#This Row],[Currency]]=ACU, TblUnitCost[[#This Row],[Cost]]*FX_Rate, "Check Ref Currency"))</f>
        <v>Check Ref Currency</v>
      </c>
      <c r="H276" s="103">
        <f>TblUnitCost[[#This Row],[Cost]]/1600</f>
        <v>0</v>
      </c>
      <c r="I276" s="96"/>
      <c r="J276" s="96"/>
      <c r="K276" s="98"/>
      <c r="L276" s="96"/>
    </row>
    <row r="277" spans="2:12">
      <c r="B277" s="96"/>
      <c r="C277" s="96"/>
      <c r="D277" s="97"/>
      <c r="E277" s="97"/>
      <c r="F277" s="196"/>
      <c r="G277" s="103" t="str">
        <f>IF(TblUnitCost[[#This Row],[Currency]]=LCU, TblUnitCost[[#This Row],[Cost]], IF(TblUnitCost[[#This Row],[Currency]]=ACU, TblUnitCost[[#This Row],[Cost]]*FX_Rate, "Check Ref Currency"))</f>
        <v>Check Ref Currency</v>
      </c>
      <c r="H277" s="103">
        <f>TblUnitCost[[#This Row],[Cost]]/1600</f>
        <v>0</v>
      </c>
      <c r="I277" s="96"/>
      <c r="J277" s="96"/>
      <c r="K277" s="98"/>
      <c r="L277" s="96"/>
    </row>
    <row r="278" spans="2:12">
      <c r="B278" s="96"/>
      <c r="C278" s="96"/>
      <c r="D278" s="97"/>
      <c r="E278" s="97"/>
      <c r="F278" s="196"/>
      <c r="G278" s="103" t="str">
        <f>IF(TblUnitCost[[#This Row],[Currency]]=LCU, TblUnitCost[[#This Row],[Cost]], IF(TblUnitCost[[#This Row],[Currency]]=ACU, TblUnitCost[[#This Row],[Cost]]*FX_Rate, "Check Ref Currency"))</f>
        <v>Check Ref Currency</v>
      </c>
      <c r="H278" s="103">
        <f>TblUnitCost[[#This Row],[Cost]]/1600</f>
        <v>0</v>
      </c>
      <c r="I278" s="96"/>
      <c r="J278" s="96"/>
      <c r="K278" s="98"/>
      <c r="L278" s="96"/>
    </row>
    <row r="279" spans="2:12">
      <c r="B279" s="96"/>
      <c r="C279" s="96"/>
      <c r="D279" s="97"/>
      <c r="E279" s="97"/>
      <c r="F279" s="196"/>
      <c r="G279" s="103" t="str">
        <f>IF(TblUnitCost[[#This Row],[Currency]]=LCU, TblUnitCost[[#This Row],[Cost]], IF(TblUnitCost[[#This Row],[Currency]]=ACU, TblUnitCost[[#This Row],[Cost]]*FX_Rate, "Check Ref Currency"))</f>
        <v>Check Ref Currency</v>
      </c>
      <c r="H279" s="103">
        <f>TblUnitCost[[#This Row],[Cost]]/1600</f>
        <v>0</v>
      </c>
      <c r="I279" s="96"/>
      <c r="J279" s="96"/>
      <c r="K279" s="98"/>
      <c r="L279" s="96"/>
    </row>
    <row r="280" spans="2:12">
      <c r="B280" s="96"/>
      <c r="C280" s="96"/>
      <c r="D280" s="97"/>
      <c r="E280" s="97"/>
      <c r="F280" s="196"/>
      <c r="G280" s="103" t="str">
        <f>IF(TblUnitCost[[#This Row],[Currency]]=LCU, TblUnitCost[[#This Row],[Cost]], IF(TblUnitCost[[#This Row],[Currency]]=ACU, TblUnitCost[[#This Row],[Cost]]*FX_Rate, "Check Ref Currency"))</f>
        <v>Check Ref Currency</v>
      </c>
      <c r="H280" s="103">
        <f>TblUnitCost[[#This Row],[Cost]]/1600</f>
        <v>0</v>
      </c>
      <c r="I280" s="96"/>
      <c r="J280" s="96"/>
      <c r="K280" s="98"/>
      <c r="L280" s="96"/>
    </row>
    <row r="281" spans="2:12">
      <c r="B281" s="96"/>
      <c r="C281" s="96"/>
      <c r="D281" s="97"/>
      <c r="E281" s="97"/>
      <c r="F281" s="196"/>
      <c r="G281" s="103" t="str">
        <f>IF(TblUnitCost[[#This Row],[Currency]]=LCU, TblUnitCost[[#This Row],[Cost]], IF(TblUnitCost[[#This Row],[Currency]]=ACU, TblUnitCost[[#This Row],[Cost]]*FX_Rate, "Check Ref Currency"))</f>
        <v>Check Ref Currency</v>
      </c>
      <c r="H281" s="103">
        <f>TblUnitCost[[#This Row],[Cost]]/1600</f>
        <v>0</v>
      </c>
      <c r="I281" s="96"/>
      <c r="J281" s="96"/>
      <c r="K281" s="98"/>
      <c r="L281" s="96"/>
    </row>
    <row r="282" spans="2:12">
      <c r="B282" s="96"/>
      <c r="C282" s="96"/>
      <c r="D282" s="97"/>
      <c r="E282" s="97"/>
      <c r="F282" s="196"/>
      <c r="G282" s="103" t="str">
        <f>IF(TblUnitCost[[#This Row],[Currency]]=LCU, TblUnitCost[[#This Row],[Cost]], IF(TblUnitCost[[#This Row],[Currency]]=ACU, TblUnitCost[[#This Row],[Cost]]*FX_Rate, "Check Ref Currency"))</f>
        <v>Check Ref Currency</v>
      </c>
      <c r="H282" s="103">
        <f>TblUnitCost[[#This Row],[Cost]]/1600</f>
        <v>0</v>
      </c>
      <c r="I282" s="96"/>
      <c r="J282" s="96"/>
      <c r="K282" s="98"/>
      <c r="L282" s="96"/>
    </row>
    <row r="283" spans="2:12">
      <c r="B283" s="96"/>
      <c r="C283" s="96"/>
      <c r="D283" s="97"/>
      <c r="E283" s="97"/>
      <c r="F283" s="196"/>
      <c r="G283" s="103" t="str">
        <f>IF(TblUnitCost[[#This Row],[Currency]]=LCU, TblUnitCost[[#This Row],[Cost]], IF(TblUnitCost[[#This Row],[Currency]]=ACU, TblUnitCost[[#This Row],[Cost]]*FX_Rate, "Check Ref Currency"))</f>
        <v>Check Ref Currency</v>
      </c>
      <c r="H283" s="103">
        <f>TblUnitCost[[#This Row],[Cost]]/1600</f>
        <v>0</v>
      </c>
      <c r="I283" s="96"/>
      <c r="J283" s="96"/>
      <c r="K283" s="98"/>
      <c r="L283" s="96"/>
    </row>
    <row r="284" spans="2:12">
      <c r="B284" s="96"/>
      <c r="C284" s="96"/>
      <c r="D284" s="97"/>
      <c r="E284" s="97"/>
      <c r="F284" s="196"/>
      <c r="G284" s="103" t="str">
        <f>IF(TblUnitCost[[#This Row],[Currency]]=LCU, TblUnitCost[[#This Row],[Cost]], IF(TblUnitCost[[#This Row],[Currency]]=ACU, TblUnitCost[[#This Row],[Cost]]*FX_Rate, "Check Ref Currency"))</f>
        <v>Check Ref Currency</v>
      </c>
      <c r="H284" s="103">
        <f>TblUnitCost[[#This Row],[Cost]]/1600</f>
        <v>0</v>
      </c>
      <c r="I284" s="96"/>
      <c r="J284" s="96"/>
      <c r="K284" s="98"/>
      <c r="L284" s="96"/>
    </row>
    <row r="285" spans="2:12">
      <c r="B285" s="96"/>
      <c r="C285" s="96"/>
      <c r="D285" s="97"/>
      <c r="E285" s="97"/>
      <c r="F285" s="196"/>
      <c r="G285" s="103" t="str">
        <f>IF(TblUnitCost[[#This Row],[Currency]]=LCU, TblUnitCost[[#This Row],[Cost]], IF(TblUnitCost[[#This Row],[Currency]]=ACU, TblUnitCost[[#This Row],[Cost]]*FX_Rate, "Check Ref Currency"))</f>
        <v>Check Ref Currency</v>
      </c>
      <c r="H285" s="103">
        <f>TblUnitCost[[#This Row],[Cost]]/1600</f>
        <v>0</v>
      </c>
      <c r="I285" s="96"/>
      <c r="J285" s="96"/>
      <c r="K285" s="98"/>
      <c r="L285" s="96"/>
    </row>
    <row r="286" spans="2:12">
      <c r="B286" s="96"/>
      <c r="C286" s="96"/>
      <c r="D286" s="97"/>
      <c r="E286" s="97"/>
      <c r="F286" s="196"/>
      <c r="G286" s="103" t="str">
        <f>IF(TblUnitCost[[#This Row],[Currency]]=LCU, TblUnitCost[[#This Row],[Cost]], IF(TblUnitCost[[#This Row],[Currency]]=ACU, TblUnitCost[[#This Row],[Cost]]*FX_Rate, "Check Ref Currency"))</f>
        <v>Check Ref Currency</v>
      </c>
      <c r="H286" s="103">
        <f>TblUnitCost[[#This Row],[Cost]]/1600</f>
        <v>0</v>
      </c>
      <c r="I286" s="96"/>
      <c r="J286" s="96"/>
      <c r="K286" s="98"/>
      <c r="L286" s="96"/>
    </row>
    <row r="287" spans="2:12">
      <c r="B287" s="96"/>
      <c r="C287" s="96"/>
      <c r="D287" s="97"/>
      <c r="E287" s="97"/>
      <c r="F287" s="196"/>
      <c r="G287" s="103" t="str">
        <f>IF(TblUnitCost[[#This Row],[Currency]]=LCU, TblUnitCost[[#This Row],[Cost]], IF(TblUnitCost[[#This Row],[Currency]]=ACU, TblUnitCost[[#This Row],[Cost]]*FX_Rate, "Check Ref Currency"))</f>
        <v>Check Ref Currency</v>
      </c>
      <c r="H287" s="103">
        <f>TblUnitCost[[#This Row],[Cost]]/1600</f>
        <v>0</v>
      </c>
      <c r="I287" s="96"/>
      <c r="J287" s="96"/>
      <c r="K287" s="98"/>
      <c r="L287" s="96"/>
    </row>
    <row r="288" spans="2:12">
      <c r="B288" s="96"/>
      <c r="C288" s="96"/>
      <c r="D288" s="97"/>
      <c r="E288" s="97"/>
      <c r="F288" s="196"/>
      <c r="G288" s="103" t="str">
        <f>IF(TblUnitCost[[#This Row],[Currency]]=LCU, TblUnitCost[[#This Row],[Cost]], IF(TblUnitCost[[#This Row],[Currency]]=ACU, TblUnitCost[[#This Row],[Cost]]*FX_Rate, "Check Ref Currency"))</f>
        <v>Check Ref Currency</v>
      </c>
      <c r="H288" s="103">
        <f>TblUnitCost[[#This Row],[Cost]]/1600</f>
        <v>0</v>
      </c>
      <c r="I288" s="96"/>
      <c r="J288" s="96"/>
      <c r="K288" s="98"/>
      <c r="L288" s="96"/>
    </row>
    <row r="289" spans="2:12">
      <c r="B289" s="96"/>
      <c r="C289" s="96"/>
      <c r="D289" s="97"/>
      <c r="E289" s="97"/>
      <c r="F289" s="196"/>
      <c r="G289" s="103" t="str">
        <f>IF(TblUnitCost[[#This Row],[Currency]]=LCU, TblUnitCost[[#This Row],[Cost]], IF(TblUnitCost[[#This Row],[Currency]]=ACU, TblUnitCost[[#This Row],[Cost]]*FX_Rate, "Check Ref Currency"))</f>
        <v>Check Ref Currency</v>
      </c>
      <c r="H289" s="103">
        <f>TblUnitCost[[#This Row],[Cost]]/1600</f>
        <v>0</v>
      </c>
      <c r="I289" s="96"/>
      <c r="J289" s="96"/>
      <c r="K289" s="98"/>
      <c r="L289" s="96"/>
    </row>
    <row r="290" spans="2:12">
      <c r="B290" s="96"/>
      <c r="C290" s="96"/>
      <c r="D290" s="97"/>
      <c r="E290" s="97"/>
      <c r="F290" s="196"/>
      <c r="G290" s="103" t="str">
        <f>IF(TblUnitCost[[#This Row],[Currency]]=LCU, TblUnitCost[[#This Row],[Cost]], IF(TblUnitCost[[#This Row],[Currency]]=ACU, TblUnitCost[[#This Row],[Cost]]*FX_Rate, "Check Ref Currency"))</f>
        <v>Check Ref Currency</v>
      </c>
      <c r="H290" s="103">
        <f>TblUnitCost[[#This Row],[Cost]]/1600</f>
        <v>0</v>
      </c>
      <c r="I290" s="96"/>
      <c r="J290" s="96"/>
      <c r="K290" s="98"/>
      <c r="L290" s="96"/>
    </row>
    <row r="291" spans="2:12">
      <c r="B291" s="96"/>
      <c r="C291" s="96"/>
      <c r="D291" s="97"/>
      <c r="E291" s="97"/>
      <c r="F291" s="196"/>
      <c r="G291" s="103" t="str">
        <f>IF(TblUnitCost[[#This Row],[Currency]]=LCU, TblUnitCost[[#This Row],[Cost]], IF(TblUnitCost[[#This Row],[Currency]]=ACU, TblUnitCost[[#This Row],[Cost]]*FX_Rate, "Check Ref Currency"))</f>
        <v>Check Ref Currency</v>
      </c>
      <c r="H291" s="103">
        <f>TblUnitCost[[#This Row],[Cost]]/1600</f>
        <v>0</v>
      </c>
      <c r="I291" s="96"/>
      <c r="J291" s="96"/>
      <c r="K291" s="98"/>
      <c r="L291" s="96"/>
    </row>
    <row r="292" spans="2:12">
      <c r="B292" s="96"/>
      <c r="C292" s="96"/>
      <c r="D292" s="97"/>
      <c r="E292" s="97"/>
      <c r="F292" s="196"/>
      <c r="G292" s="103" t="str">
        <f>IF(TblUnitCost[[#This Row],[Currency]]=LCU, TblUnitCost[[#This Row],[Cost]], IF(TblUnitCost[[#This Row],[Currency]]=ACU, TblUnitCost[[#This Row],[Cost]]*FX_Rate, "Check Ref Currency"))</f>
        <v>Check Ref Currency</v>
      </c>
      <c r="H292" s="103">
        <f>TblUnitCost[[#This Row],[Cost]]/1600</f>
        <v>0</v>
      </c>
      <c r="I292" s="96"/>
      <c r="J292" s="96"/>
      <c r="K292" s="98"/>
      <c r="L292" s="96"/>
    </row>
    <row r="293" spans="2:12">
      <c r="B293" s="96"/>
      <c r="C293" s="96"/>
      <c r="D293" s="97"/>
      <c r="E293" s="97"/>
      <c r="F293" s="196"/>
      <c r="G293" s="103" t="str">
        <f>IF(TblUnitCost[[#This Row],[Currency]]=LCU, TblUnitCost[[#This Row],[Cost]], IF(TblUnitCost[[#This Row],[Currency]]=ACU, TblUnitCost[[#This Row],[Cost]]*FX_Rate, "Check Ref Currency"))</f>
        <v>Check Ref Currency</v>
      </c>
      <c r="H293" s="103">
        <f>TblUnitCost[[#This Row],[Cost]]/1600</f>
        <v>0</v>
      </c>
      <c r="I293" s="96"/>
      <c r="J293" s="96"/>
      <c r="K293" s="98"/>
      <c r="L293" s="96"/>
    </row>
    <row r="294" spans="2:12">
      <c r="B294" s="96"/>
      <c r="C294" s="96"/>
      <c r="D294" s="97"/>
      <c r="E294" s="97"/>
      <c r="F294" s="196"/>
      <c r="G294" s="103" t="str">
        <f>IF(TblUnitCost[[#This Row],[Currency]]=LCU, TblUnitCost[[#This Row],[Cost]], IF(TblUnitCost[[#This Row],[Currency]]=ACU, TblUnitCost[[#This Row],[Cost]]*FX_Rate, "Check Ref Currency"))</f>
        <v>Check Ref Currency</v>
      </c>
      <c r="H294" s="103">
        <f>TblUnitCost[[#This Row],[Cost]]/1600</f>
        <v>0</v>
      </c>
      <c r="I294" s="96"/>
      <c r="J294" s="96"/>
      <c r="K294" s="98"/>
      <c r="L294" s="96"/>
    </row>
    <row r="295" spans="2:12">
      <c r="B295" s="96"/>
      <c r="C295" s="96"/>
      <c r="D295" s="97"/>
      <c r="E295" s="97"/>
      <c r="F295" s="196"/>
      <c r="G295" s="103" t="str">
        <f>IF(TblUnitCost[[#This Row],[Currency]]=LCU, TblUnitCost[[#This Row],[Cost]], IF(TblUnitCost[[#This Row],[Currency]]=ACU, TblUnitCost[[#This Row],[Cost]]*FX_Rate, "Check Ref Currency"))</f>
        <v>Check Ref Currency</v>
      </c>
      <c r="H295" s="103">
        <f>TblUnitCost[[#This Row],[Cost]]/1600</f>
        <v>0</v>
      </c>
      <c r="I295" s="96"/>
      <c r="J295" s="96"/>
      <c r="K295" s="98"/>
      <c r="L295" s="96"/>
    </row>
    <row r="296" spans="2:12">
      <c r="B296" s="96"/>
      <c r="C296" s="96"/>
      <c r="D296" s="97"/>
      <c r="E296" s="97"/>
      <c r="F296" s="196"/>
      <c r="G296" s="103" t="str">
        <f>IF(TblUnitCost[[#This Row],[Currency]]=LCU, TblUnitCost[[#This Row],[Cost]], IF(TblUnitCost[[#This Row],[Currency]]=ACU, TblUnitCost[[#This Row],[Cost]]*FX_Rate, "Check Ref Currency"))</f>
        <v>Check Ref Currency</v>
      </c>
      <c r="H296" s="103">
        <f>TblUnitCost[[#This Row],[Cost]]/1600</f>
        <v>0</v>
      </c>
      <c r="I296" s="96"/>
      <c r="J296" s="96"/>
      <c r="K296" s="98"/>
      <c r="L296" s="96"/>
    </row>
    <row r="297" spans="2:12">
      <c r="B297" s="96"/>
      <c r="C297" s="96"/>
      <c r="D297" s="97"/>
      <c r="E297" s="97"/>
      <c r="F297" s="196"/>
      <c r="G297" s="103" t="str">
        <f>IF(TblUnitCost[[#This Row],[Currency]]=LCU, TblUnitCost[[#This Row],[Cost]], IF(TblUnitCost[[#This Row],[Currency]]=ACU, TblUnitCost[[#This Row],[Cost]]*FX_Rate, "Check Ref Currency"))</f>
        <v>Check Ref Currency</v>
      </c>
      <c r="H297" s="103">
        <f>TblUnitCost[[#This Row],[Cost]]/1600</f>
        <v>0</v>
      </c>
      <c r="I297" s="96"/>
      <c r="J297" s="96"/>
      <c r="K297" s="98"/>
      <c r="L297" s="96"/>
    </row>
    <row r="298" spans="2:12">
      <c r="B298" s="96"/>
      <c r="C298" s="96"/>
      <c r="D298" s="97"/>
      <c r="E298" s="97"/>
      <c r="F298" s="196"/>
      <c r="G298" s="103" t="str">
        <f>IF(TblUnitCost[[#This Row],[Currency]]=LCU, TblUnitCost[[#This Row],[Cost]], IF(TblUnitCost[[#This Row],[Currency]]=ACU, TblUnitCost[[#This Row],[Cost]]*FX_Rate, "Check Ref Currency"))</f>
        <v>Check Ref Currency</v>
      </c>
      <c r="H298" s="103">
        <f>TblUnitCost[[#This Row],[Cost]]/1600</f>
        <v>0</v>
      </c>
      <c r="I298" s="96"/>
      <c r="J298" s="96"/>
      <c r="K298" s="98"/>
      <c r="L298" s="96"/>
    </row>
    <row r="299" spans="2:12">
      <c r="B299" s="96"/>
      <c r="C299" s="96"/>
      <c r="D299" s="97"/>
      <c r="E299" s="97"/>
      <c r="F299" s="196"/>
      <c r="G299" s="103" t="str">
        <f>IF(TblUnitCost[[#This Row],[Currency]]=LCU, TblUnitCost[[#This Row],[Cost]], IF(TblUnitCost[[#This Row],[Currency]]=ACU, TblUnitCost[[#This Row],[Cost]]*FX_Rate, "Check Ref Currency"))</f>
        <v>Check Ref Currency</v>
      </c>
      <c r="H299" s="103">
        <f>TblUnitCost[[#This Row],[Cost]]/1600</f>
        <v>0</v>
      </c>
      <c r="I299" s="96"/>
      <c r="J299" s="96"/>
      <c r="K299" s="98"/>
      <c r="L299" s="96"/>
    </row>
    <row r="300" spans="2:12">
      <c r="B300" s="96"/>
      <c r="C300" s="96"/>
      <c r="D300" s="97"/>
      <c r="E300" s="97"/>
      <c r="F300" s="196"/>
      <c r="G300" s="103" t="str">
        <f>IF(TblUnitCost[[#This Row],[Currency]]=LCU, TblUnitCost[[#This Row],[Cost]], IF(TblUnitCost[[#This Row],[Currency]]=ACU, TblUnitCost[[#This Row],[Cost]]*FX_Rate, "Check Ref Currency"))</f>
        <v>Check Ref Currency</v>
      </c>
      <c r="H300" s="103">
        <f>TblUnitCost[[#This Row],[Cost]]/1600</f>
        <v>0</v>
      </c>
      <c r="I300" s="96"/>
      <c r="J300" s="96"/>
      <c r="K300" s="98"/>
      <c r="L300" s="96"/>
    </row>
    <row r="301" spans="2:12">
      <c r="B301" s="96"/>
      <c r="C301" s="96"/>
      <c r="D301" s="97"/>
      <c r="E301" s="97"/>
      <c r="F301" s="196"/>
      <c r="G301" s="103" t="str">
        <f>IF(TblUnitCost[[#This Row],[Currency]]=LCU, TblUnitCost[[#This Row],[Cost]], IF(TblUnitCost[[#This Row],[Currency]]=ACU, TblUnitCost[[#This Row],[Cost]]*FX_Rate, "Check Ref Currency"))</f>
        <v>Check Ref Currency</v>
      </c>
      <c r="H301" s="103">
        <f>TblUnitCost[[#This Row],[Cost]]/1600</f>
        <v>0</v>
      </c>
      <c r="I301" s="96"/>
      <c r="J301" s="96"/>
      <c r="K301" s="98"/>
      <c r="L301" s="96"/>
    </row>
    <row r="302" spans="2:12">
      <c r="B302" s="96"/>
      <c r="C302" s="96"/>
      <c r="D302" s="97"/>
      <c r="E302" s="97"/>
      <c r="F302" s="196"/>
      <c r="G302" s="103" t="str">
        <f>IF(TblUnitCost[[#This Row],[Currency]]=LCU, TblUnitCost[[#This Row],[Cost]], IF(TblUnitCost[[#This Row],[Currency]]=ACU, TblUnitCost[[#This Row],[Cost]]*FX_Rate, "Check Ref Currency"))</f>
        <v>Check Ref Currency</v>
      </c>
      <c r="H302" s="103">
        <f>TblUnitCost[[#This Row],[Cost]]/1600</f>
        <v>0</v>
      </c>
      <c r="I302" s="96"/>
      <c r="J302" s="96"/>
      <c r="K302" s="98"/>
      <c r="L302" s="96"/>
    </row>
    <row r="303" spans="2:12">
      <c r="B303" s="96"/>
      <c r="C303" s="96"/>
      <c r="D303" s="97"/>
      <c r="E303" s="97"/>
      <c r="F303" s="196"/>
      <c r="G303" s="103" t="str">
        <f>IF(TblUnitCost[[#This Row],[Currency]]=LCU, TblUnitCost[[#This Row],[Cost]], IF(TblUnitCost[[#This Row],[Currency]]=ACU, TblUnitCost[[#This Row],[Cost]]*FX_Rate, "Check Ref Currency"))</f>
        <v>Check Ref Currency</v>
      </c>
      <c r="H303" s="103">
        <f>TblUnitCost[[#This Row],[Cost]]/1600</f>
        <v>0</v>
      </c>
      <c r="I303" s="96"/>
      <c r="J303" s="96"/>
      <c r="K303" s="98"/>
      <c r="L303" s="96"/>
    </row>
    <row r="304" spans="2:12">
      <c r="B304" s="96"/>
      <c r="C304" s="96"/>
      <c r="D304" s="97"/>
      <c r="E304" s="97"/>
      <c r="F304" s="196"/>
      <c r="G304" s="103" t="str">
        <f>IF(TblUnitCost[[#This Row],[Currency]]=LCU, TblUnitCost[[#This Row],[Cost]], IF(TblUnitCost[[#This Row],[Currency]]=ACU, TblUnitCost[[#This Row],[Cost]]*FX_Rate, "Check Ref Currency"))</f>
        <v>Check Ref Currency</v>
      </c>
      <c r="H304" s="103">
        <f>TblUnitCost[[#This Row],[Cost]]/1600</f>
        <v>0</v>
      </c>
      <c r="I304" s="96"/>
      <c r="J304" s="96"/>
      <c r="K304" s="98"/>
      <c r="L304" s="96"/>
    </row>
    <row r="305" spans="2:12">
      <c r="B305" s="96"/>
      <c r="C305" s="96"/>
      <c r="D305" s="97"/>
      <c r="E305" s="97"/>
      <c r="F305" s="196"/>
      <c r="G305" s="103" t="str">
        <f>IF(TblUnitCost[[#This Row],[Currency]]=LCU, TblUnitCost[[#This Row],[Cost]], IF(TblUnitCost[[#This Row],[Currency]]=ACU, TblUnitCost[[#This Row],[Cost]]*FX_Rate, "Check Ref Currency"))</f>
        <v>Check Ref Currency</v>
      </c>
      <c r="H305" s="103">
        <f>TblUnitCost[[#This Row],[Cost]]/1600</f>
        <v>0</v>
      </c>
      <c r="I305" s="96"/>
      <c r="J305" s="96"/>
      <c r="K305" s="98"/>
      <c r="L305" s="96"/>
    </row>
    <row r="306" spans="2:12">
      <c r="B306" s="96"/>
      <c r="C306" s="96"/>
      <c r="D306" s="97"/>
      <c r="E306" s="97"/>
      <c r="F306" s="196"/>
      <c r="G306" s="103" t="str">
        <f>IF(TblUnitCost[[#This Row],[Currency]]=LCU, TblUnitCost[[#This Row],[Cost]], IF(TblUnitCost[[#This Row],[Currency]]=ACU, TblUnitCost[[#This Row],[Cost]]*FX_Rate, "Check Ref Currency"))</f>
        <v>Check Ref Currency</v>
      </c>
      <c r="H306" s="103">
        <f>TblUnitCost[[#This Row],[Cost]]/1600</f>
        <v>0</v>
      </c>
      <c r="I306" s="96"/>
      <c r="J306" s="96"/>
      <c r="K306" s="98"/>
      <c r="L306" s="96"/>
    </row>
    <row r="307" spans="2:12">
      <c r="B307" s="96"/>
      <c r="C307" s="96"/>
      <c r="D307" s="97"/>
      <c r="E307" s="97"/>
      <c r="F307" s="196"/>
      <c r="G307" s="103" t="str">
        <f>IF(TblUnitCost[[#This Row],[Currency]]=LCU, TblUnitCost[[#This Row],[Cost]], IF(TblUnitCost[[#This Row],[Currency]]=ACU, TblUnitCost[[#This Row],[Cost]]*FX_Rate, "Check Ref Currency"))</f>
        <v>Check Ref Currency</v>
      </c>
      <c r="H307" s="103">
        <f>TblUnitCost[[#This Row],[Cost]]/1600</f>
        <v>0</v>
      </c>
      <c r="I307" s="96"/>
      <c r="J307" s="96"/>
      <c r="K307" s="98"/>
      <c r="L307" s="96"/>
    </row>
    <row r="308" spans="2:12">
      <c r="B308" s="96"/>
      <c r="C308" s="96"/>
      <c r="D308" s="97"/>
      <c r="E308" s="97"/>
      <c r="F308" s="196"/>
      <c r="G308" s="103" t="str">
        <f>IF(TblUnitCost[[#This Row],[Currency]]=LCU, TblUnitCost[[#This Row],[Cost]], IF(TblUnitCost[[#This Row],[Currency]]=ACU, TblUnitCost[[#This Row],[Cost]]*FX_Rate, "Check Ref Currency"))</f>
        <v>Check Ref Currency</v>
      </c>
      <c r="H308" s="103">
        <f>TblUnitCost[[#This Row],[Cost]]/1600</f>
        <v>0</v>
      </c>
      <c r="I308" s="96"/>
      <c r="J308" s="96"/>
      <c r="K308" s="98"/>
      <c r="L308" s="96"/>
    </row>
    <row r="309" spans="2:12">
      <c r="B309" s="96"/>
      <c r="C309" s="96"/>
      <c r="D309" s="97"/>
      <c r="E309" s="97"/>
      <c r="F309" s="196"/>
      <c r="G309" s="103" t="str">
        <f>IF(TblUnitCost[[#This Row],[Currency]]=LCU, TblUnitCost[[#This Row],[Cost]], IF(TblUnitCost[[#This Row],[Currency]]=ACU, TblUnitCost[[#This Row],[Cost]]*FX_Rate, "Check Ref Currency"))</f>
        <v>Check Ref Currency</v>
      </c>
      <c r="H309" s="103">
        <f>TblUnitCost[[#This Row],[Cost]]/1600</f>
        <v>0</v>
      </c>
      <c r="I309" s="96"/>
      <c r="J309" s="96"/>
      <c r="K309" s="98"/>
      <c r="L309" s="96"/>
    </row>
    <row r="310" spans="2:12">
      <c r="B310" s="96"/>
      <c r="C310" s="96"/>
      <c r="D310" s="97"/>
      <c r="E310" s="97"/>
      <c r="F310" s="196"/>
      <c r="G310" s="103" t="str">
        <f>IF(TblUnitCost[[#This Row],[Currency]]=LCU, TblUnitCost[[#This Row],[Cost]], IF(TblUnitCost[[#This Row],[Currency]]=ACU, TblUnitCost[[#This Row],[Cost]]*FX_Rate, "Check Ref Currency"))</f>
        <v>Check Ref Currency</v>
      </c>
      <c r="H310" s="103">
        <f>TblUnitCost[[#This Row],[Cost]]/1600</f>
        <v>0</v>
      </c>
      <c r="I310" s="96"/>
      <c r="J310" s="96"/>
      <c r="K310" s="98"/>
      <c r="L310" s="96"/>
    </row>
    <row r="311" spans="2:12">
      <c r="B311" s="96"/>
      <c r="C311" s="96"/>
      <c r="D311" s="97"/>
      <c r="E311" s="97"/>
      <c r="F311" s="196"/>
      <c r="G311" s="103" t="str">
        <f>IF(TblUnitCost[[#This Row],[Currency]]=LCU, TblUnitCost[[#This Row],[Cost]], IF(TblUnitCost[[#This Row],[Currency]]=ACU, TblUnitCost[[#This Row],[Cost]]*FX_Rate, "Check Ref Currency"))</f>
        <v>Check Ref Currency</v>
      </c>
      <c r="H311" s="103">
        <f>TblUnitCost[[#This Row],[Cost]]/1600</f>
        <v>0</v>
      </c>
      <c r="I311" s="96"/>
      <c r="J311" s="96"/>
      <c r="K311" s="98"/>
      <c r="L311" s="96"/>
    </row>
    <row r="312" spans="2:12">
      <c r="B312" s="96"/>
      <c r="C312" s="96"/>
      <c r="D312" s="97"/>
      <c r="E312" s="97"/>
      <c r="F312" s="196"/>
      <c r="G312" s="103" t="str">
        <f>IF(TblUnitCost[[#This Row],[Currency]]=LCU, TblUnitCost[[#This Row],[Cost]], IF(TblUnitCost[[#This Row],[Currency]]=ACU, TblUnitCost[[#This Row],[Cost]]*FX_Rate, "Check Ref Currency"))</f>
        <v>Check Ref Currency</v>
      </c>
      <c r="H312" s="103">
        <f>TblUnitCost[[#This Row],[Cost]]/1600</f>
        <v>0</v>
      </c>
      <c r="I312" s="96"/>
      <c r="J312" s="96"/>
      <c r="K312" s="98"/>
      <c r="L312" s="96"/>
    </row>
    <row r="313" spans="2:12">
      <c r="B313" s="96"/>
      <c r="C313" s="96"/>
      <c r="D313" s="97"/>
      <c r="E313" s="97"/>
      <c r="F313" s="196"/>
      <c r="G313" s="103" t="str">
        <f>IF(TblUnitCost[[#This Row],[Currency]]=LCU, TblUnitCost[[#This Row],[Cost]], IF(TblUnitCost[[#This Row],[Currency]]=ACU, TblUnitCost[[#This Row],[Cost]]*FX_Rate, "Check Ref Currency"))</f>
        <v>Check Ref Currency</v>
      </c>
      <c r="H313" s="103">
        <f>TblUnitCost[[#This Row],[Cost]]/1600</f>
        <v>0</v>
      </c>
      <c r="I313" s="96"/>
      <c r="J313" s="96"/>
      <c r="K313" s="98"/>
      <c r="L313" s="96"/>
    </row>
    <row r="314" spans="2:12">
      <c r="B314" s="96"/>
      <c r="C314" s="96"/>
      <c r="D314" s="97"/>
      <c r="E314" s="97"/>
      <c r="F314" s="196"/>
      <c r="G314" s="103" t="str">
        <f>IF(TblUnitCost[[#This Row],[Currency]]=LCU, TblUnitCost[[#This Row],[Cost]], IF(TblUnitCost[[#This Row],[Currency]]=ACU, TblUnitCost[[#This Row],[Cost]]*FX_Rate, "Check Ref Currency"))</f>
        <v>Check Ref Currency</v>
      </c>
      <c r="H314" s="103">
        <f>TblUnitCost[[#This Row],[Cost]]/1600</f>
        <v>0</v>
      </c>
      <c r="I314" s="96"/>
      <c r="J314" s="96"/>
      <c r="K314" s="98"/>
      <c r="L314" s="96"/>
    </row>
    <row r="315" spans="2:12">
      <c r="B315" s="96"/>
      <c r="C315" s="96"/>
      <c r="D315" s="97"/>
      <c r="E315" s="97"/>
      <c r="F315" s="196"/>
      <c r="G315" s="103" t="str">
        <f>IF(TblUnitCost[[#This Row],[Currency]]=LCU, TblUnitCost[[#This Row],[Cost]], IF(TblUnitCost[[#This Row],[Currency]]=ACU, TblUnitCost[[#This Row],[Cost]]*FX_Rate, "Check Ref Currency"))</f>
        <v>Check Ref Currency</v>
      </c>
      <c r="H315" s="103">
        <f>TblUnitCost[[#This Row],[Cost]]/1600</f>
        <v>0</v>
      </c>
      <c r="I315" s="96"/>
      <c r="J315" s="96"/>
      <c r="K315" s="98"/>
      <c r="L315" s="96"/>
    </row>
    <row r="316" spans="2:12">
      <c r="B316" s="96"/>
      <c r="C316" s="96"/>
      <c r="D316" s="97"/>
      <c r="E316" s="97"/>
      <c r="F316" s="196"/>
      <c r="G316" s="103" t="str">
        <f>IF(TblUnitCost[[#This Row],[Currency]]=LCU, TblUnitCost[[#This Row],[Cost]], IF(TblUnitCost[[#This Row],[Currency]]=ACU, TblUnitCost[[#This Row],[Cost]]*FX_Rate, "Check Ref Currency"))</f>
        <v>Check Ref Currency</v>
      </c>
      <c r="H316" s="103">
        <f>TblUnitCost[[#This Row],[Cost]]/1600</f>
        <v>0</v>
      </c>
      <c r="I316" s="96"/>
      <c r="J316" s="96"/>
      <c r="K316" s="98"/>
      <c r="L316" s="96"/>
    </row>
    <row r="317" spans="2:12">
      <c r="B317" s="96"/>
      <c r="C317" s="96"/>
      <c r="D317" s="97"/>
      <c r="E317" s="97"/>
      <c r="F317" s="196"/>
      <c r="G317" s="103" t="str">
        <f>IF(TblUnitCost[[#This Row],[Currency]]=LCU, TblUnitCost[[#This Row],[Cost]], IF(TblUnitCost[[#This Row],[Currency]]=ACU, TblUnitCost[[#This Row],[Cost]]*FX_Rate, "Check Ref Currency"))</f>
        <v>Check Ref Currency</v>
      </c>
      <c r="H317" s="103">
        <f>TblUnitCost[[#This Row],[Cost]]/1600</f>
        <v>0</v>
      </c>
      <c r="I317" s="96"/>
      <c r="J317" s="96"/>
      <c r="K317" s="98"/>
      <c r="L317" s="96"/>
    </row>
    <row r="318" spans="2:12">
      <c r="B318" s="96"/>
      <c r="C318" s="96"/>
      <c r="D318" s="97"/>
      <c r="E318" s="97"/>
      <c r="F318" s="196"/>
      <c r="G318" s="103" t="str">
        <f>IF(TblUnitCost[[#This Row],[Currency]]=LCU, TblUnitCost[[#This Row],[Cost]], IF(TblUnitCost[[#This Row],[Currency]]=ACU, TblUnitCost[[#This Row],[Cost]]*FX_Rate, "Check Ref Currency"))</f>
        <v>Check Ref Currency</v>
      </c>
      <c r="H318" s="103">
        <f>TblUnitCost[[#This Row],[Cost]]/1600</f>
        <v>0</v>
      </c>
      <c r="I318" s="96"/>
      <c r="J318" s="96"/>
      <c r="K318" s="98"/>
      <c r="L318" s="96"/>
    </row>
    <row r="319" spans="2:12">
      <c r="B319" s="96"/>
      <c r="C319" s="96"/>
      <c r="D319" s="97"/>
      <c r="E319" s="97"/>
      <c r="F319" s="196"/>
      <c r="G319" s="103" t="str">
        <f>IF(TblUnitCost[[#This Row],[Currency]]=LCU, TblUnitCost[[#This Row],[Cost]], IF(TblUnitCost[[#This Row],[Currency]]=ACU, TblUnitCost[[#This Row],[Cost]]*FX_Rate, "Check Ref Currency"))</f>
        <v>Check Ref Currency</v>
      </c>
      <c r="H319" s="103">
        <f>TblUnitCost[[#This Row],[Cost]]/1600</f>
        <v>0</v>
      </c>
      <c r="I319" s="96"/>
      <c r="J319" s="96"/>
      <c r="K319" s="98"/>
      <c r="L319" s="96"/>
    </row>
    <row r="320" spans="2:12">
      <c r="B320" s="96"/>
      <c r="C320" s="96"/>
      <c r="D320" s="97"/>
      <c r="E320" s="97"/>
      <c r="F320" s="196"/>
      <c r="G320" s="103" t="str">
        <f>IF(TblUnitCost[[#This Row],[Currency]]=LCU, TblUnitCost[[#This Row],[Cost]], IF(TblUnitCost[[#This Row],[Currency]]=ACU, TblUnitCost[[#This Row],[Cost]]*FX_Rate, "Check Ref Currency"))</f>
        <v>Check Ref Currency</v>
      </c>
      <c r="H320" s="103">
        <f>TblUnitCost[[#This Row],[Cost]]/1600</f>
        <v>0</v>
      </c>
      <c r="I320" s="96"/>
      <c r="J320" s="96"/>
      <c r="K320" s="98"/>
      <c r="L320" s="96"/>
    </row>
    <row r="321" spans="2:12">
      <c r="B321" s="96"/>
      <c r="C321" s="96"/>
      <c r="D321" s="97"/>
      <c r="E321" s="97"/>
      <c r="F321" s="196"/>
      <c r="G321" s="103" t="str">
        <f>IF(TblUnitCost[[#This Row],[Currency]]=LCU, TblUnitCost[[#This Row],[Cost]], IF(TblUnitCost[[#This Row],[Currency]]=ACU, TblUnitCost[[#This Row],[Cost]]*FX_Rate, "Check Ref Currency"))</f>
        <v>Check Ref Currency</v>
      </c>
      <c r="H321" s="103">
        <f>TblUnitCost[[#This Row],[Cost]]/1600</f>
        <v>0</v>
      </c>
      <c r="I321" s="96"/>
      <c r="J321" s="96"/>
      <c r="K321" s="98"/>
      <c r="L321" s="96"/>
    </row>
    <row r="322" spans="2:12">
      <c r="B322" s="96"/>
      <c r="C322" s="96"/>
      <c r="D322" s="97"/>
      <c r="E322" s="97"/>
      <c r="F322" s="196"/>
      <c r="G322" s="103" t="str">
        <f>IF(TblUnitCost[[#This Row],[Currency]]=LCU, TblUnitCost[[#This Row],[Cost]], IF(TblUnitCost[[#This Row],[Currency]]=ACU, TblUnitCost[[#This Row],[Cost]]*FX_Rate, "Check Ref Currency"))</f>
        <v>Check Ref Currency</v>
      </c>
      <c r="H322" s="103">
        <f>TblUnitCost[[#This Row],[Cost]]/1600</f>
        <v>0</v>
      </c>
      <c r="I322" s="96"/>
      <c r="J322" s="96"/>
      <c r="K322" s="98"/>
      <c r="L322" s="96"/>
    </row>
    <row r="323" spans="2:12">
      <c r="B323" s="96"/>
      <c r="C323" s="96"/>
      <c r="D323" s="97"/>
      <c r="E323" s="97"/>
      <c r="F323" s="196"/>
      <c r="G323" s="103" t="str">
        <f>IF(TblUnitCost[[#This Row],[Currency]]=LCU, TblUnitCost[[#This Row],[Cost]], IF(TblUnitCost[[#This Row],[Currency]]=ACU, TblUnitCost[[#This Row],[Cost]]*FX_Rate, "Check Ref Currency"))</f>
        <v>Check Ref Currency</v>
      </c>
      <c r="H323" s="103">
        <f>TblUnitCost[[#This Row],[Cost]]/1600</f>
        <v>0</v>
      </c>
      <c r="I323" s="96"/>
      <c r="J323" s="96"/>
      <c r="K323" s="98"/>
      <c r="L323" s="96"/>
    </row>
    <row r="324" spans="2:12">
      <c r="B324" s="96"/>
      <c r="C324" s="96"/>
      <c r="D324" s="97"/>
      <c r="E324" s="97"/>
      <c r="F324" s="196"/>
      <c r="G324" s="103" t="str">
        <f>IF(TblUnitCost[[#This Row],[Currency]]=LCU, TblUnitCost[[#This Row],[Cost]], IF(TblUnitCost[[#This Row],[Currency]]=ACU, TblUnitCost[[#This Row],[Cost]]*FX_Rate, "Check Ref Currency"))</f>
        <v>Check Ref Currency</v>
      </c>
      <c r="H324" s="103">
        <f>TblUnitCost[[#This Row],[Cost]]/1600</f>
        <v>0</v>
      </c>
      <c r="I324" s="96"/>
      <c r="J324" s="96"/>
      <c r="K324" s="98"/>
      <c r="L324" s="96"/>
    </row>
    <row r="325" spans="2:12">
      <c r="B325" s="96"/>
      <c r="C325" s="96"/>
      <c r="D325" s="97"/>
      <c r="E325" s="97"/>
      <c r="F325" s="196"/>
      <c r="G325" s="103" t="str">
        <f>IF(TblUnitCost[[#This Row],[Currency]]=LCU, TblUnitCost[[#This Row],[Cost]], IF(TblUnitCost[[#This Row],[Currency]]=ACU, TblUnitCost[[#This Row],[Cost]]*FX_Rate, "Check Ref Currency"))</f>
        <v>Check Ref Currency</v>
      </c>
      <c r="H325" s="103">
        <f>TblUnitCost[[#This Row],[Cost]]/1600</f>
        <v>0</v>
      </c>
      <c r="I325" s="96"/>
      <c r="J325" s="96"/>
      <c r="K325" s="98"/>
      <c r="L325" s="96"/>
    </row>
    <row r="326" spans="2:12">
      <c r="B326" s="96"/>
      <c r="C326" s="96"/>
      <c r="D326" s="97"/>
      <c r="E326" s="97"/>
      <c r="F326" s="196"/>
      <c r="G326" s="103" t="str">
        <f>IF(TblUnitCost[[#This Row],[Currency]]=LCU, TblUnitCost[[#This Row],[Cost]], IF(TblUnitCost[[#This Row],[Currency]]=ACU, TblUnitCost[[#This Row],[Cost]]*FX_Rate, "Check Ref Currency"))</f>
        <v>Check Ref Currency</v>
      </c>
      <c r="H326" s="103">
        <f>TblUnitCost[[#This Row],[Cost]]/1600</f>
        <v>0</v>
      </c>
      <c r="I326" s="96"/>
      <c r="J326" s="96"/>
      <c r="K326" s="98"/>
      <c r="L326" s="96"/>
    </row>
    <row r="327" spans="2:12">
      <c r="B327" s="96"/>
      <c r="C327" s="96"/>
      <c r="D327" s="97"/>
      <c r="E327" s="97"/>
      <c r="F327" s="196"/>
      <c r="G327" s="103" t="str">
        <f>IF(TblUnitCost[[#This Row],[Currency]]=LCU, TblUnitCost[[#This Row],[Cost]], IF(TblUnitCost[[#This Row],[Currency]]=ACU, TblUnitCost[[#This Row],[Cost]]*FX_Rate, "Check Ref Currency"))</f>
        <v>Check Ref Currency</v>
      </c>
      <c r="H327" s="103">
        <f>TblUnitCost[[#This Row],[Cost]]/1600</f>
        <v>0</v>
      </c>
      <c r="I327" s="96"/>
      <c r="J327" s="96"/>
      <c r="K327" s="98"/>
      <c r="L327" s="96"/>
    </row>
    <row r="328" spans="2:12">
      <c r="B328" s="96"/>
      <c r="C328" s="96"/>
      <c r="D328" s="97"/>
      <c r="E328" s="97"/>
      <c r="F328" s="196"/>
      <c r="G328" s="103" t="str">
        <f>IF(TblUnitCost[[#This Row],[Currency]]=LCU, TblUnitCost[[#This Row],[Cost]], IF(TblUnitCost[[#This Row],[Currency]]=ACU, TblUnitCost[[#This Row],[Cost]]*FX_Rate, "Check Ref Currency"))</f>
        <v>Check Ref Currency</v>
      </c>
      <c r="H328" s="103">
        <f>TblUnitCost[[#This Row],[Cost]]/1600</f>
        <v>0</v>
      </c>
      <c r="I328" s="96"/>
      <c r="J328" s="96"/>
      <c r="K328" s="98"/>
      <c r="L328" s="96"/>
    </row>
    <row r="329" spans="2:12">
      <c r="B329" s="96"/>
      <c r="C329" s="96"/>
      <c r="D329" s="97"/>
      <c r="E329" s="97"/>
      <c r="F329" s="196"/>
      <c r="G329" s="103" t="str">
        <f>IF(TblUnitCost[[#This Row],[Currency]]=LCU, TblUnitCost[[#This Row],[Cost]], IF(TblUnitCost[[#This Row],[Currency]]=ACU, TblUnitCost[[#This Row],[Cost]]*FX_Rate, "Check Ref Currency"))</f>
        <v>Check Ref Currency</v>
      </c>
      <c r="H329" s="103">
        <f>TblUnitCost[[#This Row],[Cost]]/1600</f>
        <v>0</v>
      </c>
      <c r="I329" s="96"/>
      <c r="J329" s="96"/>
      <c r="K329" s="98"/>
      <c r="L329" s="96"/>
    </row>
    <row r="330" spans="2:12">
      <c r="B330" s="96"/>
      <c r="C330" s="96"/>
      <c r="D330" s="97"/>
      <c r="E330" s="97"/>
      <c r="F330" s="196"/>
      <c r="G330" s="103" t="str">
        <f>IF(TblUnitCost[[#This Row],[Currency]]=LCU, TblUnitCost[[#This Row],[Cost]], IF(TblUnitCost[[#This Row],[Currency]]=ACU, TblUnitCost[[#This Row],[Cost]]*FX_Rate, "Check Ref Currency"))</f>
        <v>Check Ref Currency</v>
      </c>
      <c r="H330" s="103">
        <f>TblUnitCost[[#This Row],[Cost]]/1600</f>
        <v>0</v>
      </c>
      <c r="I330" s="96"/>
      <c r="J330" s="96"/>
      <c r="K330" s="98"/>
      <c r="L330" s="96"/>
    </row>
    <row r="331" spans="2:12">
      <c r="B331" s="96"/>
      <c r="C331" s="96"/>
      <c r="D331" s="97"/>
      <c r="E331" s="97"/>
      <c r="F331" s="196"/>
      <c r="G331" s="103" t="str">
        <f>IF(TblUnitCost[[#This Row],[Currency]]=LCU, TblUnitCost[[#This Row],[Cost]], IF(TblUnitCost[[#This Row],[Currency]]=ACU, TblUnitCost[[#This Row],[Cost]]*FX_Rate, "Check Ref Currency"))</f>
        <v>Check Ref Currency</v>
      </c>
      <c r="H331" s="103">
        <f>TblUnitCost[[#This Row],[Cost]]/1600</f>
        <v>0</v>
      </c>
      <c r="I331" s="96"/>
      <c r="J331" s="96"/>
      <c r="K331" s="98"/>
      <c r="L331" s="96"/>
    </row>
    <row r="332" spans="2:12">
      <c r="B332" s="96"/>
      <c r="C332" s="96"/>
      <c r="D332" s="97"/>
      <c r="E332" s="97"/>
      <c r="F332" s="196"/>
      <c r="G332" s="103" t="str">
        <f>IF(TblUnitCost[[#This Row],[Currency]]=LCU, TblUnitCost[[#This Row],[Cost]], IF(TblUnitCost[[#This Row],[Currency]]=ACU, TblUnitCost[[#This Row],[Cost]]*FX_Rate, "Check Ref Currency"))</f>
        <v>Check Ref Currency</v>
      </c>
      <c r="H332" s="103">
        <f>TblUnitCost[[#This Row],[Cost]]/1600</f>
        <v>0</v>
      </c>
      <c r="I332" s="96"/>
      <c r="J332" s="96"/>
      <c r="K332" s="98"/>
      <c r="L332" s="96"/>
    </row>
    <row r="333" spans="2:12">
      <c r="B333" s="96"/>
      <c r="C333" s="96"/>
      <c r="D333" s="97"/>
      <c r="E333" s="97"/>
      <c r="F333" s="196"/>
      <c r="G333" s="103" t="str">
        <f>IF(TblUnitCost[[#This Row],[Currency]]=LCU, TblUnitCost[[#This Row],[Cost]], IF(TblUnitCost[[#This Row],[Currency]]=ACU, TblUnitCost[[#This Row],[Cost]]*FX_Rate, "Check Ref Currency"))</f>
        <v>Check Ref Currency</v>
      </c>
      <c r="H333" s="103">
        <f>TblUnitCost[[#This Row],[Cost]]/1600</f>
        <v>0</v>
      </c>
      <c r="I333" s="96"/>
      <c r="J333" s="96"/>
      <c r="K333" s="98"/>
      <c r="L333" s="96"/>
    </row>
    <row r="334" spans="2:12">
      <c r="B334" s="96"/>
      <c r="C334" s="96"/>
      <c r="D334" s="97"/>
      <c r="E334" s="97"/>
      <c r="F334" s="196"/>
      <c r="G334" s="103" t="str">
        <f>IF(TblUnitCost[[#This Row],[Currency]]=LCU, TblUnitCost[[#This Row],[Cost]], IF(TblUnitCost[[#This Row],[Currency]]=ACU, TblUnitCost[[#This Row],[Cost]]*FX_Rate, "Check Ref Currency"))</f>
        <v>Check Ref Currency</v>
      </c>
      <c r="H334" s="103">
        <f>TblUnitCost[[#This Row],[Cost]]/1600</f>
        <v>0</v>
      </c>
      <c r="I334" s="96"/>
      <c r="J334" s="96"/>
      <c r="K334" s="98"/>
      <c r="L334" s="96"/>
    </row>
    <row r="335" spans="2:12">
      <c r="B335" s="96"/>
      <c r="C335" s="96"/>
      <c r="D335" s="97"/>
      <c r="E335" s="97"/>
      <c r="F335" s="196"/>
      <c r="G335" s="103" t="str">
        <f>IF(TblUnitCost[[#This Row],[Currency]]=LCU, TblUnitCost[[#This Row],[Cost]], IF(TblUnitCost[[#This Row],[Currency]]=ACU, TblUnitCost[[#This Row],[Cost]]*FX_Rate, "Check Ref Currency"))</f>
        <v>Check Ref Currency</v>
      </c>
      <c r="H335" s="103">
        <f>TblUnitCost[[#This Row],[Cost]]/1600</f>
        <v>0</v>
      </c>
      <c r="I335" s="96"/>
      <c r="J335" s="96"/>
      <c r="K335" s="98"/>
      <c r="L335" s="96"/>
    </row>
    <row r="336" spans="2:12">
      <c r="B336" s="96"/>
      <c r="C336" s="96"/>
      <c r="D336" s="97"/>
      <c r="E336" s="97"/>
      <c r="F336" s="196"/>
      <c r="G336" s="103" t="str">
        <f>IF(TblUnitCost[[#This Row],[Currency]]=LCU, TblUnitCost[[#This Row],[Cost]], IF(TblUnitCost[[#This Row],[Currency]]=ACU, TblUnitCost[[#This Row],[Cost]]*FX_Rate, "Check Ref Currency"))</f>
        <v>Check Ref Currency</v>
      </c>
      <c r="H336" s="103">
        <f>TblUnitCost[[#This Row],[Cost]]/1600</f>
        <v>0</v>
      </c>
      <c r="I336" s="96"/>
      <c r="J336" s="96"/>
      <c r="K336" s="98"/>
      <c r="L336" s="96"/>
    </row>
    <row r="337" spans="2:12">
      <c r="B337" s="96"/>
      <c r="C337" s="96"/>
      <c r="D337" s="97"/>
      <c r="E337" s="97"/>
      <c r="F337" s="196"/>
      <c r="G337" s="103" t="str">
        <f>IF(TblUnitCost[[#This Row],[Currency]]=LCU, TblUnitCost[[#This Row],[Cost]], IF(TblUnitCost[[#This Row],[Currency]]=ACU, TblUnitCost[[#This Row],[Cost]]*FX_Rate, "Check Ref Currency"))</f>
        <v>Check Ref Currency</v>
      </c>
      <c r="H337" s="103">
        <f>TblUnitCost[[#This Row],[Cost]]/1600</f>
        <v>0</v>
      </c>
      <c r="I337" s="96"/>
      <c r="J337" s="96"/>
      <c r="K337" s="98"/>
      <c r="L337" s="96"/>
    </row>
    <row r="338" spans="2:12">
      <c r="B338" s="96"/>
      <c r="C338" s="96"/>
      <c r="D338" s="97"/>
      <c r="E338" s="97"/>
      <c r="F338" s="196"/>
      <c r="G338" s="103" t="str">
        <f>IF(TblUnitCost[[#This Row],[Currency]]=LCU, TblUnitCost[[#This Row],[Cost]], IF(TblUnitCost[[#This Row],[Currency]]=ACU, TblUnitCost[[#This Row],[Cost]]*FX_Rate, "Check Ref Currency"))</f>
        <v>Check Ref Currency</v>
      </c>
      <c r="H338" s="103">
        <f>TblUnitCost[[#This Row],[Cost]]/1600</f>
        <v>0</v>
      </c>
      <c r="I338" s="96"/>
      <c r="J338" s="96"/>
      <c r="K338" s="98"/>
      <c r="L338" s="96"/>
    </row>
    <row r="339" spans="2:12">
      <c r="B339" s="96"/>
      <c r="C339" s="96"/>
      <c r="D339" s="97"/>
      <c r="E339" s="97"/>
      <c r="F339" s="196"/>
      <c r="G339" s="103" t="str">
        <f>IF(TblUnitCost[[#This Row],[Currency]]=LCU, TblUnitCost[[#This Row],[Cost]], IF(TblUnitCost[[#This Row],[Currency]]=ACU, TblUnitCost[[#This Row],[Cost]]*FX_Rate, "Check Ref Currency"))</f>
        <v>Check Ref Currency</v>
      </c>
      <c r="H339" s="103">
        <f>TblUnitCost[[#This Row],[Cost]]/1600</f>
        <v>0</v>
      </c>
      <c r="I339" s="96"/>
      <c r="J339" s="96"/>
      <c r="K339" s="98"/>
      <c r="L339" s="96"/>
    </row>
    <row r="340" spans="2:12">
      <c r="B340" s="96"/>
      <c r="C340" s="96"/>
      <c r="D340" s="97"/>
      <c r="E340" s="97"/>
      <c r="F340" s="196"/>
      <c r="G340" s="103" t="str">
        <f>IF(TblUnitCost[[#This Row],[Currency]]=LCU, TblUnitCost[[#This Row],[Cost]], IF(TblUnitCost[[#This Row],[Currency]]=ACU, TblUnitCost[[#This Row],[Cost]]*FX_Rate, "Check Ref Currency"))</f>
        <v>Check Ref Currency</v>
      </c>
      <c r="H340" s="103">
        <f>TblUnitCost[[#This Row],[Cost]]/1600</f>
        <v>0</v>
      </c>
      <c r="I340" s="96"/>
      <c r="J340" s="96"/>
      <c r="K340" s="98"/>
      <c r="L340" s="96"/>
    </row>
    <row r="341" spans="2:12">
      <c r="B341" s="96"/>
      <c r="C341" s="96"/>
      <c r="D341" s="97"/>
      <c r="E341" s="97"/>
      <c r="F341" s="196"/>
      <c r="G341" s="103" t="str">
        <f>IF(TblUnitCost[[#This Row],[Currency]]=LCU, TblUnitCost[[#This Row],[Cost]], IF(TblUnitCost[[#This Row],[Currency]]=ACU, TblUnitCost[[#This Row],[Cost]]*FX_Rate, "Check Ref Currency"))</f>
        <v>Check Ref Currency</v>
      </c>
      <c r="H341" s="103">
        <f>TblUnitCost[[#This Row],[Cost]]/1600</f>
        <v>0</v>
      </c>
      <c r="I341" s="96"/>
      <c r="J341" s="96"/>
      <c r="K341" s="98"/>
      <c r="L341" s="96"/>
    </row>
    <row r="342" spans="2:12">
      <c r="B342" s="96"/>
      <c r="C342" s="96"/>
      <c r="D342" s="97"/>
      <c r="E342" s="97"/>
      <c r="F342" s="196"/>
      <c r="G342" s="103" t="str">
        <f>IF(TblUnitCost[[#This Row],[Currency]]=LCU, TblUnitCost[[#This Row],[Cost]], IF(TblUnitCost[[#This Row],[Currency]]=ACU, TblUnitCost[[#This Row],[Cost]]*FX_Rate, "Check Ref Currency"))</f>
        <v>Check Ref Currency</v>
      </c>
      <c r="H342" s="103">
        <f>TblUnitCost[[#This Row],[Cost]]/1600</f>
        <v>0</v>
      </c>
      <c r="I342" s="96"/>
      <c r="J342" s="96"/>
      <c r="K342" s="98"/>
      <c r="L342" s="96"/>
    </row>
    <row r="343" spans="2:12">
      <c r="B343" s="96"/>
      <c r="C343" s="96"/>
      <c r="D343" s="97"/>
      <c r="E343" s="97"/>
      <c r="F343" s="196"/>
      <c r="G343" s="103" t="str">
        <f>IF(TblUnitCost[[#This Row],[Currency]]=LCU, TblUnitCost[[#This Row],[Cost]], IF(TblUnitCost[[#This Row],[Currency]]=ACU, TblUnitCost[[#This Row],[Cost]]*FX_Rate, "Check Ref Currency"))</f>
        <v>Check Ref Currency</v>
      </c>
      <c r="H343" s="103">
        <f>TblUnitCost[[#This Row],[Cost]]/1600</f>
        <v>0</v>
      </c>
      <c r="I343" s="96"/>
      <c r="J343" s="96"/>
      <c r="K343" s="98"/>
      <c r="L343" s="96"/>
    </row>
    <row r="344" spans="2:12">
      <c r="B344" s="96"/>
      <c r="C344" s="96"/>
      <c r="D344" s="97"/>
      <c r="E344" s="97"/>
      <c r="F344" s="196"/>
      <c r="G344" s="103" t="str">
        <f>IF(TblUnitCost[[#This Row],[Currency]]=LCU, TblUnitCost[[#This Row],[Cost]], IF(TblUnitCost[[#This Row],[Currency]]=ACU, TblUnitCost[[#This Row],[Cost]]*FX_Rate, "Check Ref Currency"))</f>
        <v>Check Ref Currency</v>
      </c>
      <c r="H344" s="103">
        <f>TblUnitCost[[#This Row],[Cost]]/1600</f>
        <v>0</v>
      </c>
      <c r="I344" s="96"/>
      <c r="J344" s="96"/>
      <c r="K344" s="98"/>
      <c r="L344" s="96"/>
    </row>
    <row r="345" spans="2:12">
      <c r="B345" s="96"/>
      <c r="C345" s="96"/>
      <c r="D345" s="97"/>
      <c r="E345" s="97"/>
      <c r="F345" s="196"/>
      <c r="G345" s="103" t="str">
        <f>IF(TblUnitCost[[#This Row],[Currency]]=LCU, TblUnitCost[[#This Row],[Cost]], IF(TblUnitCost[[#This Row],[Currency]]=ACU, TblUnitCost[[#This Row],[Cost]]*FX_Rate, "Check Ref Currency"))</f>
        <v>Check Ref Currency</v>
      </c>
      <c r="H345" s="103">
        <f>TblUnitCost[[#This Row],[Cost]]/1600</f>
        <v>0</v>
      </c>
      <c r="I345" s="96"/>
      <c r="J345" s="96"/>
      <c r="K345" s="98"/>
      <c r="L345" s="96"/>
    </row>
    <row r="346" spans="2:12">
      <c r="B346" s="96"/>
      <c r="C346" s="96"/>
      <c r="D346" s="97"/>
      <c r="E346" s="97"/>
      <c r="F346" s="196"/>
      <c r="G346" s="103" t="str">
        <f>IF(TblUnitCost[[#This Row],[Currency]]=LCU, TblUnitCost[[#This Row],[Cost]], IF(TblUnitCost[[#This Row],[Currency]]=ACU, TblUnitCost[[#This Row],[Cost]]*FX_Rate, "Check Ref Currency"))</f>
        <v>Check Ref Currency</v>
      </c>
      <c r="H346" s="103">
        <f>TblUnitCost[[#This Row],[Cost]]/1600</f>
        <v>0</v>
      </c>
      <c r="I346" s="96"/>
      <c r="J346" s="96"/>
      <c r="K346" s="98"/>
      <c r="L346" s="96"/>
    </row>
    <row r="347" spans="2:12">
      <c r="B347" s="96"/>
      <c r="C347" s="96"/>
      <c r="D347" s="97"/>
      <c r="E347" s="97"/>
      <c r="F347" s="196"/>
      <c r="G347" s="103" t="str">
        <f>IF(TblUnitCost[[#This Row],[Currency]]=LCU, TblUnitCost[[#This Row],[Cost]], IF(TblUnitCost[[#This Row],[Currency]]=ACU, TblUnitCost[[#This Row],[Cost]]*FX_Rate, "Check Ref Currency"))</f>
        <v>Check Ref Currency</v>
      </c>
      <c r="H347" s="103">
        <f>TblUnitCost[[#This Row],[Cost]]/1600</f>
        <v>0</v>
      </c>
      <c r="I347" s="96"/>
      <c r="J347" s="96"/>
      <c r="K347" s="98"/>
      <c r="L347" s="96"/>
    </row>
    <row r="348" spans="2:12">
      <c r="B348" s="96"/>
      <c r="C348" s="96"/>
      <c r="D348" s="97"/>
      <c r="E348" s="97"/>
      <c r="F348" s="196"/>
      <c r="G348" s="103" t="str">
        <f>IF(TblUnitCost[[#This Row],[Currency]]=LCU, TblUnitCost[[#This Row],[Cost]], IF(TblUnitCost[[#This Row],[Currency]]=ACU, TblUnitCost[[#This Row],[Cost]]*FX_Rate, "Check Ref Currency"))</f>
        <v>Check Ref Currency</v>
      </c>
      <c r="H348" s="103">
        <f>TblUnitCost[[#This Row],[Cost]]/1600</f>
        <v>0</v>
      </c>
      <c r="I348" s="96"/>
      <c r="J348" s="96"/>
      <c r="K348" s="98"/>
      <c r="L348" s="96"/>
    </row>
    <row r="349" spans="2:12">
      <c r="B349" s="96"/>
      <c r="C349" s="96"/>
      <c r="D349" s="97"/>
      <c r="E349" s="97"/>
      <c r="F349" s="196"/>
      <c r="G349" s="103" t="str">
        <f>IF(TblUnitCost[[#This Row],[Currency]]=LCU, TblUnitCost[[#This Row],[Cost]], IF(TblUnitCost[[#This Row],[Currency]]=ACU, TblUnitCost[[#This Row],[Cost]]*FX_Rate, "Check Ref Currency"))</f>
        <v>Check Ref Currency</v>
      </c>
      <c r="H349" s="103">
        <f>TblUnitCost[[#This Row],[Cost]]/1600</f>
        <v>0</v>
      </c>
      <c r="I349" s="96"/>
      <c r="J349" s="96"/>
      <c r="K349" s="98"/>
      <c r="L349" s="96"/>
    </row>
    <row r="350" spans="2:12">
      <c r="B350" s="96"/>
      <c r="C350" s="96"/>
      <c r="D350" s="97"/>
      <c r="E350" s="97"/>
      <c r="F350" s="196"/>
      <c r="G350" s="103" t="str">
        <f>IF(TblUnitCost[[#This Row],[Currency]]=LCU, TblUnitCost[[#This Row],[Cost]], IF(TblUnitCost[[#This Row],[Currency]]=ACU, TblUnitCost[[#This Row],[Cost]]*FX_Rate, "Check Ref Currency"))</f>
        <v>Check Ref Currency</v>
      </c>
      <c r="H350" s="103">
        <f>TblUnitCost[[#This Row],[Cost]]/1600</f>
        <v>0</v>
      </c>
      <c r="I350" s="96"/>
      <c r="J350" s="96"/>
      <c r="K350" s="98"/>
      <c r="L350" s="96"/>
    </row>
    <row r="351" spans="2:12">
      <c r="B351" s="96"/>
      <c r="C351" s="96"/>
      <c r="D351" s="97"/>
      <c r="E351" s="97"/>
      <c r="F351" s="196"/>
      <c r="G351" s="103" t="str">
        <f>IF(TblUnitCost[[#This Row],[Currency]]=LCU, TblUnitCost[[#This Row],[Cost]], IF(TblUnitCost[[#This Row],[Currency]]=ACU, TblUnitCost[[#This Row],[Cost]]*FX_Rate, "Check Ref Currency"))</f>
        <v>Check Ref Currency</v>
      </c>
      <c r="H351" s="103">
        <f>TblUnitCost[[#This Row],[Cost]]/1600</f>
        <v>0</v>
      </c>
      <c r="I351" s="96"/>
      <c r="J351" s="96"/>
      <c r="K351" s="98"/>
      <c r="L351" s="96"/>
    </row>
    <row r="352" spans="2:12">
      <c r="B352" s="96"/>
      <c r="C352" s="96"/>
      <c r="D352" s="97"/>
      <c r="E352" s="97"/>
      <c r="F352" s="196"/>
      <c r="G352" s="103" t="str">
        <f>IF(TblUnitCost[[#This Row],[Currency]]=LCU, TblUnitCost[[#This Row],[Cost]], IF(TblUnitCost[[#This Row],[Currency]]=ACU, TblUnitCost[[#This Row],[Cost]]*FX_Rate, "Check Ref Currency"))</f>
        <v>Check Ref Currency</v>
      </c>
      <c r="H352" s="103">
        <f>TblUnitCost[[#This Row],[Cost]]/1600</f>
        <v>0</v>
      </c>
      <c r="I352" s="96"/>
      <c r="J352" s="96"/>
      <c r="K352" s="98"/>
      <c r="L352" s="96"/>
    </row>
    <row r="353" spans="2:12">
      <c r="B353" s="96"/>
      <c r="C353" s="96"/>
      <c r="D353" s="97"/>
      <c r="E353" s="97"/>
      <c r="F353" s="196"/>
      <c r="G353" s="103" t="str">
        <f>IF(TblUnitCost[[#This Row],[Currency]]=LCU, TblUnitCost[[#This Row],[Cost]], IF(TblUnitCost[[#This Row],[Currency]]=ACU, TblUnitCost[[#This Row],[Cost]]*FX_Rate, "Check Ref Currency"))</f>
        <v>Check Ref Currency</v>
      </c>
      <c r="H353" s="103">
        <f>TblUnitCost[[#This Row],[Cost]]/1600</f>
        <v>0</v>
      </c>
      <c r="I353" s="96"/>
      <c r="J353" s="96"/>
      <c r="K353" s="98"/>
      <c r="L353" s="96"/>
    </row>
    <row r="354" spans="2:12">
      <c r="B354" s="96"/>
      <c r="C354" s="96"/>
      <c r="D354" s="97"/>
      <c r="E354" s="97"/>
      <c r="F354" s="196"/>
      <c r="G354" s="103" t="str">
        <f>IF(TblUnitCost[[#This Row],[Currency]]=LCU, TblUnitCost[[#This Row],[Cost]], IF(TblUnitCost[[#This Row],[Currency]]=ACU, TblUnitCost[[#This Row],[Cost]]*FX_Rate, "Check Ref Currency"))</f>
        <v>Check Ref Currency</v>
      </c>
      <c r="H354" s="103">
        <f>TblUnitCost[[#This Row],[Cost]]/1600</f>
        <v>0</v>
      </c>
      <c r="I354" s="96"/>
      <c r="J354" s="96"/>
      <c r="K354" s="98"/>
      <c r="L354" s="96"/>
    </row>
    <row r="355" spans="2:12">
      <c r="B355" s="96"/>
      <c r="C355" s="96"/>
      <c r="D355" s="97"/>
      <c r="E355" s="97"/>
      <c r="F355" s="196"/>
      <c r="G355" s="103" t="str">
        <f>IF(TblUnitCost[[#This Row],[Currency]]=LCU, TblUnitCost[[#This Row],[Cost]], IF(TblUnitCost[[#This Row],[Currency]]=ACU, TblUnitCost[[#This Row],[Cost]]*FX_Rate, "Check Ref Currency"))</f>
        <v>Check Ref Currency</v>
      </c>
      <c r="H355" s="103">
        <f>TblUnitCost[[#This Row],[Cost]]/1600</f>
        <v>0</v>
      </c>
      <c r="I355" s="96"/>
      <c r="J355" s="96"/>
      <c r="K355" s="98"/>
      <c r="L355" s="96"/>
    </row>
    <row r="356" spans="2:12">
      <c r="B356" s="96"/>
      <c r="C356" s="96"/>
      <c r="D356" s="97"/>
      <c r="E356" s="97"/>
      <c r="F356" s="196"/>
      <c r="G356" s="103" t="str">
        <f>IF(TblUnitCost[[#This Row],[Currency]]=LCU, TblUnitCost[[#This Row],[Cost]], IF(TblUnitCost[[#This Row],[Currency]]=ACU, TblUnitCost[[#This Row],[Cost]]*FX_Rate, "Check Ref Currency"))</f>
        <v>Check Ref Currency</v>
      </c>
      <c r="H356" s="103">
        <f>TblUnitCost[[#This Row],[Cost]]/1600</f>
        <v>0</v>
      </c>
      <c r="I356" s="96"/>
      <c r="J356" s="96"/>
      <c r="K356" s="98"/>
      <c r="L356" s="96"/>
    </row>
    <row r="357" spans="2:12">
      <c r="B357" s="96"/>
      <c r="C357" s="96"/>
      <c r="D357" s="97"/>
      <c r="E357" s="97"/>
      <c r="F357" s="196"/>
      <c r="G357" s="103" t="str">
        <f>IF(TblUnitCost[[#This Row],[Currency]]=LCU, TblUnitCost[[#This Row],[Cost]], IF(TblUnitCost[[#This Row],[Currency]]=ACU, TblUnitCost[[#This Row],[Cost]]*FX_Rate, "Check Ref Currency"))</f>
        <v>Check Ref Currency</v>
      </c>
      <c r="H357" s="103">
        <f>TblUnitCost[[#This Row],[Cost]]/1600</f>
        <v>0</v>
      </c>
      <c r="I357" s="96"/>
      <c r="J357" s="96"/>
      <c r="K357" s="98"/>
      <c r="L357" s="96"/>
    </row>
    <row r="358" spans="2:12">
      <c r="B358" s="96"/>
      <c r="C358" s="96"/>
      <c r="D358" s="97"/>
      <c r="E358" s="97"/>
      <c r="F358" s="196"/>
      <c r="G358" s="103" t="str">
        <f>IF(TblUnitCost[[#This Row],[Currency]]=LCU, TblUnitCost[[#This Row],[Cost]], IF(TblUnitCost[[#This Row],[Currency]]=ACU, TblUnitCost[[#This Row],[Cost]]*FX_Rate, "Check Ref Currency"))</f>
        <v>Check Ref Currency</v>
      </c>
      <c r="H358" s="103">
        <f>TblUnitCost[[#This Row],[Cost]]/1600</f>
        <v>0</v>
      </c>
      <c r="I358" s="96"/>
      <c r="J358" s="96"/>
      <c r="K358" s="98"/>
      <c r="L358" s="96"/>
    </row>
    <row r="359" spans="2:12">
      <c r="B359" s="96"/>
      <c r="C359" s="96"/>
      <c r="D359" s="97"/>
      <c r="E359" s="97"/>
      <c r="F359" s="196"/>
      <c r="G359" s="103" t="str">
        <f>IF(TblUnitCost[[#This Row],[Currency]]=LCU, TblUnitCost[[#This Row],[Cost]], IF(TblUnitCost[[#This Row],[Currency]]=ACU, TblUnitCost[[#This Row],[Cost]]*FX_Rate, "Check Ref Currency"))</f>
        <v>Check Ref Currency</v>
      </c>
      <c r="H359" s="103">
        <f>TblUnitCost[[#This Row],[Cost]]/1600</f>
        <v>0</v>
      </c>
      <c r="I359" s="96"/>
      <c r="J359" s="96"/>
      <c r="K359" s="98"/>
      <c r="L359" s="96"/>
    </row>
    <row r="360" spans="2:12">
      <c r="B360" s="96"/>
      <c r="C360" s="96"/>
      <c r="D360" s="97"/>
      <c r="E360" s="97"/>
      <c r="F360" s="196"/>
      <c r="G360" s="103" t="str">
        <f>IF(TblUnitCost[[#This Row],[Currency]]=LCU, TblUnitCost[[#This Row],[Cost]], IF(TblUnitCost[[#This Row],[Currency]]=ACU, TblUnitCost[[#This Row],[Cost]]*FX_Rate, "Check Ref Currency"))</f>
        <v>Check Ref Currency</v>
      </c>
      <c r="H360" s="103">
        <f>TblUnitCost[[#This Row],[Cost]]/1600</f>
        <v>0</v>
      </c>
      <c r="I360" s="96"/>
      <c r="J360" s="96"/>
      <c r="K360" s="98"/>
      <c r="L360" s="96"/>
    </row>
    <row r="361" spans="2:12">
      <c r="B361" s="96"/>
      <c r="C361" s="96"/>
      <c r="D361" s="97"/>
      <c r="E361" s="97"/>
      <c r="F361" s="196"/>
      <c r="G361" s="103" t="str">
        <f>IF(TblUnitCost[[#This Row],[Currency]]=LCU, TblUnitCost[[#This Row],[Cost]], IF(TblUnitCost[[#This Row],[Currency]]=ACU, TblUnitCost[[#This Row],[Cost]]*FX_Rate, "Check Ref Currency"))</f>
        <v>Check Ref Currency</v>
      </c>
      <c r="H361" s="103">
        <f>TblUnitCost[[#This Row],[Cost]]/1600</f>
        <v>0</v>
      </c>
      <c r="I361" s="96"/>
      <c r="J361" s="96"/>
      <c r="K361" s="98"/>
      <c r="L361" s="96"/>
    </row>
    <row r="362" spans="2:12">
      <c r="B362" s="96"/>
      <c r="C362" s="96"/>
      <c r="D362" s="97"/>
      <c r="E362" s="97"/>
      <c r="F362" s="196"/>
      <c r="G362" s="103" t="str">
        <f>IF(TblUnitCost[[#This Row],[Currency]]=LCU, TblUnitCost[[#This Row],[Cost]], IF(TblUnitCost[[#This Row],[Currency]]=ACU, TblUnitCost[[#This Row],[Cost]]*FX_Rate, "Check Ref Currency"))</f>
        <v>Check Ref Currency</v>
      </c>
      <c r="H362" s="103">
        <f>TblUnitCost[[#This Row],[Cost]]/1600</f>
        <v>0</v>
      </c>
      <c r="I362" s="96"/>
      <c r="J362" s="96"/>
      <c r="K362" s="98"/>
      <c r="L362" s="96"/>
    </row>
    <row r="363" spans="2:12">
      <c r="B363" s="96"/>
      <c r="C363" s="96"/>
      <c r="D363" s="97"/>
      <c r="E363" s="97"/>
      <c r="F363" s="196"/>
      <c r="G363" s="103" t="str">
        <f>IF(TblUnitCost[[#This Row],[Currency]]=LCU, TblUnitCost[[#This Row],[Cost]], IF(TblUnitCost[[#This Row],[Currency]]=ACU, TblUnitCost[[#This Row],[Cost]]*FX_Rate, "Check Ref Currency"))</f>
        <v>Check Ref Currency</v>
      </c>
      <c r="H363" s="103">
        <f>TblUnitCost[[#This Row],[Cost]]/1600</f>
        <v>0</v>
      </c>
      <c r="I363" s="96"/>
      <c r="J363" s="96"/>
      <c r="K363" s="98"/>
      <c r="L363" s="96"/>
    </row>
    <row r="364" spans="2:12">
      <c r="B364" s="96"/>
      <c r="C364" s="96"/>
      <c r="D364" s="97"/>
      <c r="E364" s="97"/>
      <c r="F364" s="196"/>
      <c r="G364" s="103" t="str">
        <f>IF(TblUnitCost[[#This Row],[Currency]]=LCU, TblUnitCost[[#This Row],[Cost]], IF(TblUnitCost[[#This Row],[Currency]]=ACU, TblUnitCost[[#This Row],[Cost]]*FX_Rate, "Check Ref Currency"))</f>
        <v>Check Ref Currency</v>
      </c>
      <c r="H364" s="103">
        <f>TblUnitCost[[#This Row],[Cost]]/1600</f>
        <v>0</v>
      </c>
      <c r="I364" s="96"/>
      <c r="J364" s="96"/>
      <c r="K364" s="98"/>
      <c r="L364" s="96"/>
    </row>
    <row r="365" spans="2:12">
      <c r="B365" s="96"/>
      <c r="C365" s="96"/>
      <c r="D365" s="97"/>
      <c r="E365" s="97"/>
      <c r="F365" s="196"/>
      <c r="G365" s="103" t="str">
        <f>IF(TblUnitCost[[#This Row],[Currency]]=LCU, TblUnitCost[[#This Row],[Cost]], IF(TblUnitCost[[#This Row],[Currency]]=ACU, TblUnitCost[[#This Row],[Cost]]*FX_Rate, "Check Ref Currency"))</f>
        <v>Check Ref Currency</v>
      </c>
      <c r="H365" s="103">
        <f>TblUnitCost[[#This Row],[Cost]]/1600</f>
        <v>0</v>
      </c>
      <c r="I365" s="96"/>
      <c r="J365" s="96"/>
      <c r="K365" s="98"/>
      <c r="L365" s="96"/>
    </row>
    <row r="366" spans="2:12">
      <c r="B366" s="96"/>
      <c r="C366" s="96"/>
      <c r="D366" s="97"/>
      <c r="E366" s="97"/>
      <c r="F366" s="196"/>
      <c r="G366" s="103" t="str">
        <f>IF(TblUnitCost[[#This Row],[Currency]]=LCU, TblUnitCost[[#This Row],[Cost]], IF(TblUnitCost[[#This Row],[Currency]]=ACU, TblUnitCost[[#This Row],[Cost]]*FX_Rate, "Check Ref Currency"))</f>
        <v>Check Ref Currency</v>
      </c>
      <c r="H366" s="103">
        <f>TblUnitCost[[#This Row],[Cost]]/1600</f>
        <v>0</v>
      </c>
      <c r="I366" s="96"/>
      <c r="J366" s="96"/>
      <c r="K366" s="98"/>
      <c r="L366" s="96"/>
    </row>
    <row r="367" spans="2:12">
      <c r="B367" s="96"/>
      <c r="C367" s="96"/>
      <c r="D367" s="97"/>
      <c r="E367" s="97"/>
      <c r="F367" s="196"/>
      <c r="G367" s="103" t="str">
        <f>IF(TblUnitCost[[#This Row],[Currency]]=LCU, TblUnitCost[[#This Row],[Cost]], IF(TblUnitCost[[#This Row],[Currency]]=ACU, TblUnitCost[[#This Row],[Cost]]*FX_Rate, "Check Ref Currency"))</f>
        <v>Check Ref Currency</v>
      </c>
      <c r="H367" s="103">
        <f>TblUnitCost[[#This Row],[Cost]]/1600</f>
        <v>0</v>
      </c>
      <c r="I367" s="96"/>
      <c r="J367" s="96"/>
      <c r="K367" s="98"/>
      <c r="L367" s="96"/>
    </row>
    <row r="368" spans="2:12">
      <c r="B368" s="96"/>
      <c r="C368" s="96"/>
      <c r="D368" s="97"/>
      <c r="E368" s="97"/>
      <c r="F368" s="196"/>
      <c r="G368" s="103" t="str">
        <f>IF(TblUnitCost[[#This Row],[Currency]]=LCU, TblUnitCost[[#This Row],[Cost]], IF(TblUnitCost[[#This Row],[Currency]]=ACU, TblUnitCost[[#This Row],[Cost]]*FX_Rate, "Check Ref Currency"))</f>
        <v>Check Ref Currency</v>
      </c>
      <c r="H368" s="103">
        <f>TblUnitCost[[#This Row],[Cost]]/1600</f>
        <v>0</v>
      </c>
      <c r="I368" s="96"/>
      <c r="J368" s="96"/>
      <c r="K368" s="98"/>
      <c r="L368" s="96"/>
    </row>
    <row r="369" spans="2:12">
      <c r="B369" s="96"/>
      <c r="C369" s="96"/>
      <c r="D369" s="97"/>
      <c r="E369" s="97"/>
      <c r="F369" s="196"/>
      <c r="G369" s="103" t="str">
        <f>IF(TblUnitCost[[#This Row],[Currency]]=LCU, TblUnitCost[[#This Row],[Cost]], IF(TblUnitCost[[#This Row],[Currency]]=ACU, TblUnitCost[[#This Row],[Cost]]*FX_Rate, "Check Ref Currency"))</f>
        <v>Check Ref Currency</v>
      </c>
      <c r="H369" s="103">
        <f>TblUnitCost[[#This Row],[Cost]]/1600</f>
        <v>0</v>
      </c>
      <c r="I369" s="96"/>
      <c r="J369" s="96"/>
      <c r="K369" s="98"/>
      <c r="L369" s="96"/>
    </row>
    <row r="370" spans="2:12">
      <c r="B370" s="96"/>
      <c r="C370" s="96"/>
      <c r="D370" s="97"/>
      <c r="E370" s="97"/>
      <c r="F370" s="196"/>
      <c r="G370" s="103" t="str">
        <f>IF(TblUnitCost[[#This Row],[Currency]]=LCU, TblUnitCost[[#This Row],[Cost]], IF(TblUnitCost[[#This Row],[Currency]]=ACU, TblUnitCost[[#This Row],[Cost]]*FX_Rate, "Check Ref Currency"))</f>
        <v>Check Ref Currency</v>
      </c>
      <c r="H370" s="103">
        <f>TblUnitCost[[#This Row],[Cost]]/1600</f>
        <v>0</v>
      </c>
      <c r="I370" s="96"/>
      <c r="J370" s="96"/>
      <c r="K370" s="98"/>
      <c r="L370" s="96"/>
    </row>
    <row r="371" spans="2:12">
      <c r="B371" s="96"/>
      <c r="C371" s="96"/>
      <c r="D371" s="97"/>
      <c r="E371" s="97"/>
      <c r="F371" s="196"/>
      <c r="G371" s="103" t="str">
        <f>IF(TblUnitCost[[#This Row],[Currency]]=LCU, TblUnitCost[[#This Row],[Cost]], IF(TblUnitCost[[#This Row],[Currency]]=ACU, TblUnitCost[[#This Row],[Cost]]*FX_Rate, "Check Ref Currency"))</f>
        <v>Check Ref Currency</v>
      </c>
      <c r="H371" s="103">
        <f>TblUnitCost[[#This Row],[Cost]]/1600</f>
        <v>0</v>
      </c>
      <c r="I371" s="96"/>
      <c r="J371" s="96"/>
      <c r="K371" s="98"/>
      <c r="L371" s="96"/>
    </row>
    <row r="372" spans="2:12">
      <c r="B372" s="96"/>
      <c r="C372" s="96"/>
      <c r="D372" s="97"/>
      <c r="E372" s="97"/>
      <c r="F372" s="196"/>
      <c r="G372" s="103" t="str">
        <f>IF(TblUnitCost[[#This Row],[Currency]]=LCU, TblUnitCost[[#This Row],[Cost]], IF(TblUnitCost[[#This Row],[Currency]]=ACU, TblUnitCost[[#This Row],[Cost]]*FX_Rate, "Check Ref Currency"))</f>
        <v>Check Ref Currency</v>
      </c>
      <c r="H372" s="103">
        <f>TblUnitCost[[#This Row],[Cost]]/1600</f>
        <v>0</v>
      </c>
      <c r="I372" s="96"/>
      <c r="J372" s="96"/>
      <c r="K372" s="98"/>
      <c r="L372" s="96"/>
    </row>
    <row r="373" spans="2:12">
      <c r="B373" s="96"/>
      <c r="C373" s="96"/>
      <c r="D373" s="97"/>
      <c r="E373" s="97"/>
      <c r="F373" s="196"/>
      <c r="G373" s="103" t="str">
        <f>IF(TblUnitCost[[#This Row],[Currency]]=LCU, TblUnitCost[[#This Row],[Cost]], IF(TblUnitCost[[#This Row],[Currency]]=ACU, TblUnitCost[[#This Row],[Cost]]*FX_Rate, "Check Ref Currency"))</f>
        <v>Check Ref Currency</v>
      </c>
      <c r="H373" s="103">
        <f>TblUnitCost[[#This Row],[Cost]]/1600</f>
        <v>0</v>
      </c>
      <c r="I373" s="96"/>
      <c r="J373" s="96"/>
      <c r="K373" s="98"/>
      <c r="L373" s="96"/>
    </row>
    <row r="374" spans="2:12">
      <c r="B374" s="96"/>
      <c r="C374" s="96"/>
      <c r="D374" s="97"/>
      <c r="E374" s="97"/>
      <c r="F374" s="196"/>
      <c r="G374" s="103" t="str">
        <f>IF(TblUnitCost[[#This Row],[Currency]]=LCU, TblUnitCost[[#This Row],[Cost]], IF(TblUnitCost[[#This Row],[Currency]]=ACU, TblUnitCost[[#This Row],[Cost]]*FX_Rate, "Check Ref Currency"))</f>
        <v>Check Ref Currency</v>
      </c>
      <c r="H374" s="103">
        <f>TblUnitCost[[#This Row],[Cost]]/1600</f>
        <v>0</v>
      </c>
      <c r="I374" s="96"/>
      <c r="J374" s="96"/>
      <c r="K374" s="98"/>
      <c r="L374" s="96"/>
    </row>
    <row r="375" spans="2:12">
      <c r="B375" s="96"/>
      <c r="C375" s="96"/>
      <c r="D375" s="97"/>
      <c r="E375" s="97"/>
      <c r="F375" s="196"/>
      <c r="G375" s="103" t="str">
        <f>IF(TblUnitCost[[#This Row],[Currency]]=LCU, TblUnitCost[[#This Row],[Cost]], IF(TblUnitCost[[#This Row],[Currency]]=ACU, TblUnitCost[[#This Row],[Cost]]*FX_Rate, "Check Ref Currency"))</f>
        <v>Check Ref Currency</v>
      </c>
      <c r="H375" s="103">
        <f>TblUnitCost[[#This Row],[Cost]]/1600</f>
        <v>0</v>
      </c>
      <c r="I375" s="96"/>
      <c r="J375" s="96"/>
      <c r="K375" s="98"/>
      <c r="L375" s="96"/>
    </row>
    <row r="376" spans="2:12">
      <c r="B376" s="96"/>
      <c r="C376" s="96"/>
      <c r="D376" s="97"/>
      <c r="E376" s="97"/>
      <c r="F376" s="196"/>
      <c r="G376" s="103" t="str">
        <f>IF(TblUnitCost[[#This Row],[Currency]]=LCU, TblUnitCost[[#This Row],[Cost]], IF(TblUnitCost[[#This Row],[Currency]]=ACU, TblUnitCost[[#This Row],[Cost]]*FX_Rate, "Check Ref Currency"))</f>
        <v>Check Ref Currency</v>
      </c>
      <c r="H376" s="103">
        <f>TblUnitCost[[#This Row],[Cost]]/1600</f>
        <v>0</v>
      </c>
      <c r="I376" s="96"/>
      <c r="J376" s="96"/>
      <c r="K376" s="98"/>
      <c r="L376" s="96"/>
    </row>
    <row r="377" spans="2:12">
      <c r="B377" s="96"/>
      <c r="C377" s="96"/>
      <c r="D377" s="97"/>
      <c r="E377" s="97"/>
      <c r="F377" s="196"/>
      <c r="G377" s="103" t="str">
        <f>IF(TblUnitCost[[#This Row],[Currency]]=LCU, TblUnitCost[[#This Row],[Cost]], IF(TblUnitCost[[#This Row],[Currency]]=ACU, TblUnitCost[[#This Row],[Cost]]*FX_Rate, "Check Ref Currency"))</f>
        <v>Check Ref Currency</v>
      </c>
      <c r="H377" s="103">
        <f>TblUnitCost[[#This Row],[Cost]]/1600</f>
        <v>0</v>
      </c>
      <c r="I377" s="96"/>
      <c r="J377" s="96"/>
      <c r="K377" s="98"/>
      <c r="L377" s="96"/>
    </row>
    <row r="378" spans="2:12">
      <c r="B378" s="96"/>
      <c r="C378" s="96"/>
      <c r="D378" s="97"/>
      <c r="E378" s="97"/>
      <c r="F378" s="196"/>
      <c r="G378" s="103" t="str">
        <f>IF(TblUnitCost[[#This Row],[Currency]]=LCU, TblUnitCost[[#This Row],[Cost]], IF(TblUnitCost[[#This Row],[Currency]]=ACU, TblUnitCost[[#This Row],[Cost]]*FX_Rate, "Check Ref Currency"))</f>
        <v>Check Ref Currency</v>
      </c>
      <c r="H378" s="103">
        <f>TblUnitCost[[#This Row],[Cost]]/1600</f>
        <v>0</v>
      </c>
      <c r="I378" s="96"/>
      <c r="J378" s="96"/>
      <c r="K378" s="98"/>
      <c r="L378" s="96"/>
    </row>
    <row r="379" spans="2:12">
      <c r="B379" s="96"/>
      <c r="C379" s="96"/>
      <c r="D379" s="97"/>
      <c r="E379" s="97"/>
      <c r="F379" s="196"/>
      <c r="G379" s="103" t="str">
        <f>IF(TblUnitCost[[#This Row],[Currency]]=LCU, TblUnitCost[[#This Row],[Cost]], IF(TblUnitCost[[#This Row],[Currency]]=ACU, TblUnitCost[[#This Row],[Cost]]*FX_Rate, "Check Ref Currency"))</f>
        <v>Check Ref Currency</v>
      </c>
      <c r="H379" s="103">
        <f>TblUnitCost[[#This Row],[Cost]]/1600</f>
        <v>0</v>
      </c>
      <c r="I379" s="96"/>
      <c r="J379" s="96"/>
      <c r="K379" s="98"/>
      <c r="L379" s="96"/>
    </row>
    <row r="380" spans="2:12">
      <c r="B380" s="96"/>
      <c r="C380" s="96"/>
      <c r="D380" s="97"/>
      <c r="E380" s="97"/>
      <c r="F380" s="196"/>
      <c r="G380" s="103" t="str">
        <f>IF(TblUnitCost[[#This Row],[Currency]]=LCU, TblUnitCost[[#This Row],[Cost]], IF(TblUnitCost[[#This Row],[Currency]]=ACU, TblUnitCost[[#This Row],[Cost]]*FX_Rate, "Check Ref Currency"))</f>
        <v>Check Ref Currency</v>
      </c>
      <c r="H380" s="103">
        <f>TblUnitCost[[#This Row],[Cost]]/1600</f>
        <v>0</v>
      </c>
      <c r="I380" s="96"/>
      <c r="J380" s="96"/>
      <c r="K380" s="98"/>
      <c r="L380" s="96"/>
    </row>
    <row r="381" spans="2:12">
      <c r="B381" s="96"/>
      <c r="C381" s="96"/>
      <c r="D381" s="97"/>
      <c r="E381" s="97"/>
      <c r="F381" s="196"/>
      <c r="G381" s="103" t="str">
        <f>IF(TblUnitCost[[#This Row],[Currency]]=LCU, TblUnitCost[[#This Row],[Cost]], IF(TblUnitCost[[#This Row],[Currency]]=ACU, TblUnitCost[[#This Row],[Cost]]*FX_Rate, "Check Ref Currency"))</f>
        <v>Check Ref Currency</v>
      </c>
      <c r="H381" s="103">
        <f>TblUnitCost[[#This Row],[Cost]]/1600</f>
        <v>0</v>
      </c>
      <c r="I381" s="96"/>
      <c r="J381" s="96"/>
      <c r="K381" s="98"/>
      <c r="L381" s="96"/>
    </row>
    <row r="382" spans="2:12">
      <c r="B382" s="96"/>
      <c r="C382" s="96"/>
      <c r="D382" s="97"/>
      <c r="E382" s="97"/>
      <c r="F382" s="196"/>
      <c r="G382" s="103" t="str">
        <f>IF(TblUnitCost[[#This Row],[Currency]]=LCU, TblUnitCost[[#This Row],[Cost]], IF(TblUnitCost[[#This Row],[Currency]]=ACU, TblUnitCost[[#This Row],[Cost]]*FX_Rate, "Check Ref Currency"))</f>
        <v>Check Ref Currency</v>
      </c>
      <c r="H382" s="103">
        <f>TblUnitCost[[#This Row],[Cost]]/1600</f>
        <v>0</v>
      </c>
      <c r="I382" s="96"/>
      <c r="J382" s="96"/>
      <c r="K382" s="98"/>
      <c r="L382" s="96"/>
    </row>
    <row r="383" spans="2:12">
      <c r="B383" s="96"/>
      <c r="C383" s="96"/>
      <c r="D383" s="97"/>
      <c r="E383" s="97"/>
      <c r="F383" s="196"/>
      <c r="G383" s="103" t="str">
        <f>IF(TblUnitCost[[#This Row],[Currency]]=LCU, TblUnitCost[[#This Row],[Cost]], IF(TblUnitCost[[#This Row],[Currency]]=ACU, TblUnitCost[[#This Row],[Cost]]*FX_Rate, "Check Ref Currency"))</f>
        <v>Check Ref Currency</v>
      </c>
      <c r="H383" s="103">
        <f>TblUnitCost[[#This Row],[Cost]]/1600</f>
        <v>0</v>
      </c>
      <c r="I383" s="96"/>
      <c r="J383" s="96"/>
      <c r="K383" s="98"/>
      <c r="L383" s="96"/>
    </row>
    <row r="384" spans="2:12">
      <c r="B384" s="96"/>
      <c r="C384" s="96"/>
      <c r="D384" s="97"/>
      <c r="E384" s="97"/>
      <c r="F384" s="196"/>
      <c r="G384" s="103" t="str">
        <f>IF(TblUnitCost[[#This Row],[Currency]]=LCU, TblUnitCost[[#This Row],[Cost]], IF(TblUnitCost[[#This Row],[Currency]]=ACU, TblUnitCost[[#This Row],[Cost]]*FX_Rate, "Check Ref Currency"))</f>
        <v>Check Ref Currency</v>
      </c>
      <c r="H384" s="103">
        <f>TblUnitCost[[#This Row],[Cost]]/1600</f>
        <v>0</v>
      </c>
      <c r="I384" s="96"/>
      <c r="J384" s="96"/>
      <c r="K384" s="98"/>
      <c r="L384" s="96"/>
    </row>
    <row r="385" spans="2:12">
      <c r="B385" s="96"/>
      <c r="C385" s="96"/>
      <c r="D385" s="97"/>
      <c r="E385" s="97"/>
      <c r="F385" s="196"/>
      <c r="G385" s="103" t="str">
        <f>IF(TblUnitCost[[#This Row],[Currency]]=LCU, TblUnitCost[[#This Row],[Cost]], IF(TblUnitCost[[#This Row],[Currency]]=ACU, TblUnitCost[[#This Row],[Cost]]*FX_Rate, "Check Ref Currency"))</f>
        <v>Check Ref Currency</v>
      </c>
      <c r="H385" s="103">
        <f>TblUnitCost[[#This Row],[Cost]]/1600</f>
        <v>0</v>
      </c>
      <c r="I385" s="96"/>
      <c r="J385" s="96"/>
      <c r="K385" s="98"/>
      <c r="L385" s="96"/>
    </row>
    <row r="386" spans="2:12">
      <c r="B386" s="96"/>
      <c r="C386" s="96"/>
      <c r="D386" s="97"/>
      <c r="E386" s="97"/>
      <c r="F386" s="196"/>
      <c r="G386" s="103" t="str">
        <f>IF(TblUnitCost[[#This Row],[Currency]]=LCU, TblUnitCost[[#This Row],[Cost]], IF(TblUnitCost[[#This Row],[Currency]]=ACU, TblUnitCost[[#This Row],[Cost]]*FX_Rate, "Check Ref Currency"))</f>
        <v>Check Ref Currency</v>
      </c>
      <c r="H386" s="103">
        <f>TblUnitCost[[#This Row],[Cost]]/1600</f>
        <v>0</v>
      </c>
      <c r="I386" s="96"/>
      <c r="J386" s="96"/>
      <c r="K386" s="98"/>
      <c r="L386" s="96"/>
    </row>
    <row r="387" spans="2:12">
      <c r="B387" s="96"/>
      <c r="C387" s="96"/>
      <c r="D387" s="97"/>
      <c r="E387" s="97"/>
      <c r="F387" s="196"/>
      <c r="G387" s="103" t="str">
        <f>IF(TblUnitCost[[#This Row],[Currency]]=LCU, TblUnitCost[[#This Row],[Cost]], IF(TblUnitCost[[#This Row],[Currency]]=ACU, TblUnitCost[[#This Row],[Cost]]*FX_Rate, "Check Ref Currency"))</f>
        <v>Check Ref Currency</v>
      </c>
      <c r="H387" s="103">
        <f>TblUnitCost[[#This Row],[Cost]]/1600</f>
        <v>0</v>
      </c>
      <c r="I387" s="96"/>
      <c r="J387" s="96"/>
      <c r="K387" s="98"/>
      <c r="L387" s="96"/>
    </row>
    <row r="388" spans="2:12">
      <c r="B388" s="96"/>
      <c r="C388" s="96"/>
      <c r="D388" s="97"/>
      <c r="E388" s="97"/>
      <c r="F388" s="196"/>
      <c r="G388" s="103" t="str">
        <f>IF(TblUnitCost[[#This Row],[Currency]]=LCU, TblUnitCost[[#This Row],[Cost]], IF(TblUnitCost[[#This Row],[Currency]]=ACU, TblUnitCost[[#This Row],[Cost]]*FX_Rate, "Check Ref Currency"))</f>
        <v>Check Ref Currency</v>
      </c>
      <c r="H388" s="103">
        <f>TblUnitCost[[#This Row],[Cost]]/1600</f>
        <v>0</v>
      </c>
      <c r="I388" s="96"/>
      <c r="J388" s="96"/>
      <c r="K388" s="98"/>
      <c r="L388" s="96"/>
    </row>
    <row r="389" spans="2:12">
      <c r="B389" s="96"/>
      <c r="C389" s="96"/>
      <c r="D389" s="97"/>
      <c r="E389" s="97"/>
      <c r="F389" s="196"/>
      <c r="G389" s="103" t="str">
        <f>IF(TblUnitCost[[#This Row],[Currency]]=LCU, TblUnitCost[[#This Row],[Cost]], IF(TblUnitCost[[#This Row],[Currency]]=ACU, TblUnitCost[[#This Row],[Cost]]*FX_Rate, "Check Ref Currency"))</f>
        <v>Check Ref Currency</v>
      </c>
      <c r="H389" s="103">
        <f>TblUnitCost[[#This Row],[Cost]]/1600</f>
        <v>0</v>
      </c>
      <c r="I389" s="96"/>
      <c r="J389" s="96"/>
      <c r="K389" s="98"/>
      <c r="L389" s="96"/>
    </row>
    <row r="390" spans="2:12">
      <c r="B390" s="96"/>
      <c r="C390" s="96"/>
      <c r="D390" s="97"/>
      <c r="E390" s="97"/>
      <c r="F390" s="196"/>
      <c r="G390" s="103" t="str">
        <f>IF(TblUnitCost[[#This Row],[Currency]]=LCU, TblUnitCost[[#This Row],[Cost]], IF(TblUnitCost[[#This Row],[Currency]]=ACU, TblUnitCost[[#This Row],[Cost]]*FX_Rate, "Check Ref Currency"))</f>
        <v>Check Ref Currency</v>
      </c>
      <c r="H390" s="103">
        <f>TblUnitCost[[#This Row],[Cost]]/1600</f>
        <v>0</v>
      </c>
      <c r="I390" s="96"/>
      <c r="J390" s="96"/>
      <c r="K390" s="98"/>
      <c r="L390" s="96"/>
    </row>
    <row r="391" spans="2:12">
      <c r="B391" s="96"/>
      <c r="C391" s="96"/>
      <c r="D391" s="97"/>
      <c r="E391" s="97"/>
      <c r="F391" s="196"/>
      <c r="G391" s="103" t="str">
        <f>IF(TblUnitCost[[#This Row],[Currency]]=LCU, TblUnitCost[[#This Row],[Cost]], IF(TblUnitCost[[#This Row],[Currency]]=ACU, TblUnitCost[[#This Row],[Cost]]*FX_Rate, "Check Ref Currency"))</f>
        <v>Check Ref Currency</v>
      </c>
      <c r="H391" s="103">
        <f>TblUnitCost[[#This Row],[Cost]]/1600</f>
        <v>0</v>
      </c>
      <c r="I391" s="96"/>
      <c r="J391" s="96"/>
      <c r="K391" s="98"/>
      <c r="L391" s="96"/>
    </row>
    <row r="392" spans="2:12">
      <c r="B392" s="96"/>
      <c r="C392" s="96"/>
      <c r="D392" s="97"/>
      <c r="E392" s="97"/>
      <c r="F392" s="196"/>
      <c r="G392" s="103" t="str">
        <f>IF(TblUnitCost[[#This Row],[Currency]]=LCU, TblUnitCost[[#This Row],[Cost]], IF(TblUnitCost[[#This Row],[Currency]]=ACU, TblUnitCost[[#This Row],[Cost]]*FX_Rate, "Check Ref Currency"))</f>
        <v>Check Ref Currency</v>
      </c>
      <c r="H392" s="103">
        <f>TblUnitCost[[#This Row],[Cost]]/1600</f>
        <v>0</v>
      </c>
      <c r="I392" s="96"/>
      <c r="J392" s="96"/>
      <c r="K392" s="98"/>
      <c r="L392" s="96"/>
    </row>
    <row r="393" spans="2:12">
      <c r="B393" s="96"/>
      <c r="C393" s="96"/>
      <c r="D393" s="97"/>
      <c r="E393" s="97"/>
      <c r="F393" s="196"/>
      <c r="G393" s="103" t="str">
        <f>IF(TblUnitCost[[#This Row],[Currency]]=LCU, TblUnitCost[[#This Row],[Cost]], IF(TblUnitCost[[#This Row],[Currency]]=ACU, TblUnitCost[[#This Row],[Cost]]*FX_Rate, "Check Ref Currency"))</f>
        <v>Check Ref Currency</v>
      </c>
      <c r="H393" s="103">
        <f>TblUnitCost[[#This Row],[Cost]]/1600</f>
        <v>0</v>
      </c>
      <c r="I393" s="96"/>
      <c r="J393" s="96"/>
      <c r="K393" s="98"/>
      <c r="L393" s="96"/>
    </row>
    <row r="394" spans="2:12">
      <c r="B394" s="96"/>
      <c r="C394" s="96"/>
      <c r="D394" s="97"/>
      <c r="E394" s="97"/>
      <c r="F394" s="196"/>
      <c r="G394" s="103" t="str">
        <f>IF(TblUnitCost[[#This Row],[Currency]]=LCU, TblUnitCost[[#This Row],[Cost]], IF(TblUnitCost[[#This Row],[Currency]]=ACU, TblUnitCost[[#This Row],[Cost]]*FX_Rate, "Check Ref Currency"))</f>
        <v>Check Ref Currency</v>
      </c>
      <c r="H394" s="103">
        <f>TblUnitCost[[#This Row],[Cost]]/1600</f>
        <v>0</v>
      </c>
      <c r="I394" s="96"/>
      <c r="J394" s="96"/>
      <c r="K394" s="98"/>
      <c r="L394" s="96"/>
    </row>
    <row r="395" spans="2:12">
      <c r="B395" s="96"/>
      <c r="C395" s="96"/>
      <c r="D395" s="97"/>
      <c r="E395" s="97"/>
      <c r="F395" s="196"/>
      <c r="G395" s="103" t="str">
        <f>IF(TblUnitCost[[#This Row],[Currency]]=LCU, TblUnitCost[[#This Row],[Cost]], IF(TblUnitCost[[#This Row],[Currency]]=ACU, TblUnitCost[[#This Row],[Cost]]*FX_Rate, "Check Ref Currency"))</f>
        <v>Check Ref Currency</v>
      </c>
      <c r="H395" s="103">
        <f>TblUnitCost[[#This Row],[Cost]]/1600</f>
        <v>0</v>
      </c>
      <c r="I395" s="96"/>
      <c r="J395" s="96"/>
      <c r="K395" s="98"/>
      <c r="L395" s="96"/>
    </row>
    <row r="396" spans="2:12">
      <c r="B396" s="96"/>
      <c r="C396" s="96"/>
      <c r="D396" s="97"/>
      <c r="E396" s="97"/>
      <c r="F396" s="196"/>
      <c r="G396" s="103" t="str">
        <f>IF(TblUnitCost[[#This Row],[Currency]]=LCU, TblUnitCost[[#This Row],[Cost]], IF(TblUnitCost[[#This Row],[Currency]]=ACU, TblUnitCost[[#This Row],[Cost]]*FX_Rate, "Check Ref Currency"))</f>
        <v>Check Ref Currency</v>
      </c>
      <c r="H396" s="103">
        <f>TblUnitCost[[#This Row],[Cost]]/1600</f>
        <v>0</v>
      </c>
      <c r="I396" s="96"/>
      <c r="J396" s="96"/>
      <c r="K396" s="98"/>
      <c r="L396" s="96"/>
    </row>
    <row r="397" spans="2:12">
      <c r="B397" s="96"/>
      <c r="C397" s="96"/>
      <c r="D397" s="97"/>
      <c r="E397" s="97"/>
      <c r="F397" s="196"/>
      <c r="G397" s="103" t="str">
        <f>IF(TblUnitCost[[#This Row],[Currency]]=LCU, TblUnitCost[[#This Row],[Cost]], IF(TblUnitCost[[#This Row],[Currency]]=ACU, TblUnitCost[[#This Row],[Cost]]*FX_Rate, "Check Ref Currency"))</f>
        <v>Check Ref Currency</v>
      </c>
      <c r="H397" s="103">
        <f>TblUnitCost[[#This Row],[Cost]]/1600</f>
        <v>0</v>
      </c>
      <c r="I397" s="96"/>
      <c r="J397" s="96"/>
      <c r="K397" s="98"/>
      <c r="L397" s="96"/>
    </row>
    <row r="398" spans="2:12">
      <c r="B398" s="96"/>
      <c r="C398" s="96"/>
      <c r="D398" s="97"/>
      <c r="E398" s="97"/>
      <c r="F398" s="196"/>
      <c r="G398" s="103" t="str">
        <f>IF(TblUnitCost[[#This Row],[Currency]]=LCU, TblUnitCost[[#This Row],[Cost]], IF(TblUnitCost[[#This Row],[Currency]]=ACU, TblUnitCost[[#This Row],[Cost]]*FX_Rate, "Check Ref Currency"))</f>
        <v>Check Ref Currency</v>
      </c>
      <c r="H398" s="103">
        <f>TblUnitCost[[#This Row],[Cost]]/1600</f>
        <v>0</v>
      </c>
      <c r="I398" s="96"/>
      <c r="J398" s="96"/>
      <c r="K398" s="98"/>
      <c r="L398" s="96"/>
    </row>
    <row r="399" spans="2:12">
      <c r="B399" s="96"/>
      <c r="C399" s="96"/>
      <c r="D399" s="97"/>
      <c r="E399" s="97"/>
      <c r="F399" s="196"/>
      <c r="G399" s="103" t="str">
        <f>IF(TblUnitCost[[#This Row],[Currency]]=LCU, TblUnitCost[[#This Row],[Cost]], IF(TblUnitCost[[#This Row],[Currency]]=ACU, TblUnitCost[[#This Row],[Cost]]*FX_Rate, "Check Ref Currency"))</f>
        <v>Check Ref Currency</v>
      </c>
      <c r="H399" s="103">
        <f>TblUnitCost[[#This Row],[Cost]]/1600</f>
        <v>0</v>
      </c>
      <c r="I399" s="96"/>
      <c r="J399" s="96"/>
      <c r="K399" s="98"/>
      <c r="L399" s="96"/>
    </row>
    <row r="400" spans="2:12">
      <c r="B400" s="96"/>
      <c r="C400" s="96"/>
      <c r="D400" s="97"/>
      <c r="E400" s="97"/>
      <c r="F400" s="196"/>
      <c r="G400" s="103" t="str">
        <f>IF(TblUnitCost[[#This Row],[Currency]]=LCU, TblUnitCost[[#This Row],[Cost]], IF(TblUnitCost[[#This Row],[Currency]]=ACU, TblUnitCost[[#This Row],[Cost]]*FX_Rate, "Check Ref Currency"))</f>
        <v>Check Ref Currency</v>
      </c>
      <c r="H400" s="103">
        <f>TblUnitCost[[#This Row],[Cost]]/1600</f>
        <v>0</v>
      </c>
      <c r="I400" s="96"/>
      <c r="J400" s="96"/>
      <c r="K400" s="98"/>
      <c r="L400" s="96"/>
    </row>
    <row r="401" spans="2:12">
      <c r="B401" s="96"/>
      <c r="C401" s="96"/>
      <c r="D401" s="97"/>
      <c r="E401" s="97"/>
      <c r="F401" s="196"/>
      <c r="G401" s="103" t="str">
        <f>IF(TblUnitCost[[#This Row],[Currency]]=LCU, TblUnitCost[[#This Row],[Cost]], IF(TblUnitCost[[#This Row],[Currency]]=ACU, TblUnitCost[[#This Row],[Cost]]*FX_Rate, "Check Ref Currency"))</f>
        <v>Check Ref Currency</v>
      </c>
      <c r="H401" s="103">
        <f>TblUnitCost[[#This Row],[Cost]]/1600</f>
        <v>0</v>
      </c>
      <c r="I401" s="96"/>
      <c r="J401" s="96"/>
      <c r="K401" s="98"/>
      <c r="L401" s="96"/>
    </row>
    <row r="402" spans="2:12">
      <c r="B402" s="96"/>
      <c r="C402" s="96"/>
      <c r="D402" s="97"/>
      <c r="E402" s="97"/>
      <c r="F402" s="196"/>
      <c r="G402" s="103" t="str">
        <f>IF(TblUnitCost[[#This Row],[Currency]]=LCU, TblUnitCost[[#This Row],[Cost]], IF(TblUnitCost[[#This Row],[Currency]]=ACU, TblUnitCost[[#This Row],[Cost]]*FX_Rate, "Check Ref Currency"))</f>
        <v>Check Ref Currency</v>
      </c>
      <c r="H402" s="103">
        <f>TblUnitCost[[#This Row],[Cost]]/1600</f>
        <v>0</v>
      </c>
      <c r="I402" s="96"/>
      <c r="J402" s="96"/>
      <c r="K402" s="98"/>
      <c r="L402" s="96"/>
    </row>
    <row r="403" spans="2:12">
      <c r="B403" s="96"/>
      <c r="C403" s="96"/>
      <c r="D403" s="97"/>
      <c r="E403" s="97"/>
      <c r="F403" s="196"/>
      <c r="G403" s="103" t="str">
        <f>IF(TblUnitCost[[#This Row],[Currency]]=LCU, TblUnitCost[[#This Row],[Cost]], IF(TblUnitCost[[#This Row],[Currency]]=ACU, TblUnitCost[[#This Row],[Cost]]*FX_Rate, "Check Ref Currency"))</f>
        <v>Check Ref Currency</v>
      </c>
      <c r="H403" s="103">
        <f>TblUnitCost[[#This Row],[Cost]]/1600</f>
        <v>0</v>
      </c>
      <c r="I403" s="96"/>
      <c r="J403" s="96"/>
      <c r="K403" s="98"/>
      <c r="L403" s="96"/>
    </row>
    <row r="404" spans="2:12">
      <c r="B404" s="96"/>
      <c r="C404" s="96"/>
      <c r="D404" s="97"/>
      <c r="E404" s="97"/>
      <c r="F404" s="196"/>
      <c r="G404" s="103" t="str">
        <f>IF(TblUnitCost[[#This Row],[Currency]]=LCU, TblUnitCost[[#This Row],[Cost]], IF(TblUnitCost[[#This Row],[Currency]]=ACU, TblUnitCost[[#This Row],[Cost]]*FX_Rate, "Check Ref Currency"))</f>
        <v>Check Ref Currency</v>
      </c>
      <c r="H404" s="103">
        <f>TblUnitCost[[#This Row],[Cost]]/1600</f>
        <v>0</v>
      </c>
      <c r="I404" s="96"/>
      <c r="J404" s="96"/>
      <c r="K404" s="98"/>
      <c r="L404" s="96"/>
    </row>
    <row r="405" spans="2:12">
      <c r="B405" s="96"/>
      <c r="C405" s="96"/>
      <c r="D405" s="97"/>
      <c r="E405" s="97"/>
      <c r="F405" s="196"/>
      <c r="G405" s="103" t="str">
        <f>IF(TblUnitCost[[#This Row],[Currency]]=LCU, TblUnitCost[[#This Row],[Cost]], IF(TblUnitCost[[#This Row],[Currency]]=ACU, TblUnitCost[[#This Row],[Cost]]*FX_Rate, "Check Ref Currency"))</f>
        <v>Check Ref Currency</v>
      </c>
      <c r="H405" s="103">
        <f>TblUnitCost[[#This Row],[Cost]]/1600</f>
        <v>0</v>
      </c>
      <c r="I405" s="96"/>
      <c r="J405" s="96"/>
      <c r="K405" s="98"/>
      <c r="L405" s="96"/>
    </row>
    <row r="406" spans="2:12">
      <c r="B406" s="96"/>
      <c r="C406" s="96"/>
      <c r="D406" s="97"/>
      <c r="E406" s="97"/>
      <c r="F406" s="196"/>
      <c r="G406" s="103" t="str">
        <f>IF(TblUnitCost[[#This Row],[Currency]]=LCU, TblUnitCost[[#This Row],[Cost]], IF(TblUnitCost[[#This Row],[Currency]]=ACU, TblUnitCost[[#This Row],[Cost]]*FX_Rate, "Check Ref Currency"))</f>
        <v>Check Ref Currency</v>
      </c>
      <c r="H406" s="103">
        <f>TblUnitCost[[#This Row],[Cost]]/1600</f>
        <v>0</v>
      </c>
      <c r="I406" s="96"/>
      <c r="J406" s="96"/>
      <c r="K406" s="98"/>
      <c r="L406" s="96"/>
    </row>
    <row r="407" spans="2:12">
      <c r="B407" s="96"/>
      <c r="C407" s="96"/>
      <c r="D407" s="97"/>
      <c r="E407" s="97"/>
      <c r="F407" s="196"/>
      <c r="G407" s="103" t="str">
        <f>IF(TblUnitCost[[#This Row],[Currency]]=LCU, TblUnitCost[[#This Row],[Cost]], IF(TblUnitCost[[#This Row],[Currency]]=ACU, TblUnitCost[[#This Row],[Cost]]*FX_Rate, "Check Ref Currency"))</f>
        <v>Check Ref Currency</v>
      </c>
      <c r="H407" s="103">
        <f>TblUnitCost[[#This Row],[Cost]]/1600</f>
        <v>0</v>
      </c>
      <c r="I407" s="96"/>
      <c r="J407" s="96"/>
      <c r="K407" s="98"/>
      <c r="L407" s="96"/>
    </row>
    <row r="408" spans="2:12">
      <c r="B408" s="96"/>
      <c r="C408" s="96"/>
      <c r="D408" s="97"/>
      <c r="E408" s="97"/>
      <c r="F408" s="196"/>
      <c r="G408" s="103" t="str">
        <f>IF(TblUnitCost[[#This Row],[Currency]]=LCU, TblUnitCost[[#This Row],[Cost]], IF(TblUnitCost[[#This Row],[Currency]]=ACU, TblUnitCost[[#This Row],[Cost]]*FX_Rate, "Check Ref Currency"))</f>
        <v>Check Ref Currency</v>
      </c>
      <c r="H408" s="103">
        <f>TblUnitCost[[#This Row],[Cost]]/1600</f>
        <v>0</v>
      </c>
      <c r="I408" s="96"/>
      <c r="J408" s="96"/>
      <c r="K408" s="98"/>
      <c r="L408" s="96"/>
    </row>
    <row r="409" spans="2:12">
      <c r="B409" s="96"/>
      <c r="C409" s="96"/>
      <c r="D409" s="97"/>
      <c r="E409" s="97"/>
      <c r="F409" s="196"/>
      <c r="G409" s="103" t="str">
        <f>IF(TblUnitCost[[#This Row],[Currency]]=LCU, TblUnitCost[[#This Row],[Cost]], IF(TblUnitCost[[#This Row],[Currency]]=ACU, TblUnitCost[[#This Row],[Cost]]*FX_Rate, "Check Ref Currency"))</f>
        <v>Check Ref Currency</v>
      </c>
      <c r="H409" s="103">
        <f>TblUnitCost[[#This Row],[Cost]]/1600</f>
        <v>0</v>
      </c>
      <c r="I409" s="96"/>
      <c r="J409" s="96"/>
      <c r="K409" s="98"/>
      <c r="L409" s="96"/>
    </row>
    <row r="410" spans="2:12">
      <c r="B410" s="96"/>
      <c r="C410" s="96"/>
      <c r="D410" s="97"/>
      <c r="E410" s="97"/>
      <c r="F410" s="196"/>
      <c r="G410" s="103" t="str">
        <f>IF(TblUnitCost[[#This Row],[Currency]]=LCU, TblUnitCost[[#This Row],[Cost]], IF(TblUnitCost[[#This Row],[Currency]]=ACU, TblUnitCost[[#This Row],[Cost]]*FX_Rate, "Check Ref Currency"))</f>
        <v>Check Ref Currency</v>
      </c>
      <c r="H410" s="103">
        <f>TblUnitCost[[#This Row],[Cost]]/1600</f>
        <v>0</v>
      </c>
      <c r="I410" s="96"/>
      <c r="J410" s="96"/>
      <c r="K410" s="98"/>
      <c r="L410" s="96"/>
    </row>
    <row r="411" spans="2:12">
      <c r="B411" s="96"/>
      <c r="C411" s="96"/>
      <c r="D411" s="97"/>
      <c r="E411" s="97"/>
      <c r="F411" s="196"/>
      <c r="G411" s="103" t="str">
        <f>IF(TblUnitCost[[#This Row],[Currency]]=LCU, TblUnitCost[[#This Row],[Cost]], IF(TblUnitCost[[#This Row],[Currency]]=ACU, TblUnitCost[[#This Row],[Cost]]*FX_Rate, "Check Ref Currency"))</f>
        <v>Check Ref Currency</v>
      </c>
      <c r="H411" s="103">
        <f>TblUnitCost[[#This Row],[Cost]]/1600</f>
        <v>0</v>
      </c>
      <c r="I411" s="96"/>
      <c r="J411" s="96"/>
      <c r="K411" s="98"/>
      <c r="L411" s="96"/>
    </row>
    <row r="412" spans="2:12">
      <c r="B412" s="96"/>
      <c r="C412" s="96"/>
      <c r="D412" s="97"/>
      <c r="E412" s="97"/>
      <c r="F412" s="196"/>
      <c r="G412" s="103" t="str">
        <f>IF(TblUnitCost[[#This Row],[Currency]]=LCU, TblUnitCost[[#This Row],[Cost]], IF(TblUnitCost[[#This Row],[Currency]]=ACU, TblUnitCost[[#This Row],[Cost]]*FX_Rate, "Check Ref Currency"))</f>
        <v>Check Ref Currency</v>
      </c>
      <c r="H412" s="103">
        <f>TblUnitCost[[#This Row],[Cost]]/1600</f>
        <v>0</v>
      </c>
      <c r="I412" s="96"/>
      <c r="J412" s="96"/>
      <c r="K412" s="98"/>
      <c r="L412" s="96"/>
    </row>
    <row r="413" spans="2:12">
      <c r="B413" s="96"/>
      <c r="C413" s="96"/>
      <c r="D413" s="97"/>
      <c r="E413" s="97"/>
      <c r="F413" s="196"/>
      <c r="G413" s="103" t="str">
        <f>IF(TblUnitCost[[#This Row],[Currency]]=LCU, TblUnitCost[[#This Row],[Cost]], IF(TblUnitCost[[#This Row],[Currency]]=ACU, TblUnitCost[[#This Row],[Cost]]*FX_Rate, "Check Ref Currency"))</f>
        <v>Check Ref Currency</v>
      </c>
      <c r="H413" s="103">
        <f>TblUnitCost[[#This Row],[Cost]]/1600</f>
        <v>0</v>
      </c>
      <c r="I413" s="96"/>
      <c r="J413" s="96"/>
      <c r="K413" s="98"/>
      <c r="L413" s="96"/>
    </row>
    <row r="414" spans="2:12">
      <c r="B414" s="96"/>
      <c r="C414" s="96"/>
      <c r="D414" s="97"/>
      <c r="E414" s="97"/>
      <c r="F414" s="196"/>
      <c r="G414" s="103" t="str">
        <f>IF(TblUnitCost[[#This Row],[Currency]]=LCU, TblUnitCost[[#This Row],[Cost]], IF(TblUnitCost[[#This Row],[Currency]]=ACU, TblUnitCost[[#This Row],[Cost]]*FX_Rate, "Check Ref Currency"))</f>
        <v>Check Ref Currency</v>
      </c>
      <c r="H414" s="103">
        <f>TblUnitCost[[#This Row],[Cost]]/1600</f>
        <v>0</v>
      </c>
      <c r="I414" s="96"/>
      <c r="J414" s="96"/>
      <c r="K414" s="98"/>
      <c r="L414" s="96"/>
    </row>
    <row r="415" spans="2:12">
      <c r="B415" s="96"/>
      <c r="C415" s="96"/>
      <c r="D415" s="97"/>
      <c r="E415" s="97"/>
      <c r="F415" s="196"/>
      <c r="G415" s="103" t="str">
        <f>IF(TblUnitCost[[#This Row],[Currency]]=LCU, TblUnitCost[[#This Row],[Cost]], IF(TblUnitCost[[#This Row],[Currency]]=ACU, TblUnitCost[[#This Row],[Cost]]*FX_Rate, "Check Ref Currency"))</f>
        <v>Check Ref Currency</v>
      </c>
      <c r="H415" s="103">
        <f>TblUnitCost[[#This Row],[Cost]]/1600</f>
        <v>0</v>
      </c>
      <c r="I415" s="96"/>
      <c r="J415" s="96"/>
      <c r="K415" s="98"/>
      <c r="L415" s="96"/>
    </row>
    <row r="416" spans="2:12">
      <c r="B416" s="96"/>
      <c r="C416" s="96"/>
      <c r="D416" s="97"/>
      <c r="E416" s="97"/>
      <c r="F416" s="196"/>
      <c r="G416" s="103" t="str">
        <f>IF(TblUnitCost[[#This Row],[Currency]]=LCU, TblUnitCost[[#This Row],[Cost]], IF(TblUnitCost[[#This Row],[Currency]]=ACU, TblUnitCost[[#This Row],[Cost]]*FX_Rate, "Check Ref Currency"))</f>
        <v>Check Ref Currency</v>
      </c>
      <c r="H416" s="103">
        <f>TblUnitCost[[#This Row],[Cost]]/1600</f>
        <v>0</v>
      </c>
      <c r="I416" s="96"/>
      <c r="J416" s="96"/>
      <c r="K416" s="98"/>
      <c r="L416" s="96"/>
    </row>
    <row r="417" spans="2:12">
      <c r="B417" s="96"/>
      <c r="C417" s="96"/>
      <c r="D417" s="97"/>
      <c r="E417" s="97"/>
      <c r="F417" s="196"/>
      <c r="G417" s="103" t="str">
        <f>IF(TblUnitCost[[#This Row],[Currency]]=LCU, TblUnitCost[[#This Row],[Cost]], IF(TblUnitCost[[#This Row],[Currency]]=ACU, TblUnitCost[[#This Row],[Cost]]*FX_Rate, "Check Ref Currency"))</f>
        <v>Check Ref Currency</v>
      </c>
      <c r="H417" s="103">
        <f>TblUnitCost[[#This Row],[Cost]]/1600</f>
        <v>0</v>
      </c>
      <c r="I417" s="96"/>
      <c r="J417" s="96"/>
      <c r="K417" s="98"/>
      <c r="L417" s="96"/>
    </row>
    <row r="418" spans="2:12">
      <c r="B418" s="96"/>
      <c r="C418" s="96"/>
      <c r="D418" s="97"/>
      <c r="E418" s="97"/>
      <c r="F418" s="196"/>
      <c r="G418" s="103" t="str">
        <f>IF(TblUnitCost[[#This Row],[Currency]]=LCU, TblUnitCost[[#This Row],[Cost]], IF(TblUnitCost[[#This Row],[Currency]]=ACU, TblUnitCost[[#This Row],[Cost]]*FX_Rate, "Check Ref Currency"))</f>
        <v>Check Ref Currency</v>
      </c>
      <c r="H418" s="103">
        <f>TblUnitCost[[#This Row],[Cost]]/1600</f>
        <v>0</v>
      </c>
      <c r="I418" s="96"/>
      <c r="J418" s="96"/>
      <c r="K418" s="98"/>
      <c r="L418" s="96"/>
    </row>
    <row r="419" spans="2:12">
      <c r="B419" s="96"/>
      <c r="C419" s="96"/>
      <c r="D419" s="97"/>
      <c r="E419" s="97"/>
      <c r="F419" s="196"/>
      <c r="G419" s="103" t="str">
        <f>IF(TblUnitCost[[#This Row],[Currency]]=LCU, TblUnitCost[[#This Row],[Cost]], IF(TblUnitCost[[#This Row],[Currency]]=ACU, TblUnitCost[[#This Row],[Cost]]*FX_Rate, "Check Ref Currency"))</f>
        <v>Check Ref Currency</v>
      </c>
      <c r="H419" s="103">
        <f>TblUnitCost[[#This Row],[Cost]]/1600</f>
        <v>0</v>
      </c>
      <c r="I419" s="96"/>
      <c r="J419" s="96"/>
      <c r="K419" s="98"/>
      <c r="L419" s="96"/>
    </row>
    <row r="420" spans="2:12">
      <c r="B420" s="96"/>
      <c r="C420" s="96"/>
      <c r="D420" s="97"/>
      <c r="E420" s="97"/>
      <c r="F420" s="196"/>
      <c r="G420" s="103" t="str">
        <f>IF(TblUnitCost[[#This Row],[Currency]]=LCU, TblUnitCost[[#This Row],[Cost]], IF(TblUnitCost[[#This Row],[Currency]]=ACU, TblUnitCost[[#This Row],[Cost]]*FX_Rate, "Check Ref Currency"))</f>
        <v>Check Ref Currency</v>
      </c>
      <c r="H420" s="103">
        <f>TblUnitCost[[#This Row],[Cost]]/1600</f>
        <v>0</v>
      </c>
      <c r="I420" s="96"/>
      <c r="J420" s="96"/>
      <c r="K420" s="98"/>
      <c r="L420" s="96"/>
    </row>
    <row r="421" spans="2:12">
      <c r="B421" s="96"/>
      <c r="C421" s="96"/>
      <c r="D421" s="97"/>
      <c r="E421" s="97"/>
      <c r="F421" s="196"/>
      <c r="G421" s="103" t="str">
        <f>IF(TblUnitCost[[#This Row],[Currency]]=LCU, TblUnitCost[[#This Row],[Cost]], IF(TblUnitCost[[#This Row],[Currency]]=ACU, TblUnitCost[[#This Row],[Cost]]*FX_Rate, "Check Ref Currency"))</f>
        <v>Check Ref Currency</v>
      </c>
      <c r="H421" s="103">
        <f>TblUnitCost[[#This Row],[Cost]]/1600</f>
        <v>0</v>
      </c>
      <c r="I421" s="96"/>
      <c r="J421" s="96"/>
      <c r="K421" s="98"/>
      <c r="L421" s="96"/>
    </row>
    <row r="422" spans="2:12">
      <c r="B422" s="96"/>
      <c r="C422" s="96"/>
      <c r="D422" s="97"/>
      <c r="E422" s="97"/>
      <c r="F422" s="196"/>
      <c r="G422" s="103" t="str">
        <f>IF(TblUnitCost[[#This Row],[Currency]]=LCU, TblUnitCost[[#This Row],[Cost]], IF(TblUnitCost[[#This Row],[Currency]]=ACU, TblUnitCost[[#This Row],[Cost]]*FX_Rate, "Check Ref Currency"))</f>
        <v>Check Ref Currency</v>
      </c>
      <c r="H422" s="103">
        <f>TblUnitCost[[#This Row],[Cost]]/1600</f>
        <v>0</v>
      </c>
      <c r="I422" s="96"/>
      <c r="J422" s="96"/>
      <c r="K422" s="98"/>
      <c r="L422" s="96"/>
    </row>
    <row r="423" spans="2:12">
      <c r="B423" s="96"/>
      <c r="C423" s="96"/>
      <c r="D423" s="97"/>
      <c r="E423" s="97"/>
      <c r="F423" s="196"/>
      <c r="G423" s="103" t="str">
        <f>IF(TblUnitCost[[#This Row],[Currency]]=LCU, TblUnitCost[[#This Row],[Cost]], IF(TblUnitCost[[#This Row],[Currency]]=ACU, TblUnitCost[[#This Row],[Cost]]*FX_Rate, "Check Ref Currency"))</f>
        <v>Check Ref Currency</v>
      </c>
      <c r="H423" s="103">
        <f>TblUnitCost[[#This Row],[Cost]]/1600</f>
        <v>0</v>
      </c>
      <c r="I423" s="96"/>
      <c r="J423" s="96"/>
      <c r="K423" s="98"/>
      <c r="L423" s="96"/>
    </row>
    <row r="424" spans="2:12">
      <c r="B424" s="96"/>
      <c r="C424" s="96"/>
      <c r="D424" s="97"/>
      <c r="E424" s="97"/>
      <c r="F424" s="196"/>
      <c r="G424" s="103" t="str">
        <f>IF(TblUnitCost[[#This Row],[Currency]]=LCU, TblUnitCost[[#This Row],[Cost]], IF(TblUnitCost[[#This Row],[Currency]]=ACU, TblUnitCost[[#This Row],[Cost]]*FX_Rate, "Check Ref Currency"))</f>
        <v>Check Ref Currency</v>
      </c>
      <c r="H424" s="103">
        <f>TblUnitCost[[#This Row],[Cost]]/1600</f>
        <v>0</v>
      </c>
      <c r="I424" s="96"/>
      <c r="J424" s="96"/>
      <c r="K424" s="98"/>
      <c r="L424" s="96"/>
    </row>
    <row r="425" spans="2:12">
      <c r="B425" s="96"/>
      <c r="C425" s="96"/>
      <c r="D425" s="97"/>
      <c r="E425" s="97"/>
      <c r="F425" s="196"/>
      <c r="G425" s="103" t="str">
        <f>IF(TblUnitCost[[#This Row],[Currency]]=LCU, TblUnitCost[[#This Row],[Cost]], IF(TblUnitCost[[#This Row],[Currency]]=ACU, TblUnitCost[[#This Row],[Cost]]*FX_Rate, "Check Ref Currency"))</f>
        <v>Check Ref Currency</v>
      </c>
      <c r="H425" s="103">
        <f>TblUnitCost[[#This Row],[Cost]]/1600</f>
        <v>0</v>
      </c>
      <c r="I425" s="96"/>
      <c r="J425" s="96"/>
      <c r="K425" s="98"/>
      <c r="L425" s="96"/>
    </row>
    <row r="426" spans="2:12">
      <c r="B426" s="96"/>
      <c r="C426" s="96"/>
      <c r="D426" s="97"/>
      <c r="E426" s="97"/>
      <c r="F426" s="196"/>
      <c r="G426" s="103" t="str">
        <f>IF(TblUnitCost[[#This Row],[Currency]]=LCU, TblUnitCost[[#This Row],[Cost]], IF(TblUnitCost[[#This Row],[Currency]]=ACU, TblUnitCost[[#This Row],[Cost]]*FX_Rate, "Check Ref Currency"))</f>
        <v>Check Ref Currency</v>
      </c>
      <c r="H426" s="103">
        <f>TblUnitCost[[#This Row],[Cost]]/1600</f>
        <v>0</v>
      </c>
      <c r="I426" s="96"/>
      <c r="J426" s="96"/>
      <c r="K426" s="98"/>
      <c r="L426" s="96"/>
    </row>
    <row r="427" spans="2:12">
      <c r="B427" s="96"/>
      <c r="C427" s="96"/>
      <c r="D427" s="97"/>
      <c r="E427" s="97"/>
      <c r="F427" s="196"/>
      <c r="G427" s="103" t="str">
        <f>IF(TblUnitCost[[#This Row],[Currency]]=LCU, TblUnitCost[[#This Row],[Cost]], IF(TblUnitCost[[#This Row],[Currency]]=ACU, TblUnitCost[[#This Row],[Cost]]*FX_Rate, "Check Ref Currency"))</f>
        <v>Check Ref Currency</v>
      </c>
      <c r="H427" s="103">
        <f>TblUnitCost[[#This Row],[Cost]]/1600</f>
        <v>0</v>
      </c>
      <c r="I427" s="96"/>
      <c r="J427" s="96"/>
      <c r="K427" s="98"/>
      <c r="L427" s="96"/>
    </row>
    <row r="428" spans="2:12">
      <c r="B428" s="96"/>
      <c r="C428" s="96"/>
      <c r="D428" s="97"/>
      <c r="E428" s="97"/>
      <c r="F428" s="196"/>
      <c r="G428" s="103" t="str">
        <f>IF(TblUnitCost[[#This Row],[Currency]]=LCU, TblUnitCost[[#This Row],[Cost]], IF(TblUnitCost[[#This Row],[Currency]]=ACU, TblUnitCost[[#This Row],[Cost]]*FX_Rate, "Check Ref Currency"))</f>
        <v>Check Ref Currency</v>
      </c>
      <c r="H428" s="103">
        <f>TblUnitCost[[#This Row],[Cost]]/1600</f>
        <v>0</v>
      </c>
      <c r="I428" s="96"/>
      <c r="J428" s="96"/>
      <c r="K428" s="98"/>
      <c r="L428" s="96"/>
    </row>
    <row r="429" spans="2:12">
      <c r="B429" s="96"/>
      <c r="C429" s="96"/>
      <c r="D429" s="97"/>
      <c r="E429" s="97"/>
      <c r="F429" s="196"/>
      <c r="G429" s="103" t="str">
        <f>IF(TblUnitCost[[#This Row],[Currency]]=LCU, TblUnitCost[[#This Row],[Cost]], IF(TblUnitCost[[#This Row],[Currency]]=ACU, TblUnitCost[[#This Row],[Cost]]*FX_Rate, "Check Ref Currency"))</f>
        <v>Check Ref Currency</v>
      </c>
      <c r="H429" s="103">
        <f>TblUnitCost[[#This Row],[Cost]]/1600</f>
        <v>0</v>
      </c>
      <c r="I429" s="96"/>
      <c r="J429" s="96"/>
      <c r="K429" s="98"/>
      <c r="L429" s="96"/>
    </row>
    <row r="430" spans="2:12">
      <c r="B430" s="96"/>
      <c r="C430" s="96"/>
      <c r="D430" s="97"/>
      <c r="E430" s="97"/>
      <c r="F430" s="196"/>
      <c r="G430" s="103" t="str">
        <f>IF(TblUnitCost[[#This Row],[Currency]]=LCU, TblUnitCost[[#This Row],[Cost]], IF(TblUnitCost[[#This Row],[Currency]]=ACU, TblUnitCost[[#This Row],[Cost]]*FX_Rate, "Check Ref Currency"))</f>
        <v>Check Ref Currency</v>
      </c>
      <c r="H430" s="103">
        <f>TblUnitCost[[#This Row],[Cost]]/1600</f>
        <v>0</v>
      </c>
      <c r="I430" s="96"/>
      <c r="J430" s="96"/>
      <c r="K430" s="98"/>
      <c r="L430" s="96"/>
    </row>
    <row r="431" spans="2:12">
      <c r="B431" s="96"/>
      <c r="C431" s="96"/>
      <c r="D431" s="97"/>
      <c r="E431" s="97"/>
      <c r="F431" s="196"/>
      <c r="G431" s="103" t="str">
        <f>IF(TblUnitCost[[#This Row],[Currency]]=LCU, TblUnitCost[[#This Row],[Cost]], IF(TblUnitCost[[#This Row],[Currency]]=ACU, TblUnitCost[[#This Row],[Cost]]*FX_Rate, "Check Ref Currency"))</f>
        <v>Check Ref Currency</v>
      </c>
      <c r="H431" s="103">
        <f>TblUnitCost[[#This Row],[Cost]]/1600</f>
        <v>0</v>
      </c>
      <c r="I431" s="96"/>
      <c r="J431" s="96"/>
      <c r="K431" s="98"/>
      <c r="L431" s="96"/>
    </row>
    <row r="432" spans="2:12">
      <c r="B432" s="96"/>
      <c r="C432" s="96"/>
      <c r="D432" s="97"/>
      <c r="E432" s="97"/>
      <c r="F432" s="196"/>
      <c r="G432" s="103" t="str">
        <f>IF(TblUnitCost[[#This Row],[Currency]]=LCU, TblUnitCost[[#This Row],[Cost]], IF(TblUnitCost[[#This Row],[Currency]]=ACU, TblUnitCost[[#This Row],[Cost]]*FX_Rate, "Check Ref Currency"))</f>
        <v>Check Ref Currency</v>
      </c>
      <c r="H432" s="103">
        <f>TblUnitCost[[#This Row],[Cost]]/1600</f>
        <v>0</v>
      </c>
      <c r="I432" s="96"/>
      <c r="J432" s="96"/>
      <c r="K432" s="98"/>
      <c r="L432" s="96"/>
    </row>
    <row r="433" spans="2:12">
      <c r="B433" s="96"/>
      <c r="C433" s="96"/>
      <c r="D433" s="97"/>
      <c r="E433" s="97"/>
      <c r="F433" s="196"/>
      <c r="G433" s="103" t="str">
        <f>IF(TblUnitCost[[#This Row],[Currency]]=LCU, TblUnitCost[[#This Row],[Cost]], IF(TblUnitCost[[#This Row],[Currency]]=ACU, TblUnitCost[[#This Row],[Cost]]*FX_Rate, "Check Ref Currency"))</f>
        <v>Check Ref Currency</v>
      </c>
      <c r="H433" s="103">
        <f>TblUnitCost[[#This Row],[Cost]]/1600</f>
        <v>0</v>
      </c>
      <c r="I433" s="96"/>
      <c r="J433" s="96"/>
      <c r="K433" s="98"/>
      <c r="L433" s="96"/>
    </row>
    <row r="434" spans="2:12">
      <c r="B434" s="96"/>
      <c r="C434" s="96"/>
      <c r="D434" s="97"/>
      <c r="E434" s="97"/>
      <c r="F434" s="196"/>
      <c r="G434" s="103" t="str">
        <f>IF(TblUnitCost[[#This Row],[Currency]]=LCU, TblUnitCost[[#This Row],[Cost]], IF(TblUnitCost[[#This Row],[Currency]]=ACU, TblUnitCost[[#This Row],[Cost]]*FX_Rate, "Check Ref Currency"))</f>
        <v>Check Ref Currency</v>
      </c>
      <c r="H434" s="103">
        <f>TblUnitCost[[#This Row],[Cost]]/1600</f>
        <v>0</v>
      </c>
      <c r="I434" s="96"/>
      <c r="J434" s="96"/>
      <c r="K434" s="98"/>
      <c r="L434" s="96"/>
    </row>
    <row r="435" spans="2:12">
      <c r="B435" s="96"/>
      <c r="C435" s="96"/>
      <c r="D435" s="97"/>
      <c r="E435" s="97"/>
      <c r="F435" s="196"/>
      <c r="G435" s="103" t="str">
        <f>IF(TblUnitCost[[#This Row],[Currency]]=LCU, TblUnitCost[[#This Row],[Cost]], IF(TblUnitCost[[#This Row],[Currency]]=ACU, TblUnitCost[[#This Row],[Cost]]*FX_Rate, "Check Ref Currency"))</f>
        <v>Check Ref Currency</v>
      </c>
      <c r="H435" s="103">
        <f>TblUnitCost[[#This Row],[Cost]]/1600</f>
        <v>0</v>
      </c>
      <c r="I435" s="96"/>
      <c r="J435" s="96"/>
      <c r="K435" s="98"/>
      <c r="L435" s="96"/>
    </row>
    <row r="436" spans="2:12">
      <c r="B436" s="96"/>
      <c r="C436" s="96"/>
      <c r="D436" s="97"/>
      <c r="E436" s="97"/>
      <c r="F436" s="196"/>
      <c r="G436" s="103" t="str">
        <f>IF(TblUnitCost[[#This Row],[Currency]]=LCU, TblUnitCost[[#This Row],[Cost]], IF(TblUnitCost[[#This Row],[Currency]]=ACU, TblUnitCost[[#This Row],[Cost]]*FX_Rate, "Check Ref Currency"))</f>
        <v>Check Ref Currency</v>
      </c>
      <c r="H436" s="103">
        <f>TblUnitCost[[#This Row],[Cost]]/1600</f>
        <v>0</v>
      </c>
      <c r="I436" s="96"/>
      <c r="J436" s="96"/>
      <c r="K436" s="98"/>
      <c r="L436" s="96"/>
    </row>
    <row r="437" spans="2:12">
      <c r="B437" s="96"/>
      <c r="C437" s="96"/>
      <c r="D437" s="97"/>
      <c r="E437" s="97"/>
      <c r="F437" s="196"/>
      <c r="G437" s="103" t="str">
        <f>IF(TblUnitCost[[#This Row],[Currency]]=LCU, TblUnitCost[[#This Row],[Cost]], IF(TblUnitCost[[#This Row],[Currency]]=ACU, TblUnitCost[[#This Row],[Cost]]*FX_Rate, "Check Ref Currency"))</f>
        <v>Check Ref Currency</v>
      </c>
      <c r="H437" s="103">
        <f>TblUnitCost[[#This Row],[Cost]]/1600</f>
        <v>0</v>
      </c>
      <c r="I437" s="96"/>
      <c r="J437" s="96"/>
      <c r="K437" s="98"/>
      <c r="L437" s="96"/>
    </row>
    <row r="438" spans="2:12">
      <c r="B438" s="96"/>
      <c r="C438" s="96"/>
      <c r="D438" s="97"/>
      <c r="E438" s="97"/>
      <c r="F438" s="196"/>
      <c r="G438" s="103" t="str">
        <f>IF(TblUnitCost[[#This Row],[Currency]]=LCU, TblUnitCost[[#This Row],[Cost]], IF(TblUnitCost[[#This Row],[Currency]]=ACU, TblUnitCost[[#This Row],[Cost]]*FX_Rate, "Check Ref Currency"))</f>
        <v>Check Ref Currency</v>
      </c>
      <c r="H438" s="103">
        <f>TblUnitCost[[#This Row],[Cost]]/1600</f>
        <v>0</v>
      </c>
      <c r="I438" s="96"/>
      <c r="J438" s="96"/>
      <c r="K438" s="98"/>
      <c r="L438" s="96"/>
    </row>
    <row r="439" spans="2:12">
      <c r="B439" s="96"/>
      <c r="C439" s="96"/>
      <c r="D439" s="97"/>
      <c r="E439" s="97"/>
      <c r="F439" s="196"/>
      <c r="G439" s="103" t="str">
        <f>IF(TblUnitCost[[#This Row],[Currency]]=LCU, TblUnitCost[[#This Row],[Cost]], IF(TblUnitCost[[#This Row],[Currency]]=ACU, TblUnitCost[[#This Row],[Cost]]*FX_Rate, "Check Ref Currency"))</f>
        <v>Check Ref Currency</v>
      </c>
      <c r="H439" s="103">
        <f>TblUnitCost[[#This Row],[Cost]]/1600</f>
        <v>0</v>
      </c>
      <c r="I439" s="96"/>
      <c r="J439" s="96"/>
      <c r="K439" s="98"/>
      <c r="L439" s="96"/>
    </row>
    <row r="440" spans="2:12">
      <c r="B440" s="96"/>
      <c r="C440" s="96"/>
      <c r="D440" s="97"/>
      <c r="E440" s="97"/>
      <c r="F440" s="196"/>
      <c r="G440" s="103" t="str">
        <f>IF(TblUnitCost[[#This Row],[Currency]]=LCU, TblUnitCost[[#This Row],[Cost]], IF(TblUnitCost[[#This Row],[Currency]]=ACU, TblUnitCost[[#This Row],[Cost]]*FX_Rate, "Check Ref Currency"))</f>
        <v>Check Ref Currency</v>
      </c>
      <c r="H440" s="103">
        <f>TblUnitCost[[#This Row],[Cost]]/1600</f>
        <v>0</v>
      </c>
      <c r="I440" s="96"/>
      <c r="J440" s="96"/>
      <c r="K440" s="98"/>
      <c r="L440" s="96"/>
    </row>
    <row r="441" spans="2:12">
      <c r="B441" s="96"/>
      <c r="C441" s="96"/>
      <c r="D441" s="97"/>
      <c r="E441" s="97"/>
      <c r="F441" s="196"/>
      <c r="G441" s="103" t="str">
        <f>IF(TblUnitCost[[#This Row],[Currency]]=LCU, TblUnitCost[[#This Row],[Cost]], IF(TblUnitCost[[#This Row],[Currency]]=ACU, TblUnitCost[[#This Row],[Cost]]*FX_Rate, "Check Ref Currency"))</f>
        <v>Check Ref Currency</v>
      </c>
      <c r="H441" s="103">
        <f>TblUnitCost[[#This Row],[Cost]]/1600</f>
        <v>0</v>
      </c>
      <c r="I441" s="96"/>
      <c r="J441" s="96"/>
      <c r="K441" s="98"/>
      <c r="L441" s="96"/>
    </row>
    <row r="442" spans="2:12">
      <c r="B442" s="96"/>
      <c r="C442" s="96"/>
      <c r="D442" s="97"/>
      <c r="E442" s="97"/>
      <c r="F442" s="196"/>
      <c r="G442" s="103" t="str">
        <f>IF(TblUnitCost[[#This Row],[Currency]]=LCU, TblUnitCost[[#This Row],[Cost]], IF(TblUnitCost[[#This Row],[Currency]]=ACU, TblUnitCost[[#This Row],[Cost]]*FX_Rate, "Check Ref Currency"))</f>
        <v>Check Ref Currency</v>
      </c>
      <c r="H442" s="103">
        <f>TblUnitCost[[#This Row],[Cost]]/1600</f>
        <v>0</v>
      </c>
      <c r="I442" s="96"/>
      <c r="J442" s="96"/>
      <c r="K442" s="98"/>
      <c r="L442" s="96"/>
    </row>
    <row r="443" spans="2:12">
      <c r="B443" s="96"/>
      <c r="C443" s="96"/>
      <c r="D443" s="97"/>
      <c r="E443" s="97"/>
      <c r="F443" s="196"/>
      <c r="G443" s="103" t="str">
        <f>IF(TblUnitCost[[#This Row],[Currency]]=LCU, TblUnitCost[[#This Row],[Cost]], IF(TblUnitCost[[#This Row],[Currency]]=ACU, TblUnitCost[[#This Row],[Cost]]*FX_Rate, "Check Ref Currency"))</f>
        <v>Check Ref Currency</v>
      </c>
      <c r="H443" s="103">
        <f>TblUnitCost[[#This Row],[Cost]]/1600</f>
        <v>0</v>
      </c>
      <c r="I443" s="96"/>
      <c r="J443" s="96"/>
      <c r="K443" s="98"/>
      <c r="L443" s="96"/>
    </row>
    <row r="444" spans="2:12">
      <c r="B444" s="96"/>
      <c r="C444" s="96"/>
      <c r="D444" s="97"/>
      <c r="E444" s="97"/>
      <c r="F444" s="196"/>
      <c r="G444" s="103" t="str">
        <f>IF(TblUnitCost[[#This Row],[Currency]]=LCU, TblUnitCost[[#This Row],[Cost]], IF(TblUnitCost[[#This Row],[Currency]]=ACU, TblUnitCost[[#This Row],[Cost]]*FX_Rate, "Check Ref Currency"))</f>
        <v>Check Ref Currency</v>
      </c>
      <c r="H444" s="103">
        <f>TblUnitCost[[#This Row],[Cost]]/1600</f>
        <v>0</v>
      </c>
      <c r="I444" s="96"/>
      <c r="J444" s="96"/>
      <c r="K444" s="98"/>
      <c r="L444" s="96"/>
    </row>
    <row r="445" spans="2:12">
      <c r="B445" s="96"/>
      <c r="C445" s="96"/>
      <c r="D445" s="97"/>
      <c r="E445" s="97"/>
      <c r="F445" s="196"/>
      <c r="G445" s="103" t="str">
        <f>IF(TblUnitCost[[#This Row],[Currency]]=LCU, TblUnitCost[[#This Row],[Cost]], IF(TblUnitCost[[#This Row],[Currency]]=ACU, TblUnitCost[[#This Row],[Cost]]*FX_Rate, "Check Ref Currency"))</f>
        <v>Check Ref Currency</v>
      </c>
      <c r="H445" s="103">
        <f>TblUnitCost[[#This Row],[Cost]]/1600</f>
        <v>0</v>
      </c>
      <c r="I445" s="96"/>
      <c r="J445" s="96"/>
      <c r="K445" s="98"/>
      <c r="L445" s="96"/>
    </row>
    <row r="446" spans="2:12">
      <c r="B446" s="96"/>
      <c r="C446" s="96"/>
      <c r="D446" s="97"/>
      <c r="E446" s="97"/>
      <c r="F446" s="196"/>
      <c r="G446" s="103" t="str">
        <f>IF(TblUnitCost[[#This Row],[Currency]]=LCU, TblUnitCost[[#This Row],[Cost]], IF(TblUnitCost[[#This Row],[Currency]]=ACU, TblUnitCost[[#This Row],[Cost]]*FX_Rate, "Check Ref Currency"))</f>
        <v>Check Ref Currency</v>
      </c>
      <c r="H446" s="103">
        <f>TblUnitCost[[#This Row],[Cost]]/1600</f>
        <v>0</v>
      </c>
      <c r="I446" s="96"/>
      <c r="J446" s="96"/>
      <c r="K446" s="98"/>
      <c r="L446" s="96"/>
    </row>
    <row r="447" spans="2:12">
      <c r="B447" s="96"/>
      <c r="C447" s="96"/>
      <c r="D447" s="97"/>
      <c r="E447" s="97"/>
      <c r="F447" s="196"/>
      <c r="G447" s="103" t="str">
        <f>IF(TblUnitCost[[#This Row],[Currency]]=LCU, TblUnitCost[[#This Row],[Cost]], IF(TblUnitCost[[#This Row],[Currency]]=ACU, TblUnitCost[[#This Row],[Cost]]*FX_Rate, "Check Ref Currency"))</f>
        <v>Check Ref Currency</v>
      </c>
      <c r="H447" s="103">
        <f>TblUnitCost[[#This Row],[Cost]]/1600</f>
        <v>0</v>
      </c>
      <c r="I447" s="96"/>
      <c r="J447" s="96"/>
      <c r="K447" s="98"/>
      <c r="L447" s="96"/>
    </row>
    <row r="448" spans="2:12">
      <c r="B448" s="96"/>
      <c r="C448" s="96"/>
      <c r="D448" s="97"/>
      <c r="E448" s="97"/>
      <c r="F448" s="196"/>
      <c r="G448" s="103" t="str">
        <f>IF(TblUnitCost[[#This Row],[Currency]]=LCU, TblUnitCost[[#This Row],[Cost]], IF(TblUnitCost[[#This Row],[Currency]]=ACU, TblUnitCost[[#This Row],[Cost]]*FX_Rate, "Check Ref Currency"))</f>
        <v>Check Ref Currency</v>
      </c>
      <c r="H448" s="103">
        <f>TblUnitCost[[#This Row],[Cost]]/1600</f>
        <v>0</v>
      </c>
      <c r="I448" s="96"/>
      <c r="J448" s="96"/>
      <c r="K448" s="98"/>
      <c r="L448" s="96"/>
    </row>
    <row r="449" spans="2:12">
      <c r="B449" s="96"/>
      <c r="C449" s="96"/>
      <c r="D449" s="97"/>
      <c r="E449" s="97"/>
      <c r="F449" s="196"/>
      <c r="G449" s="103" t="str">
        <f>IF(TblUnitCost[[#This Row],[Currency]]=LCU, TblUnitCost[[#This Row],[Cost]], IF(TblUnitCost[[#This Row],[Currency]]=ACU, TblUnitCost[[#This Row],[Cost]]*FX_Rate, "Check Ref Currency"))</f>
        <v>Check Ref Currency</v>
      </c>
      <c r="H449" s="103">
        <f>TblUnitCost[[#This Row],[Cost]]/1600</f>
        <v>0</v>
      </c>
      <c r="I449" s="96"/>
      <c r="J449" s="96"/>
      <c r="K449" s="98"/>
      <c r="L449" s="96"/>
    </row>
    <row r="450" spans="2:12">
      <c r="B450" s="96"/>
      <c r="C450" s="96"/>
      <c r="D450" s="97"/>
      <c r="E450" s="97"/>
      <c r="F450" s="196"/>
      <c r="G450" s="103" t="str">
        <f>IF(TblUnitCost[[#This Row],[Currency]]=LCU, TblUnitCost[[#This Row],[Cost]], IF(TblUnitCost[[#This Row],[Currency]]=ACU, TblUnitCost[[#This Row],[Cost]]*FX_Rate, "Check Ref Currency"))</f>
        <v>Check Ref Currency</v>
      </c>
      <c r="H450" s="103">
        <f>TblUnitCost[[#This Row],[Cost]]/1600</f>
        <v>0</v>
      </c>
      <c r="I450" s="96"/>
      <c r="J450" s="96"/>
      <c r="K450" s="98"/>
      <c r="L450" s="96"/>
    </row>
    <row r="451" spans="2:12">
      <c r="B451" s="96"/>
      <c r="C451" s="96"/>
      <c r="D451" s="97"/>
      <c r="E451" s="97"/>
      <c r="F451" s="196"/>
      <c r="G451" s="103" t="str">
        <f>IF(TblUnitCost[[#This Row],[Currency]]=LCU, TblUnitCost[[#This Row],[Cost]], IF(TblUnitCost[[#This Row],[Currency]]=ACU, TblUnitCost[[#This Row],[Cost]]*FX_Rate, "Check Ref Currency"))</f>
        <v>Check Ref Currency</v>
      </c>
      <c r="H451" s="103">
        <f>TblUnitCost[[#This Row],[Cost]]/1600</f>
        <v>0</v>
      </c>
      <c r="I451" s="96"/>
      <c r="J451" s="96"/>
      <c r="K451" s="98"/>
      <c r="L451" s="96"/>
    </row>
    <row r="452" spans="2:12">
      <c r="B452" s="96"/>
      <c r="C452" s="96"/>
      <c r="D452" s="97"/>
      <c r="E452" s="97"/>
      <c r="F452" s="196"/>
      <c r="G452" s="103" t="str">
        <f>IF(TblUnitCost[[#This Row],[Currency]]=LCU, TblUnitCost[[#This Row],[Cost]], IF(TblUnitCost[[#This Row],[Currency]]=ACU, TblUnitCost[[#This Row],[Cost]]*FX_Rate, "Check Ref Currency"))</f>
        <v>Check Ref Currency</v>
      </c>
      <c r="H452" s="103">
        <f>TblUnitCost[[#This Row],[Cost]]/1600</f>
        <v>0</v>
      </c>
      <c r="I452" s="96"/>
      <c r="J452" s="96"/>
      <c r="K452" s="98"/>
      <c r="L452" s="96"/>
    </row>
    <row r="453" spans="2:12">
      <c r="B453" s="96"/>
      <c r="C453" s="96"/>
      <c r="D453" s="97"/>
      <c r="E453" s="97"/>
      <c r="F453" s="196"/>
      <c r="G453" s="103" t="str">
        <f>IF(TblUnitCost[[#This Row],[Currency]]=LCU, TblUnitCost[[#This Row],[Cost]], IF(TblUnitCost[[#This Row],[Currency]]=ACU, TblUnitCost[[#This Row],[Cost]]*FX_Rate, "Check Ref Currency"))</f>
        <v>Check Ref Currency</v>
      </c>
      <c r="H453" s="103">
        <f>TblUnitCost[[#This Row],[Cost]]/1600</f>
        <v>0</v>
      </c>
      <c r="I453" s="96"/>
      <c r="J453" s="96"/>
      <c r="K453" s="98"/>
      <c r="L453" s="96"/>
    </row>
    <row r="454" spans="2:12">
      <c r="B454" s="96"/>
      <c r="C454" s="96"/>
      <c r="D454" s="97"/>
      <c r="E454" s="97"/>
      <c r="F454" s="196"/>
      <c r="G454" s="103" t="str">
        <f>IF(TblUnitCost[[#This Row],[Currency]]=LCU, TblUnitCost[[#This Row],[Cost]], IF(TblUnitCost[[#This Row],[Currency]]=ACU, TblUnitCost[[#This Row],[Cost]]*FX_Rate, "Check Ref Currency"))</f>
        <v>Check Ref Currency</v>
      </c>
      <c r="H454" s="103">
        <f>TblUnitCost[[#This Row],[Cost]]/1600</f>
        <v>0</v>
      </c>
      <c r="I454" s="96"/>
      <c r="J454" s="96"/>
      <c r="K454" s="98"/>
      <c r="L454" s="96"/>
    </row>
    <row r="455" spans="2:12">
      <c r="B455" s="96"/>
      <c r="C455" s="96"/>
      <c r="D455" s="97"/>
      <c r="E455" s="97"/>
      <c r="F455" s="196"/>
      <c r="G455" s="103" t="str">
        <f>IF(TblUnitCost[[#This Row],[Currency]]=LCU, TblUnitCost[[#This Row],[Cost]], IF(TblUnitCost[[#This Row],[Currency]]=ACU, TblUnitCost[[#This Row],[Cost]]*FX_Rate, "Check Ref Currency"))</f>
        <v>Check Ref Currency</v>
      </c>
      <c r="H455" s="103">
        <f>TblUnitCost[[#This Row],[Cost]]/1600</f>
        <v>0</v>
      </c>
      <c r="I455" s="96"/>
      <c r="J455" s="96"/>
      <c r="K455" s="98"/>
      <c r="L455" s="96"/>
    </row>
    <row r="456" spans="2:12">
      <c r="B456" s="96"/>
      <c r="C456" s="96"/>
      <c r="D456" s="97"/>
      <c r="E456" s="97"/>
      <c r="F456" s="196"/>
      <c r="G456" s="103" t="str">
        <f>IF(TblUnitCost[[#This Row],[Currency]]=LCU, TblUnitCost[[#This Row],[Cost]], IF(TblUnitCost[[#This Row],[Currency]]=ACU, TblUnitCost[[#This Row],[Cost]]*FX_Rate, "Check Ref Currency"))</f>
        <v>Check Ref Currency</v>
      </c>
      <c r="H456" s="103">
        <f>TblUnitCost[[#This Row],[Cost]]/1600</f>
        <v>0</v>
      </c>
      <c r="I456" s="96"/>
      <c r="J456" s="96"/>
      <c r="K456" s="98"/>
      <c r="L456" s="96"/>
    </row>
    <row r="457" spans="2:12">
      <c r="B457" s="96"/>
      <c r="C457" s="96"/>
      <c r="D457" s="97"/>
      <c r="E457" s="97"/>
      <c r="F457" s="196"/>
      <c r="G457" s="103" t="str">
        <f>IF(TblUnitCost[[#This Row],[Currency]]=LCU, TblUnitCost[[#This Row],[Cost]], IF(TblUnitCost[[#This Row],[Currency]]=ACU, TblUnitCost[[#This Row],[Cost]]*FX_Rate, "Check Ref Currency"))</f>
        <v>Check Ref Currency</v>
      </c>
      <c r="H457" s="103">
        <f>TblUnitCost[[#This Row],[Cost]]/1600</f>
        <v>0</v>
      </c>
      <c r="I457" s="96"/>
      <c r="J457" s="96"/>
      <c r="K457" s="98"/>
      <c r="L457" s="96"/>
    </row>
    <row r="458" spans="2:12">
      <c r="B458" s="96"/>
      <c r="C458" s="96"/>
      <c r="D458" s="97"/>
      <c r="E458" s="97"/>
      <c r="F458" s="196"/>
      <c r="G458" s="103" t="str">
        <f>IF(TblUnitCost[[#This Row],[Currency]]=LCU, TblUnitCost[[#This Row],[Cost]], IF(TblUnitCost[[#This Row],[Currency]]=ACU, TblUnitCost[[#This Row],[Cost]]*FX_Rate, "Check Ref Currency"))</f>
        <v>Check Ref Currency</v>
      </c>
      <c r="H458" s="103">
        <f>TblUnitCost[[#This Row],[Cost]]/1600</f>
        <v>0</v>
      </c>
      <c r="I458" s="96"/>
      <c r="J458" s="96"/>
      <c r="K458" s="98"/>
      <c r="L458" s="96"/>
    </row>
    <row r="459" spans="2:12">
      <c r="B459" s="96"/>
      <c r="C459" s="96"/>
      <c r="D459" s="97"/>
      <c r="E459" s="97"/>
      <c r="F459" s="196"/>
      <c r="G459" s="103" t="str">
        <f>IF(TblUnitCost[[#This Row],[Currency]]=LCU, TblUnitCost[[#This Row],[Cost]], IF(TblUnitCost[[#This Row],[Currency]]=ACU, TblUnitCost[[#This Row],[Cost]]*FX_Rate, "Check Ref Currency"))</f>
        <v>Check Ref Currency</v>
      </c>
      <c r="H459" s="103">
        <f>TblUnitCost[[#This Row],[Cost]]/1600</f>
        <v>0</v>
      </c>
      <c r="I459" s="96"/>
      <c r="J459" s="96"/>
      <c r="K459" s="98"/>
      <c r="L459" s="96"/>
    </row>
    <row r="460" spans="2:12">
      <c r="B460" s="96"/>
      <c r="C460" s="96"/>
      <c r="D460" s="97"/>
      <c r="E460" s="97"/>
      <c r="F460" s="196"/>
      <c r="G460" s="103" t="str">
        <f>IF(TblUnitCost[[#This Row],[Currency]]=LCU, TblUnitCost[[#This Row],[Cost]], IF(TblUnitCost[[#This Row],[Currency]]=ACU, TblUnitCost[[#This Row],[Cost]]*FX_Rate, "Check Ref Currency"))</f>
        <v>Check Ref Currency</v>
      </c>
      <c r="H460" s="103">
        <f>TblUnitCost[[#This Row],[Cost]]/1600</f>
        <v>0</v>
      </c>
      <c r="I460" s="96"/>
      <c r="J460" s="96"/>
      <c r="K460" s="98"/>
      <c r="L460" s="96"/>
    </row>
    <row r="461" spans="2:12">
      <c r="B461" s="96"/>
      <c r="C461" s="96"/>
      <c r="D461" s="97"/>
      <c r="E461" s="97"/>
      <c r="F461" s="196"/>
      <c r="G461" s="103" t="str">
        <f>IF(TblUnitCost[[#This Row],[Currency]]=LCU, TblUnitCost[[#This Row],[Cost]], IF(TblUnitCost[[#This Row],[Currency]]=ACU, TblUnitCost[[#This Row],[Cost]]*FX_Rate, "Check Ref Currency"))</f>
        <v>Check Ref Currency</v>
      </c>
      <c r="H461" s="103">
        <f>TblUnitCost[[#This Row],[Cost]]/1600</f>
        <v>0</v>
      </c>
      <c r="I461" s="96"/>
      <c r="J461" s="96"/>
      <c r="K461" s="98"/>
      <c r="L461" s="96"/>
    </row>
    <row r="462" spans="2:12">
      <c r="B462" s="96"/>
      <c r="C462" s="96"/>
      <c r="D462" s="97"/>
      <c r="E462" s="97"/>
      <c r="F462" s="196"/>
      <c r="G462" s="103" t="str">
        <f>IF(TblUnitCost[[#This Row],[Currency]]=LCU, TblUnitCost[[#This Row],[Cost]], IF(TblUnitCost[[#This Row],[Currency]]=ACU, TblUnitCost[[#This Row],[Cost]]*FX_Rate, "Check Ref Currency"))</f>
        <v>Check Ref Currency</v>
      </c>
      <c r="H462" s="103">
        <f>TblUnitCost[[#This Row],[Cost]]/1600</f>
        <v>0</v>
      </c>
      <c r="I462" s="96"/>
      <c r="J462" s="96"/>
      <c r="K462" s="98"/>
      <c r="L462" s="96"/>
    </row>
    <row r="463" spans="2:12">
      <c r="B463" s="96"/>
      <c r="C463" s="96"/>
      <c r="D463" s="97"/>
      <c r="E463" s="97"/>
      <c r="F463" s="196"/>
      <c r="G463" s="103" t="str">
        <f>IF(TblUnitCost[[#This Row],[Currency]]=LCU, TblUnitCost[[#This Row],[Cost]], IF(TblUnitCost[[#This Row],[Currency]]=ACU, TblUnitCost[[#This Row],[Cost]]*FX_Rate, "Check Ref Currency"))</f>
        <v>Check Ref Currency</v>
      </c>
      <c r="H463" s="103">
        <f>TblUnitCost[[#This Row],[Cost]]/1600</f>
        <v>0</v>
      </c>
      <c r="I463" s="96"/>
      <c r="J463" s="96"/>
      <c r="K463" s="98"/>
      <c r="L463" s="96"/>
    </row>
    <row r="464" spans="2:12">
      <c r="B464" s="96"/>
      <c r="C464" s="96"/>
      <c r="D464" s="97"/>
      <c r="E464" s="97"/>
      <c r="F464" s="196"/>
      <c r="G464" s="103" t="str">
        <f>IF(TblUnitCost[[#This Row],[Currency]]=LCU, TblUnitCost[[#This Row],[Cost]], IF(TblUnitCost[[#This Row],[Currency]]=ACU, TblUnitCost[[#This Row],[Cost]]*FX_Rate, "Check Ref Currency"))</f>
        <v>Check Ref Currency</v>
      </c>
      <c r="H464" s="103">
        <f>TblUnitCost[[#This Row],[Cost]]/1600</f>
        <v>0</v>
      </c>
      <c r="I464" s="96"/>
      <c r="J464" s="96"/>
      <c r="K464" s="98"/>
      <c r="L464" s="96"/>
    </row>
    <row r="465" spans="2:12">
      <c r="B465" s="96"/>
      <c r="C465" s="96"/>
      <c r="D465" s="97"/>
      <c r="E465" s="97"/>
      <c r="F465" s="196"/>
      <c r="G465" s="103" t="str">
        <f>IF(TblUnitCost[[#This Row],[Currency]]=LCU, TblUnitCost[[#This Row],[Cost]], IF(TblUnitCost[[#This Row],[Currency]]=ACU, TblUnitCost[[#This Row],[Cost]]*FX_Rate, "Check Ref Currency"))</f>
        <v>Check Ref Currency</v>
      </c>
      <c r="H465" s="103">
        <f>TblUnitCost[[#This Row],[Cost]]/1600</f>
        <v>0</v>
      </c>
      <c r="I465" s="96"/>
      <c r="J465" s="96"/>
      <c r="K465" s="98"/>
      <c r="L465" s="96"/>
    </row>
    <row r="466" spans="2:12">
      <c r="B466" s="96"/>
      <c r="C466" s="96"/>
      <c r="D466" s="97"/>
      <c r="E466" s="97"/>
      <c r="F466" s="196"/>
      <c r="G466" s="103" t="str">
        <f>IF(TblUnitCost[[#This Row],[Currency]]=LCU, TblUnitCost[[#This Row],[Cost]], IF(TblUnitCost[[#This Row],[Currency]]=ACU, TblUnitCost[[#This Row],[Cost]]*FX_Rate, "Check Ref Currency"))</f>
        <v>Check Ref Currency</v>
      </c>
      <c r="H466" s="103">
        <f>TblUnitCost[[#This Row],[Cost]]/1600</f>
        <v>0</v>
      </c>
      <c r="I466" s="96"/>
      <c r="J466" s="96"/>
      <c r="K466" s="98"/>
      <c r="L466" s="96"/>
    </row>
    <row r="467" spans="2:12">
      <c r="B467" s="96"/>
      <c r="C467" s="96"/>
      <c r="D467" s="97"/>
      <c r="E467" s="97"/>
      <c r="F467" s="196"/>
      <c r="G467" s="103" t="str">
        <f>IF(TblUnitCost[[#This Row],[Currency]]=LCU, TblUnitCost[[#This Row],[Cost]], IF(TblUnitCost[[#This Row],[Currency]]=ACU, TblUnitCost[[#This Row],[Cost]]*FX_Rate, "Check Ref Currency"))</f>
        <v>Check Ref Currency</v>
      </c>
      <c r="H467" s="103">
        <f>TblUnitCost[[#This Row],[Cost]]/1600</f>
        <v>0</v>
      </c>
      <c r="I467" s="96"/>
      <c r="J467" s="96"/>
      <c r="K467" s="98"/>
      <c r="L467" s="96"/>
    </row>
    <row r="468" spans="2:12">
      <c r="B468" s="96"/>
      <c r="C468" s="96"/>
      <c r="D468" s="97"/>
      <c r="E468" s="97"/>
      <c r="F468" s="196"/>
      <c r="G468" s="103" t="str">
        <f>IF(TblUnitCost[[#This Row],[Currency]]=LCU, TblUnitCost[[#This Row],[Cost]], IF(TblUnitCost[[#This Row],[Currency]]=ACU, TblUnitCost[[#This Row],[Cost]]*FX_Rate, "Check Ref Currency"))</f>
        <v>Check Ref Currency</v>
      </c>
      <c r="H468" s="103">
        <f>TblUnitCost[[#This Row],[Cost]]/1600</f>
        <v>0</v>
      </c>
      <c r="I468" s="96"/>
      <c r="J468" s="96"/>
      <c r="K468" s="98"/>
      <c r="L468" s="96"/>
    </row>
    <row r="469" spans="2:12">
      <c r="B469" s="96"/>
      <c r="C469" s="96"/>
      <c r="D469" s="97"/>
      <c r="E469" s="97"/>
      <c r="F469" s="196"/>
      <c r="G469" s="103" t="str">
        <f>IF(TblUnitCost[[#This Row],[Currency]]=LCU, TblUnitCost[[#This Row],[Cost]], IF(TblUnitCost[[#This Row],[Currency]]=ACU, TblUnitCost[[#This Row],[Cost]]*FX_Rate, "Check Ref Currency"))</f>
        <v>Check Ref Currency</v>
      </c>
      <c r="H469" s="103">
        <f>TblUnitCost[[#This Row],[Cost]]/1600</f>
        <v>0</v>
      </c>
      <c r="I469" s="96"/>
      <c r="J469" s="96"/>
      <c r="K469" s="98"/>
      <c r="L469" s="96"/>
    </row>
    <row r="470" spans="2:12">
      <c r="B470" s="96"/>
      <c r="C470" s="96"/>
      <c r="D470" s="97"/>
      <c r="E470" s="97"/>
      <c r="F470" s="196"/>
      <c r="G470" s="103" t="str">
        <f>IF(TblUnitCost[[#This Row],[Currency]]=LCU, TblUnitCost[[#This Row],[Cost]], IF(TblUnitCost[[#This Row],[Currency]]=ACU, TblUnitCost[[#This Row],[Cost]]*FX_Rate, "Check Ref Currency"))</f>
        <v>Check Ref Currency</v>
      </c>
      <c r="H470" s="103">
        <f>TblUnitCost[[#This Row],[Cost]]/1600</f>
        <v>0</v>
      </c>
      <c r="I470" s="96"/>
      <c r="J470" s="96"/>
      <c r="K470" s="98"/>
      <c r="L470" s="96"/>
    </row>
    <row r="471" spans="2:12">
      <c r="B471" s="96"/>
      <c r="C471" s="96"/>
      <c r="D471" s="97"/>
      <c r="E471" s="97"/>
      <c r="F471" s="196"/>
      <c r="G471" s="103" t="str">
        <f>IF(TblUnitCost[[#This Row],[Currency]]=LCU, TblUnitCost[[#This Row],[Cost]], IF(TblUnitCost[[#This Row],[Currency]]=ACU, TblUnitCost[[#This Row],[Cost]]*FX_Rate, "Check Ref Currency"))</f>
        <v>Check Ref Currency</v>
      </c>
      <c r="H471" s="103">
        <f>TblUnitCost[[#This Row],[Cost]]/1600</f>
        <v>0</v>
      </c>
      <c r="I471" s="96"/>
      <c r="J471" s="96"/>
      <c r="K471" s="98"/>
      <c r="L471" s="96"/>
    </row>
    <row r="472" spans="2:12">
      <c r="B472" s="96"/>
      <c r="C472" s="96"/>
      <c r="D472" s="97"/>
      <c r="E472" s="97"/>
      <c r="F472" s="196"/>
      <c r="G472" s="103" t="str">
        <f>IF(TblUnitCost[[#This Row],[Currency]]=LCU, TblUnitCost[[#This Row],[Cost]], IF(TblUnitCost[[#This Row],[Currency]]=ACU, TblUnitCost[[#This Row],[Cost]]*FX_Rate, "Check Ref Currency"))</f>
        <v>Check Ref Currency</v>
      </c>
      <c r="H472" s="103">
        <f>TblUnitCost[[#This Row],[Cost]]/1600</f>
        <v>0</v>
      </c>
      <c r="I472" s="96"/>
      <c r="J472" s="96"/>
      <c r="K472" s="98"/>
      <c r="L472" s="96"/>
    </row>
    <row r="473" spans="2:12">
      <c r="B473" s="96"/>
      <c r="C473" s="96"/>
      <c r="D473" s="97"/>
      <c r="E473" s="97"/>
      <c r="F473" s="196"/>
      <c r="G473" s="103" t="str">
        <f>IF(TblUnitCost[[#This Row],[Currency]]=LCU, TblUnitCost[[#This Row],[Cost]], IF(TblUnitCost[[#This Row],[Currency]]=ACU, TblUnitCost[[#This Row],[Cost]]*FX_Rate, "Check Ref Currency"))</f>
        <v>Check Ref Currency</v>
      </c>
      <c r="H473" s="103">
        <f>TblUnitCost[[#This Row],[Cost]]/1600</f>
        <v>0</v>
      </c>
      <c r="I473" s="96"/>
      <c r="J473" s="96"/>
      <c r="K473" s="98"/>
      <c r="L473" s="96"/>
    </row>
    <row r="474" spans="2:12">
      <c r="B474" s="96"/>
      <c r="C474" s="96"/>
      <c r="D474" s="97"/>
      <c r="E474" s="97"/>
      <c r="F474" s="196"/>
      <c r="G474" s="103" t="str">
        <f>IF(TblUnitCost[[#This Row],[Currency]]=LCU, TblUnitCost[[#This Row],[Cost]], IF(TblUnitCost[[#This Row],[Currency]]=ACU, TblUnitCost[[#This Row],[Cost]]*FX_Rate, "Check Ref Currency"))</f>
        <v>Check Ref Currency</v>
      </c>
      <c r="H474" s="103">
        <f>TblUnitCost[[#This Row],[Cost]]/1600</f>
        <v>0</v>
      </c>
      <c r="I474" s="96"/>
      <c r="J474" s="96"/>
      <c r="K474" s="98"/>
      <c r="L474" s="96"/>
    </row>
    <row r="475" spans="2:12">
      <c r="B475" s="96"/>
      <c r="C475" s="96"/>
      <c r="D475" s="97"/>
      <c r="E475" s="97"/>
      <c r="F475" s="196"/>
      <c r="G475" s="103" t="str">
        <f>IF(TblUnitCost[[#This Row],[Currency]]=LCU, TblUnitCost[[#This Row],[Cost]], IF(TblUnitCost[[#This Row],[Currency]]=ACU, TblUnitCost[[#This Row],[Cost]]*FX_Rate, "Check Ref Currency"))</f>
        <v>Check Ref Currency</v>
      </c>
      <c r="H475" s="103">
        <f>TblUnitCost[[#This Row],[Cost]]/1600</f>
        <v>0</v>
      </c>
      <c r="I475" s="96"/>
      <c r="J475" s="96"/>
      <c r="K475" s="98"/>
      <c r="L475" s="96"/>
    </row>
    <row r="476" spans="2:12">
      <c r="B476" s="96"/>
      <c r="C476" s="96"/>
      <c r="D476" s="97"/>
      <c r="E476" s="97"/>
      <c r="F476" s="196"/>
      <c r="G476" s="103" t="str">
        <f>IF(TblUnitCost[[#This Row],[Currency]]=LCU, TblUnitCost[[#This Row],[Cost]], IF(TblUnitCost[[#This Row],[Currency]]=ACU, TblUnitCost[[#This Row],[Cost]]*FX_Rate, "Check Ref Currency"))</f>
        <v>Check Ref Currency</v>
      </c>
      <c r="H476" s="103">
        <f>TblUnitCost[[#This Row],[Cost]]/1600</f>
        <v>0</v>
      </c>
      <c r="I476" s="96"/>
      <c r="J476" s="96"/>
      <c r="K476" s="98"/>
      <c r="L476" s="96"/>
    </row>
    <row r="477" spans="2:12">
      <c r="B477" s="96"/>
      <c r="C477" s="96"/>
      <c r="D477" s="97"/>
      <c r="E477" s="97"/>
      <c r="F477" s="196"/>
      <c r="G477" s="103" t="str">
        <f>IF(TblUnitCost[[#This Row],[Currency]]=LCU, TblUnitCost[[#This Row],[Cost]], IF(TblUnitCost[[#This Row],[Currency]]=ACU, TblUnitCost[[#This Row],[Cost]]*FX_Rate, "Check Ref Currency"))</f>
        <v>Check Ref Currency</v>
      </c>
      <c r="H477" s="103">
        <f>TblUnitCost[[#This Row],[Cost]]/1600</f>
        <v>0</v>
      </c>
      <c r="I477" s="96"/>
      <c r="J477" s="96"/>
      <c r="K477" s="98"/>
      <c r="L477" s="96"/>
    </row>
    <row r="478" spans="2:12">
      <c r="B478" s="96"/>
      <c r="C478" s="96"/>
      <c r="D478" s="97"/>
      <c r="E478" s="97"/>
      <c r="F478" s="196"/>
      <c r="G478" s="103" t="str">
        <f>IF(TblUnitCost[[#This Row],[Currency]]=LCU, TblUnitCost[[#This Row],[Cost]], IF(TblUnitCost[[#This Row],[Currency]]=ACU, TblUnitCost[[#This Row],[Cost]]*FX_Rate, "Check Ref Currency"))</f>
        <v>Check Ref Currency</v>
      </c>
      <c r="H478" s="103">
        <f>TblUnitCost[[#This Row],[Cost]]/1600</f>
        <v>0</v>
      </c>
      <c r="I478" s="96"/>
      <c r="J478" s="96"/>
      <c r="K478" s="98"/>
      <c r="L478" s="96"/>
    </row>
    <row r="479" spans="2:12">
      <c r="B479" s="96"/>
      <c r="C479" s="96"/>
      <c r="D479" s="97"/>
      <c r="E479" s="97"/>
      <c r="F479" s="196"/>
      <c r="G479" s="103" t="str">
        <f>IF(TblUnitCost[[#This Row],[Currency]]=LCU, TblUnitCost[[#This Row],[Cost]], IF(TblUnitCost[[#This Row],[Currency]]=ACU, TblUnitCost[[#This Row],[Cost]]*FX_Rate, "Check Ref Currency"))</f>
        <v>Check Ref Currency</v>
      </c>
      <c r="H479" s="103">
        <f>TblUnitCost[[#This Row],[Cost]]/1600</f>
        <v>0</v>
      </c>
      <c r="I479" s="96"/>
      <c r="J479" s="96"/>
      <c r="K479" s="98"/>
      <c r="L479" s="96"/>
    </row>
    <row r="480" spans="2:12">
      <c r="B480" s="96"/>
      <c r="C480" s="96"/>
      <c r="D480" s="97"/>
      <c r="E480" s="97"/>
      <c r="F480" s="196"/>
      <c r="G480" s="103" t="str">
        <f>IF(TblUnitCost[[#This Row],[Currency]]=LCU, TblUnitCost[[#This Row],[Cost]], IF(TblUnitCost[[#This Row],[Currency]]=ACU, TblUnitCost[[#This Row],[Cost]]*FX_Rate, "Check Ref Currency"))</f>
        <v>Check Ref Currency</v>
      </c>
      <c r="H480" s="103">
        <f>TblUnitCost[[#This Row],[Cost]]/1600</f>
        <v>0</v>
      </c>
      <c r="I480" s="96"/>
      <c r="J480" s="96"/>
      <c r="K480" s="98"/>
      <c r="L480" s="96"/>
    </row>
    <row r="481" spans="2:12">
      <c r="B481" s="96"/>
      <c r="C481" s="96"/>
      <c r="D481" s="97"/>
      <c r="E481" s="97"/>
      <c r="F481" s="196"/>
      <c r="G481" s="103" t="str">
        <f>IF(TblUnitCost[[#This Row],[Currency]]=LCU, TblUnitCost[[#This Row],[Cost]], IF(TblUnitCost[[#This Row],[Currency]]=ACU, TblUnitCost[[#This Row],[Cost]]*FX_Rate, "Check Ref Currency"))</f>
        <v>Check Ref Currency</v>
      </c>
      <c r="H481" s="103">
        <f>TblUnitCost[[#This Row],[Cost]]/1600</f>
        <v>0</v>
      </c>
      <c r="I481" s="96"/>
      <c r="J481" s="96"/>
      <c r="K481" s="98"/>
      <c r="L481" s="96"/>
    </row>
    <row r="482" spans="2:12">
      <c r="B482" s="96"/>
      <c r="C482" s="96"/>
      <c r="D482" s="97"/>
      <c r="E482" s="97"/>
      <c r="F482" s="196"/>
      <c r="G482" s="103" t="str">
        <f>IF(TblUnitCost[[#This Row],[Currency]]=LCU, TblUnitCost[[#This Row],[Cost]], IF(TblUnitCost[[#This Row],[Currency]]=ACU, TblUnitCost[[#This Row],[Cost]]*FX_Rate, "Check Ref Currency"))</f>
        <v>Check Ref Currency</v>
      </c>
      <c r="H482" s="103">
        <f>TblUnitCost[[#This Row],[Cost]]/1600</f>
        <v>0</v>
      </c>
      <c r="I482" s="96"/>
      <c r="J482" s="96"/>
      <c r="K482" s="98"/>
      <c r="L482" s="96"/>
    </row>
    <row r="483" spans="2:12">
      <c r="B483" s="96"/>
      <c r="C483" s="96"/>
      <c r="D483" s="97"/>
      <c r="E483" s="97"/>
      <c r="F483" s="196"/>
      <c r="G483" s="103" t="str">
        <f>IF(TblUnitCost[[#This Row],[Currency]]=LCU, TblUnitCost[[#This Row],[Cost]], IF(TblUnitCost[[#This Row],[Currency]]=ACU, TblUnitCost[[#This Row],[Cost]]*FX_Rate, "Check Ref Currency"))</f>
        <v>Check Ref Currency</v>
      </c>
      <c r="H483" s="103">
        <f>TblUnitCost[[#This Row],[Cost]]/1600</f>
        <v>0</v>
      </c>
      <c r="I483" s="96"/>
      <c r="J483" s="96"/>
      <c r="K483" s="98"/>
      <c r="L483" s="96"/>
    </row>
    <row r="484" spans="2:12">
      <c r="B484" s="96"/>
      <c r="C484" s="96"/>
      <c r="D484" s="97"/>
      <c r="E484" s="97"/>
      <c r="F484" s="196"/>
      <c r="G484" s="103" t="str">
        <f>IF(TblUnitCost[[#This Row],[Currency]]=LCU, TblUnitCost[[#This Row],[Cost]], IF(TblUnitCost[[#This Row],[Currency]]=ACU, TblUnitCost[[#This Row],[Cost]]*FX_Rate, "Check Ref Currency"))</f>
        <v>Check Ref Currency</v>
      </c>
      <c r="H484" s="103">
        <f>TblUnitCost[[#This Row],[Cost]]/1600</f>
        <v>0</v>
      </c>
      <c r="I484" s="96"/>
      <c r="J484" s="96"/>
      <c r="K484" s="98"/>
      <c r="L484" s="96"/>
    </row>
    <row r="485" spans="2:12">
      <c r="B485" s="96"/>
      <c r="C485" s="96"/>
      <c r="D485" s="97"/>
      <c r="E485" s="97"/>
      <c r="F485" s="196"/>
      <c r="G485" s="103" t="str">
        <f>IF(TblUnitCost[[#This Row],[Currency]]=LCU, TblUnitCost[[#This Row],[Cost]], IF(TblUnitCost[[#This Row],[Currency]]=ACU, TblUnitCost[[#This Row],[Cost]]*FX_Rate, "Check Ref Currency"))</f>
        <v>Check Ref Currency</v>
      </c>
      <c r="H485" s="103">
        <f>TblUnitCost[[#This Row],[Cost]]/1600</f>
        <v>0</v>
      </c>
      <c r="I485" s="96"/>
      <c r="J485" s="96"/>
      <c r="K485" s="98"/>
      <c r="L485" s="96"/>
    </row>
    <row r="486" spans="2:12">
      <c r="B486" s="96"/>
      <c r="C486" s="96"/>
      <c r="D486" s="97"/>
      <c r="E486" s="97"/>
      <c r="F486" s="196"/>
      <c r="G486" s="103" t="str">
        <f>IF(TblUnitCost[[#This Row],[Currency]]=LCU, TblUnitCost[[#This Row],[Cost]], IF(TblUnitCost[[#This Row],[Currency]]=ACU, TblUnitCost[[#This Row],[Cost]]*FX_Rate, "Check Ref Currency"))</f>
        <v>Check Ref Currency</v>
      </c>
      <c r="H486" s="103">
        <f>TblUnitCost[[#This Row],[Cost]]/1600</f>
        <v>0</v>
      </c>
      <c r="I486" s="96"/>
      <c r="J486" s="96"/>
      <c r="K486" s="98"/>
      <c r="L486" s="96"/>
    </row>
    <row r="487" spans="2:12">
      <c r="B487" s="96"/>
      <c r="C487" s="96"/>
      <c r="D487" s="97"/>
      <c r="E487" s="97"/>
      <c r="F487" s="196"/>
      <c r="G487" s="103" t="str">
        <f>IF(TblUnitCost[[#This Row],[Currency]]=LCU, TblUnitCost[[#This Row],[Cost]], IF(TblUnitCost[[#This Row],[Currency]]=ACU, TblUnitCost[[#This Row],[Cost]]*FX_Rate, "Check Ref Currency"))</f>
        <v>Check Ref Currency</v>
      </c>
      <c r="H487" s="103">
        <f>TblUnitCost[[#This Row],[Cost]]/1600</f>
        <v>0</v>
      </c>
      <c r="I487" s="96"/>
      <c r="J487" s="96"/>
      <c r="K487" s="98"/>
      <c r="L487" s="96"/>
    </row>
    <row r="488" spans="2:12">
      <c r="B488" s="96"/>
      <c r="C488" s="96"/>
      <c r="D488" s="97"/>
      <c r="E488" s="97"/>
      <c r="F488" s="196"/>
      <c r="G488" s="103" t="str">
        <f>IF(TblUnitCost[[#This Row],[Currency]]=LCU, TblUnitCost[[#This Row],[Cost]], IF(TblUnitCost[[#This Row],[Currency]]=ACU, TblUnitCost[[#This Row],[Cost]]*FX_Rate, "Check Ref Currency"))</f>
        <v>Check Ref Currency</v>
      </c>
      <c r="H488" s="103">
        <f>TblUnitCost[[#This Row],[Cost]]/1600</f>
        <v>0</v>
      </c>
      <c r="I488" s="96"/>
      <c r="J488" s="96"/>
      <c r="K488" s="98"/>
      <c r="L488" s="96"/>
    </row>
    <row r="489" spans="2:12">
      <c r="B489" s="96"/>
      <c r="C489" s="96"/>
      <c r="D489" s="97"/>
      <c r="E489" s="97"/>
      <c r="F489" s="196"/>
      <c r="G489" s="103" t="str">
        <f>IF(TblUnitCost[[#This Row],[Currency]]=LCU, TblUnitCost[[#This Row],[Cost]], IF(TblUnitCost[[#This Row],[Currency]]=ACU, TblUnitCost[[#This Row],[Cost]]*FX_Rate, "Check Ref Currency"))</f>
        <v>Check Ref Currency</v>
      </c>
      <c r="H489" s="103">
        <f>TblUnitCost[[#This Row],[Cost]]/1600</f>
        <v>0</v>
      </c>
      <c r="I489" s="96"/>
      <c r="J489" s="96"/>
      <c r="K489" s="98"/>
      <c r="L489" s="96"/>
    </row>
    <row r="490" spans="2:12">
      <c r="B490" s="96"/>
      <c r="C490" s="96"/>
      <c r="D490" s="97"/>
      <c r="E490" s="97"/>
      <c r="F490" s="196"/>
      <c r="G490" s="103" t="str">
        <f>IF(TblUnitCost[[#This Row],[Currency]]=LCU, TblUnitCost[[#This Row],[Cost]], IF(TblUnitCost[[#This Row],[Currency]]=ACU, TblUnitCost[[#This Row],[Cost]]*FX_Rate, "Check Ref Currency"))</f>
        <v>Check Ref Currency</v>
      </c>
      <c r="H490" s="103">
        <f>TblUnitCost[[#This Row],[Cost]]/1600</f>
        <v>0</v>
      </c>
      <c r="I490" s="96"/>
      <c r="J490" s="96"/>
      <c r="K490" s="98"/>
      <c r="L490" s="96"/>
    </row>
    <row r="491" spans="2:12">
      <c r="B491" s="96"/>
      <c r="C491" s="96"/>
      <c r="D491" s="97"/>
      <c r="E491" s="97"/>
      <c r="F491" s="196"/>
      <c r="G491" s="103" t="str">
        <f>IF(TblUnitCost[[#This Row],[Currency]]=LCU, TblUnitCost[[#This Row],[Cost]], IF(TblUnitCost[[#This Row],[Currency]]=ACU, TblUnitCost[[#This Row],[Cost]]*FX_Rate, "Check Ref Currency"))</f>
        <v>Check Ref Currency</v>
      </c>
      <c r="H491" s="103">
        <f>TblUnitCost[[#This Row],[Cost]]/1600</f>
        <v>0</v>
      </c>
      <c r="I491" s="96"/>
      <c r="J491" s="96"/>
      <c r="K491" s="98"/>
      <c r="L491" s="96"/>
    </row>
    <row r="492" spans="2:12">
      <c r="B492" s="96"/>
      <c r="C492" s="96"/>
      <c r="D492" s="97"/>
      <c r="E492" s="97"/>
      <c r="F492" s="196"/>
      <c r="G492" s="103" t="str">
        <f>IF(TblUnitCost[[#This Row],[Currency]]=LCU, TblUnitCost[[#This Row],[Cost]], IF(TblUnitCost[[#This Row],[Currency]]=ACU, TblUnitCost[[#This Row],[Cost]]*FX_Rate, "Check Ref Currency"))</f>
        <v>Check Ref Currency</v>
      </c>
      <c r="H492" s="103">
        <f>TblUnitCost[[#This Row],[Cost]]/1600</f>
        <v>0</v>
      </c>
      <c r="I492" s="96"/>
      <c r="J492" s="96"/>
      <c r="K492" s="98"/>
      <c r="L492" s="96"/>
    </row>
    <row r="493" spans="2:12">
      <c r="B493" s="96"/>
      <c r="C493" s="96"/>
      <c r="D493" s="97"/>
      <c r="E493" s="97"/>
      <c r="F493" s="196"/>
      <c r="G493" s="103" t="str">
        <f>IF(TblUnitCost[[#This Row],[Currency]]=LCU, TblUnitCost[[#This Row],[Cost]], IF(TblUnitCost[[#This Row],[Currency]]=ACU, TblUnitCost[[#This Row],[Cost]]*FX_Rate, "Check Ref Currency"))</f>
        <v>Check Ref Currency</v>
      </c>
      <c r="H493" s="103">
        <f>TblUnitCost[[#This Row],[Cost]]/1600</f>
        <v>0</v>
      </c>
      <c r="I493" s="96"/>
      <c r="J493" s="96"/>
      <c r="K493" s="98"/>
      <c r="L493" s="96"/>
    </row>
    <row r="494" spans="2:12">
      <c r="B494" s="96"/>
      <c r="C494" s="96"/>
      <c r="D494" s="97"/>
      <c r="E494" s="97"/>
      <c r="F494" s="196"/>
      <c r="G494" s="103" t="str">
        <f>IF(TblUnitCost[[#This Row],[Currency]]=LCU, TblUnitCost[[#This Row],[Cost]], IF(TblUnitCost[[#This Row],[Currency]]=ACU, TblUnitCost[[#This Row],[Cost]]*FX_Rate, "Check Ref Currency"))</f>
        <v>Check Ref Currency</v>
      </c>
      <c r="H494" s="103">
        <f>TblUnitCost[[#This Row],[Cost]]/1600</f>
        <v>0</v>
      </c>
      <c r="I494" s="96"/>
      <c r="J494" s="96"/>
      <c r="K494" s="98"/>
      <c r="L494" s="96"/>
    </row>
    <row r="495" spans="2:12">
      <c r="B495" s="96"/>
      <c r="C495" s="96"/>
      <c r="D495" s="97"/>
      <c r="E495" s="97"/>
      <c r="F495" s="196"/>
      <c r="G495" s="103" t="str">
        <f>IF(TblUnitCost[[#This Row],[Currency]]=LCU, TblUnitCost[[#This Row],[Cost]], IF(TblUnitCost[[#This Row],[Currency]]=ACU, TblUnitCost[[#This Row],[Cost]]*FX_Rate, "Check Ref Currency"))</f>
        <v>Check Ref Currency</v>
      </c>
      <c r="H495" s="103">
        <f>TblUnitCost[[#This Row],[Cost]]/1600</f>
        <v>0</v>
      </c>
      <c r="I495" s="96"/>
      <c r="J495" s="96"/>
      <c r="K495" s="98"/>
      <c r="L495" s="96"/>
    </row>
    <row r="496" spans="2:12">
      <c r="B496" s="96"/>
      <c r="C496" s="96"/>
      <c r="D496" s="97"/>
      <c r="E496" s="97"/>
      <c r="F496" s="196"/>
      <c r="G496" s="103" t="str">
        <f>IF(TblUnitCost[[#This Row],[Currency]]=LCU, TblUnitCost[[#This Row],[Cost]], IF(TblUnitCost[[#This Row],[Currency]]=ACU, TblUnitCost[[#This Row],[Cost]]*FX_Rate, "Check Ref Currency"))</f>
        <v>Check Ref Currency</v>
      </c>
      <c r="H496" s="103">
        <f>TblUnitCost[[#This Row],[Cost]]/1600</f>
        <v>0</v>
      </c>
      <c r="I496" s="96"/>
      <c r="J496" s="96"/>
      <c r="K496" s="98"/>
      <c r="L496" s="96"/>
    </row>
    <row r="497" spans="2:12">
      <c r="B497" s="96"/>
      <c r="C497" s="96"/>
      <c r="D497" s="97"/>
      <c r="E497" s="97"/>
      <c r="F497" s="196"/>
      <c r="G497" s="103" t="str">
        <f>IF(TblUnitCost[[#This Row],[Currency]]=LCU, TblUnitCost[[#This Row],[Cost]], IF(TblUnitCost[[#This Row],[Currency]]=ACU, TblUnitCost[[#This Row],[Cost]]*FX_Rate, "Check Ref Currency"))</f>
        <v>Check Ref Currency</v>
      </c>
      <c r="H497" s="103">
        <f>TblUnitCost[[#This Row],[Cost]]/1600</f>
        <v>0</v>
      </c>
      <c r="I497" s="96"/>
      <c r="J497" s="96"/>
      <c r="K497" s="98"/>
      <c r="L497" s="96"/>
    </row>
    <row r="498" spans="2:12">
      <c r="B498" s="96"/>
      <c r="C498" s="96"/>
      <c r="D498" s="97"/>
      <c r="E498" s="97"/>
      <c r="F498" s="196"/>
      <c r="G498" s="103" t="str">
        <f>IF(TblUnitCost[[#This Row],[Currency]]=LCU, TblUnitCost[[#This Row],[Cost]], IF(TblUnitCost[[#This Row],[Currency]]=ACU, TblUnitCost[[#This Row],[Cost]]*FX_Rate, "Check Ref Currency"))</f>
        <v>Check Ref Currency</v>
      </c>
      <c r="H498" s="103">
        <f>TblUnitCost[[#This Row],[Cost]]/1600</f>
        <v>0</v>
      </c>
      <c r="I498" s="96"/>
      <c r="J498" s="96"/>
      <c r="K498" s="98"/>
      <c r="L498" s="96"/>
    </row>
    <row r="499" spans="2:12">
      <c r="B499" s="96"/>
      <c r="C499" s="96"/>
      <c r="D499" s="97"/>
      <c r="E499" s="97"/>
      <c r="F499" s="196"/>
      <c r="G499" s="103" t="str">
        <f>IF(TblUnitCost[[#This Row],[Currency]]=LCU, TblUnitCost[[#This Row],[Cost]], IF(TblUnitCost[[#This Row],[Currency]]=ACU, TblUnitCost[[#This Row],[Cost]]*FX_Rate, "Check Ref Currency"))</f>
        <v>Check Ref Currency</v>
      </c>
      <c r="H499" s="103">
        <f>TblUnitCost[[#This Row],[Cost]]/1600</f>
        <v>0</v>
      </c>
      <c r="I499" s="96"/>
      <c r="J499" s="96"/>
      <c r="K499" s="98"/>
      <c r="L499" s="96"/>
    </row>
    <row r="500" spans="2:12">
      <c r="B500" s="96"/>
      <c r="C500" s="96"/>
      <c r="D500" s="97"/>
      <c r="E500" s="97"/>
      <c r="F500" s="196"/>
      <c r="G500" s="103" t="str">
        <f>IF(TblUnitCost[[#This Row],[Currency]]=LCU, TblUnitCost[[#This Row],[Cost]], IF(TblUnitCost[[#This Row],[Currency]]=ACU, TblUnitCost[[#This Row],[Cost]]*FX_Rate, "Check Ref Currency"))</f>
        <v>Check Ref Currency</v>
      </c>
      <c r="H500" s="103">
        <f>TblUnitCost[[#This Row],[Cost]]/1600</f>
        <v>0</v>
      </c>
      <c r="I500" s="96"/>
      <c r="J500" s="96"/>
      <c r="K500" s="98"/>
      <c r="L500" s="96"/>
    </row>
    <row r="501" spans="2:12">
      <c r="B501" s="96"/>
      <c r="C501" s="96"/>
      <c r="D501" s="97"/>
      <c r="E501" s="97"/>
      <c r="F501" s="196"/>
      <c r="G501" s="103" t="str">
        <f>IF(TblUnitCost[[#This Row],[Currency]]=LCU, TblUnitCost[[#This Row],[Cost]], IF(TblUnitCost[[#This Row],[Currency]]=ACU, TblUnitCost[[#This Row],[Cost]]*FX_Rate, "Check Ref Currency"))</f>
        <v>Check Ref Currency</v>
      </c>
      <c r="H501" s="103">
        <f>TblUnitCost[[#This Row],[Cost]]/1600</f>
        <v>0</v>
      </c>
      <c r="I501" s="96"/>
      <c r="J501" s="96"/>
      <c r="K501" s="98"/>
      <c r="L501" s="96"/>
    </row>
    <row r="502" spans="2:12">
      <c r="B502" s="96"/>
      <c r="C502" s="96"/>
      <c r="D502" s="97"/>
      <c r="E502" s="97"/>
      <c r="F502" s="196"/>
      <c r="G502" s="103" t="str">
        <f>IF(TblUnitCost[[#This Row],[Currency]]=LCU, TblUnitCost[[#This Row],[Cost]], IF(TblUnitCost[[#This Row],[Currency]]=ACU, TblUnitCost[[#This Row],[Cost]]*FX_Rate, "Check Ref Currency"))</f>
        <v>Check Ref Currency</v>
      </c>
      <c r="H502" s="103">
        <f>TblUnitCost[[#This Row],[Cost]]/1600</f>
        <v>0</v>
      </c>
      <c r="I502" s="96"/>
      <c r="J502" s="96"/>
      <c r="K502" s="98"/>
      <c r="L502" s="96"/>
    </row>
    <row r="503" spans="2:12">
      <c r="B503" s="96"/>
      <c r="C503" s="96"/>
      <c r="D503" s="97"/>
      <c r="E503" s="97"/>
      <c r="F503" s="196"/>
      <c r="G503" s="103" t="str">
        <f>IF(TblUnitCost[[#This Row],[Currency]]=LCU, TblUnitCost[[#This Row],[Cost]], IF(TblUnitCost[[#This Row],[Currency]]=ACU, TblUnitCost[[#This Row],[Cost]]*FX_Rate, "Check Ref Currency"))</f>
        <v>Check Ref Currency</v>
      </c>
      <c r="H503" s="103">
        <f>TblUnitCost[[#This Row],[Cost]]/1600</f>
        <v>0</v>
      </c>
      <c r="I503" s="96"/>
      <c r="J503" s="96"/>
      <c r="K503" s="98"/>
      <c r="L503" s="96"/>
    </row>
    <row r="504" spans="2:12">
      <c r="B504" s="96"/>
      <c r="C504" s="96"/>
      <c r="D504" s="97"/>
      <c r="E504" s="97"/>
      <c r="F504" s="196"/>
      <c r="G504" s="103" t="str">
        <f>IF(TblUnitCost[[#This Row],[Currency]]=LCU, TblUnitCost[[#This Row],[Cost]], IF(TblUnitCost[[#This Row],[Currency]]=ACU, TblUnitCost[[#This Row],[Cost]]*FX_Rate, "Check Ref Currency"))</f>
        <v>Check Ref Currency</v>
      </c>
      <c r="H504" s="103">
        <f>TblUnitCost[[#This Row],[Cost]]/1600</f>
        <v>0</v>
      </c>
      <c r="I504" s="96"/>
      <c r="J504" s="96"/>
      <c r="K504" s="98"/>
      <c r="L504" s="96"/>
    </row>
    <row r="505" spans="2:12">
      <c r="B505" s="96"/>
      <c r="C505" s="96"/>
      <c r="D505" s="97"/>
      <c r="E505" s="97"/>
      <c r="F505" s="196"/>
      <c r="G505" s="103" t="str">
        <f>IF(TblUnitCost[[#This Row],[Currency]]=LCU, TblUnitCost[[#This Row],[Cost]], IF(TblUnitCost[[#This Row],[Currency]]=ACU, TblUnitCost[[#This Row],[Cost]]*FX_Rate, "Check Ref Currency"))</f>
        <v>Check Ref Currency</v>
      </c>
      <c r="H505" s="103">
        <f>TblUnitCost[[#This Row],[Cost]]/1600</f>
        <v>0</v>
      </c>
      <c r="I505" s="96"/>
      <c r="J505" s="96"/>
      <c r="K505" s="98"/>
      <c r="L505" s="96"/>
    </row>
    <row r="506" spans="2:12">
      <c r="B506" s="96"/>
      <c r="C506" s="96"/>
      <c r="D506" s="97"/>
      <c r="E506" s="97"/>
      <c r="F506" s="196"/>
      <c r="G506" s="103" t="str">
        <f>IF(TblUnitCost[[#This Row],[Currency]]=LCU, TblUnitCost[[#This Row],[Cost]], IF(TblUnitCost[[#This Row],[Currency]]=ACU, TblUnitCost[[#This Row],[Cost]]*FX_Rate, "Check Ref Currency"))</f>
        <v>Check Ref Currency</v>
      </c>
      <c r="H506" s="103">
        <f>TblUnitCost[[#This Row],[Cost]]/1600</f>
        <v>0</v>
      </c>
      <c r="I506" s="96"/>
      <c r="J506" s="96"/>
      <c r="K506" s="98"/>
      <c r="L506" s="96"/>
    </row>
    <row r="507" spans="2:12">
      <c r="B507" s="96"/>
      <c r="C507" s="96"/>
      <c r="D507" s="97"/>
      <c r="E507" s="97"/>
      <c r="F507" s="196"/>
      <c r="G507" s="103" t="str">
        <f>IF(TblUnitCost[[#This Row],[Currency]]=LCU, TblUnitCost[[#This Row],[Cost]], IF(TblUnitCost[[#This Row],[Currency]]=ACU, TblUnitCost[[#This Row],[Cost]]*FX_Rate, "Check Ref Currency"))</f>
        <v>Check Ref Currency</v>
      </c>
      <c r="H507" s="103">
        <f>TblUnitCost[[#This Row],[Cost]]/1600</f>
        <v>0</v>
      </c>
      <c r="I507" s="96"/>
      <c r="J507" s="96"/>
      <c r="K507" s="98"/>
      <c r="L507" s="96"/>
    </row>
    <row r="508" spans="2:12">
      <c r="B508" s="96"/>
      <c r="C508" s="96"/>
      <c r="D508" s="97"/>
      <c r="E508" s="97"/>
      <c r="F508" s="196"/>
      <c r="G508" s="103" t="str">
        <f>IF(TblUnitCost[[#This Row],[Currency]]=LCU, TblUnitCost[[#This Row],[Cost]], IF(TblUnitCost[[#This Row],[Currency]]=ACU, TblUnitCost[[#This Row],[Cost]]*FX_Rate, "Check Ref Currency"))</f>
        <v>Check Ref Currency</v>
      </c>
      <c r="H508" s="103">
        <f>TblUnitCost[[#This Row],[Cost]]/1600</f>
        <v>0</v>
      </c>
      <c r="I508" s="96"/>
      <c r="J508" s="96"/>
      <c r="K508" s="98"/>
      <c r="L508" s="96"/>
    </row>
    <row r="509" spans="2:12">
      <c r="B509" s="96"/>
      <c r="C509" s="96"/>
      <c r="D509" s="97"/>
      <c r="E509" s="97"/>
      <c r="F509" s="196"/>
      <c r="G509" s="103" t="str">
        <f>IF(TblUnitCost[[#This Row],[Currency]]=LCU, TblUnitCost[[#This Row],[Cost]], IF(TblUnitCost[[#This Row],[Currency]]=ACU, TblUnitCost[[#This Row],[Cost]]*FX_Rate, "Check Ref Currency"))</f>
        <v>Check Ref Currency</v>
      </c>
      <c r="H509" s="103">
        <f>TblUnitCost[[#This Row],[Cost]]/1600</f>
        <v>0</v>
      </c>
      <c r="I509" s="96"/>
      <c r="J509" s="96"/>
      <c r="K509" s="98"/>
      <c r="L509" s="96"/>
    </row>
    <row r="510" spans="2:12">
      <c r="B510" s="96"/>
      <c r="C510" s="96"/>
      <c r="D510" s="97"/>
      <c r="E510" s="97"/>
      <c r="F510" s="196"/>
      <c r="G510" s="103" t="str">
        <f>IF(TblUnitCost[[#This Row],[Currency]]=LCU, TblUnitCost[[#This Row],[Cost]], IF(TblUnitCost[[#This Row],[Currency]]=ACU, TblUnitCost[[#This Row],[Cost]]*FX_Rate, "Check Ref Currency"))</f>
        <v>Check Ref Currency</v>
      </c>
      <c r="H510" s="103">
        <f>TblUnitCost[[#This Row],[Cost]]/1600</f>
        <v>0</v>
      </c>
      <c r="I510" s="96"/>
      <c r="J510" s="96"/>
      <c r="K510" s="98"/>
      <c r="L510" s="96"/>
    </row>
    <row r="511" spans="2:12">
      <c r="B511" s="96"/>
      <c r="C511" s="96"/>
      <c r="D511" s="97"/>
      <c r="E511" s="97"/>
      <c r="F511" s="196"/>
      <c r="G511" s="103" t="str">
        <f>IF(TblUnitCost[[#This Row],[Currency]]=LCU, TblUnitCost[[#This Row],[Cost]], IF(TblUnitCost[[#This Row],[Currency]]=ACU, TblUnitCost[[#This Row],[Cost]]*FX_Rate, "Check Ref Currency"))</f>
        <v>Check Ref Currency</v>
      </c>
      <c r="H511" s="103">
        <f>TblUnitCost[[#This Row],[Cost]]/1600</f>
        <v>0</v>
      </c>
      <c r="I511" s="96"/>
      <c r="J511" s="96"/>
      <c r="K511" s="98"/>
      <c r="L511" s="96"/>
    </row>
    <row r="512" spans="2:12">
      <c r="B512" s="96"/>
      <c r="C512" s="96"/>
      <c r="D512" s="97"/>
      <c r="E512" s="97"/>
      <c r="F512" s="196"/>
      <c r="G512" s="103" t="str">
        <f>IF(TblUnitCost[[#This Row],[Currency]]=LCU, TblUnitCost[[#This Row],[Cost]], IF(TblUnitCost[[#This Row],[Currency]]=ACU, TblUnitCost[[#This Row],[Cost]]*FX_Rate, "Check Ref Currency"))</f>
        <v>Check Ref Currency</v>
      </c>
      <c r="H512" s="103">
        <f>TblUnitCost[[#This Row],[Cost]]/1600</f>
        <v>0</v>
      </c>
      <c r="I512" s="96"/>
      <c r="J512" s="96"/>
      <c r="K512" s="98"/>
      <c r="L512" s="96"/>
    </row>
    <row r="513" spans="2:12">
      <c r="B513" s="96"/>
      <c r="C513" s="96"/>
      <c r="D513" s="97"/>
      <c r="E513" s="97"/>
      <c r="F513" s="196"/>
      <c r="G513" s="103" t="str">
        <f>IF(TblUnitCost[[#This Row],[Currency]]=LCU, TblUnitCost[[#This Row],[Cost]], IF(TblUnitCost[[#This Row],[Currency]]=ACU, TblUnitCost[[#This Row],[Cost]]*FX_Rate, "Check Ref Currency"))</f>
        <v>Check Ref Currency</v>
      </c>
      <c r="H513" s="103">
        <f>TblUnitCost[[#This Row],[Cost]]/1600</f>
        <v>0</v>
      </c>
      <c r="I513" s="96"/>
      <c r="J513" s="96"/>
      <c r="K513" s="98"/>
      <c r="L513" s="96"/>
    </row>
    <row r="514" spans="2:12">
      <c r="B514" s="96"/>
      <c r="C514" s="96"/>
      <c r="D514" s="97"/>
      <c r="E514" s="97"/>
      <c r="F514" s="196"/>
      <c r="G514" s="103" t="str">
        <f>IF(TblUnitCost[[#This Row],[Currency]]=LCU, TblUnitCost[[#This Row],[Cost]], IF(TblUnitCost[[#This Row],[Currency]]=ACU, TblUnitCost[[#This Row],[Cost]]*FX_Rate, "Check Ref Currency"))</f>
        <v>Check Ref Currency</v>
      </c>
      <c r="H514" s="103">
        <f>TblUnitCost[[#This Row],[Cost]]/1600</f>
        <v>0</v>
      </c>
      <c r="I514" s="96"/>
      <c r="J514" s="96"/>
      <c r="K514" s="98"/>
      <c r="L514" s="96"/>
    </row>
    <row r="515" spans="2:12">
      <c r="B515" s="96"/>
      <c r="C515" s="96"/>
      <c r="D515" s="97"/>
      <c r="E515" s="97"/>
      <c r="F515" s="196"/>
      <c r="G515" s="103" t="str">
        <f>IF(TblUnitCost[[#This Row],[Currency]]=LCU, TblUnitCost[[#This Row],[Cost]], IF(TblUnitCost[[#This Row],[Currency]]=ACU, TblUnitCost[[#This Row],[Cost]]*FX_Rate, "Check Ref Currency"))</f>
        <v>Check Ref Currency</v>
      </c>
      <c r="H515" s="103">
        <f>TblUnitCost[[#This Row],[Cost]]/1600</f>
        <v>0</v>
      </c>
      <c r="I515" s="96"/>
      <c r="J515" s="96"/>
      <c r="K515" s="98"/>
      <c r="L515" s="96"/>
    </row>
    <row r="516" spans="2:12">
      <c r="B516" s="96"/>
      <c r="C516" s="96"/>
      <c r="D516" s="97"/>
      <c r="E516" s="97"/>
      <c r="F516" s="196"/>
      <c r="G516" s="103" t="str">
        <f>IF(TblUnitCost[[#This Row],[Currency]]=LCU, TblUnitCost[[#This Row],[Cost]], IF(TblUnitCost[[#This Row],[Currency]]=ACU, TblUnitCost[[#This Row],[Cost]]*FX_Rate, "Check Ref Currency"))</f>
        <v>Check Ref Currency</v>
      </c>
      <c r="H516" s="103">
        <f>TblUnitCost[[#This Row],[Cost]]/1600</f>
        <v>0</v>
      </c>
      <c r="I516" s="96"/>
      <c r="J516" s="96"/>
      <c r="K516" s="98"/>
      <c r="L516" s="96"/>
    </row>
    <row r="517" spans="2:12">
      <c r="B517" s="96"/>
      <c r="C517" s="96"/>
      <c r="D517" s="97"/>
      <c r="E517" s="97"/>
      <c r="F517" s="196"/>
      <c r="G517" s="103" t="str">
        <f>IF(TblUnitCost[[#This Row],[Currency]]=LCU, TblUnitCost[[#This Row],[Cost]], IF(TblUnitCost[[#This Row],[Currency]]=ACU, TblUnitCost[[#This Row],[Cost]]*FX_Rate, "Check Ref Currency"))</f>
        <v>Check Ref Currency</v>
      </c>
      <c r="H517" s="103">
        <f>TblUnitCost[[#This Row],[Cost]]/1600</f>
        <v>0</v>
      </c>
      <c r="I517" s="96"/>
      <c r="J517" s="96"/>
      <c r="K517" s="98"/>
      <c r="L517" s="96"/>
    </row>
    <row r="518" spans="2:12">
      <c r="B518" s="99"/>
      <c r="C518" s="99"/>
      <c r="D518" s="99"/>
      <c r="E518" s="99"/>
      <c r="F518" s="197"/>
      <c r="G518" s="99"/>
      <c r="H518" s="99"/>
      <c r="I518" s="99"/>
      <c r="J518" s="99"/>
      <c r="K518" s="99"/>
      <c r="L518" s="99"/>
    </row>
    <row r="519" spans="2:12">
      <c r="B519" s="99"/>
      <c r="C519" s="99"/>
      <c r="D519" s="99"/>
      <c r="E519" s="99"/>
      <c r="F519" s="197"/>
      <c r="G519" s="99"/>
      <c r="H519" s="99"/>
      <c r="I519" s="99"/>
      <c r="J519" s="99"/>
      <c r="K519" s="99"/>
      <c r="L519" s="99"/>
    </row>
    <row r="520" spans="2:12">
      <c r="B520" s="99"/>
      <c r="C520" s="99"/>
      <c r="D520" s="99"/>
      <c r="E520" s="99"/>
      <c r="F520" s="197"/>
      <c r="G520" s="99"/>
      <c r="H520" s="99"/>
      <c r="I520" s="99"/>
      <c r="J520" s="99"/>
      <c r="K520" s="99"/>
      <c r="L520" s="99"/>
    </row>
    <row r="521" spans="2:12">
      <c r="B521" s="99"/>
      <c r="C521" s="99"/>
      <c r="D521" s="99"/>
      <c r="E521" s="99"/>
      <c r="F521" s="197"/>
      <c r="G521" s="99"/>
      <c r="H521" s="99"/>
      <c r="I521" s="99"/>
      <c r="J521" s="99"/>
      <c r="K521" s="99"/>
      <c r="L521" s="99"/>
    </row>
    <row r="522" spans="2:12">
      <c r="B522" s="99"/>
      <c r="C522" s="99"/>
      <c r="D522" s="99"/>
      <c r="E522" s="99"/>
      <c r="F522" s="197"/>
      <c r="G522" s="99"/>
      <c r="H522" s="99"/>
      <c r="I522" s="99"/>
      <c r="J522" s="99"/>
      <c r="K522" s="99"/>
      <c r="L522" s="99"/>
    </row>
    <row r="523" spans="2:12">
      <c r="B523" s="99"/>
      <c r="C523" s="99"/>
      <c r="D523" s="99"/>
      <c r="E523" s="99"/>
      <c r="F523" s="197"/>
      <c r="G523" s="99"/>
      <c r="H523" s="99"/>
      <c r="I523" s="99"/>
      <c r="J523" s="99"/>
      <c r="K523" s="99"/>
      <c r="L523" s="99"/>
    </row>
    <row r="524" spans="2:12">
      <c r="B524" s="99"/>
      <c r="C524" s="99"/>
      <c r="D524" s="99"/>
      <c r="E524" s="99"/>
      <c r="F524" s="197"/>
      <c r="G524" s="99"/>
      <c r="H524" s="99"/>
      <c r="I524" s="99"/>
      <c r="J524" s="99"/>
      <c r="K524" s="99"/>
      <c r="L524" s="99"/>
    </row>
    <row r="525" spans="2:12">
      <c r="B525" s="99"/>
      <c r="C525" s="99"/>
      <c r="D525" s="99"/>
      <c r="E525" s="99"/>
      <c r="F525" s="197"/>
      <c r="G525" s="99"/>
      <c r="H525" s="99"/>
      <c r="I525" s="99"/>
      <c r="J525" s="99"/>
      <c r="K525" s="99"/>
      <c r="L525" s="99"/>
    </row>
    <row r="526" spans="2:12">
      <c r="B526" s="99"/>
      <c r="C526" s="99"/>
      <c r="D526" s="99"/>
      <c r="E526" s="99"/>
      <c r="F526" s="197"/>
      <c r="G526" s="99"/>
      <c r="H526" s="99"/>
      <c r="I526" s="99"/>
      <c r="J526" s="99"/>
      <c r="K526" s="99"/>
      <c r="L526" s="99"/>
    </row>
    <row r="527" spans="2:12">
      <c r="B527" s="99"/>
      <c r="C527" s="99"/>
      <c r="D527" s="99"/>
      <c r="E527" s="99"/>
      <c r="F527" s="197"/>
      <c r="G527" s="99"/>
      <c r="H527" s="99"/>
      <c r="I527" s="99"/>
      <c r="J527" s="99"/>
      <c r="K527" s="99"/>
      <c r="L527" s="99"/>
    </row>
    <row r="528" spans="2:12">
      <c r="B528" s="99"/>
      <c r="C528" s="99"/>
      <c r="D528" s="99"/>
      <c r="E528" s="99"/>
      <c r="F528" s="197"/>
      <c r="G528" s="99"/>
      <c r="H528" s="99"/>
      <c r="I528" s="99"/>
      <c r="J528" s="99"/>
      <c r="K528" s="99"/>
      <c r="L528" s="99"/>
    </row>
    <row r="529" spans="2:12">
      <c r="B529" s="99"/>
      <c r="C529" s="99"/>
      <c r="D529" s="99"/>
      <c r="E529" s="99"/>
      <c r="F529" s="197"/>
      <c r="G529" s="99"/>
      <c r="H529" s="99"/>
      <c r="I529" s="99"/>
      <c r="J529" s="99"/>
      <c r="K529" s="99"/>
      <c r="L529" s="99"/>
    </row>
    <row r="530" spans="2:12">
      <c r="B530" s="99"/>
      <c r="C530" s="99"/>
      <c r="D530" s="99"/>
      <c r="E530" s="99"/>
      <c r="F530" s="197"/>
      <c r="G530" s="99"/>
      <c r="H530" s="99"/>
      <c r="I530" s="99"/>
      <c r="J530" s="99"/>
      <c r="K530" s="99"/>
      <c r="L530" s="99"/>
    </row>
    <row r="531" spans="2:12">
      <c r="B531" s="99"/>
      <c r="C531" s="99"/>
      <c r="D531" s="99"/>
      <c r="E531" s="99"/>
      <c r="F531" s="197"/>
      <c r="G531" s="99"/>
      <c r="H531" s="99"/>
      <c r="I531" s="99"/>
      <c r="J531" s="99"/>
      <c r="K531" s="99"/>
      <c r="L531" s="99"/>
    </row>
    <row r="532" spans="2:12">
      <c r="B532" s="99"/>
      <c r="C532" s="99"/>
      <c r="D532" s="99"/>
      <c r="E532" s="99"/>
      <c r="F532" s="197"/>
      <c r="G532" s="99"/>
      <c r="H532" s="99"/>
      <c r="I532" s="99"/>
      <c r="J532" s="99"/>
      <c r="K532" s="99"/>
      <c r="L532" s="99"/>
    </row>
    <row r="533" spans="2:12">
      <c r="B533" s="99"/>
      <c r="C533" s="99"/>
      <c r="D533" s="99"/>
      <c r="E533" s="99"/>
      <c r="F533" s="197"/>
      <c r="G533" s="99"/>
      <c r="H533" s="99"/>
      <c r="I533" s="99"/>
      <c r="J533" s="99"/>
      <c r="K533" s="99"/>
      <c r="L533" s="99"/>
    </row>
    <row r="534" spans="2:12">
      <c r="B534" s="99"/>
      <c r="C534" s="99"/>
      <c r="D534" s="99"/>
      <c r="E534" s="99"/>
      <c r="F534" s="197"/>
      <c r="G534" s="99"/>
      <c r="H534" s="99"/>
      <c r="I534" s="99"/>
      <c r="J534" s="99"/>
      <c r="K534" s="99"/>
      <c r="L534" s="99"/>
    </row>
    <row r="535" spans="2:12">
      <c r="B535" s="99"/>
      <c r="C535" s="99"/>
      <c r="D535" s="99"/>
      <c r="E535" s="99"/>
      <c r="F535" s="197"/>
      <c r="G535" s="99"/>
      <c r="H535" s="99"/>
      <c r="I535" s="99"/>
      <c r="J535" s="99"/>
      <c r="K535" s="99"/>
      <c r="L535" s="99"/>
    </row>
    <row r="536" spans="2:12">
      <c r="B536" s="99"/>
      <c r="C536" s="99"/>
      <c r="D536" s="99"/>
      <c r="E536" s="99"/>
      <c r="F536" s="197"/>
      <c r="G536" s="99"/>
      <c r="H536" s="99"/>
      <c r="I536" s="99"/>
      <c r="J536" s="99"/>
      <c r="K536" s="99"/>
      <c r="L536" s="99"/>
    </row>
    <row r="537" spans="2:12">
      <c r="B537" s="99"/>
      <c r="C537" s="99"/>
      <c r="D537" s="99"/>
      <c r="E537" s="99"/>
      <c r="F537" s="197"/>
      <c r="G537" s="99"/>
      <c r="H537" s="99"/>
      <c r="I537" s="99"/>
      <c r="J537" s="99"/>
      <c r="K537" s="99"/>
      <c r="L537" s="99"/>
    </row>
    <row r="538" spans="2:12">
      <c r="B538" s="99"/>
      <c r="C538" s="99"/>
      <c r="D538" s="99"/>
      <c r="E538" s="99"/>
      <c r="F538" s="197"/>
      <c r="G538" s="99"/>
      <c r="H538" s="99"/>
      <c r="I538" s="99"/>
      <c r="J538" s="99"/>
      <c r="K538" s="99"/>
      <c r="L538" s="99"/>
    </row>
    <row r="539" spans="2:12">
      <c r="B539" s="99"/>
      <c r="C539" s="99"/>
      <c r="D539" s="99"/>
      <c r="E539" s="99"/>
      <c r="F539" s="197"/>
      <c r="G539" s="99"/>
      <c r="H539" s="99"/>
      <c r="I539" s="99"/>
      <c r="J539" s="99"/>
      <c r="K539" s="99"/>
      <c r="L539" s="99"/>
    </row>
    <row r="540" spans="2:12">
      <c r="B540" s="99"/>
      <c r="C540" s="99"/>
      <c r="D540" s="99"/>
      <c r="E540" s="99"/>
      <c r="F540" s="197"/>
      <c r="G540" s="99"/>
      <c r="H540" s="99"/>
      <c r="I540" s="99"/>
      <c r="J540" s="99"/>
      <c r="K540" s="99"/>
      <c r="L540" s="99"/>
    </row>
    <row r="541" spans="2:12">
      <c r="B541" s="99"/>
      <c r="C541" s="99"/>
      <c r="D541" s="99"/>
      <c r="E541" s="99"/>
      <c r="F541" s="197"/>
      <c r="G541" s="99"/>
      <c r="H541" s="99"/>
      <c r="I541" s="99"/>
      <c r="J541" s="99"/>
      <c r="K541" s="99"/>
      <c r="L541" s="99"/>
    </row>
    <row r="542" spans="2:12">
      <c r="B542" s="99"/>
      <c r="C542" s="99"/>
      <c r="D542" s="99"/>
      <c r="E542" s="99"/>
      <c r="F542" s="197"/>
      <c r="G542" s="99"/>
      <c r="H542" s="99"/>
      <c r="I542" s="99"/>
      <c r="J542" s="99"/>
      <c r="K542" s="99"/>
      <c r="L542" s="99"/>
    </row>
    <row r="543" spans="2:12">
      <c r="B543" s="99"/>
      <c r="C543" s="99"/>
      <c r="D543" s="99"/>
      <c r="E543" s="99"/>
      <c r="F543" s="197"/>
      <c r="G543" s="99"/>
      <c r="H543" s="99"/>
      <c r="I543" s="99"/>
      <c r="J543" s="99"/>
      <c r="K543" s="99"/>
      <c r="L543" s="99"/>
    </row>
    <row r="544" spans="2:12">
      <c r="B544" s="99"/>
      <c r="C544" s="99"/>
      <c r="D544" s="99"/>
      <c r="E544" s="99"/>
      <c r="F544" s="197"/>
      <c r="G544" s="99"/>
      <c r="H544" s="99"/>
      <c r="I544" s="99"/>
      <c r="J544" s="99"/>
      <c r="K544" s="99"/>
      <c r="L544" s="99"/>
    </row>
    <row r="545" spans="2:12">
      <c r="B545" s="99"/>
      <c r="C545" s="99"/>
      <c r="D545" s="99"/>
      <c r="E545" s="99"/>
      <c r="F545" s="197"/>
      <c r="G545" s="99"/>
      <c r="H545" s="99"/>
      <c r="I545" s="99"/>
      <c r="J545" s="99"/>
      <c r="K545" s="99"/>
      <c r="L545" s="99"/>
    </row>
    <row r="546" spans="2:12">
      <c r="B546" s="99"/>
      <c r="C546" s="99"/>
      <c r="D546" s="99"/>
      <c r="E546" s="99"/>
      <c r="F546" s="197"/>
      <c r="G546" s="99"/>
      <c r="H546" s="99"/>
      <c r="I546" s="99"/>
      <c r="J546" s="99"/>
      <c r="K546" s="99"/>
      <c r="L546" s="99"/>
    </row>
    <row r="547" spans="2:12">
      <c r="B547" s="99"/>
      <c r="C547" s="99"/>
      <c r="D547" s="99"/>
      <c r="E547" s="99"/>
      <c r="F547" s="197"/>
      <c r="G547" s="99"/>
      <c r="H547" s="99"/>
      <c r="I547" s="99"/>
      <c r="J547" s="99"/>
      <c r="K547" s="99"/>
      <c r="L547" s="99"/>
    </row>
    <row r="548" spans="2:12">
      <c r="B548" s="99"/>
      <c r="C548" s="99"/>
      <c r="D548" s="99"/>
      <c r="E548" s="99"/>
      <c r="F548" s="197"/>
      <c r="G548" s="99"/>
      <c r="H548" s="99"/>
      <c r="I548" s="99"/>
      <c r="J548" s="99"/>
      <c r="K548" s="99"/>
      <c r="L548" s="99"/>
    </row>
    <row r="549" spans="2:12">
      <c r="B549" s="99"/>
      <c r="C549" s="99"/>
      <c r="D549" s="99"/>
      <c r="E549" s="99"/>
      <c r="F549" s="197"/>
      <c r="G549" s="99"/>
      <c r="H549" s="99"/>
      <c r="I549" s="99"/>
      <c r="J549" s="99"/>
      <c r="K549" s="99"/>
      <c r="L549" s="99"/>
    </row>
    <row r="550" spans="2:12">
      <c r="B550" s="99"/>
      <c r="C550" s="99"/>
      <c r="D550" s="99"/>
      <c r="E550" s="99"/>
      <c r="F550" s="197"/>
      <c r="G550" s="99"/>
      <c r="H550" s="99"/>
      <c r="I550" s="99"/>
      <c r="J550" s="99"/>
      <c r="K550" s="99"/>
      <c r="L550" s="99"/>
    </row>
    <row r="551" spans="2:12">
      <c r="B551" s="99"/>
      <c r="C551" s="99"/>
      <c r="D551" s="99"/>
      <c r="E551" s="99"/>
      <c r="F551" s="197"/>
      <c r="G551" s="99"/>
      <c r="H551" s="99"/>
      <c r="I551" s="99"/>
      <c r="J551" s="99"/>
      <c r="K551" s="99"/>
      <c r="L551" s="99"/>
    </row>
    <row r="552" spans="2:12">
      <c r="B552" s="99"/>
      <c r="C552" s="99"/>
      <c r="D552" s="99"/>
      <c r="E552" s="99"/>
      <c r="F552" s="197"/>
      <c r="G552" s="99"/>
      <c r="H552" s="99"/>
      <c r="I552" s="99"/>
      <c r="J552" s="99"/>
      <c r="K552" s="99"/>
      <c r="L552" s="99"/>
    </row>
    <row r="553" spans="2:12">
      <c r="B553" s="99"/>
      <c r="C553" s="99"/>
      <c r="D553" s="99"/>
      <c r="E553" s="99"/>
      <c r="F553" s="197"/>
      <c r="G553" s="99"/>
      <c r="H553" s="99"/>
      <c r="I553" s="99"/>
      <c r="J553" s="99"/>
      <c r="K553" s="99"/>
      <c r="L553" s="99"/>
    </row>
    <row r="554" spans="2:12">
      <c r="B554" s="99"/>
      <c r="C554" s="99"/>
      <c r="D554" s="99"/>
      <c r="E554" s="99"/>
      <c r="F554" s="197"/>
      <c r="G554" s="99"/>
      <c r="H554" s="99"/>
      <c r="I554" s="99"/>
      <c r="J554" s="99"/>
      <c r="K554" s="99"/>
      <c r="L554" s="99"/>
    </row>
    <row r="555" spans="2:12">
      <c r="B555" s="99"/>
      <c r="C555" s="99"/>
      <c r="D555" s="99"/>
      <c r="E555" s="99"/>
      <c r="F555" s="197"/>
      <c r="G555" s="99"/>
      <c r="H555" s="99"/>
      <c r="I555" s="99"/>
      <c r="J555" s="99"/>
      <c r="K555" s="99"/>
      <c r="L555" s="99"/>
    </row>
    <row r="556" spans="2:12">
      <c r="B556" s="99"/>
      <c r="C556" s="99"/>
      <c r="D556" s="99"/>
      <c r="E556" s="99"/>
      <c r="F556" s="197"/>
      <c r="G556" s="99"/>
      <c r="H556" s="99"/>
      <c r="I556" s="99"/>
      <c r="J556" s="99"/>
      <c r="K556" s="99"/>
      <c r="L556" s="99"/>
    </row>
    <row r="557" spans="2:12">
      <c r="B557" s="99"/>
      <c r="C557" s="99"/>
      <c r="D557" s="99"/>
      <c r="E557" s="99"/>
      <c r="F557" s="197"/>
      <c r="G557" s="99"/>
      <c r="H557" s="99"/>
      <c r="I557" s="99"/>
      <c r="J557" s="99"/>
      <c r="K557" s="99"/>
      <c r="L557" s="99"/>
    </row>
    <row r="558" spans="2:12">
      <c r="B558" s="99"/>
      <c r="C558" s="99"/>
      <c r="D558" s="99"/>
      <c r="E558" s="99"/>
      <c r="F558" s="197"/>
      <c r="G558" s="99"/>
      <c r="H558" s="99"/>
      <c r="I558" s="99"/>
      <c r="J558" s="99"/>
      <c r="K558" s="99"/>
      <c r="L558" s="99"/>
    </row>
    <row r="559" spans="2:12">
      <c r="B559" s="99"/>
      <c r="C559" s="99"/>
      <c r="D559" s="99"/>
      <c r="E559" s="99"/>
      <c r="F559" s="197"/>
      <c r="G559" s="99"/>
      <c r="H559" s="99"/>
      <c r="I559" s="99"/>
      <c r="J559" s="99"/>
      <c r="K559" s="99"/>
      <c r="L559" s="99"/>
    </row>
    <row r="560" spans="2:12">
      <c r="B560" s="99"/>
      <c r="C560" s="99"/>
      <c r="D560" s="99"/>
      <c r="E560" s="99"/>
      <c r="F560" s="197"/>
      <c r="G560" s="99"/>
      <c r="H560" s="99"/>
      <c r="I560" s="99"/>
      <c r="J560" s="99"/>
      <c r="K560" s="99"/>
      <c r="L560" s="99"/>
    </row>
    <row r="561" spans="2:12">
      <c r="B561" s="99"/>
      <c r="C561" s="99"/>
      <c r="D561" s="99"/>
      <c r="E561" s="99"/>
      <c r="F561" s="197"/>
      <c r="G561" s="99"/>
      <c r="H561" s="99"/>
      <c r="I561" s="99"/>
      <c r="J561" s="99"/>
      <c r="K561" s="99"/>
      <c r="L561" s="99"/>
    </row>
    <row r="562" spans="2:12">
      <c r="B562" s="99"/>
      <c r="C562" s="99"/>
      <c r="D562" s="99"/>
      <c r="E562" s="99"/>
      <c r="F562" s="197"/>
      <c r="G562" s="99"/>
      <c r="H562" s="99"/>
      <c r="I562" s="99"/>
      <c r="J562" s="99"/>
      <c r="K562" s="99"/>
      <c r="L562" s="99"/>
    </row>
    <row r="563" spans="2:12">
      <c r="B563" s="99"/>
      <c r="C563" s="99"/>
      <c r="D563" s="99"/>
      <c r="E563" s="99"/>
      <c r="F563" s="197"/>
      <c r="G563" s="99"/>
      <c r="H563" s="99"/>
      <c r="I563" s="99"/>
      <c r="J563" s="99"/>
      <c r="K563" s="99"/>
      <c r="L563" s="99"/>
    </row>
    <row r="564" spans="2:12">
      <c r="B564" s="99"/>
      <c r="C564" s="99"/>
      <c r="D564" s="99"/>
      <c r="E564" s="99"/>
      <c r="F564" s="197"/>
      <c r="G564" s="99"/>
      <c r="H564" s="99"/>
      <c r="I564" s="99"/>
      <c r="J564" s="99"/>
      <c r="K564" s="99"/>
      <c r="L564" s="99"/>
    </row>
    <row r="565" spans="2:12">
      <c r="B565" s="99"/>
      <c r="C565" s="99"/>
      <c r="D565" s="99"/>
      <c r="E565" s="99"/>
      <c r="F565" s="197"/>
      <c r="G565" s="99"/>
      <c r="H565" s="99"/>
      <c r="I565" s="99"/>
      <c r="J565" s="99"/>
      <c r="K565" s="99"/>
      <c r="L565" s="99"/>
    </row>
    <row r="566" spans="2:12">
      <c r="B566" s="99"/>
      <c r="C566" s="99"/>
      <c r="D566" s="99"/>
      <c r="E566" s="99"/>
      <c r="F566" s="197"/>
      <c r="G566" s="99"/>
      <c r="H566" s="99"/>
      <c r="I566" s="99"/>
      <c r="J566" s="99"/>
      <c r="K566" s="99"/>
      <c r="L566" s="99"/>
    </row>
    <row r="567" spans="2:12">
      <c r="B567" s="99"/>
      <c r="C567" s="99"/>
      <c r="D567" s="99"/>
      <c r="E567" s="99"/>
      <c r="F567" s="197"/>
      <c r="G567" s="99"/>
      <c r="H567" s="99"/>
      <c r="I567" s="99"/>
      <c r="J567" s="99"/>
      <c r="K567" s="99"/>
      <c r="L567" s="99"/>
    </row>
    <row r="568" spans="2:12">
      <c r="B568" s="99"/>
      <c r="C568" s="99"/>
      <c r="D568" s="99"/>
      <c r="E568" s="99"/>
      <c r="F568" s="197"/>
      <c r="G568" s="99"/>
      <c r="H568" s="99"/>
      <c r="I568" s="99"/>
      <c r="J568" s="99"/>
      <c r="K568" s="99"/>
      <c r="L568" s="99"/>
    </row>
    <row r="569" spans="2:12">
      <c r="B569" s="99"/>
      <c r="C569" s="99"/>
      <c r="D569" s="99"/>
      <c r="E569" s="99"/>
      <c r="F569" s="197"/>
      <c r="G569" s="99"/>
      <c r="H569" s="99"/>
      <c r="I569" s="99"/>
      <c r="J569" s="99"/>
      <c r="K569" s="99"/>
      <c r="L569" s="99"/>
    </row>
    <row r="570" spans="2:12">
      <c r="B570" s="99"/>
      <c r="C570" s="99"/>
      <c r="D570" s="99"/>
      <c r="E570" s="99"/>
      <c r="F570" s="197"/>
      <c r="G570" s="99"/>
      <c r="H570" s="99"/>
      <c r="I570" s="99"/>
      <c r="J570" s="99"/>
      <c r="K570" s="99"/>
      <c r="L570" s="99"/>
    </row>
    <row r="571" spans="2:12">
      <c r="B571" s="99"/>
      <c r="C571" s="99"/>
      <c r="D571" s="99"/>
      <c r="E571" s="99"/>
      <c r="F571" s="197"/>
      <c r="G571" s="99"/>
      <c r="H571" s="99"/>
      <c r="I571" s="99"/>
      <c r="J571" s="99"/>
      <c r="K571" s="99"/>
      <c r="L571" s="99"/>
    </row>
    <row r="572" spans="2:12">
      <c r="B572" s="99"/>
      <c r="C572" s="99"/>
      <c r="D572" s="99"/>
      <c r="E572" s="99"/>
      <c r="F572" s="197"/>
      <c r="G572" s="99"/>
      <c r="H572" s="99"/>
      <c r="I572" s="99"/>
      <c r="J572" s="99"/>
      <c r="K572" s="99"/>
      <c r="L572" s="99"/>
    </row>
    <row r="573" spans="2:12">
      <c r="B573" s="99"/>
      <c r="C573" s="99"/>
      <c r="D573" s="99"/>
      <c r="E573" s="99"/>
      <c r="F573" s="197"/>
      <c r="G573" s="99"/>
      <c r="H573" s="99"/>
      <c r="I573" s="99"/>
      <c r="J573" s="99"/>
      <c r="K573" s="99"/>
      <c r="L573" s="99"/>
    </row>
    <row r="574" spans="2:12">
      <c r="B574" s="99"/>
      <c r="C574" s="99"/>
      <c r="D574" s="99"/>
      <c r="E574" s="99"/>
      <c r="F574" s="197"/>
      <c r="G574" s="99"/>
      <c r="H574" s="99"/>
      <c r="I574" s="99"/>
      <c r="J574" s="99"/>
      <c r="K574" s="99"/>
      <c r="L574" s="99"/>
    </row>
    <row r="575" spans="2:12">
      <c r="B575" s="99"/>
      <c r="C575" s="99"/>
      <c r="D575" s="99"/>
      <c r="E575" s="99"/>
      <c r="F575" s="197"/>
      <c r="G575" s="99"/>
      <c r="H575" s="99"/>
      <c r="I575" s="99"/>
      <c r="J575" s="99"/>
      <c r="K575" s="99"/>
      <c r="L575" s="99"/>
    </row>
    <row r="576" spans="2:12">
      <c r="B576" s="99"/>
      <c r="C576" s="99"/>
      <c r="D576" s="99"/>
      <c r="E576" s="99"/>
      <c r="F576" s="197"/>
      <c r="G576" s="99"/>
      <c r="H576" s="99"/>
      <c r="I576" s="99"/>
      <c r="J576" s="99"/>
      <c r="K576" s="99"/>
      <c r="L576" s="99"/>
    </row>
    <row r="577" spans="2:12">
      <c r="B577" s="99"/>
      <c r="C577" s="99"/>
      <c r="D577" s="99"/>
      <c r="E577" s="99"/>
      <c r="F577" s="197"/>
      <c r="G577" s="99"/>
      <c r="H577" s="99"/>
      <c r="I577" s="99"/>
      <c r="J577" s="99"/>
      <c r="K577" s="99"/>
      <c r="L577" s="99"/>
    </row>
    <row r="578" spans="2:12">
      <c r="B578" s="99"/>
      <c r="C578" s="99"/>
      <c r="D578" s="99"/>
      <c r="E578" s="99"/>
      <c r="F578" s="197"/>
      <c r="G578" s="99"/>
      <c r="H578" s="99"/>
      <c r="I578" s="99"/>
      <c r="J578" s="99"/>
      <c r="K578" s="99"/>
      <c r="L578" s="99"/>
    </row>
    <row r="579" spans="2:12">
      <c r="B579" s="99"/>
      <c r="C579" s="99"/>
      <c r="D579" s="99"/>
      <c r="E579" s="99"/>
      <c r="F579" s="197"/>
      <c r="G579" s="99"/>
      <c r="H579" s="99"/>
      <c r="I579" s="99"/>
      <c r="J579" s="99"/>
      <c r="K579" s="99"/>
      <c r="L579" s="99"/>
    </row>
    <row r="580" spans="2:12">
      <c r="B580" s="99"/>
      <c r="C580" s="99"/>
      <c r="D580" s="99"/>
      <c r="E580" s="99"/>
      <c r="F580" s="197"/>
      <c r="G580" s="99"/>
      <c r="H580" s="99"/>
      <c r="I580" s="99"/>
      <c r="J580" s="99"/>
      <c r="K580" s="99"/>
      <c r="L580" s="99"/>
    </row>
    <row r="581" spans="2:12">
      <c r="B581" s="99"/>
      <c r="C581" s="99"/>
      <c r="D581" s="99"/>
      <c r="E581" s="99"/>
      <c r="F581" s="197"/>
      <c r="G581" s="99"/>
      <c r="H581" s="99"/>
      <c r="I581" s="99"/>
      <c r="J581" s="99"/>
      <c r="K581" s="99"/>
      <c r="L581" s="99"/>
    </row>
    <row r="582" spans="2:12">
      <c r="B582" s="99"/>
      <c r="C582" s="99"/>
      <c r="D582" s="99"/>
      <c r="E582" s="99"/>
      <c r="F582" s="197"/>
      <c r="G582" s="99"/>
      <c r="H582" s="99"/>
      <c r="I582" s="99"/>
      <c r="J582" s="99"/>
      <c r="K582" s="99"/>
      <c r="L582" s="99"/>
    </row>
    <row r="583" spans="2:12">
      <c r="B583" s="99"/>
      <c r="C583" s="99"/>
      <c r="D583" s="99"/>
      <c r="E583" s="99"/>
      <c r="F583" s="197"/>
      <c r="G583" s="99"/>
      <c r="H583" s="99"/>
      <c r="I583" s="99"/>
      <c r="J583" s="99"/>
      <c r="K583" s="99"/>
      <c r="L583" s="99"/>
    </row>
    <row r="584" spans="2:12">
      <c r="B584" s="99"/>
      <c r="C584" s="99"/>
      <c r="D584" s="99"/>
      <c r="E584" s="99"/>
      <c r="F584" s="197"/>
      <c r="G584" s="99"/>
      <c r="H584" s="99"/>
      <c r="I584" s="99"/>
      <c r="J584" s="99"/>
      <c r="K584" s="99"/>
      <c r="L584" s="99"/>
    </row>
    <row r="585" spans="2:12">
      <c r="B585" s="99"/>
      <c r="C585" s="99"/>
      <c r="D585" s="99"/>
      <c r="E585" s="99"/>
      <c r="F585" s="197"/>
      <c r="G585" s="99"/>
      <c r="H585" s="99"/>
      <c r="I585" s="99"/>
      <c r="J585" s="99"/>
      <c r="K585" s="99"/>
      <c r="L585" s="99"/>
    </row>
    <row r="586" spans="2:12">
      <c r="B586" s="99"/>
      <c r="C586" s="99"/>
      <c r="D586" s="99"/>
      <c r="E586" s="99"/>
      <c r="F586" s="197"/>
      <c r="G586" s="99"/>
      <c r="H586" s="99"/>
      <c r="I586" s="99"/>
      <c r="J586" s="99"/>
      <c r="K586" s="99"/>
      <c r="L586" s="99"/>
    </row>
    <row r="587" spans="2:12">
      <c r="B587" s="99"/>
      <c r="C587" s="99"/>
      <c r="D587" s="99"/>
      <c r="E587" s="99"/>
      <c r="F587" s="197"/>
      <c r="G587" s="99"/>
      <c r="H587" s="99"/>
      <c r="I587" s="99"/>
      <c r="J587" s="99"/>
      <c r="K587" s="99"/>
      <c r="L587" s="99"/>
    </row>
    <row r="588" spans="2:12">
      <c r="B588" s="99"/>
      <c r="C588" s="99"/>
      <c r="D588" s="99"/>
      <c r="E588" s="99"/>
      <c r="F588" s="197"/>
      <c r="G588" s="99"/>
      <c r="H588" s="99"/>
      <c r="I588" s="99"/>
      <c r="J588" s="99"/>
      <c r="K588" s="99"/>
      <c r="L588" s="99"/>
    </row>
    <row r="589" spans="2:12">
      <c r="B589" s="99"/>
      <c r="C589" s="99"/>
      <c r="D589" s="99"/>
      <c r="E589" s="99"/>
      <c r="F589" s="197"/>
      <c r="G589" s="99"/>
      <c r="H589" s="99"/>
      <c r="I589" s="99"/>
      <c r="J589" s="99"/>
      <c r="K589" s="99"/>
      <c r="L589" s="99"/>
    </row>
    <row r="590" spans="2:12">
      <c r="B590" s="99"/>
      <c r="C590" s="99"/>
      <c r="D590" s="99"/>
      <c r="E590" s="99"/>
      <c r="F590" s="197"/>
      <c r="G590" s="99"/>
      <c r="H590" s="99"/>
      <c r="I590" s="99"/>
      <c r="J590" s="99"/>
      <c r="K590" s="99"/>
      <c r="L590" s="99"/>
    </row>
    <row r="591" spans="2:12">
      <c r="B591" s="99"/>
      <c r="C591" s="99"/>
      <c r="D591" s="99"/>
      <c r="E591" s="99"/>
      <c r="F591" s="197"/>
      <c r="G591" s="99"/>
      <c r="H591" s="99"/>
      <c r="I591" s="99"/>
      <c r="J591" s="99"/>
      <c r="K591" s="99"/>
      <c r="L591" s="99"/>
    </row>
    <row r="592" spans="2:12">
      <c r="B592" s="99"/>
      <c r="C592" s="99"/>
      <c r="D592" s="99"/>
      <c r="E592" s="99"/>
      <c r="F592" s="197"/>
      <c r="G592" s="99"/>
      <c r="H592" s="99"/>
      <c r="I592" s="99"/>
      <c r="J592" s="99"/>
      <c r="K592" s="99"/>
      <c r="L592" s="99"/>
    </row>
    <row r="593" spans="2:12">
      <c r="B593" s="99"/>
      <c r="C593" s="99"/>
      <c r="D593" s="99"/>
      <c r="E593" s="99"/>
      <c r="F593" s="197"/>
      <c r="G593" s="99"/>
      <c r="H593" s="99"/>
      <c r="I593" s="99"/>
      <c r="J593" s="99"/>
      <c r="K593" s="99"/>
      <c r="L593" s="99"/>
    </row>
    <row r="594" spans="2:12">
      <c r="B594" s="99"/>
      <c r="C594" s="99"/>
      <c r="D594" s="99"/>
      <c r="E594" s="99"/>
      <c r="F594" s="197"/>
      <c r="G594" s="99"/>
      <c r="H594" s="99"/>
      <c r="I594" s="99"/>
      <c r="J594" s="99"/>
      <c r="K594" s="99"/>
      <c r="L594" s="99"/>
    </row>
    <row r="595" spans="2:12">
      <c r="B595" s="99"/>
      <c r="C595" s="99"/>
      <c r="D595" s="99"/>
      <c r="E595" s="99"/>
      <c r="F595" s="197"/>
      <c r="G595" s="99"/>
      <c r="H595" s="99"/>
      <c r="I595" s="99"/>
      <c r="J595" s="99"/>
      <c r="K595" s="99"/>
      <c r="L595" s="99"/>
    </row>
    <row r="596" spans="2:12">
      <c r="B596" s="99"/>
      <c r="C596" s="99"/>
      <c r="D596" s="99"/>
      <c r="E596" s="99"/>
      <c r="F596" s="197"/>
      <c r="G596" s="99"/>
      <c r="H596" s="99"/>
      <c r="I596" s="99"/>
      <c r="J596" s="99"/>
      <c r="K596" s="99"/>
      <c r="L596" s="99"/>
    </row>
    <row r="597" spans="2:12">
      <c r="B597" s="99"/>
      <c r="C597" s="99"/>
      <c r="D597" s="99"/>
      <c r="E597" s="99"/>
      <c r="F597" s="197"/>
      <c r="G597" s="99"/>
      <c r="H597" s="99"/>
      <c r="I597" s="99"/>
      <c r="J597" s="99"/>
      <c r="K597" s="99"/>
      <c r="L597" s="99"/>
    </row>
    <row r="598" spans="2:12">
      <c r="B598" s="99"/>
      <c r="C598" s="99"/>
      <c r="D598" s="99"/>
      <c r="E598" s="99"/>
      <c r="F598" s="197"/>
      <c r="G598" s="99"/>
      <c r="H598" s="99"/>
      <c r="I598" s="99"/>
      <c r="J598" s="99"/>
      <c r="K598" s="99"/>
      <c r="L598" s="99"/>
    </row>
    <row r="599" spans="2:12">
      <c r="B599" s="99"/>
      <c r="C599" s="99"/>
      <c r="D599" s="99"/>
      <c r="E599" s="99"/>
      <c r="F599" s="197"/>
      <c r="G599" s="99"/>
      <c r="H599" s="99"/>
      <c r="I599" s="99"/>
      <c r="J599" s="99"/>
      <c r="K599" s="99"/>
      <c r="L599" s="99"/>
    </row>
    <row r="600" spans="2:12">
      <c r="B600" s="99"/>
      <c r="C600" s="99"/>
      <c r="D600" s="99"/>
      <c r="E600" s="99"/>
      <c r="F600" s="197"/>
      <c r="G600" s="99"/>
      <c r="H600" s="99"/>
      <c r="I600" s="99"/>
      <c r="J600" s="99"/>
      <c r="K600" s="99"/>
      <c r="L600" s="99"/>
    </row>
    <row r="601" spans="2:12">
      <c r="B601" s="99"/>
      <c r="C601" s="99"/>
      <c r="D601" s="99"/>
      <c r="E601" s="99"/>
      <c r="F601" s="197"/>
      <c r="G601" s="99"/>
      <c r="H601" s="99"/>
      <c r="I601" s="99"/>
      <c r="J601" s="99"/>
      <c r="K601" s="99"/>
      <c r="L601" s="99"/>
    </row>
    <row r="602" spans="2:12">
      <c r="B602" s="99"/>
      <c r="C602" s="99"/>
      <c r="D602" s="99"/>
      <c r="E602" s="99"/>
      <c r="F602" s="197"/>
      <c r="G602" s="99"/>
      <c r="H602" s="99"/>
      <c r="I602" s="99"/>
      <c r="J602" s="99"/>
      <c r="K602" s="99"/>
      <c r="L602" s="99"/>
    </row>
    <row r="603" spans="2:12">
      <c r="B603" s="99"/>
      <c r="C603" s="99"/>
      <c r="D603" s="99"/>
      <c r="E603" s="99"/>
      <c r="F603" s="197"/>
      <c r="G603" s="99"/>
      <c r="H603" s="99"/>
      <c r="I603" s="99"/>
      <c r="J603" s="99"/>
      <c r="K603" s="99"/>
      <c r="L603" s="99"/>
    </row>
    <row r="604" spans="2:12">
      <c r="B604" s="99"/>
      <c r="C604" s="99"/>
      <c r="D604" s="99"/>
      <c r="E604" s="99"/>
      <c r="F604" s="197"/>
      <c r="G604" s="99"/>
      <c r="H604" s="99"/>
      <c r="I604" s="99"/>
      <c r="J604" s="99"/>
      <c r="K604" s="99"/>
      <c r="L604" s="99"/>
    </row>
    <row r="605" spans="2:12">
      <c r="B605" s="99"/>
      <c r="C605" s="99"/>
      <c r="D605" s="99"/>
      <c r="E605" s="99"/>
      <c r="F605" s="197"/>
      <c r="G605" s="99"/>
      <c r="H605" s="99"/>
      <c r="I605" s="99"/>
      <c r="J605" s="99"/>
      <c r="K605" s="99"/>
      <c r="L605" s="99"/>
    </row>
    <row r="606" spans="2:12">
      <c r="B606" s="99"/>
      <c r="C606" s="99"/>
      <c r="D606" s="99"/>
      <c r="E606" s="99"/>
      <c r="F606" s="197"/>
      <c r="G606" s="99"/>
      <c r="H606" s="99"/>
      <c r="I606" s="99"/>
      <c r="J606" s="99"/>
      <c r="K606" s="99"/>
      <c r="L606" s="99"/>
    </row>
    <row r="607" spans="2:12">
      <c r="B607" s="99"/>
      <c r="C607" s="99"/>
      <c r="D607" s="99"/>
      <c r="E607" s="99"/>
      <c r="F607" s="197"/>
      <c r="G607" s="99"/>
      <c r="H607" s="99"/>
      <c r="I607" s="99"/>
      <c r="J607" s="99"/>
      <c r="K607" s="99"/>
      <c r="L607" s="99"/>
    </row>
    <row r="608" spans="2:12">
      <c r="B608" s="99"/>
      <c r="C608" s="99"/>
      <c r="D608" s="99"/>
      <c r="E608" s="99"/>
      <c r="F608" s="197"/>
      <c r="G608" s="99"/>
      <c r="H608" s="99"/>
      <c r="I608" s="99"/>
      <c r="J608" s="99"/>
      <c r="K608" s="99"/>
      <c r="L608" s="99"/>
    </row>
    <row r="609" spans="2:12">
      <c r="B609" s="99"/>
      <c r="C609" s="99"/>
      <c r="D609" s="99"/>
      <c r="E609" s="99"/>
      <c r="F609" s="197"/>
      <c r="G609" s="99"/>
      <c r="H609" s="99"/>
      <c r="I609" s="99"/>
      <c r="J609" s="99"/>
      <c r="K609" s="99"/>
      <c r="L609" s="99"/>
    </row>
    <row r="610" spans="2:12">
      <c r="B610" s="99"/>
      <c r="C610" s="99"/>
      <c r="D610" s="99"/>
      <c r="E610" s="99"/>
      <c r="F610" s="197"/>
      <c r="G610" s="99"/>
      <c r="H610" s="99"/>
      <c r="I610" s="99"/>
      <c r="J610" s="99"/>
      <c r="K610" s="99"/>
      <c r="L610" s="99"/>
    </row>
    <row r="611" spans="2:12">
      <c r="B611" s="99"/>
      <c r="C611" s="99"/>
      <c r="D611" s="99"/>
      <c r="E611" s="99"/>
      <c r="F611" s="197"/>
      <c r="G611" s="99"/>
      <c r="H611" s="99"/>
      <c r="I611" s="99"/>
      <c r="J611" s="99"/>
      <c r="K611" s="99"/>
      <c r="L611" s="99"/>
    </row>
    <row r="612" spans="2:12">
      <c r="B612" s="99"/>
      <c r="C612" s="99"/>
      <c r="D612" s="99"/>
      <c r="E612" s="99"/>
      <c r="F612" s="197"/>
      <c r="G612" s="99"/>
      <c r="H612" s="99"/>
      <c r="I612" s="99"/>
      <c r="J612" s="99"/>
      <c r="K612" s="99"/>
      <c r="L612" s="99"/>
    </row>
    <row r="613" spans="2:12">
      <c r="B613" s="99"/>
      <c r="C613" s="99"/>
      <c r="D613" s="99"/>
      <c r="E613" s="99"/>
      <c r="F613" s="197"/>
      <c r="G613" s="99"/>
      <c r="H613" s="99"/>
      <c r="I613" s="99"/>
      <c r="J613" s="99"/>
      <c r="K613" s="99"/>
      <c r="L613" s="99"/>
    </row>
    <row r="614" spans="2:12">
      <c r="B614" s="99"/>
      <c r="C614" s="99"/>
      <c r="D614" s="99"/>
      <c r="E614" s="99"/>
      <c r="F614" s="197"/>
      <c r="G614" s="99"/>
      <c r="H614" s="99"/>
      <c r="I614" s="99"/>
      <c r="J614" s="99"/>
      <c r="K614" s="99"/>
      <c r="L614" s="99"/>
    </row>
    <row r="615" spans="2:12">
      <c r="B615" s="99"/>
      <c r="C615" s="99"/>
      <c r="D615" s="99"/>
      <c r="E615" s="99"/>
      <c r="F615" s="197"/>
      <c r="G615" s="99"/>
      <c r="H615" s="99"/>
      <c r="I615" s="99"/>
      <c r="J615" s="99"/>
      <c r="K615" s="99"/>
      <c r="L615" s="99"/>
    </row>
    <row r="616" spans="2:12">
      <c r="B616" s="99"/>
      <c r="C616" s="99"/>
      <c r="D616" s="99"/>
      <c r="E616" s="99"/>
      <c r="F616" s="197"/>
      <c r="G616" s="99"/>
      <c r="H616" s="99"/>
      <c r="I616" s="99"/>
      <c r="J616" s="99"/>
      <c r="K616" s="99"/>
      <c r="L616" s="99"/>
    </row>
    <row r="617" spans="2:12">
      <c r="B617" s="99"/>
      <c r="C617" s="99"/>
      <c r="D617" s="99"/>
      <c r="E617" s="99"/>
      <c r="F617" s="197"/>
      <c r="G617" s="99"/>
      <c r="H617" s="99"/>
      <c r="I617" s="99"/>
      <c r="J617" s="99"/>
      <c r="K617" s="99"/>
      <c r="L617" s="99"/>
    </row>
    <row r="618" spans="2:12">
      <c r="B618" s="99"/>
      <c r="C618" s="99"/>
      <c r="D618" s="99"/>
      <c r="E618" s="99"/>
      <c r="F618" s="197"/>
      <c r="G618" s="99"/>
      <c r="H618" s="99"/>
      <c r="I618" s="99"/>
      <c r="J618" s="99"/>
      <c r="K618" s="99"/>
      <c r="L618" s="99"/>
    </row>
    <row r="619" spans="2:12">
      <c r="B619" s="99"/>
      <c r="C619" s="99"/>
      <c r="D619" s="99"/>
      <c r="E619" s="99"/>
      <c r="F619" s="197"/>
      <c r="G619" s="99"/>
      <c r="H619" s="99"/>
      <c r="I619" s="99"/>
      <c r="J619" s="99"/>
      <c r="K619" s="99"/>
      <c r="L619" s="99"/>
    </row>
    <row r="620" spans="2:12">
      <c r="B620" s="99"/>
      <c r="C620" s="99"/>
      <c r="D620" s="99"/>
      <c r="E620" s="99"/>
      <c r="F620" s="197"/>
      <c r="G620" s="99"/>
      <c r="H620" s="99"/>
      <c r="I620" s="99"/>
      <c r="J620" s="99"/>
      <c r="K620" s="99"/>
      <c r="L620" s="99"/>
    </row>
    <row r="621" spans="2:12">
      <c r="B621" s="99"/>
      <c r="C621" s="99"/>
      <c r="D621" s="99"/>
      <c r="E621" s="99"/>
      <c r="F621" s="197"/>
      <c r="G621" s="99"/>
      <c r="H621" s="99"/>
      <c r="I621" s="99"/>
      <c r="J621" s="99"/>
      <c r="K621" s="99"/>
      <c r="L621" s="99"/>
    </row>
    <row r="622" spans="2:12">
      <c r="B622" s="99"/>
      <c r="C622" s="99"/>
      <c r="D622" s="99"/>
      <c r="E622" s="99"/>
      <c r="F622" s="197"/>
      <c r="G622" s="99"/>
      <c r="H622" s="99"/>
      <c r="I622" s="99"/>
      <c r="J622" s="99"/>
      <c r="K622" s="99"/>
      <c r="L622" s="99"/>
    </row>
    <row r="623" spans="2:12">
      <c r="B623" s="99"/>
      <c r="C623" s="99"/>
      <c r="D623" s="99"/>
      <c r="E623" s="99"/>
      <c r="F623" s="197"/>
      <c r="G623" s="99"/>
      <c r="H623" s="99"/>
      <c r="I623" s="99"/>
      <c r="J623" s="99"/>
      <c r="K623" s="99"/>
      <c r="L623" s="99"/>
    </row>
    <row r="624" spans="2:12">
      <c r="B624" s="99"/>
      <c r="C624" s="99"/>
      <c r="D624" s="99"/>
      <c r="E624" s="99"/>
      <c r="F624" s="197"/>
      <c r="G624" s="99"/>
      <c r="H624" s="99"/>
      <c r="I624" s="99"/>
      <c r="J624" s="99"/>
      <c r="K624" s="99"/>
      <c r="L624" s="99"/>
    </row>
    <row r="625" spans="2:12">
      <c r="B625" s="99"/>
      <c r="C625" s="99"/>
      <c r="D625" s="99"/>
      <c r="E625" s="99"/>
      <c r="F625" s="197"/>
      <c r="G625" s="99"/>
      <c r="H625" s="99"/>
      <c r="I625" s="99"/>
      <c r="J625" s="99"/>
      <c r="K625" s="99"/>
      <c r="L625" s="99"/>
    </row>
    <row r="626" spans="2:12">
      <c r="B626" s="99"/>
      <c r="C626" s="99"/>
      <c r="D626" s="99"/>
      <c r="E626" s="99"/>
      <c r="F626" s="197"/>
      <c r="G626" s="99"/>
      <c r="H626" s="99"/>
      <c r="I626" s="99"/>
      <c r="J626" s="99"/>
      <c r="K626" s="99"/>
      <c r="L626" s="99"/>
    </row>
    <row r="627" spans="2:12">
      <c r="B627" s="99"/>
      <c r="C627" s="99"/>
      <c r="D627" s="99"/>
      <c r="E627" s="99"/>
      <c r="F627" s="197"/>
      <c r="G627" s="99"/>
      <c r="H627" s="99"/>
      <c r="I627" s="99"/>
      <c r="J627" s="99"/>
      <c r="K627" s="99"/>
      <c r="L627" s="99"/>
    </row>
    <row r="628" spans="2:12">
      <c r="B628" s="99"/>
      <c r="C628" s="99"/>
      <c r="D628" s="99"/>
      <c r="E628" s="99"/>
      <c r="F628" s="197"/>
      <c r="G628" s="99"/>
      <c r="H628" s="99"/>
      <c r="I628" s="99"/>
      <c r="J628" s="99"/>
      <c r="K628" s="99"/>
      <c r="L628" s="99"/>
    </row>
    <row r="629" spans="2:12">
      <c r="B629" s="99"/>
      <c r="C629" s="99"/>
      <c r="D629" s="99"/>
      <c r="E629" s="99"/>
      <c r="F629" s="197"/>
      <c r="G629" s="99"/>
      <c r="H629" s="99"/>
      <c r="I629" s="99"/>
      <c r="J629" s="99"/>
      <c r="K629" s="99"/>
      <c r="L629" s="99"/>
    </row>
    <row r="630" spans="2:12">
      <c r="B630" s="99"/>
      <c r="C630" s="99"/>
      <c r="D630" s="99"/>
      <c r="E630" s="99"/>
      <c r="F630" s="197"/>
      <c r="G630" s="99"/>
      <c r="H630" s="99"/>
      <c r="I630" s="99"/>
      <c r="J630" s="99"/>
      <c r="K630" s="99"/>
      <c r="L630" s="99"/>
    </row>
    <row r="631" spans="2:12">
      <c r="B631" s="99"/>
      <c r="C631" s="99"/>
      <c r="D631" s="99"/>
      <c r="E631" s="99"/>
      <c r="F631" s="197"/>
      <c r="G631" s="99"/>
      <c r="H631" s="99"/>
      <c r="I631" s="99"/>
      <c r="J631" s="99"/>
      <c r="K631" s="99"/>
      <c r="L631" s="99"/>
    </row>
    <row r="632" spans="2:12">
      <c r="B632" s="99"/>
      <c r="C632" s="99"/>
      <c r="D632" s="99"/>
      <c r="E632" s="99"/>
      <c r="F632" s="197"/>
      <c r="G632" s="99"/>
      <c r="H632" s="99"/>
      <c r="I632" s="99"/>
      <c r="J632" s="99"/>
      <c r="K632" s="99"/>
      <c r="L632" s="99"/>
    </row>
    <row r="633" spans="2:12">
      <c r="B633" s="99"/>
      <c r="C633" s="99"/>
      <c r="D633" s="99"/>
      <c r="E633" s="99"/>
      <c r="F633" s="197"/>
      <c r="G633" s="99"/>
      <c r="H633" s="99"/>
      <c r="I633" s="99"/>
      <c r="J633" s="99"/>
      <c r="K633" s="99"/>
      <c r="L633" s="99"/>
    </row>
    <row r="634" spans="2:12">
      <c r="B634" s="99"/>
      <c r="C634" s="99"/>
      <c r="D634" s="99"/>
      <c r="E634" s="99"/>
      <c r="F634" s="197"/>
      <c r="G634" s="99"/>
      <c r="H634" s="99"/>
      <c r="I634" s="99"/>
      <c r="J634" s="99"/>
      <c r="K634" s="99"/>
      <c r="L634" s="99"/>
    </row>
    <row r="635" spans="2:12">
      <c r="B635" s="99"/>
      <c r="C635" s="99"/>
      <c r="D635" s="99"/>
      <c r="E635" s="99"/>
      <c r="F635" s="197"/>
      <c r="G635" s="99"/>
      <c r="H635" s="99"/>
      <c r="I635" s="99"/>
      <c r="J635" s="99"/>
      <c r="K635" s="99"/>
      <c r="L635" s="99"/>
    </row>
    <row r="636" spans="2:12">
      <c r="B636" s="99"/>
      <c r="C636" s="99"/>
      <c r="D636" s="99"/>
      <c r="E636" s="99"/>
      <c r="F636" s="197"/>
      <c r="G636" s="99"/>
      <c r="H636" s="99"/>
      <c r="I636" s="99"/>
      <c r="J636" s="99"/>
      <c r="K636" s="99"/>
      <c r="L636" s="99"/>
    </row>
    <row r="637" spans="2:12">
      <c r="B637" s="99"/>
      <c r="C637" s="99"/>
      <c r="D637" s="99"/>
      <c r="E637" s="99"/>
      <c r="F637" s="197"/>
      <c r="G637" s="99"/>
      <c r="H637" s="99"/>
      <c r="I637" s="99"/>
      <c r="J637" s="99"/>
      <c r="K637" s="99"/>
      <c r="L637" s="99"/>
    </row>
    <row r="638" spans="2:12">
      <c r="B638" s="99"/>
      <c r="C638" s="99"/>
      <c r="D638" s="99"/>
      <c r="E638" s="99"/>
      <c r="F638" s="197"/>
      <c r="G638" s="99"/>
      <c r="H638" s="99"/>
      <c r="I638" s="99"/>
      <c r="J638" s="99"/>
      <c r="K638" s="99"/>
      <c r="L638" s="99"/>
    </row>
    <row r="639" spans="2:12">
      <c r="B639" s="99"/>
      <c r="C639" s="99"/>
      <c r="D639" s="99"/>
      <c r="E639" s="99"/>
      <c r="F639" s="197"/>
      <c r="G639" s="99"/>
      <c r="H639" s="99"/>
      <c r="I639" s="99"/>
      <c r="J639" s="99"/>
      <c r="K639" s="99"/>
      <c r="L639" s="99"/>
    </row>
    <row r="640" spans="2:12">
      <c r="B640" s="99"/>
      <c r="C640" s="99"/>
      <c r="D640" s="99"/>
      <c r="E640" s="99"/>
      <c r="F640" s="197"/>
      <c r="G640" s="99"/>
      <c r="H640" s="99"/>
      <c r="I640" s="99"/>
      <c r="J640" s="99"/>
      <c r="K640" s="99"/>
      <c r="L640" s="99"/>
    </row>
    <row r="641" spans="2:12">
      <c r="B641" s="99"/>
      <c r="C641" s="99"/>
      <c r="D641" s="99"/>
      <c r="E641" s="99"/>
      <c r="F641" s="197"/>
      <c r="G641" s="99"/>
      <c r="H641" s="99"/>
      <c r="I641" s="99"/>
      <c r="J641" s="99"/>
      <c r="K641" s="99"/>
      <c r="L641" s="99"/>
    </row>
    <row r="642" spans="2:12">
      <c r="B642" s="99"/>
      <c r="C642" s="99"/>
      <c r="D642" s="99"/>
      <c r="E642" s="99"/>
      <c r="F642" s="197"/>
      <c r="G642" s="99"/>
      <c r="H642" s="99"/>
      <c r="I642" s="99"/>
      <c r="J642" s="99"/>
      <c r="K642" s="99"/>
      <c r="L642" s="99"/>
    </row>
    <row r="643" spans="2:12">
      <c r="B643" s="99"/>
      <c r="C643" s="99"/>
      <c r="D643" s="99"/>
      <c r="E643" s="99"/>
      <c r="F643" s="197"/>
      <c r="G643" s="99"/>
      <c r="H643" s="99"/>
      <c r="I643" s="99"/>
      <c r="J643" s="99"/>
      <c r="K643" s="99"/>
      <c r="L643" s="99"/>
    </row>
    <row r="644" spans="2:12">
      <c r="B644" s="99"/>
      <c r="C644" s="99"/>
      <c r="D644" s="99"/>
      <c r="E644" s="99"/>
      <c r="F644" s="197"/>
      <c r="G644" s="99"/>
      <c r="H644" s="99"/>
      <c r="I644" s="99"/>
      <c r="J644" s="99"/>
      <c r="K644" s="99"/>
      <c r="L644" s="99"/>
    </row>
    <row r="645" spans="2:12">
      <c r="B645" s="99"/>
      <c r="C645" s="99"/>
      <c r="D645" s="99"/>
      <c r="E645" s="99"/>
      <c r="F645" s="197"/>
      <c r="G645" s="99"/>
      <c r="H645" s="99"/>
      <c r="I645" s="99"/>
      <c r="J645" s="99"/>
      <c r="K645" s="99"/>
      <c r="L645" s="99"/>
    </row>
    <row r="646" spans="2:12">
      <c r="B646" s="99"/>
      <c r="C646" s="99"/>
      <c r="D646" s="99"/>
      <c r="E646" s="99"/>
      <c r="F646" s="197"/>
      <c r="G646" s="99"/>
      <c r="H646" s="99"/>
      <c r="I646" s="99"/>
      <c r="J646" s="99"/>
      <c r="K646" s="99"/>
      <c r="L646" s="99"/>
    </row>
    <row r="647" spans="2:12">
      <c r="B647" s="99"/>
      <c r="C647" s="99"/>
      <c r="D647" s="99"/>
      <c r="E647" s="99"/>
      <c r="F647" s="197"/>
      <c r="G647" s="99"/>
      <c r="H647" s="99"/>
      <c r="I647" s="99"/>
      <c r="J647" s="99"/>
      <c r="K647" s="99"/>
      <c r="L647" s="99"/>
    </row>
    <row r="648" spans="2:12">
      <c r="B648" s="99"/>
      <c r="C648" s="99"/>
      <c r="D648" s="99"/>
      <c r="E648" s="99"/>
      <c r="F648" s="197"/>
      <c r="G648" s="99"/>
      <c r="H648" s="99"/>
      <c r="I648" s="99"/>
      <c r="J648" s="99"/>
      <c r="K648" s="99"/>
      <c r="L648" s="99"/>
    </row>
    <row r="649" spans="2:12">
      <c r="B649" s="99"/>
      <c r="C649" s="99"/>
      <c r="D649" s="99"/>
      <c r="E649" s="99"/>
      <c r="F649" s="197"/>
      <c r="G649" s="99"/>
      <c r="H649" s="99"/>
      <c r="I649" s="99"/>
      <c r="J649" s="99"/>
      <c r="K649" s="99"/>
      <c r="L649" s="99"/>
    </row>
    <row r="650" spans="2:12">
      <c r="B650" s="99"/>
      <c r="C650" s="99"/>
      <c r="D650" s="99"/>
      <c r="E650" s="99"/>
      <c r="F650" s="197"/>
      <c r="G650" s="99"/>
      <c r="H650" s="99"/>
      <c r="I650" s="99"/>
      <c r="J650" s="99"/>
      <c r="K650" s="99"/>
      <c r="L650" s="99"/>
    </row>
    <row r="651" spans="2:12">
      <c r="B651" s="99"/>
      <c r="C651" s="99"/>
      <c r="D651" s="99"/>
      <c r="E651" s="99"/>
      <c r="F651" s="197"/>
      <c r="G651" s="99"/>
      <c r="H651" s="99"/>
      <c r="I651" s="99"/>
      <c r="J651" s="99"/>
      <c r="K651" s="99"/>
      <c r="L651" s="99"/>
    </row>
    <row r="652" spans="2:12">
      <c r="B652" s="99"/>
      <c r="C652" s="99"/>
      <c r="D652" s="99"/>
      <c r="E652" s="99"/>
      <c r="F652" s="197"/>
      <c r="G652" s="99"/>
      <c r="H652" s="99"/>
      <c r="I652" s="99"/>
      <c r="J652" s="99"/>
      <c r="K652" s="99"/>
      <c r="L652" s="99"/>
    </row>
    <row r="653" spans="2:12">
      <c r="B653" s="99"/>
      <c r="C653" s="99"/>
      <c r="D653" s="99"/>
      <c r="E653" s="99"/>
      <c r="F653" s="197"/>
      <c r="G653" s="99"/>
      <c r="H653" s="99"/>
      <c r="I653" s="99"/>
      <c r="J653" s="99"/>
      <c r="K653" s="99"/>
      <c r="L653" s="99"/>
    </row>
    <row r="654" spans="2:12">
      <c r="B654" s="99"/>
      <c r="C654" s="99"/>
      <c r="D654" s="99"/>
      <c r="E654" s="99"/>
      <c r="F654" s="197"/>
      <c r="G654" s="99"/>
      <c r="H654" s="99"/>
      <c r="I654" s="99"/>
      <c r="J654" s="99"/>
      <c r="K654" s="99"/>
      <c r="L654" s="99"/>
    </row>
    <row r="655" spans="2:12">
      <c r="B655" s="99"/>
      <c r="C655" s="99"/>
      <c r="D655" s="99"/>
      <c r="E655" s="99"/>
      <c r="F655" s="197"/>
      <c r="G655" s="99"/>
      <c r="H655" s="99"/>
      <c r="I655" s="99"/>
      <c r="J655" s="99"/>
      <c r="K655" s="99"/>
      <c r="L655" s="99"/>
    </row>
    <row r="656" spans="2:12">
      <c r="B656" s="99"/>
      <c r="C656" s="99"/>
      <c r="D656" s="99"/>
      <c r="E656" s="99"/>
      <c r="F656" s="197"/>
      <c r="G656" s="99"/>
      <c r="H656" s="99"/>
      <c r="I656" s="99"/>
      <c r="J656" s="99"/>
      <c r="K656" s="99"/>
      <c r="L656" s="99"/>
    </row>
    <row r="657" spans="2:12">
      <c r="B657" s="99"/>
      <c r="C657" s="99"/>
      <c r="D657" s="99"/>
      <c r="E657" s="99"/>
      <c r="F657" s="197"/>
      <c r="G657" s="99"/>
      <c r="H657" s="99"/>
      <c r="I657" s="99"/>
      <c r="J657" s="99"/>
      <c r="K657" s="99"/>
      <c r="L657" s="99"/>
    </row>
    <row r="658" spans="2:12">
      <c r="B658" s="99"/>
      <c r="C658" s="99"/>
      <c r="D658" s="99"/>
      <c r="E658" s="99"/>
      <c r="F658" s="197"/>
      <c r="G658" s="99"/>
      <c r="H658" s="99"/>
      <c r="I658" s="99"/>
      <c r="J658" s="99"/>
      <c r="K658" s="99"/>
      <c r="L658" s="99"/>
    </row>
    <row r="659" spans="2:12">
      <c r="B659" s="99"/>
      <c r="C659" s="99"/>
      <c r="D659" s="99"/>
      <c r="E659" s="99"/>
      <c r="F659" s="197"/>
      <c r="G659" s="99"/>
      <c r="H659" s="99"/>
      <c r="I659" s="99"/>
      <c r="J659" s="99"/>
      <c r="K659" s="99"/>
      <c r="L659" s="99"/>
    </row>
    <row r="660" spans="2:12">
      <c r="B660" s="99"/>
      <c r="C660" s="99"/>
      <c r="D660" s="99"/>
      <c r="E660" s="99"/>
      <c r="F660" s="197"/>
      <c r="G660" s="99"/>
      <c r="H660" s="99"/>
      <c r="I660" s="99"/>
      <c r="J660" s="99"/>
      <c r="K660" s="99"/>
      <c r="L660" s="99"/>
    </row>
    <row r="661" spans="2:12">
      <c r="B661" s="99"/>
      <c r="C661" s="99"/>
      <c r="D661" s="99"/>
      <c r="E661" s="99"/>
      <c r="F661" s="197"/>
      <c r="G661" s="99"/>
      <c r="H661" s="99"/>
      <c r="I661" s="99"/>
      <c r="J661" s="99"/>
      <c r="K661" s="99"/>
      <c r="L661" s="99"/>
    </row>
    <row r="662" spans="2:12">
      <c r="B662" s="99"/>
      <c r="C662" s="99"/>
      <c r="D662" s="99"/>
      <c r="E662" s="99"/>
      <c r="F662" s="197"/>
      <c r="G662" s="99"/>
      <c r="H662" s="99"/>
      <c r="I662" s="99"/>
      <c r="J662" s="99"/>
      <c r="K662" s="99"/>
      <c r="L662" s="99"/>
    </row>
    <row r="663" spans="2:12">
      <c r="B663" s="99"/>
      <c r="C663" s="99"/>
      <c r="D663" s="99"/>
      <c r="E663" s="99"/>
      <c r="F663" s="197"/>
      <c r="G663" s="99"/>
      <c r="H663" s="99"/>
      <c r="I663" s="99"/>
      <c r="J663" s="99"/>
      <c r="K663" s="99"/>
      <c r="L663" s="99"/>
    </row>
    <row r="664" spans="2:12">
      <c r="B664" s="99"/>
      <c r="C664" s="99"/>
      <c r="D664" s="99"/>
      <c r="E664" s="99"/>
      <c r="F664" s="197"/>
      <c r="G664" s="99"/>
      <c r="H664" s="99"/>
      <c r="I664" s="99"/>
      <c r="J664" s="99"/>
      <c r="K664" s="99"/>
      <c r="L664" s="99"/>
    </row>
    <row r="665" spans="2:12">
      <c r="B665" s="99"/>
      <c r="C665" s="99"/>
      <c r="D665" s="99"/>
      <c r="E665" s="99"/>
      <c r="F665" s="197"/>
      <c r="G665" s="99"/>
      <c r="H665" s="99"/>
      <c r="I665" s="99"/>
      <c r="J665" s="99"/>
      <c r="K665" s="99"/>
      <c r="L665" s="99"/>
    </row>
    <row r="666" spans="2:12">
      <c r="B666" s="99"/>
      <c r="C666" s="99"/>
      <c r="D666" s="99"/>
      <c r="E666" s="99"/>
      <c r="F666" s="197"/>
      <c r="G666" s="99"/>
      <c r="H666" s="99"/>
      <c r="I666" s="99"/>
      <c r="J666" s="99"/>
      <c r="K666" s="99"/>
      <c r="L666" s="99"/>
    </row>
    <row r="667" spans="2:12">
      <c r="B667" s="99"/>
      <c r="C667" s="99"/>
      <c r="D667" s="99"/>
      <c r="E667" s="99"/>
      <c r="F667" s="197"/>
      <c r="G667" s="99"/>
      <c r="H667" s="99"/>
      <c r="I667" s="99"/>
      <c r="J667" s="99"/>
      <c r="K667" s="99"/>
      <c r="L667" s="99"/>
    </row>
    <row r="668" spans="2:12">
      <c r="B668" s="99"/>
      <c r="C668" s="99"/>
      <c r="D668" s="99"/>
      <c r="E668" s="99"/>
      <c r="F668" s="197"/>
      <c r="G668" s="99"/>
      <c r="H668" s="99"/>
      <c r="I668" s="99"/>
      <c r="J668" s="99"/>
      <c r="K668" s="99"/>
      <c r="L668" s="99"/>
    </row>
    <row r="669" spans="2:12">
      <c r="B669" s="99"/>
      <c r="C669" s="99"/>
      <c r="D669" s="99"/>
      <c r="E669" s="99"/>
      <c r="F669" s="197"/>
      <c r="G669" s="99"/>
      <c r="H669" s="99"/>
      <c r="I669" s="99"/>
      <c r="J669" s="99"/>
      <c r="K669" s="99"/>
      <c r="L669" s="99"/>
    </row>
    <row r="670" spans="2:12">
      <c r="B670" s="99"/>
      <c r="C670" s="99"/>
      <c r="D670" s="99"/>
      <c r="E670" s="99"/>
      <c r="F670" s="197"/>
      <c r="G670" s="99"/>
      <c r="H670" s="99"/>
      <c r="I670" s="99"/>
      <c r="J670" s="99"/>
      <c r="K670" s="99"/>
      <c r="L670" s="99"/>
    </row>
    <row r="671" spans="2:12">
      <c r="B671" s="99"/>
      <c r="C671" s="99"/>
      <c r="D671" s="99"/>
      <c r="E671" s="99"/>
      <c r="F671" s="197"/>
      <c r="G671" s="99"/>
      <c r="H671" s="99"/>
      <c r="I671" s="99"/>
      <c r="J671" s="99"/>
      <c r="K671" s="99"/>
      <c r="L671" s="99"/>
    </row>
    <row r="672" spans="2:12">
      <c r="B672" s="99"/>
      <c r="C672" s="99"/>
      <c r="D672" s="99"/>
      <c r="E672" s="99"/>
      <c r="F672" s="197"/>
      <c r="G672" s="99"/>
      <c r="H672" s="99"/>
      <c r="I672" s="99"/>
      <c r="J672" s="99"/>
      <c r="K672" s="99"/>
      <c r="L672" s="99"/>
    </row>
    <row r="673" spans="2:12">
      <c r="B673" s="99"/>
      <c r="C673" s="99"/>
      <c r="D673" s="99"/>
      <c r="E673" s="99"/>
      <c r="F673" s="197"/>
      <c r="G673" s="99"/>
      <c r="H673" s="99"/>
      <c r="I673" s="99"/>
      <c r="J673" s="99"/>
      <c r="K673" s="99"/>
      <c r="L673" s="99"/>
    </row>
    <row r="674" spans="2:12">
      <c r="B674" s="99"/>
      <c r="C674" s="99"/>
      <c r="D674" s="99"/>
      <c r="E674" s="99"/>
      <c r="F674" s="197"/>
      <c r="G674" s="99"/>
      <c r="H674" s="99"/>
      <c r="I674" s="99"/>
      <c r="J674" s="99"/>
      <c r="K674" s="99"/>
      <c r="L674" s="99"/>
    </row>
    <row r="675" spans="2:12">
      <c r="B675" s="99"/>
      <c r="C675" s="99"/>
      <c r="D675" s="99"/>
      <c r="E675" s="99"/>
      <c r="F675" s="197"/>
      <c r="G675" s="99"/>
      <c r="H675" s="99"/>
      <c r="I675" s="99"/>
      <c r="J675" s="99"/>
      <c r="K675" s="99"/>
      <c r="L675" s="99"/>
    </row>
    <row r="676" spans="2:12">
      <c r="B676" s="99"/>
      <c r="C676" s="99"/>
      <c r="D676" s="99"/>
      <c r="E676" s="99"/>
      <c r="F676" s="197"/>
      <c r="G676" s="99"/>
      <c r="H676" s="99"/>
      <c r="I676" s="99"/>
      <c r="J676" s="99"/>
      <c r="K676" s="99"/>
      <c r="L676" s="99"/>
    </row>
    <row r="677" spans="2:12">
      <c r="B677" s="99"/>
      <c r="C677" s="99"/>
      <c r="D677" s="99"/>
      <c r="E677" s="99"/>
      <c r="F677" s="197"/>
      <c r="G677" s="99"/>
      <c r="H677" s="99"/>
      <c r="I677" s="99"/>
      <c r="J677" s="99"/>
      <c r="K677" s="99"/>
      <c r="L677" s="99"/>
    </row>
    <row r="678" spans="2:12">
      <c r="B678" s="99"/>
      <c r="C678" s="99"/>
      <c r="D678" s="99"/>
      <c r="E678" s="99"/>
      <c r="F678" s="197"/>
      <c r="G678" s="99"/>
      <c r="H678" s="99"/>
      <c r="I678" s="99"/>
      <c r="J678" s="99"/>
      <c r="K678" s="99"/>
      <c r="L678" s="99"/>
    </row>
    <row r="679" spans="2:12">
      <c r="B679" s="99"/>
      <c r="C679" s="99"/>
      <c r="D679" s="99"/>
      <c r="E679" s="99"/>
      <c r="F679" s="197"/>
      <c r="G679" s="99"/>
      <c r="H679" s="99"/>
      <c r="I679" s="99"/>
      <c r="J679" s="99"/>
      <c r="K679" s="99"/>
      <c r="L679" s="99"/>
    </row>
    <row r="680" spans="2:12">
      <c r="B680" s="99"/>
      <c r="C680" s="99"/>
      <c r="D680" s="99"/>
      <c r="E680" s="99"/>
      <c r="F680" s="197"/>
      <c r="G680" s="99"/>
      <c r="H680" s="99"/>
      <c r="I680" s="99"/>
      <c r="J680" s="99"/>
      <c r="K680" s="99"/>
      <c r="L680" s="99"/>
    </row>
    <row r="681" spans="2:12">
      <c r="B681" s="99"/>
      <c r="C681" s="99"/>
      <c r="D681" s="99"/>
      <c r="E681" s="99"/>
      <c r="F681" s="197"/>
      <c r="G681" s="99"/>
      <c r="H681" s="99"/>
      <c r="I681" s="99"/>
      <c r="J681" s="99"/>
      <c r="K681" s="99"/>
      <c r="L681" s="99"/>
    </row>
    <row r="682" spans="2:12">
      <c r="B682" s="99"/>
      <c r="C682" s="99"/>
      <c r="D682" s="99"/>
      <c r="E682" s="99"/>
      <c r="F682" s="197"/>
      <c r="G682" s="99"/>
      <c r="H682" s="99"/>
      <c r="I682" s="99"/>
      <c r="J682" s="99"/>
      <c r="K682" s="99"/>
      <c r="L682" s="99"/>
    </row>
    <row r="683" spans="2:12">
      <c r="B683" s="99"/>
      <c r="C683" s="99"/>
      <c r="D683" s="99"/>
      <c r="E683" s="99"/>
      <c r="F683" s="197"/>
      <c r="G683" s="99"/>
      <c r="H683" s="99"/>
      <c r="I683" s="99"/>
      <c r="J683" s="99"/>
      <c r="K683" s="99"/>
      <c r="L683" s="99"/>
    </row>
    <row r="684" spans="2:12">
      <c r="B684" s="99"/>
      <c r="C684" s="99"/>
      <c r="D684" s="99"/>
      <c r="E684" s="99"/>
      <c r="F684" s="197"/>
      <c r="G684" s="99"/>
      <c r="H684" s="99"/>
      <c r="I684" s="99"/>
      <c r="J684" s="99"/>
      <c r="K684" s="99"/>
      <c r="L684" s="99"/>
    </row>
    <row r="685" spans="2:12">
      <c r="B685" s="99"/>
      <c r="C685" s="99"/>
      <c r="D685" s="99"/>
      <c r="E685" s="99"/>
      <c r="F685" s="197"/>
      <c r="G685" s="99"/>
      <c r="H685" s="99"/>
      <c r="I685" s="99"/>
      <c r="J685" s="99"/>
      <c r="K685" s="99"/>
      <c r="L685" s="99"/>
    </row>
    <row r="686" spans="2:12">
      <c r="B686" s="99"/>
      <c r="C686" s="99"/>
      <c r="D686" s="99"/>
      <c r="E686" s="99"/>
      <c r="F686" s="197"/>
      <c r="G686" s="99"/>
      <c r="H686" s="99"/>
      <c r="I686" s="99"/>
      <c r="J686" s="99"/>
      <c r="K686" s="99"/>
      <c r="L686" s="99"/>
    </row>
    <row r="687" spans="2:12">
      <c r="B687" s="99"/>
      <c r="C687" s="99"/>
      <c r="D687" s="99"/>
      <c r="E687" s="99"/>
      <c r="F687" s="197"/>
      <c r="G687" s="99"/>
      <c r="H687" s="99"/>
      <c r="I687" s="99"/>
      <c r="J687" s="99"/>
      <c r="K687" s="99"/>
      <c r="L687" s="99"/>
    </row>
    <row r="688" spans="2:12">
      <c r="B688" s="99"/>
      <c r="C688" s="99"/>
      <c r="D688" s="99"/>
      <c r="E688" s="99"/>
      <c r="F688" s="197"/>
      <c r="G688" s="99"/>
      <c r="H688" s="99"/>
      <c r="I688" s="99"/>
      <c r="J688" s="99"/>
      <c r="K688" s="99"/>
      <c r="L688" s="99"/>
    </row>
    <row r="689" spans="2:12">
      <c r="B689" s="99"/>
      <c r="C689" s="99"/>
      <c r="D689" s="99"/>
      <c r="E689" s="99"/>
      <c r="F689" s="197"/>
      <c r="G689" s="99"/>
      <c r="H689" s="99"/>
      <c r="I689" s="99"/>
      <c r="J689" s="99"/>
      <c r="K689" s="99"/>
      <c r="L689" s="99"/>
    </row>
    <row r="690" spans="2:12">
      <c r="B690" s="99"/>
      <c r="C690" s="99"/>
      <c r="D690" s="99"/>
      <c r="E690" s="99"/>
      <c r="F690" s="197"/>
      <c r="G690" s="99"/>
      <c r="H690" s="99"/>
      <c r="I690" s="99"/>
      <c r="J690" s="99"/>
      <c r="K690" s="99"/>
      <c r="L690" s="99"/>
    </row>
    <row r="691" spans="2:12">
      <c r="B691" s="99"/>
      <c r="C691" s="99"/>
      <c r="D691" s="99"/>
      <c r="E691" s="99"/>
      <c r="F691" s="197"/>
      <c r="G691" s="99"/>
      <c r="H691" s="99"/>
      <c r="I691" s="99"/>
      <c r="J691" s="99"/>
      <c r="K691" s="99"/>
      <c r="L691" s="99"/>
    </row>
    <row r="692" spans="2:12">
      <c r="B692" s="99"/>
      <c r="C692" s="99"/>
      <c r="D692" s="99"/>
      <c r="E692" s="99"/>
      <c r="F692" s="197"/>
      <c r="G692" s="99"/>
      <c r="H692" s="99"/>
      <c r="I692" s="99"/>
      <c r="J692" s="99"/>
      <c r="K692" s="99"/>
      <c r="L692" s="99"/>
    </row>
    <row r="693" spans="2:12">
      <c r="B693" s="99"/>
      <c r="C693" s="99"/>
      <c r="D693" s="99"/>
      <c r="E693" s="99"/>
      <c r="F693" s="197"/>
      <c r="G693" s="99"/>
      <c r="H693" s="99"/>
      <c r="I693" s="99"/>
      <c r="J693" s="99"/>
      <c r="K693" s="99"/>
      <c r="L693" s="99"/>
    </row>
    <row r="694" spans="2:12">
      <c r="B694" s="99"/>
      <c r="C694" s="99"/>
      <c r="D694" s="99"/>
      <c r="E694" s="99"/>
      <c r="F694" s="197"/>
      <c r="G694" s="99"/>
      <c r="H694" s="99"/>
      <c r="I694" s="99"/>
      <c r="J694" s="99"/>
      <c r="K694" s="99"/>
      <c r="L694" s="99"/>
    </row>
    <row r="695" spans="2:12">
      <c r="B695" s="99"/>
      <c r="C695" s="99"/>
      <c r="D695" s="99"/>
      <c r="E695" s="99"/>
      <c r="F695" s="197"/>
      <c r="G695" s="99"/>
      <c r="H695" s="99"/>
      <c r="I695" s="99"/>
      <c r="J695" s="99"/>
      <c r="K695" s="99"/>
      <c r="L695" s="99"/>
    </row>
    <row r="696" spans="2:12">
      <c r="B696" s="99"/>
      <c r="C696" s="99"/>
      <c r="D696" s="99"/>
      <c r="E696" s="99"/>
      <c r="F696" s="197"/>
      <c r="G696" s="99"/>
      <c r="H696" s="99"/>
      <c r="I696" s="99"/>
      <c r="J696" s="99"/>
      <c r="K696" s="99"/>
      <c r="L696" s="99"/>
    </row>
    <row r="697" spans="2:12">
      <c r="B697" s="99"/>
      <c r="C697" s="99"/>
      <c r="D697" s="99"/>
      <c r="E697" s="99"/>
      <c r="F697" s="197"/>
      <c r="G697" s="99"/>
      <c r="H697" s="99"/>
      <c r="I697" s="99"/>
      <c r="J697" s="99"/>
      <c r="K697" s="99"/>
      <c r="L697" s="99"/>
    </row>
    <row r="698" spans="2:12">
      <c r="B698" s="99"/>
      <c r="C698" s="99"/>
      <c r="D698" s="99"/>
      <c r="E698" s="99"/>
      <c r="F698" s="197"/>
      <c r="G698" s="99"/>
      <c r="H698" s="99"/>
      <c r="I698" s="99"/>
      <c r="J698" s="99"/>
      <c r="K698" s="99"/>
      <c r="L698" s="99"/>
    </row>
    <row r="699" spans="2:12">
      <c r="B699" s="99"/>
      <c r="C699" s="99"/>
      <c r="D699" s="99"/>
      <c r="E699" s="99"/>
      <c r="F699" s="197"/>
      <c r="G699" s="99"/>
      <c r="H699" s="99"/>
      <c r="I699" s="99"/>
      <c r="J699" s="99"/>
      <c r="K699" s="99"/>
      <c r="L699" s="99"/>
    </row>
    <row r="700" spans="2:12">
      <c r="B700" s="99"/>
      <c r="C700" s="99"/>
      <c r="D700" s="99"/>
      <c r="E700" s="99"/>
      <c r="F700" s="197"/>
      <c r="G700" s="99"/>
      <c r="H700" s="99"/>
      <c r="I700" s="99"/>
      <c r="J700" s="99"/>
      <c r="K700" s="99"/>
      <c r="L700" s="99"/>
    </row>
    <row r="701" spans="2:12">
      <c r="B701" s="99"/>
      <c r="C701" s="99"/>
      <c r="D701" s="99"/>
      <c r="E701" s="99"/>
      <c r="F701" s="197"/>
      <c r="G701" s="99"/>
      <c r="H701" s="99"/>
      <c r="I701" s="99"/>
      <c r="J701" s="99"/>
      <c r="K701" s="99"/>
      <c r="L701" s="99"/>
    </row>
    <row r="702" spans="2:12">
      <c r="B702" s="99"/>
      <c r="C702" s="99"/>
      <c r="D702" s="99"/>
      <c r="E702" s="99"/>
      <c r="F702" s="197"/>
      <c r="G702" s="99"/>
      <c r="H702" s="99"/>
      <c r="I702" s="99"/>
      <c r="J702" s="99"/>
      <c r="K702" s="99"/>
      <c r="L702" s="99"/>
    </row>
    <row r="703" spans="2:12">
      <c r="B703" s="99"/>
      <c r="C703" s="99"/>
      <c r="D703" s="99"/>
      <c r="E703" s="99"/>
      <c r="F703" s="197"/>
      <c r="G703" s="99"/>
      <c r="H703" s="99"/>
      <c r="I703" s="99"/>
      <c r="J703" s="99"/>
      <c r="K703" s="99"/>
      <c r="L703" s="99"/>
    </row>
    <row r="704" spans="2:12">
      <c r="B704" s="99"/>
      <c r="C704" s="99"/>
      <c r="D704" s="99"/>
      <c r="E704" s="99"/>
      <c r="F704" s="197"/>
      <c r="G704" s="99"/>
      <c r="H704" s="99"/>
      <c r="I704" s="99"/>
      <c r="J704" s="99"/>
      <c r="K704" s="99"/>
      <c r="L704" s="99"/>
    </row>
    <row r="705" spans="2:12">
      <c r="B705" s="99"/>
      <c r="C705" s="99"/>
      <c r="D705" s="99"/>
      <c r="E705" s="99"/>
      <c r="F705" s="197"/>
      <c r="G705" s="99"/>
      <c r="H705" s="99"/>
      <c r="I705" s="99"/>
      <c r="J705" s="99"/>
      <c r="K705" s="99"/>
      <c r="L705" s="99"/>
    </row>
    <row r="706" spans="2:12">
      <c r="B706" s="99"/>
      <c r="C706" s="99"/>
      <c r="D706" s="99"/>
      <c r="E706" s="99"/>
      <c r="F706" s="197"/>
      <c r="G706" s="99"/>
      <c r="H706" s="99"/>
      <c r="I706" s="99"/>
      <c r="J706" s="99"/>
      <c r="K706" s="99"/>
      <c r="L706" s="99"/>
    </row>
    <row r="707" spans="2:12">
      <c r="B707" s="99"/>
      <c r="C707" s="99"/>
      <c r="D707" s="99"/>
      <c r="E707" s="99"/>
      <c r="F707" s="197"/>
      <c r="G707" s="99"/>
      <c r="H707" s="99"/>
      <c r="I707" s="99"/>
      <c r="J707" s="99"/>
      <c r="K707" s="99"/>
      <c r="L707" s="99"/>
    </row>
    <row r="708" spans="2:12">
      <c r="B708" s="99"/>
      <c r="C708" s="99"/>
      <c r="D708" s="99"/>
      <c r="E708" s="99"/>
      <c r="F708" s="197"/>
      <c r="G708" s="99"/>
      <c r="H708" s="99"/>
      <c r="I708" s="99"/>
      <c r="J708" s="99"/>
      <c r="K708" s="99"/>
      <c r="L708" s="99"/>
    </row>
    <row r="709" spans="2:12">
      <c r="B709" s="99"/>
      <c r="C709" s="99"/>
      <c r="D709" s="99"/>
      <c r="E709" s="99"/>
      <c r="F709" s="197"/>
      <c r="G709" s="99"/>
      <c r="H709" s="99"/>
      <c r="I709" s="99"/>
      <c r="J709" s="99"/>
      <c r="K709" s="99"/>
      <c r="L709" s="99"/>
    </row>
    <row r="710" spans="2:12">
      <c r="B710" s="99"/>
      <c r="C710" s="99"/>
      <c r="D710" s="99"/>
      <c r="E710" s="99"/>
      <c r="F710" s="197"/>
      <c r="G710" s="99"/>
      <c r="H710" s="99"/>
      <c r="I710" s="99"/>
      <c r="J710" s="99"/>
      <c r="K710" s="99"/>
      <c r="L710" s="99"/>
    </row>
    <row r="711" spans="2:12">
      <c r="B711" s="99"/>
      <c r="C711" s="99"/>
      <c r="D711" s="99"/>
      <c r="E711" s="99"/>
      <c r="F711" s="197"/>
      <c r="G711" s="99"/>
      <c r="H711" s="99"/>
      <c r="I711" s="99"/>
      <c r="J711" s="99"/>
      <c r="K711" s="99"/>
      <c r="L711" s="99"/>
    </row>
    <row r="712" spans="2:12">
      <c r="B712" s="99"/>
      <c r="C712" s="99"/>
      <c r="D712" s="99"/>
      <c r="E712" s="99"/>
      <c r="F712" s="197"/>
      <c r="G712" s="99"/>
      <c r="H712" s="99"/>
      <c r="I712" s="99"/>
      <c r="J712" s="99"/>
      <c r="K712" s="99"/>
      <c r="L712" s="99"/>
    </row>
    <row r="713" spans="2:12">
      <c r="B713" s="99"/>
      <c r="C713" s="99"/>
      <c r="D713" s="99"/>
      <c r="E713" s="99"/>
      <c r="F713" s="197"/>
      <c r="G713" s="99"/>
      <c r="H713" s="99"/>
      <c r="I713" s="99"/>
      <c r="J713" s="99"/>
      <c r="K713" s="99"/>
      <c r="L713" s="99"/>
    </row>
    <row r="714" spans="2:12">
      <c r="B714" s="99"/>
      <c r="C714" s="99"/>
      <c r="D714" s="99"/>
      <c r="E714" s="99"/>
      <c r="F714" s="197"/>
      <c r="G714" s="99"/>
      <c r="H714" s="99"/>
      <c r="I714" s="99"/>
      <c r="J714" s="99"/>
      <c r="K714" s="99"/>
      <c r="L714" s="99"/>
    </row>
    <row r="715" spans="2:12">
      <c r="B715" s="99"/>
      <c r="C715" s="99"/>
      <c r="D715" s="99"/>
      <c r="E715" s="99"/>
      <c r="F715" s="197"/>
      <c r="G715" s="99"/>
      <c r="H715" s="99"/>
      <c r="I715" s="99"/>
      <c r="J715" s="99"/>
      <c r="K715" s="99"/>
      <c r="L715" s="99"/>
    </row>
    <row r="716" spans="2:12">
      <c r="B716" s="99"/>
      <c r="C716" s="99"/>
      <c r="D716" s="99"/>
      <c r="E716" s="99"/>
      <c r="F716" s="197"/>
      <c r="G716" s="99"/>
      <c r="H716" s="99"/>
      <c r="I716" s="99"/>
      <c r="J716" s="99"/>
      <c r="K716" s="99"/>
      <c r="L716" s="99"/>
    </row>
    <row r="717" spans="2:12">
      <c r="B717" s="99"/>
      <c r="C717" s="99"/>
      <c r="D717" s="99"/>
      <c r="E717" s="99"/>
      <c r="F717" s="197"/>
      <c r="G717" s="99"/>
      <c r="H717" s="99"/>
      <c r="I717" s="99"/>
      <c r="J717" s="99"/>
      <c r="K717" s="99"/>
      <c r="L717" s="99"/>
    </row>
    <row r="718" spans="2:12">
      <c r="B718" s="99"/>
      <c r="C718" s="99"/>
      <c r="D718" s="99"/>
      <c r="E718" s="99"/>
      <c r="F718" s="197"/>
      <c r="G718" s="99"/>
      <c r="H718" s="99"/>
      <c r="I718" s="99"/>
      <c r="J718" s="99"/>
      <c r="K718" s="99"/>
      <c r="L718" s="99"/>
    </row>
    <row r="719" spans="2:12">
      <c r="B719" s="99"/>
      <c r="C719" s="99"/>
      <c r="D719" s="99"/>
      <c r="E719" s="99"/>
      <c r="F719" s="197"/>
      <c r="G719" s="99"/>
      <c r="H719" s="99"/>
      <c r="I719" s="99"/>
      <c r="J719" s="99"/>
      <c r="K719" s="99"/>
      <c r="L719" s="99"/>
    </row>
    <row r="720" spans="2:12">
      <c r="B720" s="99"/>
      <c r="C720" s="99"/>
      <c r="D720" s="99"/>
      <c r="E720" s="99"/>
      <c r="F720" s="197"/>
      <c r="G720" s="99"/>
      <c r="H720" s="99"/>
      <c r="I720" s="99"/>
      <c r="J720" s="99"/>
      <c r="K720" s="99"/>
      <c r="L720" s="99"/>
    </row>
    <row r="721" spans="2:12">
      <c r="B721" s="99"/>
      <c r="C721" s="99"/>
      <c r="D721" s="99"/>
      <c r="E721" s="99"/>
      <c r="F721" s="197"/>
      <c r="G721" s="99"/>
      <c r="H721" s="99"/>
      <c r="I721" s="99"/>
      <c r="J721" s="99"/>
      <c r="K721" s="99"/>
      <c r="L721" s="99"/>
    </row>
    <row r="722" spans="2:12">
      <c r="B722" s="99"/>
      <c r="C722" s="99"/>
      <c r="D722" s="99"/>
      <c r="E722" s="99"/>
      <c r="F722" s="197"/>
      <c r="G722" s="99"/>
      <c r="H722" s="99"/>
      <c r="I722" s="99"/>
      <c r="J722" s="99"/>
      <c r="K722" s="99"/>
      <c r="L722" s="99"/>
    </row>
    <row r="723" spans="2:12">
      <c r="B723" s="99"/>
      <c r="C723" s="99"/>
      <c r="D723" s="99"/>
      <c r="E723" s="99"/>
      <c r="F723" s="197"/>
      <c r="G723" s="99"/>
      <c r="H723" s="99"/>
      <c r="I723" s="99"/>
      <c r="J723" s="99"/>
      <c r="K723" s="99"/>
      <c r="L723" s="99"/>
    </row>
    <row r="724" spans="2:12">
      <c r="B724" s="99"/>
      <c r="C724" s="99"/>
      <c r="D724" s="99"/>
      <c r="E724" s="99"/>
      <c r="F724" s="197"/>
      <c r="G724" s="99"/>
      <c r="H724" s="99"/>
      <c r="I724" s="99"/>
      <c r="J724" s="99"/>
      <c r="K724" s="99"/>
      <c r="L724" s="99"/>
    </row>
    <row r="725" spans="2:12">
      <c r="B725" s="99"/>
      <c r="C725" s="99"/>
      <c r="D725" s="99"/>
      <c r="E725" s="99"/>
      <c r="F725" s="197"/>
      <c r="G725" s="99"/>
      <c r="H725" s="99"/>
      <c r="I725" s="99"/>
      <c r="J725" s="99"/>
      <c r="K725" s="99"/>
      <c r="L725" s="99"/>
    </row>
    <row r="726" spans="2:12">
      <c r="B726" s="99"/>
      <c r="C726" s="99"/>
      <c r="D726" s="99"/>
      <c r="E726" s="99"/>
      <c r="F726" s="197"/>
      <c r="G726" s="99"/>
      <c r="H726" s="99"/>
      <c r="I726" s="99"/>
      <c r="J726" s="99"/>
      <c r="K726" s="99"/>
      <c r="L726" s="99"/>
    </row>
    <row r="727" spans="2:12">
      <c r="B727" s="99"/>
      <c r="C727" s="99"/>
      <c r="D727" s="99"/>
      <c r="E727" s="99"/>
      <c r="F727" s="197"/>
      <c r="G727" s="99"/>
      <c r="H727" s="99"/>
      <c r="I727" s="99"/>
      <c r="J727" s="99"/>
      <c r="K727" s="99"/>
      <c r="L727" s="99"/>
    </row>
    <row r="728" spans="2:12">
      <c r="B728" s="99"/>
      <c r="C728" s="99"/>
      <c r="D728" s="99"/>
      <c r="E728" s="99"/>
      <c r="F728" s="197"/>
      <c r="G728" s="99"/>
      <c r="H728" s="99"/>
      <c r="I728" s="99"/>
      <c r="J728" s="99"/>
      <c r="K728" s="99"/>
      <c r="L728" s="99"/>
    </row>
    <row r="729" spans="2:12">
      <c r="B729" s="99"/>
      <c r="C729" s="99"/>
      <c r="D729" s="99"/>
      <c r="E729" s="99"/>
      <c r="F729" s="197"/>
      <c r="G729" s="99"/>
      <c r="H729" s="99"/>
      <c r="I729" s="99"/>
      <c r="J729" s="99"/>
      <c r="K729" s="99"/>
      <c r="L729" s="99"/>
    </row>
    <row r="730" spans="2:12">
      <c r="B730" s="99"/>
      <c r="C730" s="99"/>
      <c r="D730" s="99"/>
      <c r="E730" s="99"/>
      <c r="F730" s="197"/>
      <c r="G730" s="99"/>
      <c r="H730" s="99"/>
      <c r="I730" s="99"/>
      <c r="J730" s="99"/>
      <c r="K730" s="99"/>
      <c r="L730" s="99"/>
    </row>
    <row r="731" spans="2:12">
      <c r="B731" s="99"/>
      <c r="C731" s="99"/>
      <c r="D731" s="99"/>
      <c r="E731" s="99"/>
      <c r="F731" s="197"/>
      <c r="G731" s="99"/>
      <c r="H731" s="99"/>
      <c r="I731" s="99"/>
      <c r="J731" s="99"/>
      <c r="K731" s="99"/>
      <c r="L731" s="99"/>
    </row>
    <row r="732" spans="2:12">
      <c r="B732" s="99"/>
      <c r="C732" s="99"/>
      <c r="D732" s="99"/>
      <c r="E732" s="99"/>
      <c r="F732" s="197"/>
      <c r="G732" s="99"/>
      <c r="H732" s="99"/>
      <c r="I732" s="99"/>
      <c r="J732" s="99"/>
      <c r="K732" s="99"/>
      <c r="L732" s="99"/>
    </row>
    <row r="733" spans="2:12">
      <c r="B733" s="99"/>
      <c r="C733" s="99"/>
      <c r="D733" s="99"/>
      <c r="E733" s="99"/>
      <c r="F733" s="197"/>
      <c r="G733" s="99"/>
      <c r="H733" s="99"/>
      <c r="I733" s="99"/>
      <c r="J733" s="99"/>
      <c r="K733" s="99"/>
      <c r="L733" s="99"/>
    </row>
    <row r="734" spans="2:12">
      <c r="B734" s="99"/>
      <c r="C734" s="99"/>
      <c r="D734" s="99"/>
      <c r="E734" s="99"/>
      <c r="F734" s="197"/>
      <c r="G734" s="99"/>
      <c r="H734" s="99"/>
      <c r="I734" s="99"/>
      <c r="J734" s="99"/>
      <c r="K734" s="99"/>
      <c r="L734" s="99"/>
    </row>
    <row r="735" spans="2:12">
      <c r="B735" s="99"/>
      <c r="C735" s="99"/>
      <c r="D735" s="99"/>
      <c r="E735" s="99"/>
      <c r="F735" s="197"/>
      <c r="G735" s="99"/>
      <c r="H735" s="99"/>
      <c r="I735" s="99"/>
      <c r="J735" s="99"/>
      <c r="K735" s="99"/>
      <c r="L735" s="99"/>
    </row>
    <row r="736" spans="2:12">
      <c r="B736" s="99"/>
      <c r="C736" s="99"/>
      <c r="D736" s="99"/>
      <c r="E736" s="99"/>
      <c r="F736" s="197"/>
      <c r="G736" s="99"/>
      <c r="H736" s="99"/>
      <c r="I736" s="99"/>
      <c r="J736" s="99"/>
      <c r="K736" s="99"/>
      <c r="L736" s="99"/>
    </row>
    <row r="737" spans="2:12">
      <c r="B737" s="99"/>
      <c r="C737" s="99"/>
      <c r="D737" s="99"/>
      <c r="E737" s="99"/>
      <c r="F737" s="197"/>
      <c r="G737" s="99"/>
      <c r="H737" s="99"/>
      <c r="I737" s="99"/>
      <c r="J737" s="99"/>
      <c r="K737" s="99"/>
      <c r="L737" s="99"/>
    </row>
    <row r="738" spans="2:12">
      <c r="B738" s="99"/>
      <c r="C738" s="99"/>
      <c r="D738" s="99"/>
      <c r="E738" s="99"/>
      <c r="F738" s="197"/>
      <c r="G738" s="99"/>
      <c r="H738" s="99"/>
      <c r="I738" s="99"/>
      <c r="J738" s="99"/>
      <c r="K738" s="99"/>
      <c r="L738" s="99"/>
    </row>
    <row r="739" spans="2:12">
      <c r="B739" s="99"/>
      <c r="C739" s="99"/>
      <c r="D739" s="99"/>
      <c r="E739" s="99"/>
      <c r="F739" s="197"/>
      <c r="G739" s="99"/>
      <c r="H739" s="99"/>
      <c r="I739" s="99"/>
      <c r="J739" s="99"/>
      <c r="K739" s="99"/>
      <c r="L739" s="99"/>
    </row>
    <row r="740" spans="2:12">
      <c r="B740" s="99"/>
      <c r="C740" s="99"/>
      <c r="D740" s="99"/>
      <c r="E740" s="99"/>
      <c r="F740" s="197"/>
      <c r="G740" s="99"/>
      <c r="H740" s="99"/>
      <c r="I740" s="99"/>
      <c r="J740" s="99"/>
      <c r="K740" s="99"/>
      <c r="L740" s="99"/>
    </row>
    <row r="741" spans="2:12">
      <c r="B741" s="99"/>
      <c r="C741" s="99"/>
      <c r="D741" s="99"/>
      <c r="E741" s="99"/>
      <c r="F741" s="197"/>
      <c r="G741" s="99"/>
      <c r="H741" s="99"/>
      <c r="I741" s="99"/>
      <c r="J741" s="99"/>
      <c r="K741" s="99"/>
      <c r="L741" s="99"/>
    </row>
    <row r="742" spans="2:12">
      <c r="B742" s="99"/>
      <c r="C742" s="99"/>
      <c r="D742" s="99"/>
      <c r="E742" s="99"/>
      <c r="F742" s="197"/>
      <c r="G742" s="99"/>
      <c r="H742" s="99"/>
      <c r="I742" s="99"/>
      <c r="J742" s="99"/>
      <c r="K742" s="99"/>
      <c r="L742" s="99"/>
    </row>
    <row r="743" spans="2:12">
      <c r="B743" s="99"/>
      <c r="C743" s="99"/>
      <c r="D743" s="99"/>
      <c r="E743" s="99"/>
      <c r="F743" s="197"/>
      <c r="G743" s="99"/>
      <c r="H743" s="99"/>
      <c r="I743" s="99"/>
      <c r="J743" s="99"/>
      <c r="K743" s="99"/>
      <c r="L743" s="99"/>
    </row>
    <row r="744" spans="2:12">
      <c r="B744" s="99"/>
      <c r="C744" s="99"/>
      <c r="D744" s="99"/>
      <c r="E744" s="99"/>
      <c r="F744" s="197"/>
      <c r="G744" s="99"/>
      <c r="H744" s="99"/>
      <c r="I744" s="99"/>
      <c r="J744" s="99"/>
      <c r="K744" s="99"/>
      <c r="L744" s="99"/>
    </row>
    <row r="745" spans="2:12">
      <c r="B745" s="99"/>
      <c r="C745" s="99"/>
      <c r="D745" s="99"/>
      <c r="E745" s="99"/>
      <c r="F745" s="197"/>
      <c r="G745" s="99"/>
      <c r="H745" s="99"/>
      <c r="I745" s="99"/>
      <c r="J745" s="99"/>
      <c r="K745" s="99"/>
      <c r="L745" s="99"/>
    </row>
    <row r="746" spans="2:12">
      <c r="B746" s="99"/>
      <c r="C746" s="99"/>
      <c r="D746" s="99"/>
      <c r="E746" s="99"/>
      <c r="F746" s="197"/>
      <c r="G746" s="99"/>
      <c r="H746" s="99"/>
      <c r="I746" s="99"/>
      <c r="J746" s="99"/>
      <c r="K746" s="99"/>
      <c r="L746" s="99"/>
    </row>
    <row r="747" spans="2:12">
      <c r="B747" s="99"/>
      <c r="C747" s="99"/>
      <c r="D747" s="99"/>
      <c r="E747" s="99"/>
      <c r="F747" s="197"/>
      <c r="G747" s="99"/>
      <c r="H747" s="99"/>
      <c r="I747" s="99"/>
      <c r="J747" s="99"/>
      <c r="K747" s="99"/>
      <c r="L747" s="99"/>
    </row>
    <row r="748" spans="2:12">
      <c r="B748" s="99"/>
      <c r="C748" s="99"/>
      <c r="D748" s="99"/>
      <c r="E748" s="99"/>
      <c r="F748" s="197"/>
      <c r="G748" s="99"/>
      <c r="H748" s="99"/>
      <c r="I748" s="99"/>
      <c r="J748" s="99"/>
      <c r="K748" s="99"/>
      <c r="L748" s="99"/>
    </row>
    <row r="749" spans="2:12">
      <c r="B749" s="99"/>
      <c r="C749" s="99"/>
      <c r="D749" s="99"/>
      <c r="E749" s="99"/>
      <c r="F749" s="197"/>
      <c r="G749" s="99"/>
      <c r="H749" s="99"/>
      <c r="I749" s="99"/>
      <c r="J749" s="99"/>
      <c r="K749" s="99"/>
      <c r="L749" s="99"/>
    </row>
    <row r="750" spans="2:12">
      <c r="B750" s="99"/>
      <c r="C750" s="99"/>
      <c r="D750" s="99"/>
      <c r="E750" s="99"/>
      <c r="F750" s="197"/>
      <c r="G750" s="99"/>
      <c r="H750" s="99"/>
      <c r="I750" s="99"/>
      <c r="J750" s="99"/>
      <c r="K750" s="99"/>
      <c r="L750" s="99"/>
    </row>
    <row r="751" spans="2:12">
      <c r="B751" s="99"/>
      <c r="C751" s="99"/>
      <c r="D751" s="99"/>
      <c r="E751" s="99"/>
      <c r="F751" s="197"/>
      <c r="G751" s="99"/>
      <c r="H751" s="99"/>
      <c r="I751" s="99"/>
      <c r="J751" s="99"/>
      <c r="K751" s="99"/>
      <c r="L751" s="99"/>
    </row>
    <row r="752" spans="2:12">
      <c r="B752" s="99"/>
      <c r="C752" s="99"/>
      <c r="D752" s="99"/>
      <c r="E752" s="99"/>
      <c r="F752" s="197"/>
      <c r="G752" s="99"/>
      <c r="H752" s="99"/>
      <c r="I752" s="99"/>
      <c r="J752" s="99"/>
      <c r="K752" s="99"/>
      <c r="L752" s="99"/>
    </row>
    <row r="753" spans="2:12">
      <c r="B753" s="99"/>
      <c r="C753" s="99"/>
      <c r="D753" s="99"/>
      <c r="E753" s="99"/>
      <c r="F753" s="197"/>
      <c r="G753" s="99"/>
      <c r="H753" s="99"/>
      <c r="I753" s="99"/>
      <c r="J753" s="99"/>
      <c r="K753" s="99"/>
      <c r="L753" s="99"/>
    </row>
    <row r="754" spans="2:12">
      <c r="B754" s="99"/>
      <c r="C754" s="99"/>
      <c r="D754" s="99"/>
      <c r="E754" s="99"/>
      <c r="F754" s="197"/>
      <c r="G754" s="99"/>
      <c r="H754" s="99"/>
      <c r="I754" s="99"/>
      <c r="J754" s="99"/>
      <c r="K754" s="99"/>
      <c r="L754" s="99"/>
    </row>
    <row r="755" spans="2:12">
      <c r="B755" s="99"/>
      <c r="C755" s="99"/>
      <c r="D755" s="99"/>
      <c r="E755" s="99"/>
      <c r="F755" s="197"/>
      <c r="G755" s="99"/>
      <c r="H755" s="99"/>
      <c r="I755" s="99"/>
      <c r="J755" s="99"/>
      <c r="K755" s="99"/>
      <c r="L755" s="99"/>
    </row>
    <row r="756" spans="2:12">
      <c r="B756" s="99"/>
      <c r="C756" s="99"/>
      <c r="D756" s="99"/>
      <c r="E756" s="99"/>
      <c r="F756" s="197"/>
      <c r="G756" s="99"/>
      <c r="H756" s="99"/>
      <c r="I756" s="99"/>
      <c r="J756" s="99"/>
      <c r="K756" s="99"/>
      <c r="L756" s="99"/>
    </row>
    <row r="757" spans="2:12">
      <c r="B757" s="99"/>
      <c r="C757" s="99"/>
      <c r="D757" s="99"/>
      <c r="E757" s="99"/>
      <c r="F757" s="197"/>
      <c r="G757" s="99"/>
      <c r="H757" s="99"/>
      <c r="I757" s="99"/>
      <c r="J757" s="99"/>
      <c r="K757" s="99"/>
      <c r="L757" s="99"/>
    </row>
    <row r="758" spans="2:12">
      <c r="B758" s="99"/>
      <c r="C758" s="99"/>
      <c r="D758" s="99"/>
      <c r="E758" s="99"/>
      <c r="F758" s="197"/>
      <c r="G758" s="99"/>
      <c r="H758" s="99"/>
      <c r="I758" s="99"/>
      <c r="J758" s="99"/>
      <c r="K758" s="99"/>
      <c r="L758" s="99"/>
    </row>
    <row r="759" spans="2:12">
      <c r="B759" s="99"/>
      <c r="C759" s="99"/>
      <c r="D759" s="99"/>
      <c r="E759" s="99"/>
      <c r="F759" s="197"/>
      <c r="G759" s="99"/>
      <c r="H759" s="99"/>
      <c r="I759" s="99"/>
      <c r="J759" s="99"/>
      <c r="K759" s="99"/>
      <c r="L759" s="99"/>
    </row>
    <row r="760" spans="2:12">
      <c r="B760" s="99"/>
      <c r="C760" s="99"/>
      <c r="D760" s="99"/>
      <c r="E760" s="99"/>
      <c r="F760" s="197"/>
      <c r="G760" s="99"/>
      <c r="H760" s="99"/>
      <c r="I760" s="99"/>
      <c r="J760" s="99"/>
      <c r="K760" s="99"/>
      <c r="L760" s="99"/>
    </row>
    <row r="761" spans="2:12">
      <c r="B761" s="99"/>
      <c r="C761" s="99"/>
      <c r="D761" s="99"/>
      <c r="E761" s="99"/>
      <c r="F761" s="197"/>
      <c r="G761" s="99"/>
      <c r="H761" s="99"/>
      <c r="I761" s="99"/>
      <c r="J761" s="99"/>
      <c r="K761" s="99"/>
      <c r="L761" s="99"/>
    </row>
    <row r="762" spans="2:12">
      <c r="B762" s="99"/>
      <c r="C762" s="99"/>
      <c r="D762" s="99"/>
      <c r="E762" s="99"/>
      <c r="F762" s="197"/>
      <c r="G762" s="99"/>
      <c r="H762" s="99"/>
      <c r="I762" s="99"/>
      <c r="J762" s="99"/>
      <c r="K762" s="99"/>
      <c r="L762" s="99"/>
    </row>
    <row r="763" spans="2:12">
      <c r="B763" s="99"/>
      <c r="C763" s="99"/>
      <c r="D763" s="99"/>
      <c r="E763" s="99"/>
      <c r="F763" s="197"/>
      <c r="G763" s="99"/>
      <c r="H763" s="99"/>
      <c r="I763" s="99"/>
      <c r="J763" s="99"/>
      <c r="K763" s="99"/>
      <c r="L763" s="99"/>
    </row>
    <row r="764" spans="2:12">
      <c r="B764" s="99"/>
      <c r="C764" s="99"/>
      <c r="D764" s="99"/>
      <c r="E764" s="99"/>
      <c r="F764" s="197"/>
      <c r="G764" s="99"/>
      <c r="H764" s="99"/>
      <c r="I764" s="99"/>
      <c r="J764" s="99"/>
      <c r="K764" s="99"/>
      <c r="L764" s="99"/>
    </row>
    <row r="765" spans="2:12">
      <c r="B765" s="99"/>
      <c r="C765" s="99"/>
      <c r="D765" s="99"/>
      <c r="E765" s="99"/>
      <c r="F765" s="197"/>
      <c r="G765" s="99"/>
      <c r="H765" s="99"/>
      <c r="I765" s="99"/>
      <c r="J765" s="99"/>
      <c r="K765" s="99"/>
      <c r="L765" s="99"/>
    </row>
    <row r="766" spans="2:12">
      <c r="B766" s="99"/>
      <c r="C766" s="99"/>
      <c r="D766" s="99"/>
      <c r="E766" s="99"/>
      <c r="F766" s="197"/>
      <c r="G766" s="99"/>
      <c r="H766" s="99"/>
      <c r="I766" s="99"/>
      <c r="J766" s="99"/>
      <c r="K766" s="99"/>
      <c r="L766" s="99"/>
    </row>
    <row r="767" spans="2:12">
      <c r="B767" s="99"/>
      <c r="C767" s="99"/>
      <c r="D767" s="99"/>
      <c r="E767" s="99"/>
      <c r="F767" s="197"/>
      <c r="G767" s="99"/>
      <c r="H767" s="99"/>
      <c r="I767" s="99"/>
      <c r="J767" s="99"/>
      <c r="K767" s="99"/>
      <c r="L767" s="99"/>
    </row>
    <row r="768" spans="2:12">
      <c r="B768" s="99"/>
      <c r="C768" s="99"/>
      <c r="D768" s="99"/>
      <c r="E768" s="99"/>
      <c r="F768" s="197"/>
      <c r="G768" s="99"/>
      <c r="H768" s="99"/>
      <c r="I768" s="99"/>
      <c r="J768" s="99"/>
      <c r="K768" s="99"/>
      <c r="L768" s="99"/>
    </row>
    <row r="769" spans="2:12">
      <c r="B769" s="99"/>
      <c r="C769" s="99"/>
      <c r="D769" s="99"/>
      <c r="E769" s="99"/>
      <c r="F769" s="197"/>
      <c r="G769" s="99"/>
      <c r="H769" s="99"/>
      <c r="I769" s="99"/>
      <c r="J769" s="99"/>
      <c r="K769" s="99"/>
      <c r="L769" s="99"/>
    </row>
    <row r="770" spans="2:12">
      <c r="B770" s="99"/>
      <c r="C770" s="99"/>
      <c r="D770" s="99"/>
      <c r="E770" s="99"/>
      <c r="F770" s="197"/>
      <c r="G770" s="99"/>
      <c r="H770" s="99"/>
      <c r="I770" s="99"/>
      <c r="J770" s="99"/>
      <c r="K770" s="99"/>
      <c r="L770" s="99"/>
    </row>
    <row r="771" spans="2:12">
      <c r="B771" s="99"/>
      <c r="C771" s="99"/>
      <c r="D771" s="99"/>
      <c r="E771" s="99"/>
      <c r="F771" s="197"/>
      <c r="G771" s="99"/>
      <c r="H771" s="99"/>
      <c r="I771" s="99"/>
      <c r="J771" s="99"/>
      <c r="K771" s="99"/>
      <c r="L771" s="99"/>
    </row>
    <row r="772" spans="2:12">
      <c r="B772" s="99"/>
      <c r="C772" s="99"/>
      <c r="D772" s="99"/>
      <c r="E772" s="99"/>
      <c r="F772" s="197"/>
      <c r="G772" s="99"/>
      <c r="H772" s="99"/>
      <c r="I772" s="99"/>
      <c r="J772" s="99"/>
      <c r="K772" s="99"/>
      <c r="L772" s="99"/>
    </row>
    <row r="773" spans="2:12">
      <c r="B773" s="99"/>
      <c r="C773" s="99"/>
      <c r="D773" s="99"/>
      <c r="E773" s="99"/>
      <c r="F773" s="197"/>
      <c r="G773" s="99"/>
      <c r="H773" s="99"/>
      <c r="I773" s="99"/>
      <c r="J773" s="99"/>
      <c r="K773" s="99"/>
      <c r="L773" s="99"/>
    </row>
    <row r="774" spans="2:12">
      <c r="B774" s="99"/>
      <c r="C774" s="99"/>
      <c r="D774" s="99"/>
      <c r="E774" s="99"/>
      <c r="F774" s="197"/>
      <c r="G774" s="99"/>
      <c r="H774" s="99"/>
      <c r="I774" s="99"/>
      <c r="J774" s="99"/>
      <c r="K774" s="99"/>
      <c r="L774" s="99"/>
    </row>
    <row r="775" spans="2:12">
      <c r="B775" s="99"/>
      <c r="C775" s="99"/>
      <c r="D775" s="99"/>
      <c r="E775" s="99"/>
      <c r="F775" s="197"/>
      <c r="G775" s="99"/>
      <c r="H775" s="99"/>
      <c r="I775" s="99"/>
      <c r="J775" s="99"/>
      <c r="K775" s="99"/>
      <c r="L775" s="99"/>
    </row>
    <row r="776" spans="2:12">
      <c r="B776" s="99"/>
      <c r="C776" s="99"/>
      <c r="D776" s="99"/>
      <c r="E776" s="99"/>
      <c r="F776" s="197"/>
      <c r="G776" s="99"/>
      <c r="H776" s="99"/>
      <c r="I776" s="99"/>
      <c r="J776" s="99"/>
      <c r="K776" s="99"/>
      <c r="L776" s="99"/>
    </row>
    <row r="777" spans="2:12">
      <c r="B777" s="99"/>
      <c r="C777" s="99"/>
      <c r="D777" s="99"/>
      <c r="E777" s="99"/>
      <c r="F777" s="197"/>
      <c r="G777" s="99"/>
      <c r="H777" s="99"/>
      <c r="I777" s="99"/>
      <c r="J777" s="99"/>
      <c r="K777" s="99"/>
      <c r="L777" s="99"/>
    </row>
    <row r="778" spans="2:12">
      <c r="B778" s="99"/>
      <c r="C778" s="99"/>
      <c r="D778" s="99"/>
      <c r="E778" s="99"/>
      <c r="F778" s="197"/>
      <c r="G778" s="99"/>
      <c r="H778" s="99"/>
      <c r="I778" s="99"/>
      <c r="J778" s="99"/>
      <c r="K778" s="99"/>
      <c r="L778" s="99"/>
    </row>
    <row r="779" spans="2:12">
      <c r="B779" s="99"/>
      <c r="C779" s="99"/>
      <c r="D779" s="99"/>
      <c r="E779" s="99"/>
      <c r="F779" s="197"/>
      <c r="G779" s="99"/>
      <c r="H779" s="99"/>
      <c r="I779" s="99"/>
      <c r="J779" s="99"/>
      <c r="K779" s="99"/>
      <c r="L779" s="99"/>
    </row>
    <row r="780" spans="2:12">
      <c r="B780" s="99"/>
      <c r="C780" s="99"/>
      <c r="D780" s="99"/>
      <c r="E780" s="99"/>
      <c r="F780" s="197"/>
      <c r="G780" s="99"/>
      <c r="H780" s="99"/>
      <c r="I780" s="99"/>
      <c r="J780" s="99"/>
      <c r="K780" s="99"/>
      <c r="L780" s="99"/>
    </row>
    <row r="781" spans="2:12">
      <c r="B781" s="99"/>
      <c r="C781" s="99"/>
      <c r="D781" s="99"/>
      <c r="E781" s="99"/>
      <c r="F781" s="197"/>
      <c r="G781" s="99"/>
      <c r="H781" s="99"/>
      <c r="I781" s="99"/>
      <c r="J781" s="99"/>
      <c r="K781" s="99"/>
      <c r="L781" s="99"/>
    </row>
    <row r="782" spans="2:12">
      <c r="B782" s="99"/>
      <c r="C782" s="99"/>
      <c r="D782" s="99"/>
      <c r="E782" s="99"/>
      <c r="F782" s="197"/>
      <c r="G782" s="99"/>
      <c r="H782" s="99"/>
      <c r="I782" s="99"/>
      <c r="J782" s="99"/>
      <c r="K782" s="99"/>
      <c r="L782" s="99"/>
    </row>
    <row r="783" spans="2:12">
      <c r="B783" s="99"/>
      <c r="C783" s="99"/>
      <c r="D783" s="99"/>
      <c r="E783" s="99"/>
      <c r="F783" s="197"/>
      <c r="G783" s="99"/>
      <c r="H783" s="99"/>
      <c r="I783" s="99"/>
      <c r="J783" s="99"/>
      <c r="K783" s="99"/>
      <c r="L783" s="99"/>
    </row>
    <row r="784" spans="2:12">
      <c r="B784" s="99"/>
      <c r="C784" s="99"/>
      <c r="D784" s="99"/>
      <c r="E784" s="99"/>
      <c r="F784" s="197"/>
      <c r="G784" s="99"/>
      <c r="H784" s="99"/>
      <c r="I784" s="99"/>
      <c r="J784" s="99"/>
      <c r="K784" s="99"/>
      <c r="L784" s="99"/>
    </row>
    <row r="785" spans="2:12">
      <c r="B785" s="99"/>
      <c r="C785" s="99"/>
      <c r="D785" s="99"/>
      <c r="E785" s="99"/>
      <c r="F785" s="197"/>
      <c r="G785" s="99"/>
      <c r="H785" s="99"/>
      <c r="I785" s="99"/>
      <c r="J785" s="99"/>
      <c r="K785" s="99"/>
      <c r="L785" s="99"/>
    </row>
    <row r="786" spans="2:12">
      <c r="B786" s="99"/>
      <c r="C786" s="99"/>
      <c r="D786" s="99"/>
      <c r="E786" s="99"/>
      <c r="F786" s="197"/>
      <c r="G786" s="99"/>
      <c r="H786" s="99"/>
      <c r="I786" s="99"/>
      <c r="J786" s="99"/>
      <c r="K786" s="99"/>
      <c r="L786" s="99"/>
    </row>
    <row r="787" spans="2:12">
      <c r="B787" s="99"/>
      <c r="C787" s="99"/>
      <c r="D787" s="99"/>
      <c r="E787" s="99"/>
      <c r="F787" s="197"/>
      <c r="G787" s="99"/>
      <c r="H787" s="99"/>
      <c r="I787" s="99"/>
      <c r="J787" s="99"/>
      <c r="K787" s="99"/>
      <c r="L787" s="99"/>
    </row>
    <row r="788" spans="2:12">
      <c r="B788" s="99"/>
      <c r="C788" s="99"/>
      <c r="D788" s="99"/>
      <c r="E788" s="99"/>
      <c r="F788" s="197"/>
      <c r="G788" s="99"/>
      <c r="H788" s="99"/>
      <c r="I788" s="99"/>
      <c r="J788" s="99"/>
      <c r="K788" s="99"/>
      <c r="L788" s="99"/>
    </row>
    <row r="789" spans="2:12">
      <c r="B789" s="99"/>
      <c r="C789" s="99"/>
      <c r="D789" s="99"/>
      <c r="E789" s="99"/>
      <c r="F789" s="197"/>
      <c r="G789" s="99"/>
      <c r="H789" s="99"/>
      <c r="I789" s="99"/>
      <c r="J789" s="99"/>
      <c r="K789" s="99"/>
      <c r="L789" s="99"/>
    </row>
    <row r="790" spans="2:12">
      <c r="B790" s="99"/>
      <c r="C790" s="99"/>
      <c r="D790" s="99"/>
      <c r="E790" s="99"/>
      <c r="F790" s="197"/>
      <c r="G790" s="99"/>
      <c r="H790" s="99"/>
      <c r="I790" s="99"/>
      <c r="J790" s="99"/>
      <c r="K790" s="99"/>
      <c r="L790" s="99"/>
    </row>
    <row r="791" spans="2:12">
      <c r="B791" s="99"/>
      <c r="C791" s="99"/>
      <c r="D791" s="99"/>
      <c r="E791" s="99"/>
      <c r="F791" s="197"/>
      <c r="G791" s="99"/>
      <c r="H791" s="99"/>
      <c r="I791" s="99"/>
      <c r="J791" s="99"/>
      <c r="K791" s="99"/>
      <c r="L791" s="99"/>
    </row>
    <row r="792" spans="2:12">
      <c r="B792" s="99"/>
      <c r="C792" s="99"/>
      <c r="D792" s="99"/>
      <c r="E792" s="99"/>
      <c r="F792" s="197"/>
      <c r="G792" s="99"/>
      <c r="H792" s="99"/>
      <c r="I792" s="99"/>
      <c r="J792" s="99"/>
      <c r="K792" s="99"/>
      <c r="L792" s="99"/>
    </row>
    <row r="793" spans="2:12">
      <c r="B793" s="99"/>
      <c r="C793" s="99"/>
      <c r="D793" s="99"/>
      <c r="E793" s="99"/>
      <c r="F793" s="197"/>
      <c r="G793" s="99"/>
      <c r="H793" s="99"/>
      <c r="I793" s="99"/>
      <c r="J793" s="99"/>
      <c r="K793" s="99"/>
      <c r="L793" s="99"/>
    </row>
    <row r="794" spans="2:12">
      <c r="B794" s="99"/>
      <c r="C794" s="99"/>
      <c r="D794" s="99"/>
      <c r="E794" s="99"/>
      <c r="F794" s="197"/>
      <c r="G794" s="99"/>
      <c r="H794" s="99"/>
      <c r="I794" s="99"/>
      <c r="J794" s="99"/>
      <c r="K794" s="99"/>
      <c r="L794" s="99"/>
    </row>
    <row r="795" spans="2:12">
      <c r="B795" s="99"/>
      <c r="C795" s="99"/>
      <c r="D795" s="99"/>
      <c r="E795" s="99"/>
      <c r="F795" s="197"/>
      <c r="G795" s="99"/>
      <c r="H795" s="99"/>
      <c r="I795" s="99"/>
      <c r="J795" s="99"/>
      <c r="K795" s="99"/>
      <c r="L795" s="99"/>
    </row>
    <row r="796" spans="2:12">
      <c r="B796" s="99"/>
      <c r="C796" s="99"/>
      <c r="D796" s="99"/>
      <c r="E796" s="99"/>
      <c r="F796" s="197"/>
      <c r="G796" s="99"/>
      <c r="H796" s="99"/>
      <c r="I796" s="99"/>
      <c r="J796" s="99"/>
      <c r="K796" s="99"/>
      <c r="L796" s="99"/>
    </row>
    <row r="797" spans="2:12">
      <c r="B797" s="99"/>
      <c r="C797" s="99"/>
      <c r="D797" s="99"/>
      <c r="E797" s="99"/>
      <c r="F797" s="197"/>
      <c r="G797" s="99"/>
      <c r="H797" s="99"/>
      <c r="I797" s="99"/>
      <c r="J797" s="99"/>
      <c r="K797" s="99"/>
      <c r="L797" s="99"/>
    </row>
    <row r="798" spans="2:12">
      <c r="B798" s="99"/>
      <c r="C798" s="99"/>
      <c r="D798" s="99"/>
      <c r="E798" s="99"/>
      <c r="F798" s="197"/>
      <c r="G798" s="99"/>
      <c r="H798" s="99"/>
      <c r="I798" s="99"/>
      <c r="J798" s="99"/>
      <c r="K798" s="99"/>
      <c r="L798" s="99"/>
    </row>
    <row r="799" spans="2:12">
      <c r="B799" s="99"/>
      <c r="C799" s="99"/>
      <c r="D799" s="99"/>
      <c r="E799" s="99"/>
      <c r="F799" s="197"/>
      <c r="G799" s="99"/>
      <c r="H799" s="99"/>
      <c r="I799" s="99"/>
      <c r="J799" s="99"/>
      <c r="K799" s="99"/>
      <c r="L799" s="99"/>
    </row>
    <row r="800" spans="2:12">
      <c r="B800" s="99"/>
      <c r="C800" s="99"/>
      <c r="D800" s="99"/>
      <c r="E800" s="99"/>
      <c r="F800" s="197"/>
      <c r="G800" s="99"/>
      <c r="H800" s="99"/>
      <c r="I800" s="99"/>
      <c r="J800" s="99"/>
      <c r="K800" s="99"/>
      <c r="L800" s="99"/>
    </row>
    <row r="801" spans="2:12">
      <c r="B801" s="99"/>
      <c r="C801" s="99"/>
      <c r="D801" s="99"/>
      <c r="E801" s="99"/>
      <c r="F801" s="197"/>
      <c r="G801" s="99"/>
      <c r="H801" s="99"/>
      <c r="I801" s="99"/>
      <c r="J801" s="99"/>
      <c r="K801" s="99"/>
      <c r="L801" s="99"/>
    </row>
    <row r="802" spans="2:12">
      <c r="B802" s="99"/>
      <c r="C802" s="99"/>
      <c r="D802" s="99"/>
      <c r="E802" s="99"/>
      <c r="F802" s="197"/>
      <c r="G802" s="99"/>
      <c r="H802" s="99"/>
      <c r="I802" s="99"/>
      <c r="J802" s="99"/>
      <c r="K802" s="99"/>
      <c r="L802" s="99"/>
    </row>
    <row r="803" spans="2:12">
      <c r="B803" s="99"/>
      <c r="C803" s="99"/>
      <c r="D803" s="99"/>
      <c r="E803" s="99"/>
      <c r="F803" s="197"/>
      <c r="G803" s="99"/>
      <c r="H803" s="99"/>
      <c r="I803" s="99"/>
      <c r="J803" s="99"/>
      <c r="K803" s="99"/>
      <c r="L803" s="99"/>
    </row>
    <row r="804" spans="2:12">
      <c r="B804" s="99"/>
      <c r="C804" s="99"/>
      <c r="D804" s="99"/>
      <c r="E804" s="99"/>
      <c r="F804" s="197"/>
      <c r="G804" s="99"/>
      <c r="H804" s="99"/>
      <c r="I804" s="99"/>
      <c r="J804" s="99"/>
      <c r="K804" s="99"/>
      <c r="L804" s="99"/>
    </row>
    <row r="805" spans="2:12">
      <c r="B805" s="99"/>
      <c r="C805" s="99"/>
      <c r="D805" s="99"/>
      <c r="E805" s="99"/>
      <c r="F805" s="197"/>
      <c r="G805" s="99"/>
      <c r="H805" s="99"/>
      <c r="I805" s="99"/>
      <c r="J805" s="99"/>
      <c r="K805" s="99"/>
      <c r="L805" s="99"/>
    </row>
    <row r="806" spans="2:12">
      <c r="B806" s="99"/>
      <c r="C806" s="99"/>
      <c r="D806" s="99"/>
      <c r="E806" s="99"/>
      <c r="F806" s="197"/>
      <c r="G806" s="99"/>
      <c r="H806" s="99"/>
      <c r="I806" s="99"/>
      <c r="J806" s="99"/>
      <c r="K806" s="99"/>
      <c r="L806" s="99"/>
    </row>
    <row r="807" spans="2:12">
      <c r="B807" s="99"/>
      <c r="C807" s="99"/>
      <c r="D807" s="99"/>
      <c r="E807" s="99"/>
      <c r="F807" s="197"/>
      <c r="G807" s="99"/>
      <c r="H807" s="99"/>
      <c r="I807" s="99"/>
      <c r="J807" s="99"/>
      <c r="K807" s="99"/>
      <c r="L807" s="99"/>
    </row>
    <row r="808" spans="2:12">
      <c r="B808" s="99"/>
      <c r="C808" s="99"/>
      <c r="D808" s="99"/>
      <c r="E808" s="99"/>
      <c r="F808" s="197"/>
      <c r="G808" s="99"/>
      <c r="H808" s="99"/>
      <c r="I808" s="99"/>
      <c r="J808" s="99"/>
      <c r="K808" s="99"/>
      <c r="L808" s="99"/>
    </row>
    <row r="809" spans="2:12">
      <c r="B809" s="99"/>
      <c r="C809" s="99"/>
      <c r="D809" s="99"/>
      <c r="E809" s="99"/>
      <c r="F809" s="197"/>
      <c r="G809" s="99"/>
      <c r="H809" s="99"/>
      <c r="I809" s="99"/>
      <c r="J809" s="99"/>
      <c r="K809" s="99"/>
      <c r="L809" s="99"/>
    </row>
    <row r="810" spans="2:12">
      <c r="B810" s="99"/>
      <c r="C810" s="99"/>
      <c r="D810" s="99"/>
      <c r="E810" s="99"/>
      <c r="F810" s="197"/>
      <c r="G810" s="99"/>
      <c r="H810" s="99"/>
      <c r="I810" s="99"/>
      <c r="J810" s="99"/>
      <c r="K810" s="99"/>
      <c r="L810" s="99"/>
    </row>
    <row r="811" spans="2:12">
      <c r="B811" s="99"/>
      <c r="C811" s="99"/>
      <c r="D811" s="99"/>
      <c r="E811" s="99"/>
      <c r="F811" s="197"/>
      <c r="G811" s="99"/>
      <c r="H811" s="99"/>
      <c r="I811" s="99"/>
      <c r="J811" s="99"/>
      <c r="K811" s="99"/>
      <c r="L811" s="99"/>
    </row>
    <row r="812" spans="2:12">
      <c r="B812" s="99"/>
      <c r="C812" s="99"/>
      <c r="D812" s="99"/>
      <c r="E812" s="99"/>
      <c r="F812" s="197"/>
      <c r="G812" s="99"/>
      <c r="H812" s="99"/>
      <c r="I812" s="99"/>
      <c r="J812" s="99"/>
      <c r="K812" s="99"/>
      <c r="L812" s="99"/>
    </row>
    <row r="813" spans="2:12">
      <c r="B813" s="99"/>
      <c r="C813" s="99"/>
      <c r="D813" s="99"/>
      <c r="E813" s="99"/>
      <c r="F813" s="197"/>
      <c r="G813" s="99"/>
      <c r="H813" s="99"/>
      <c r="I813" s="99"/>
      <c r="J813" s="99"/>
      <c r="K813" s="99"/>
      <c r="L813" s="99"/>
    </row>
    <row r="814" spans="2:12">
      <c r="B814" s="99"/>
      <c r="C814" s="99"/>
      <c r="D814" s="99"/>
      <c r="E814" s="99"/>
      <c r="F814" s="197"/>
      <c r="G814" s="99"/>
      <c r="H814" s="99"/>
      <c r="I814" s="99"/>
      <c r="J814" s="99"/>
      <c r="K814" s="99"/>
      <c r="L814" s="99"/>
    </row>
    <row r="815" spans="2:12">
      <c r="B815" s="99"/>
      <c r="C815" s="99"/>
      <c r="D815" s="99"/>
      <c r="E815" s="99"/>
      <c r="F815" s="197"/>
      <c r="G815" s="99"/>
      <c r="H815" s="99"/>
      <c r="I815" s="99"/>
      <c r="J815" s="99"/>
      <c r="K815" s="99"/>
      <c r="L815" s="99"/>
    </row>
    <row r="816" spans="2:12">
      <c r="B816" s="99"/>
      <c r="C816" s="99"/>
      <c r="D816" s="99"/>
      <c r="E816" s="99"/>
      <c r="F816" s="197"/>
      <c r="G816" s="99"/>
      <c r="H816" s="99"/>
      <c r="I816" s="99"/>
      <c r="J816" s="99"/>
      <c r="K816" s="99"/>
      <c r="L816" s="99"/>
    </row>
    <row r="817" spans="2:12">
      <c r="B817" s="99"/>
      <c r="C817" s="99"/>
      <c r="D817" s="99"/>
      <c r="E817" s="99"/>
      <c r="F817" s="197"/>
      <c r="G817" s="99"/>
      <c r="H817" s="99"/>
      <c r="I817" s="99"/>
      <c r="J817" s="99"/>
      <c r="K817" s="99"/>
      <c r="L817" s="99"/>
    </row>
    <row r="818" spans="2:12">
      <c r="B818" s="99"/>
      <c r="C818" s="99"/>
      <c r="D818" s="99"/>
      <c r="E818" s="99"/>
      <c r="F818" s="197"/>
      <c r="G818" s="99"/>
      <c r="H818" s="99"/>
      <c r="I818" s="99"/>
      <c r="J818" s="99"/>
      <c r="K818" s="99"/>
      <c r="L818" s="99"/>
    </row>
    <row r="819" spans="2:12">
      <c r="B819" s="99"/>
      <c r="C819" s="99"/>
      <c r="D819" s="99"/>
      <c r="E819" s="99"/>
      <c r="F819" s="197"/>
      <c r="G819" s="99"/>
      <c r="H819" s="99"/>
      <c r="I819" s="99"/>
      <c r="J819" s="99"/>
      <c r="K819" s="99"/>
      <c r="L819" s="99"/>
    </row>
    <row r="820" spans="2:12">
      <c r="B820" s="99"/>
      <c r="C820" s="99"/>
      <c r="D820" s="99"/>
      <c r="E820" s="99"/>
      <c r="F820" s="197"/>
      <c r="G820" s="99"/>
      <c r="H820" s="99"/>
      <c r="I820" s="99"/>
      <c r="J820" s="99"/>
      <c r="K820" s="99"/>
      <c r="L820" s="99"/>
    </row>
    <row r="821" spans="2:12">
      <c r="B821" s="99"/>
      <c r="C821" s="99"/>
      <c r="D821" s="99"/>
      <c r="E821" s="99"/>
      <c r="F821" s="197"/>
      <c r="G821" s="99"/>
      <c r="H821" s="99"/>
      <c r="I821" s="99"/>
      <c r="J821" s="99"/>
      <c r="K821" s="99"/>
      <c r="L821" s="99"/>
    </row>
    <row r="822" spans="2:12">
      <c r="B822" s="99"/>
      <c r="C822" s="99"/>
      <c r="D822" s="99"/>
      <c r="E822" s="99"/>
      <c r="F822" s="197"/>
      <c r="G822" s="99"/>
      <c r="H822" s="99"/>
      <c r="I822" s="99"/>
      <c r="J822" s="99"/>
      <c r="K822" s="99"/>
      <c r="L822" s="99"/>
    </row>
    <row r="823" spans="2:12">
      <c r="B823" s="99"/>
      <c r="C823" s="99"/>
      <c r="D823" s="99"/>
      <c r="E823" s="99"/>
      <c r="F823" s="197"/>
      <c r="G823" s="99"/>
      <c r="H823" s="99"/>
      <c r="I823" s="99"/>
      <c r="J823" s="99"/>
      <c r="K823" s="99"/>
      <c r="L823" s="99"/>
    </row>
    <row r="824" spans="2:12">
      <c r="B824" s="99"/>
      <c r="C824" s="99"/>
      <c r="D824" s="99"/>
      <c r="E824" s="99"/>
      <c r="F824" s="197"/>
      <c r="G824" s="99"/>
      <c r="H824" s="99"/>
      <c r="I824" s="99"/>
      <c r="J824" s="99"/>
      <c r="K824" s="99"/>
      <c r="L824" s="99"/>
    </row>
    <row r="825" spans="2:12">
      <c r="B825" s="99"/>
      <c r="C825" s="99"/>
      <c r="D825" s="99"/>
      <c r="E825" s="99"/>
      <c r="F825" s="197"/>
      <c r="G825" s="99"/>
      <c r="H825" s="99"/>
      <c r="I825" s="99"/>
      <c r="J825" s="99"/>
      <c r="K825" s="99"/>
      <c r="L825" s="99"/>
    </row>
    <row r="826" spans="2:12">
      <c r="B826" s="99"/>
      <c r="C826" s="99"/>
      <c r="D826" s="99"/>
      <c r="E826" s="99"/>
      <c r="F826" s="197"/>
      <c r="G826" s="99"/>
      <c r="H826" s="99"/>
      <c r="I826" s="99"/>
      <c r="J826" s="99"/>
      <c r="K826" s="99"/>
      <c r="L826" s="99"/>
    </row>
    <row r="827" spans="2:12">
      <c r="B827" s="99"/>
      <c r="C827" s="99"/>
      <c r="D827" s="99"/>
      <c r="E827" s="99"/>
      <c r="F827" s="197"/>
      <c r="G827" s="99"/>
      <c r="H827" s="99"/>
      <c r="I827" s="99"/>
      <c r="J827" s="99"/>
      <c r="K827" s="99"/>
      <c r="L827" s="99"/>
    </row>
    <row r="828" spans="2:12">
      <c r="B828" s="99"/>
      <c r="C828" s="99"/>
      <c r="D828" s="99"/>
      <c r="E828" s="99"/>
      <c r="F828" s="197"/>
      <c r="G828" s="99"/>
      <c r="H828" s="99"/>
      <c r="I828" s="99"/>
      <c r="J828" s="99"/>
      <c r="K828" s="99"/>
      <c r="L828" s="99"/>
    </row>
    <row r="829" spans="2:12">
      <c r="B829" s="99"/>
      <c r="C829" s="99"/>
      <c r="D829" s="99"/>
      <c r="E829" s="99"/>
      <c r="F829" s="197"/>
      <c r="G829" s="99"/>
      <c r="H829" s="99"/>
      <c r="I829" s="99"/>
      <c r="J829" s="99"/>
      <c r="K829" s="99"/>
      <c r="L829" s="99"/>
    </row>
    <row r="830" spans="2:12">
      <c r="B830" s="99"/>
      <c r="C830" s="99"/>
      <c r="D830" s="99"/>
      <c r="E830" s="99"/>
      <c r="F830" s="197"/>
      <c r="G830" s="99"/>
      <c r="H830" s="99"/>
      <c r="I830" s="99"/>
      <c r="J830" s="99"/>
      <c r="K830" s="99"/>
      <c r="L830" s="99"/>
    </row>
    <row r="831" spans="2:12">
      <c r="B831" s="99"/>
      <c r="C831" s="99"/>
      <c r="D831" s="99"/>
      <c r="E831" s="99"/>
      <c r="F831" s="197"/>
      <c r="G831" s="99"/>
      <c r="H831" s="99"/>
      <c r="I831" s="99"/>
      <c r="J831" s="99"/>
      <c r="K831" s="99"/>
      <c r="L831" s="99"/>
    </row>
    <row r="832" spans="2:12">
      <c r="B832" s="99"/>
      <c r="C832" s="99"/>
      <c r="D832" s="99"/>
      <c r="E832" s="99"/>
      <c r="F832" s="197"/>
      <c r="G832" s="99"/>
      <c r="H832" s="99"/>
      <c r="I832" s="99"/>
      <c r="J832" s="99"/>
      <c r="K832" s="99"/>
      <c r="L832" s="99"/>
    </row>
    <row r="833" spans="2:12">
      <c r="B833" s="99"/>
      <c r="C833" s="99"/>
      <c r="D833" s="99"/>
      <c r="E833" s="99"/>
      <c r="F833" s="197"/>
      <c r="G833" s="99"/>
      <c r="H833" s="99"/>
      <c r="I833" s="99"/>
      <c r="J833" s="99"/>
      <c r="K833" s="99"/>
      <c r="L833" s="99"/>
    </row>
    <row r="834" spans="2:12">
      <c r="B834" s="99"/>
      <c r="C834" s="99"/>
      <c r="D834" s="99"/>
      <c r="E834" s="99"/>
      <c r="F834" s="197"/>
      <c r="G834" s="99"/>
      <c r="H834" s="99"/>
      <c r="I834" s="99"/>
      <c r="J834" s="99"/>
      <c r="K834" s="99"/>
      <c r="L834" s="99"/>
    </row>
    <row r="835" spans="2:12">
      <c r="B835" s="99"/>
      <c r="C835" s="99"/>
      <c r="D835" s="99"/>
      <c r="E835" s="99"/>
      <c r="F835" s="197"/>
      <c r="G835" s="99"/>
      <c r="H835" s="99"/>
      <c r="I835" s="99"/>
      <c r="J835" s="99"/>
      <c r="K835" s="99"/>
      <c r="L835" s="99"/>
    </row>
    <row r="836" spans="2:12">
      <c r="B836" s="99"/>
      <c r="C836" s="99"/>
      <c r="D836" s="99"/>
      <c r="E836" s="99"/>
      <c r="F836" s="197"/>
      <c r="G836" s="99"/>
      <c r="H836" s="99"/>
      <c r="I836" s="99"/>
      <c r="J836" s="99"/>
      <c r="K836" s="99"/>
      <c r="L836" s="99"/>
    </row>
    <row r="837" spans="2:12">
      <c r="B837" s="99"/>
      <c r="C837" s="99"/>
      <c r="D837" s="99"/>
      <c r="E837" s="99"/>
      <c r="F837" s="197"/>
      <c r="G837" s="99"/>
      <c r="H837" s="99"/>
      <c r="I837" s="99"/>
      <c r="J837" s="99"/>
      <c r="K837" s="99"/>
      <c r="L837" s="99"/>
    </row>
    <row r="838" spans="2:12">
      <c r="B838" s="99"/>
      <c r="C838" s="99"/>
      <c r="D838" s="99"/>
      <c r="E838" s="99"/>
      <c r="F838" s="197"/>
      <c r="G838" s="99"/>
      <c r="H838" s="99"/>
      <c r="I838" s="99"/>
      <c r="J838" s="99"/>
      <c r="K838" s="99"/>
      <c r="L838" s="99"/>
    </row>
    <row r="839" spans="2:12">
      <c r="B839" s="99"/>
      <c r="C839" s="99"/>
      <c r="D839" s="99"/>
      <c r="E839" s="99"/>
      <c r="F839" s="197"/>
      <c r="G839" s="99"/>
      <c r="H839" s="99"/>
      <c r="I839" s="99"/>
      <c r="J839" s="99"/>
      <c r="K839" s="99"/>
      <c r="L839" s="99"/>
    </row>
    <row r="840" spans="2:12">
      <c r="B840" s="99"/>
      <c r="C840" s="99"/>
      <c r="D840" s="99"/>
      <c r="E840" s="99"/>
      <c r="F840" s="197"/>
      <c r="G840" s="99"/>
      <c r="H840" s="99"/>
      <c r="I840" s="99"/>
      <c r="J840" s="99"/>
      <c r="K840" s="99"/>
      <c r="L840" s="99"/>
    </row>
    <row r="841" spans="2:12">
      <c r="B841" s="99"/>
      <c r="C841" s="99"/>
      <c r="D841" s="99"/>
      <c r="E841" s="99"/>
      <c r="F841" s="197"/>
      <c r="G841" s="99"/>
      <c r="H841" s="99"/>
      <c r="I841" s="99"/>
      <c r="J841" s="99"/>
      <c r="K841" s="99"/>
      <c r="L841" s="99"/>
    </row>
    <row r="842" spans="2:12">
      <c r="B842" s="99"/>
      <c r="C842" s="99"/>
      <c r="D842" s="99"/>
      <c r="E842" s="99"/>
      <c r="F842" s="197"/>
      <c r="G842" s="99"/>
      <c r="H842" s="99"/>
      <c r="I842" s="99"/>
      <c r="J842" s="99"/>
      <c r="K842" s="99"/>
      <c r="L842" s="99"/>
    </row>
    <row r="843" spans="2:12">
      <c r="B843" s="99"/>
      <c r="C843" s="99"/>
      <c r="D843" s="99"/>
      <c r="E843" s="99"/>
      <c r="F843" s="197"/>
      <c r="G843" s="99"/>
      <c r="H843" s="99"/>
      <c r="I843" s="99"/>
      <c r="J843" s="99"/>
      <c r="K843" s="99"/>
      <c r="L843" s="99"/>
    </row>
    <row r="844" spans="2:12">
      <c r="B844" s="99"/>
      <c r="C844" s="99"/>
      <c r="D844" s="99"/>
      <c r="E844" s="99"/>
      <c r="F844" s="197"/>
      <c r="G844" s="99"/>
      <c r="H844" s="99"/>
      <c r="I844" s="99"/>
      <c r="J844" s="99"/>
      <c r="K844" s="99"/>
      <c r="L844" s="99"/>
    </row>
    <row r="845" spans="2:12">
      <c r="B845" s="99"/>
      <c r="C845" s="99"/>
      <c r="D845" s="99"/>
      <c r="E845" s="99"/>
      <c r="F845" s="197"/>
      <c r="G845" s="99"/>
      <c r="H845" s="99"/>
      <c r="I845" s="99"/>
      <c r="J845" s="99"/>
      <c r="K845" s="99"/>
      <c r="L845" s="99"/>
    </row>
    <row r="846" spans="2:12">
      <c r="B846" s="99"/>
      <c r="C846" s="99"/>
      <c r="D846" s="99"/>
      <c r="E846" s="99"/>
      <c r="F846" s="197"/>
      <c r="G846" s="99"/>
      <c r="H846" s="99"/>
      <c r="I846" s="99"/>
      <c r="J846" s="99"/>
      <c r="K846" s="99"/>
      <c r="L846" s="99"/>
    </row>
    <row r="847" spans="2:12">
      <c r="B847" s="99"/>
      <c r="C847" s="99"/>
      <c r="D847" s="99"/>
      <c r="E847" s="99"/>
      <c r="F847" s="197"/>
      <c r="G847" s="99"/>
      <c r="H847" s="99"/>
      <c r="I847" s="99"/>
      <c r="J847" s="99"/>
      <c r="K847" s="99"/>
      <c r="L847" s="99"/>
    </row>
    <row r="848" spans="2:12">
      <c r="B848" s="99"/>
      <c r="C848" s="99"/>
      <c r="D848" s="99"/>
      <c r="E848" s="99"/>
      <c r="F848" s="197"/>
      <c r="G848" s="99"/>
      <c r="H848" s="99"/>
      <c r="I848" s="99"/>
      <c r="J848" s="99"/>
      <c r="K848" s="99"/>
      <c r="L848" s="99"/>
    </row>
    <row r="849" spans="2:12">
      <c r="B849" s="99"/>
      <c r="C849" s="99"/>
      <c r="D849" s="99"/>
      <c r="E849" s="99"/>
      <c r="F849" s="197"/>
      <c r="G849" s="99"/>
      <c r="H849" s="99"/>
      <c r="I849" s="99"/>
      <c r="J849" s="99"/>
      <c r="K849" s="99"/>
      <c r="L849" s="99"/>
    </row>
    <row r="850" spans="2:12">
      <c r="B850" s="99"/>
      <c r="C850" s="99"/>
      <c r="D850" s="99"/>
      <c r="E850" s="99"/>
      <c r="F850" s="197"/>
      <c r="G850" s="99"/>
      <c r="H850" s="99"/>
      <c r="I850" s="99"/>
      <c r="J850" s="99"/>
      <c r="K850" s="99"/>
      <c r="L850" s="99"/>
    </row>
    <row r="851" spans="2:12">
      <c r="B851" s="99"/>
      <c r="C851" s="99"/>
      <c r="D851" s="99"/>
      <c r="E851" s="99"/>
      <c r="F851" s="197"/>
      <c r="G851" s="99"/>
      <c r="H851" s="99"/>
      <c r="I851" s="99"/>
      <c r="J851" s="99"/>
      <c r="K851" s="99"/>
      <c r="L851" s="99"/>
    </row>
    <row r="852" spans="2:12">
      <c r="B852" s="99"/>
      <c r="C852" s="99"/>
      <c r="D852" s="99"/>
      <c r="E852" s="99"/>
      <c r="F852" s="197"/>
      <c r="G852" s="99"/>
      <c r="H852" s="99"/>
      <c r="I852" s="99"/>
      <c r="J852" s="99"/>
      <c r="K852" s="99"/>
      <c r="L852" s="99"/>
    </row>
    <row r="853" spans="2:12">
      <c r="B853" s="99"/>
      <c r="C853" s="99"/>
      <c r="D853" s="99"/>
      <c r="E853" s="99"/>
      <c r="F853" s="197"/>
      <c r="G853" s="99"/>
      <c r="H853" s="99"/>
      <c r="I853" s="99"/>
      <c r="J853" s="99"/>
      <c r="K853" s="99"/>
      <c r="L853" s="99"/>
    </row>
    <row r="854" spans="2:12">
      <c r="B854" s="99"/>
      <c r="C854" s="99"/>
      <c r="D854" s="99"/>
      <c r="E854" s="99"/>
      <c r="F854" s="197"/>
      <c r="G854" s="99"/>
      <c r="H854" s="99"/>
      <c r="I854" s="99"/>
      <c r="J854" s="99"/>
      <c r="K854" s="99"/>
      <c r="L854" s="99"/>
    </row>
    <row r="855" spans="2:12">
      <c r="B855" s="99"/>
      <c r="C855" s="99"/>
      <c r="D855" s="99"/>
      <c r="E855" s="99"/>
      <c r="F855" s="197"/>
      <c r="G855" s="99"/>
      <c r="H855" s="99"/>
      <c r="I855" s="99"/>
      <c r="J855" s="99"/>
      <c r="K855" s="99"/>
      <c r="L855" s="99"/>
    </row>
    <row r="856" spans="2:12">
      <c r="B856" s="99"/>
      <c r="C856" s="99"/>
      <c r="D856" s="99"/>
      <c r="E856" s="99"/>
      <c r="F856" s="197"/>
      <c r="G856" s="99"/>
      <c r="H856" s="99"/>
      <c r="I856" s="99"/>
      <c r="J856" s="99"/>
      <c r="K856" s="99"/>
      <c r="L856" s="99"/>
    </row>
    <row r="857" spans="2:12">
      <c r="B857" s="99"/>
      <c r="C857" s="99"/>
      <c r="D857" s="99"/>
      <c r="E857" s="99"/>
      <c r="F857" s="197"/>
      <c r="G857" s="99"/>
      <c r="H857" s="99"/>
      <c r="I857" s="99"/>
      <c r="J857" s="99"/>
      <c r="K857" s="99"/>
      <c r="L857" s="99"/>
    </row>
    <row r="858" spans="2:12">
      <c r="B858" s="99"/>
      <c r="C858" s="99"/>
      <c r="D858" s="99"/>
      <c r="E858" s="99"/>
      <c r="F858" s="197"/>
      <c r="G858" s="99"/>
      <c r="H858" s="99"/>
      <c r="I858" s="99"/>
      <c r="J858" s="99"/>
      <c r="K858" s="99"/>
      <c r="L858" s="99"/>
    </row>
    <row r="859" spans="2:12">
      <c r="B859" s="99"/>
      <c r="C859" s="99"/>
      <c r="D859" s="99"/>
      <c r="E859" s="99"/>
      <c r="F859" s="197"/>
      <c r="G859" s="99"/>
      <c r="H859" s="99"/>
      <c r="I859" s="99"/>
      <c r="J859" s="99"/>
      <c r="K859" s="99"/>
      <c r="L859" s="99"/>
    </row>
    <row r="860" spans="2:12">
      <c r="B860" s="99"/>
      <c r="C860" s="99"/>
      <c r="D860" s="99"/>
      <c r="E860" s="99"/>
      <c r="F860" s="197"/>
      <c r="G860" s="99"/>
      <c r="H860" s="99"/>
      <c r="I860" s="99"/>
      <c r="J860" s="99"/>
      <c r="K860" s="99"/>
      <c r="L860" s="99"/>
    </row>
    <row r="861" spans="2:12">
      <c r="B861" s="99"/>
      <c r="C861" s="99"/>
      <c r="D861" s="99"/>
      <c r="E861" s="99"/>
      <c r="F861" s="197"/>
      <c r="G861" s="99"/>
      <c r="H861" s="99"/>
      <c r="I861" s="99"/>
      <c r="J861" s="99"/>
      <c r="K861" s="99"/>
      <c r="L861" s="99"/>
    </row>
    <row r="862" spans="2:12">
      <c r="B862" s="99"/>
      <c r="C862" s="99"/>
      <c r="D862" s="99"/>
      <c r="E862" s="99"/>
      <c r="F862" s="197"/>
      <c r="G862" s="99"/>
      <c r="H862" s="99"/>
      <c r="I862" s="99"/>
      <c r="J862" s="99"/>
      <c r="K862" s="99"/>
      <c r="L862" s="99"/>
    </row>
    <row r="863" spans="2:12">
      <c r="B863" s="99"/>
      <c r="C863" s="99"/>
      <c r="D863" s="99"/>
      <c r="E863" s="99"/>
      <c r="F863" s="197"/>
      <c r="G863" s="99"/>
      <c r="H863" s="99"/>
      <c r="I863" s="99"/>
      <c r="J863" s="99"/>
      <c r="K863" s="99"/>
      <c r="L863" s="99"/>
    </row>
    <row r="864" spans="2:12">
      <c r="B864" s="99"/>
      <c r="C864" s="99"/>
      <c r="D864" s="99"/>
      <c r="E864" s="99"/>
      <c r="F864" s="197"/>
      <c r="G864" s="99"/>
      <c r="H864" s="99"/>
      <c r="I864" s="99"/>
      <c r="J864" s="99"/>
      <c r="K864" s="99"/>
      <c r="L864" s="99"/>
    </row>
    <row r="865" spans="2:12">
      <c r="B865" s="99"/>
      <c r="C865" s="99"/>
      <c r="D865" s="99"/>
      <c r="E865" s="99"/>
      <c r="F865" s="197"/>
      <c r="G865" s="99"/>
      <c r="H865" s="99"/>
      <c r="I865" s="99"/>
      <c r="J865" s="99"/>
      <c r="K865" s="99"/>
      <c r="L865" s="99"/>
    </row>
    <row r="866" spans="2:12">
      <c r="B866" s="99"/>
      <c r="C866" s="99"/>
      <c r="D866" s="99"/>
      <c r="E866" s="99"/>
      <c r="F866" s="197"/>
      <c r="G866" s="99"/>
      <c r="H866" s="99"/>
      <c r="I866" s="99"/>
      <c r="J866" s="99"/>
      <c r="K866" s="99"/>
      <c r="L866" s="99"/>
    </row>
    <row r="867" spans="2:12">
      <c r="B867" s="99"/>
      <c r="C867" s="99"/>
      <c r="D867" s="99"/>
      <c r="E867" s="99"/>
      <c r="F867" s="197"/>
      <c r="G867" s="99"/>
      <c r="H867" s="99"/>
      <c r="I867" s="99"/>
      <c r="J867" s="99"/>
      <c r="K867" s="99"/>
      <c r="L867" s="99"/>
    </row>
    <row r="868" spans="2:12">
      <c r="B868" s="99"/>
      <c r="C868" s="99"/>
      <c r="D868" s="99"/>
      <c r="E868" s="99"/>
      <c r="F868" s="197"/>
      <c r="G868" s="99"/>
      <c r="H868" s="99"/>
      <c r="I868" s="99"/>
      <c r="J868" s="99"/>
      <c r="K868" s="99"/>
      <c r="L868" s="99"/>
    </row>
    <row r="869" spans="2:12">
      <c r="B869" s="99"/>
      <c r="C869" s="99"/>
      <c r="D869" s="99"/>
      <c r="E869" s="99"/>
      <c r="F869" s="197"/>
      <c r="G869" s="99"/>
      <c r="H869" s="99"/>
      <c r="I869" s="99"/>
      <c r="J869" s="99"/>
      <c r="K869" s="99"/>
      <c r="L869" s="99"/>
    </row>
    <row r="870" spans="2:12">
      <c r="B870" s="99"/>
      <c r="C870" s="99"/>
      <c r="D870" s="99"/>
      <c r="E870" s="99"/>
      <c r="F870" s="197"/>
      <c r="G870" s="99"/>
      <c r="H870" s="99"/>
      <c r="I870" s="99"/>
      <c r="J870" s="99"/>
      <c r="K870" s="99"/>
      <c r="L870" s="99"/>
    </row>
    <row r="871" spans="2:12">
      <c r="B871" s="99"/>
      <c r="C871" s="99"/>
      <c r="D871" s="99"/>
      <c r="E871" s="99"/>
      <c r="F871" s="197"/>
      <c r="G871" s="99"/>
      <c r="H871" s="99"/>
      <c r="I871" s="99"/>
      <c r="J871" s="99"/>
      <c r="K871" s="99"/>
      <c r="L871" s="99"/>
    </row>
    <row r="872" spans="2:12">
      <c r="B872" s="99"/>
      <c r="C872" s="99"/>
      <c r="D872" s="99"/>
      <c r="E872" s="99"/>
      <c r="F872" s="197"/>
      <c r="G872" s="99"/>
      <c r="H872" s="99"/>
      <c r="I872" s="99"/>
      <c r="J872" s="99"/>
      <c r="K872" s="99"/>
      <c r="L872" s="99"/>
    </row>
    <row r="873" spans="2:12">
      <c r="B873" s="99"/>
      <c r="C873" s="99"/>
      <c r="D873" s="99"/>
      <c r="E873" s="99"/>
      <c r="F873" s="197"/>
      <c r="G873" s="99"/>
      <c r="H873" s="99"/>
      <c r="I873" s="99"/>
      <c r="J873" s="99"/>
      <c r="K873" s="99"/>
      <c r="L873" s="99"/>
    </row>
    <row r="874" spans="2:12">
      <c r="B874" s="99"/>
      <c r="C874" s="99"/>
      <c r="D874" s="99"/>
      <c r="E874" s="99"/>
      <c r="F874" s="197"/>
      <c r="G874" s="99"/>
      <c r="H874" s="99"/>
      <c r="I874" s="99"/>
      <c r="J874" s="99"/>
      <c r="K874" s="99"/>
      <c r="L874" s="99"/>
    </row>
    <row r="875" spans="2:12">
      <c r="B875" s="99"/>
      <c r="C875" s="99"/>
      <c r="D875" s="99"/>
      <c r="E875" s="99"/>
      <c r="F875" s="197"/>
      <c r="G875" s="99"/>
      <c r="H875" s="99"/>
      <c r="I875" s="99"/>
      <c r="J875" s="99"/>
      <c r="K875" s="99"/>
      <c r="L875" s="99"/>
    </row>
    <row r="876" spans="2:12">
      <c r="B876" s="99"/>
      <c r="C876" s="99"/>
      <c r="D876" s="99"/>
      <c r="E876" s="99"/>
      <c r="F876" s="197"/>
      <c r="G876" s="99"/>
      <c r="H876" s="99"/>
      <c r="I876" s="99"/>
      <c r="J876" s="99"/>
      <c r="K876" s="99"/>
      <c r="L876" s="99"/>
    </row>
    <row r="877" spans="2:12">
      <c r="B877" s="99"/>
      <c r="C877" s="99"/>
      <c r="D877" s="99"/>
      <c r="E877" s="99"/>
      <c r="F877" s="197"/>
      <c r="G877" s="99"/>
      <c r="H877" s="99"/>
      <c r="I877" s="99"/>
      <c r="J877" s="99"/>
      <c r="K877" s="99"/>
      <c r="L877" s="99"/>
    </row>
    <row r="878" spans="2:12">
      <c r="B878" s="99"/>
      <c r="C878" s="99"/>
      <c r="D878" s="99"/>
      <c r="E878" s="99"/>
      <c r="F878" s="197"/>
      <c r="G878" s="99"/>
      <c r="H878" s="99"/>
      <c r="I878" s="99"/>
      <c r="J878" s="99"/>
      <c r="K878" s="99"/>
      <c r="L878" s="99"/>
    </row>
    <row r="879" spans="2:12">
      <c r="B879" s="99"/>
      <c r="C879" s="99"/>
      <c r="D879" s="99"/>
      <c r="E879" s="99"/>
      <c r="F879" s="197"/>
      <c r="G879" s="99"/>
      <c r="H879" s="99"/>
      <c r="I879" s="99"/>
      <c r="J879" s="99"/>
      <c r="K879" s="99"/>
      <c r="L879" s="99"/>
    </row>
    <row r="880" spans="2:12">
      <c r="B880" s="99"/>
      <c r="C880" s="99"/>
      <c r="D880" s="99"/>
      <c r="E880" s="99"/>
      <c r="F880" s="197"/>
      <c r="G880" s="99"/>
      <c r="H880" s="99"/>
      <c r="I880" s="99"/>
      <c r="J880" s="99"/>
      <c r="K880" s="99"/>
      <c r="L880" s="99"/>
    </row>
    <row r="881" spans="2:12">
      <c r="B881" s="99"/>
      <c r="C881" s="99"/>
      <c r="D881" s="99"/>
      <c r="E881" s="99"/>
      <c r="F881" s="197"/>
      <c r="G881" s="99"/>
      <c r="H881" s="99"/>
      <c r="I881" s="99"/>
      <c r="J881" s="99"/>
      <c r="K881" s="99"/>
      <c r="L881" s="99"/>
    </row>
    <row r="882" spans="2:12">
      <c r="B882" s="99"/>
      <c r="C882" s="99"/>
      <c r="D882" s="99"/>
      <c r="E882" s="99"/>
      <c r="F882" s="197"/>
      <c r="G882" s="99"/>
      <c r="H882" s="99"/>
      <c r="I882" s="99"/>
      <c r="J882" s="99"/>
      <c r="K882" s="99"/>
      <c r="L882" s="99"/>
    </row>
    <row r="883" spans="2:12">
      <c r="B883" s="99"/>
      <c r="C883" s="99"/>
      <c r="D883" s="99"/>
      <c r="E883" s="99"/>
      <c r="F883" s="197"/>
      <c r="G883" s="99"/>
      <c r="H883" s="99"/>
      <c r="I883" s="99"/>
      <c r="J883" s="99"/>
      <c r="K883" s="99"/>
      <c r="L883" s="99"/>
    </row>
    <row r="884" spans="2:12">
      <c r="B884" s="99"/>
      <c r="C884" s="99"/>
      <c r="D884" s="99"/>
      <c r="E884" s="99"/>
      <c r="F884" s="197"/>
      <c r="G884" s="99"/>
      <c r="H884" s="99"/>
      <c r="I884" s="99"/>
      <c r="J884" s="99"/>
      <c r="K884" s="99"/>
      <c r="L884" s="99"/>
    </row>
    <row r="885" spans="2:12">
      <c r="B885" s="99"/>
      <c r="C885" s="99"/>
      <c r="D885" s="99"/>
      <c r="E885" s="99"/>
      <c r="F885" s="197"/>
      <c r="G885" s="99"/>
      <c r="H885" s="99"/>
      <c r="I885" s="99"/>
      <c r="J885" s="99"/>
      <c r="K885" s="99"/>
      <c r="L885" s="99"/>
    </row>
    <row r="886" spans="2:12">
      <c r="B886" s="99"/>
      <c r="C886" s="99"/>
      <c r="D886" s="99"/>
      <c r="E886" s="99"/>
      <c r="F886" s="197"/>
      <c r="G886" s="99"/>
      <c r="H886" s="99"/>
      <c r="I886" s="99"/>
      <c r="J886" s="99"/>
      <c r="K886" s="99"/>
      <c r="L886" s="99"/>
    </row>
    <row r="887" spans="2:12">
      <c r="B887" s="99"/>
      <c r="C887" s="99"/>
      <c r="D887" s="99"/>
      <c r="E887" s="99"/>
      <c r="F887" s="197"/>
      <c r="G887" s="99"/>
      <c r="H887" s="99"/>
      <c r="I887" s="99"/>
      <c r="J887" s="99"/>
      <c r="K887" s="99"/>
      <c r="L887" s="99"/>
    </row>
    <row r="888" spans="2:12">
      <c r="B888" s="99"/>
      <c r="C888" s="99"/>
      <c r="D888" s="99"/>
      <c r="E888" s="99"/>
      <c r="F888" s="197"/>
      <c r="G888" s="99"/>
      <c r="H888" s="99"/>
      <c r="I888" s="99"/>
      <c r="J888" s="99"/>
      <c r="K888" s="99"/>
      <c r="L888" s="99"/>
    </row>
    <row r="889" spans="2:12">
      <c r="B889" s="99"/>
      <c r="C889" s="99"/>
      <c r="D889" s="99"/>
      <c r="E889" s="99"/>
      <c r="F889" s="197"/>
      <c r="G889" s="99"/>
      <c r="H889" s="99"/>
      <c r="I889" s="99"/>
      <c r="J889" s="99"/>
      <c r="K889" s="99"/>
      <c r="L889" s="99"/>
    </row>
    <row r="890" spans="2:12">
      <c r="B890" s="99"/>
      <c r="C890" s="99"/>
      <c r="D890" s="99"/>
      <c r="E890" s="99"/>
      <c r="F890" s="197"/>
      <c r="G890" s="99"/>
      <c r="H890" s="99"/>
      <c r="I890" s="99"/>
      <c r="J890" s="99"/>
      <c r="K890" s="99"/>
      <c r="L890" s="99"/>
    </row>
    <row r="891" spans="2:12">
      <c r="B891" s="99"/>
      <c r="C891" s="99"/>
      <c r="D891" s="99"/>
      <c r="E891" s="99"/>
      <c r="F891" s="197"/>
      <c r="G891" s="99"/>
      <c r="H891" s="99"/>
      <c r="I891" s="99"/>
      <c r="J891" s="99"/>
      <c r="K891" s="99"/>
      <c r="L891" s="99"/>
    </row>
    <row r="892" spans="2:12">
      <c r="B892" s="99"/>
      <c r="C892" s="99"/>
      <c r="D892" s="99"/>
      <c r="E892" s="99"/>
      <c r="F892" s="197"/>
      <c r="G892" s="99"/>
      <c r="H892" s="99"/>
      <c r="I892" s="99"/>
      <c r="J892" s="99"/>
      <c r="K892" s="99"/>
      <c r="L892" s="99"/>
    </row>
    <row r="893" spans="2:12">
      <c r="B893" s="99"/>
      <c r="C893" s="99"/>
      <c r="D893" s="99"/>
      <c r="E893" s="99"/>
      <c r="F893" s="197"/>
      <c r="G893" s="99"/>
      <c r="H893" s="99"/>
      <c r="I893" s="99"/>
      <c r="J893" s="99"/>
      <c r="K893" s="99"/>
      <c r="L893" s="99"/>
    </row>
    <row r="894" spans="2:12">
      <c r="B894" s="99"/>
      <c r="C894" s="99"/>
      <c r="D894" s="99"/>
      <c r="E894" s="99"/>
      <c r="F894" s="197"/>
      <c r="G894" s="99"/>
      <c r="H894" s="99"/>
      <c r="I894" s="99"/>
      <c r="J894" s="99"/>
      <c r="K894" s="99"/>
      <c r="L894" s="99"/>
    </row>
    <row r="895" spans="2:12">
      <c r="B895" s="99"/>
      <c r="C895" s="99"/>
      <c r="D895" s="99"/>
      <c r="E895" s="99"/>
      <c r="F895" s="197"/>
      <c r="G895" s="99"/>
      <c r="H895" s="99"/>
      <c r="I895" s="99"/>
      <c r="J895" s="99"/>
      <c r="K895" s="99"/>
      <c r="L895" s="99"/>
    </row>
    <row r="896" spans="2:12">
      <c r="B896" s="99"/>
      <c r="C896" s="99"/>
      <c r="D896" s="99"/>
      <c r="E896" s="99"/>
      <c r="F896" s="197"/>
      <c r="G896" s="99"/>
      <c r="H896" s="99"/>
      <c r="I896" s="99"/>
      <c r="J896" s="99"/>
      <c r="K896" s="99"/>
      <c r="L896" s="99"/>
    </row>
    <row r="897" spans="2:12">
      <c r="B897" s="99"/>
      <c r="C897" s="99"/>
      <c r="D897" s="99"/>
      <c r="E897" s="99"/>
      <c r="F897" s="197"/>
      <c r="G897" s="99"/>
      <c r="H897" s="99"/>
      <c r="I897" s="99"/>
      <c r="J897" s="99"/>
      <c r="K897" s="99"/>
      <c r="L897" s="99"/>
    </row>
    <row r="898" spans="2:12">
      <c r="B898" s="99"/>
      <c r="C898" s="99"/>
      <c r="D898" s="99"/>
      <c r="E898" s="99"/>
      <c r="F898" s="197"/>
      <c r="G898" s="99"/>
      <c r="H898" s="99"/>
      <c r="I898" s="99"/>
      <c r="J898" s="99"/>
      <c r="K898" s="99"/>
      <c r="L898" s="99"/>
    </row>
    <row r="899" spans="2:12">
      <c r="B899" s="99"/>
      <c r="C899" s="99"/>
      <c r="D899" s="99"/>
      <c r="E899" s="99"/>
      <c r="F899" s="197"/>
      <c r="G899" s="99"/>
      <c r="H899" s="99"/>
      <c r="I899" s="99"/>
      <c r="J899" s="99"/>
      <c r="K899" s="99"/>
      <c r="L899" s="99"/>
    </row>
    <row r="900" spans="2:12">
      <c r="B900" s="99"/>
      <c r="C900" s="99"/>
      <c r="D900" s="99"/>
      <c r="E900" s="99"/>
      <c r="F900" s="197"/>
      <c r="G900" s="99"/>
      <c r="H900" s="99"/>
      <c r="I900" s="99"/>
      <c r="J900" s="99"/>
      <c r="K900" s="99"/>
      <c r="L900" s="99"/>
    </row>
    <row r="901" spans="2:12">
      <c r="B901" s="99"/>
      <c r="C901" s="99"/>
      <c r="D901" s="99"/>
      <c r="E901" s="99"/>
      <c r="F901" s="197"/>
      <c r="G901" s="99"/>
      <c r="H901" s="99"/>
      <c r="I901" s="99"/>
      <c r="J901" s="99"/>
      <c r="K901" s="99"/>
      <c r="L901" s="99"/>
    </row>
    <row r="902" spans="2:12">
      <c r="B902" s="99"/>
      <c r="C902" s="99"/>
      <c r="D902" s="99"/>
      <c r="E902" s="99"/>
      <c r="F902" s="197"/>
      <c r="G902" s="99"/>
      <c r="H902" s="99"/>
      <c r="I902" s="99"/>
      <c r="J902" s="99"/>
      <c r="K902" s="99"/>
      <c r="L902" s="99"/>
    </row>
    <row r="903" spans="2:12">
      <c r="B903" s="99"/>
      <c r="C903" s="99"/>
      <c r="D903" s="99"/>
      <c r="E903" s="99"/>
      <c r="F903" s="197"/>
      <c r="G903" s="99"/>
      <c r="H903" s="99"/>
      <c r="I903" s="99"/>
      <c r="J903" s="99"/>
      <c r="K903" s="99"/>
      <c r="L903" s="99"/>
    </row>
    <row r="904" spans="2:12">
      <c r="B904" s="99"/>
      <c r="C904" s="99"/>
      <c r="D904" s="99"/>
      <c r="E904" s="99"/>
      <c r="F904" s="197"/>
      <c r="G904" s="99"/>
      <c r="H904" s="99"/>
      <c r="I904" s="99"/>
      <c r="J904" s="99"/>
      <c r="K904" s="99"/>
      <c r="L904" s="99"/>
    </row>
    <row r="905" spans="2:12">
      <c r="B905" s="99"/>
      <c r="C905" s="99"/>
      <c r="D905" s="99"/>
      <c r="E905" s="99"/>
      <c r="F905" s="197"/>
      <c r="G905" s="99"/>
      <c r="H905" s="99"/>
      <c r="I905" s="99"/>
      <c r="J905" s="99"/>
      <c r="K905" s="99"/>
      <c r="L905" s="99"/>
    </row>
    <row r="906" spans="2:12">
      <c r="B906" s="99"/>
      <c r="C906" s="99"/>
      <c r="D906" s="99"/>
      <c r="E906" s="99"/>
      <c r="F906" s="197"/>
      <c r="G906" s="99"/>
      <c r="H906" s="99"/>
      <c r="I906" s="99"/>
      <c r="J906" s="99"/>
      <c r="K906" s="99"/>
      <c r="L906" s="99"/>
    </row>
    <row r="907" spans="2:12">
      <c r="B907" s="99"/>
      <c r="C907" s="99"/>
      <c r="D907" s="99"/>
      <c r="E907" s="99"/>
      <c r="F907" s="197"/>
      <c r="G907" s="99"/>
      <c r="H907" s="99"/>
      <c r="I907" s="99"/>
      <c r="J907" s="99"/>
      <c r="K907" s="99"/>
      <c r="L907" s="99"/>
    </row>
    <row r="908" spans="2:12">
      <c r="B908" s="99"/>
      <c r="C908" s="99"/>
      <c r="D908" s="99"/>
      <c r="E908" s="99"/>
      <c r="F908" s="197"/>
      <c r="G908" s="99"/>
      <c r="H908" s="99"/>
      <c r="I908" s="99"/>
      <c r="J908" s="99"/>
      <c r="K908" s="99"/>
      <c r="L908" s="99"/>
    </row>
    <row r="909" spans="2:12">
      <c r="B909" s="99"/>
      <c r="C909" s="99"/>
      <c r="D909" s="99"/>
      <c r="E909" s="99"/>
      <c r="F909" s="197"/>
      <c r="G909" s="99"/>
      <c r="H909" s="99"/>
      <c r="I909" s="99"/>
      <c r="J909" s="99"/>
      <c r="K909" s="99"/>
      <c r="L909" s="99"/>
    </row>
    <row r="910" spans="2:12">
      <c r="B910" s="99"/>
      <c r="C910" s="99"/>
      <c r="D910" s="99"/>
      <c r="E910" s="99"/>
      <c r="F910" s="197"/>
      <c r="G910" s="99"/>
      <c r="H910" s="99"/>
      <c r="I910" s="99"/>
      <c r="J910" s="99"/>
      <c r="K910" s="99"/>
      <c r="L910" s="99"/>
    </row>
    <row r="911" spans="2:12">
      <c r="B911" s="99"/>
      <c r="C911" s="99"/>
      <c r="D911" s="99"/>
      <c r="E911" s="99"/>
      <c r="F911" s="197"/>
      <c r="G911" s="99"/>
      <c r="H911" s="99"/>
      <c r="I911" s="99"/>
      <c r="J911" s="99"/>
      <c r="K911" s="99"/>
      <c r="L911" s="99"/>
    </row>
    <row r="912" spans="2:12">
      <c r="B912" s="99"/>
      <c r="C912" s="99"/>
      <c r="D912" s="99"/>
      <c r="E912" s="99"/>
      <c r="F912" s="197"/>
      <c r="G912" s="99"/>
      <c r="H912" s="99"/>
      <c r="I912" s="99"/>
      <c r="J912" s="99"/>
      <c r="K912" s="99"/>
      <c r="L912" s="99"/>
    </row>
    <row r="913" spans="2:12">
      <c r="B913" s="99"/>
      <c r="C913" s="99"/>
      <c r="D913" s="99"/>
      <c r="E913" s="99"/>
      <c r="F913" s="197"/>
      <c r="G913" s="99"/>
      <c r="H913" s="99"/>
      <c r="I913" s="99"/>
      <c r="J913" s="99"/>
      <c r="K913" s="99"/>
      <c r="L913" s="99"/>
    </row>
    <row r="914" spans="2:12">
      <c r="B914" s="99"/>
      <c r="C914" s="99"/>
      <c r="D914" s="99"/>
      <c r="E914" s="99"/>
      <c r="F914" s="197"/>
      <c r="G914" s="99"/>
      <c r="H914" s="99"/>
      <c r="I914" s="99"/>
      <c r="J914" s="99"/>
      <c r="K914" s="99"/>
      <c r="L914" s="99"/>
    </row>
    <row r="915" spans="2:12">
      <c r="B915" s="99"/>
      <c r="C915" s="99"/>
      <c r="D915" s="99"/>
      <c r="E915" s="99"/>
      <c r="F915" s="197"/>
      <c r="G915" s="99"/>
      <c r="H915" s="99"/>
      <c r="I915" s="99"/>
      <c r="J915" s="99"/>
      <c r="K915" s="99"/>
      <c r="L915" s="99"/>
    </row>
    <row r="916" spans="2:12">
      <c r="B916" s="99"/>
      <c r="C916" s="99"/>
      <c r="D916" s="99"/>
      <c r="E916" s="99"/>
      <c r="F916" s="197"/>
      <c r="G916" s="99"/>
      <c r="H916" s="99"/>
      <c r="I916" s="99"/>
      <c r="J916" s="99"/>
      <c r="K916" s="99"/>
      <c r="L916" s="99"/>
    </row>
    <row r="917" spans="2:12">
      <c r="B917" s="99"/>
      <c r="C917" s="99"/>
      <c r="D917" s="99"/>
      <c r="E917" s="99"/>
      <c r="F917" s="197"/>
      <c r="G917" s="99"/>
      <c r="H917" s="99"/>
      <c r="I917" s="99"/>
      <c r="J917" s="99"/>
      <c r="K917" s="99"/>
      <c r="L917" s="99"/>
    </row>
    <row r="918" spans="2:12">
      <c r="B918" s="99"/>
      <c r="C918" s="99"/>
      <c r="D918" s="99"/>
      <c r="E918" s="99"/>
      <c r="F918" s="197"/>
      <c r="G918" s="99"/>
      <c r="H918" s="99"/>
      <c r="I918" s="99"/>
      <c r="J918" s="99"/>
      <c r="K918" s="99"/>
      <c r="L918" s="99"/>
    </row>
    <row r="919" spans="2:12">
      <c r="B919" s="99"/>
      <c r="C919" s="99"/>
      <c r="D919" s="99"/>
      <c r="E919" s="99"/>
      <c r="F919" s="197"/>
      <c r="G919" s="99"/>
      <c r="H919" s="99"/>
      <c r="I919" s="99"/>
      <c r="J919" s="99"/>
      <c r="K919" s="99"/>
      <c r="L919" s="99"/>
    </row>
    <row r="920" spans="2:12">
      <c r="B920" s="99"/>
      <c r="C920" s="99"/>
      <c r="D920" s="99"/>
      <c r="E920" s="99"/>
      <c r="F920" s="197"/>
      <c r="G920" s="99"/>
      <c r="H920" s="99"/>
      <c r="I920" s="99"/>
      <c r="J920" s="99"/>
      <c r="K920" s="99"/>
      <c r="L920" s="99"/>
    </row>
    <row r="921" spans="2:12">
      <c r="B921" s="99"/>
      <c r="C921" s="99"/>
      <c r="D921" s="99"/>
      <c r="E921" s="99"/>
      <c r="F921" s="197"/>
      <c r="G921" s="99"/>
      <c r="H921" s="99"/>
      <c r="I921" s="99"/>
      <c r="J921" s="99"/>
      <c r="K921" s="99"/>
      <c r="L921" s="99"/>
    </row>
    <row r="922" spans="2:12">
      <c r="B922" s="99"/>
      <c r="C922" s="99"/>
      <c r="D922" s="99"/>
      <c r="E922" s="99"/>
      <c r="F922" s="197"/>
      <c r="G922" s="99"/>
      <c r="H922" s="99"/>
      <c r="I922" s="99"/>
      <c r="J922" s="99"/>
      <c r="K922" s="99"/>
      <c r="L922" s="99"/>
    </row>
    <row r="923" spans="2:12">
      <c r="B923" s="99"/>
      <c r="C923" s="99"/>
      <c r="D923" s="99"/>
      <c r="E923" s="99"/>
      <c r="F923" s="197"/>
      <c r="G923" s="99"/>
      <c r="H923" s="99"/>
      <c r="I923" s="99"/>
      <c r="J923" s="99"/>
      <c r="K923" s="99"/>
      <c r="L923" s="99"/>
    </row>
    <row r="924" spans="2:12">
      <c r="B924" s="99"/>
      <c r="C924" s="99"/>
      <c r="D924" s="99"/>
      <c r="E924" s="99"/>
      <c r="F924" s="197"/>
      <c r="G924" s="99"/>
      <c r="H924" s="99"/>
      <c r="I924" s="99"/>
      <c r="J924" s="99"/>
      <c r="K924" s="99"/>
      <c r="L924" s="99"/>
    </row>
    <row r="925" spans="2:12">
      <c r="B925" s="99"/>
      <c r="C925" s="99"/>
      <c r="D925" s="99"/>
      <c r="E925" s="99"/>
      <c r="F925" s="197"/>
      <c r="G925" s="99"/>
      <c r="H925" s="99"/>
      <c r="I925" s="99"/>
      <c r="J925" s="99"/>
      <c r="K925" s="99"/>
      <c r="L925" s="99"/>
    </row>
    <row r="926" spans="2:12">
      <c r="B926" s="99"/>
      <c r="C926" s="99"/>
      <c r="D926" s="99"/>
      <c r="E926" s="99"/>
      <c r="F926" s="197"/>
      <c r="G926" s="99"/>
      <c r="H926" s="99"/>
      <c r="I926" s="99"/>
      <c r="J926" s="99"/>
      <c r="K926" s="99"/>
      <c r="L926" s="99"/>
    </row>
    <row r="927" spans="2:12">
      <c r="B927" s="99"/>
      <c r="C927" s="99"/>
      <c r="D927" s="99"/>
      <c r="E927" s="99"/>
      <c r="F927" s="197"/>
      <c r="G927" s="99"/>
      <c r="H927" s="99"/>
      <c r="I927" s="99"/>
      <c r="J927" s="99"/>
      <c r="K927" s="99"/>
      <c r="L927" s="99"/>
    </row>
    <row r="928" spans="2:12">
      <c r="B928" s="99"/>
      <c r="C928" s="99"/>
      <c r="D928" s="99"/>
      <c r="E928" s="99"/>
      <c r="F928" s="197"/>
      <c r="G928" s="99"/>
      <c r="H928" s="99"/>
      <c r="I928" s="99"/>
      <c r="J928" s="99"/>
      <c r="K928" s="99"/>
      <c r="L928" s="99"/>
    </row>
    <row r="929" spans="2:12">
      <c r="B929" s="99"/>
      <c r="C929" s="99"/>
      <c r="D929" s="99"/>
      <c r="E929" s="99"/>
      <c r="F929" s="197"/>
      <c r="G929" s="99"/>
      <c r="H929" s="99"/>
      <c r="I929" s="99"/>
      <c r="J929" s="99"/>
      <c r="K929" s="99"/>
      <c r="L929" s="99"/>
    </row>
    <row r="930" spans="2:12">
      <c r="B930" s="99"/>
      <c r="C930" s="99"/>
      <c r="D930" s="99"/>
      <c r="E930" s="99"/>
      <c r="F930" s="197"/>
      <c r="G930" s="99"/>
      <c r="H930" s="99"/>
      <c r="I930" s="99"/>
      <c r="J930" s="99"/>
      <c r="K930" s="99"/>
      <c r="L930" s="99"/>
    </row>
    <row r="931" spans="2:12">
      <c r="B931" s="99"/>
      <c r="C931" s="99"/>
      <c r="D931" s="99"/>
      <c r="E931" s="99"/>
      <c r="F931" s="197"/>
      <c r="G931" s="99"/>
      <c r="H931" s="99"/>
      <c r="I931" s="99"/>
      <c r="J931" s="99"/>
      <c r="K931" s="99"/>
      <c r="L931" s="99"/>
    </row>
    <row r="932" spans="2:12">
      <c r="B932" s="99"/>
      <c r="C932" s="99"/>
      <c r="D932" s="99"/>
      <c r="E932" s="99"/>
      <c r="F932" s="197"/>
      <c r="G932" s="99"/>
      <c r="H932" s="99"/>
      <c r="I932" s="99"/>
      <c r="J932" s="99"/>
      <c r="K932" s="99"/>
      <c r="L932" s="99"/>
    </row>
    <row r="933" spans="2:12">
      <c r="B933" s="99"/>
      <c r="C933" s="99"/>
      <c r="D933" s="99"/>
      <c r="E933" s="99"/>
      <c r="F933" s="197"/>
      <c r="G933" s="99"/>
      <c r="H933" s="99"/>
      <c r="I933" s="99"/>
      <c r="J933" s="99"/>
      <c r="K933" s="99"/>
      <c r="L933" s="99"/>
    </row>
    <row r="934" spans="2:12">
      <c r="B934" s="99"/>
      <c r="C934" s="99"/>
      <c r="D934" s="99"/>
      <c r="E934" s="99"/>
      <c r="F934" s="197"/>
      <c r="G934" s="99"/>
      <c r="H934" s="99"/>
      <c r="I934" s="99"/>
      <c r="J934" s="99"/>
      <c r="K934" s="99"/>
      <c r="L934" s="99"/>
    </row>
    <row r="935" spans="2:12">
      <c r="B935" s="99"/>
      <c r="C935" s="99"/>
      <c r="D935" s="99"/>
      <c r="E935" s="99"/>
      <c r="F935" s="197"/>
      <c r="G935" s="99"/>
      <c r="H935" s="99"/>
      <c r="I935" s="99"/>
      <c r="J935" s="99"/>
      <c r="K935" s="99"/>
      <c r="L935" s="99"/>
    </row>
    <row r="936" spans="2:12">
      <c r="B936" s="99"/>
      <c r="C936" s="99"/>
      <c r="D936" s="99"/>
      <c r="E936" s="99"/>
      <c r="F936" s="197"/>
      <c r="G936" s="99"/>
      <c r="H936" s="99"/>
      <c r="I936" s="99"/>
      <c r="J936" s="99"/>
      <c r="K936" s="99"/>
      <c r="L936" s="99"/>
    </row>
    <row r="937" spans="2:12">
      <c r="B937" s="99"/>
      <c r="C937" s="99"/>
      <c r="D937" s="99"/>
      <c r="E937" s="99"/>
      <c r="F937" s="197"/>
      <c r="G937" s="99"/>
      <c r="H937" s="99"/>
      <c r="I937" s="99"/>
      <c r="J937" s="99"/>
      <c r="K937" s="99"/>
      <c r="L937" s="99"/>
    </row>
    <row r="938" spans="2:12">
      <c r="B938" s="99"/>
      <c r="C938" s="99"/>
      <c r="D938" s="99"/>
      <c r="E938" s="99"/>
      <c r="F938" s="197"/>
      <c r="G938" s="99"/>
      <c r="H938" s="99"/>
      <c r="I938" s="99"/>
      <c r="J938" s="99"/>
      <c r="K938" s="99"/>
      <c r="L938" s="99"/>
    </row>
    <row r="939" spans="2:12">
      <c r="B939" s="99"/>
      <c r="C939" s="99"/>
      <c r="D939" s="99"/>
      <c r="E939" s="99"/>
      <c r="F939" s="197"/>
      <c r="G939" s="99"/>
      <c r="H939" s="99"/>
      <c r="I939" s="99"/>
      <c r="J939" s="99"/>
      <c r="K939" s="99"/>
      <c r="L939" s="99"/>
    </row>
    <row r="940" spans="2:12">
      <c r="B940" s="99"/>
      <c r="C940" s="99"/>
      <c r="D940" s="99"/>
      <c r="E940" s="99"/>
      <c r="F940" s="197"/>
      <c r="G940" s="99"/>
      <c r="H940" s="99"/>
      <c r="I940" s="99"/>
      <c r="J940" s="99"/>
      <c r="K940" s="99"/>
      <c r="L940" s="99"/>
    </row>
    <row r="941" spans="2:12">
      <c r="B941" s="99"/>
      <c r="C941" s="99"/>
      <c r="D941" s="99"/>
      <c r="E941" s="99"/>
      <c r="F941" s="197"/>
      <c r="G941" s="99"/>
      <c r="H941" s="99"/>
      <c r="I941" s="99"/>
      <c r="J941" s="99"/>
      <c r="K941" s="99"/>
      <c r="L941" s="99"/>
    </row>
    <row r="942" spans="2:12">
      <c r="B942" s="99"/>
      <c r="C942" s="99"/>
      <c r="D942" s="99"/>
      <c r="E942" s="99"/>
      <c r="F942" s="197"/>
      <c r="G942" s="99"/>
      <c r="H942" s="99"/>
      <c r="I942" s="99"/>
      <c r="J942" s="99"/>
      <c r="K942" s="99"/>
      <c r="L942" s="99"/>
    </row>
  </sheetData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600-000000000000}">
          <x14:formula1>
            <xm:f>'Data Validation'!$H$2:$H$3</xm:f>
          </x14:formula1>
          <xm:sqref>E11:E517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 tint="0.59999389629810485"/>
    <pageSetUpPr autoPageBreaks="0"/>
  </sheetPr>
  <dimension ref="B1:AK587"/>
  <sheetViews>
    <sheetView topLeftCell="B1" zoomScale="120" zoomScaleNormal="120" workbookViewId="0">
      <pane xSplit="8" ySplit="7" topLeftCell="AC232" activePane="bottomRight" state="frozenSplit"/>
      <selection pane="topRight" activeCell="B11" sqref="B11"/>
      <selection pane="bottomLeft" activeCell="B11" sqref="B11"/>
      <selection pane="bottomRight" activeCell="O187" sqref="O187"/>
    </sheetView>
  </sheetViews>
  <sheetFormatPr defaultColWidth="9.1796875" defaultRowHeight="14.5" outlineLevelCol="1"/>
  <cols>
    <col min="1" max="1" width="3.7265625" style="41" customWidth="1"/>
    <col min="2" max="2" width="11.26953125" style="41" customWidth="1"/>
    <col min="3" max="3" width="12.7265625" style="41" customWidth="1"/>
    <col min="4" max="8" width="15.7265625" style="41" hidden="1" customWidth="1" outlineLevel="1"/>
    <col min="9" max="9" width="68.54296875" style="41" customWidth="1" collapsed="1"/>
    <col min="10" max="10" width="15.90625" style="41" customWidth="1"/>
    <col min="11" max="12" width="30.7265625" style="41" customWidth="1"/>
    <col min="13" max="13" width="19.81640625" style="41" customWidth="1"/>
    <col min="14" max="18" width="18.81640625" style="41" customWidth="1"/>
    <col min="19" max="22" width="9.7265625" style="61" hidden="1" customWidth="1" outlineLevel="1"/>
    <col min="23" max="23" width="9.7265625" style="41" customWidth="1" outlineLevel="1"/>
    <col min="24" max="24" width="9.7265625" style="41" customWidth="1"/>
    <col min="25" max="28" width="15.7265625" style="41" hidden="1" customWidth="1" outlineLevel="1"/>
    <col min="29" max="29" width="15.7265625" style="41" customWidth="1" outlineLevel="1"/>
    <col min="30" max="30" width="15.7265625" style="41" customWidth="1"/>
    <col min="31" max="34" width="15.7265625" style="41" hidden="1" customWidth="1" outlineLevel="1"/>
    <col min="35" max="35" width="15.7265625" style="41" customWidth="1" outlineLevel="1"/>
    <col min="36" max="36" width="15.7265625" style="41" customWidth="1"/>
    <col min="37" max="37" width="20.1796875" style="41" customWidth="1"/>
    <col min="38" max="16384" width="9.1796875" style="41"/>
  </cols>
  <sheetData>
    <row r="1" spans="2:37" ht="20.25" customHeight="1">
      <c r="B1" s="40" t="s">
        <v>35</v>
      </c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</row>
    <row r="2" spans="2:37" ht="13">
      <c r="S2" s="41"/>
      <c r="T2" s="41"/>
      <c r="U2" s="41"/>
      <c r="V2" s="41"/>
    </row>
    <row r="3" spans="2:37" ht="13.5" thickBot="1">
      <c r="S3" s="41"/>
      <c r="T3" s="41"/>
      <c r="U3" s="41"/>
      <c r="V3" s="41"/>
    </row>
    <row r="4" spans="2:37" ht="20.25" customHeight="1" thickBot="1">
      <c r="B4" s="93" t="s">
        <v>36</v>
      </c>
      <c r="C4" s="89"/>
      <c r="D4" s="89"/>
      <c r="E4" s="89"/>
      <c r="F4" s="89"/>
      <c r="G4" s="89"/>
      <c r="H4" s="89"/>
      <c r="I4" s="89"/>
      <c r="J4" s="89"/>
      <c r="K4" s="104"/>
      <c r="L4" s="104"/>
      <c r="M4" s="104"/>
      <c r="N4" s="104"/>
      <c r="O4" s="883" t="s">
        <v>37</v>
      </c>
      <c r="P4" s="884"/>
      <c r="Q4" s="884"/>
      <c r="R4" s="884"/>
      <c r="S4" s="90"/>
      <c r="T4" s="90"/>
      <c r="U4" s="90"/>
      <c r="V4" s="90"/>
      <c r="W4" s="100"/>
      <c r="X4" s="90"/>
      <c r="Y4" s="105" t="str">
        <f>"Cost in Local Currency Unit (LCU = "&amp;LCU&amp;")"</f>
        <v>Cost in Local Currency Unit (LCU = NGN)</v>
      </c>
      <c r="Z4" s="106"/>
      <c r="AA4" s="106"/>
      <c r="AB4" s="106"/>
      <c r="AC4" s="106"/>
      <c r="AD4" s="106"/>
      <c r="AE4" s="105" t="str">
        <f>"Cost ("&amp;ACU&amp;")"</f>
        <v>Cost (USD)</v>
      </c>
      <c r="AF4" s="107"/>
      <c r="AG4" s="107"/>
      <c r="AH4" s="107"/>
      <c r="AI4" s="107"/>
      <c r="AJ4" s="107"/>
      <c r="AK4" s="175" t="s">
        <v>38</v>
      </c>
    </row>
    <row r="5" spans="2:37" ht="12.75" customHeight="1">
      <c r="B5" s="110" t="s">
        <v>39</v>
      </c>
      <c r="C5" s="111" t="s">
        <v>39</v>
      </c>
      <c r="D5" s="111" t="str">
        <f>Lvl1Hdr</f>
        <v>Objective</v>
      </c>
      <c r="E5" s="111" t="str">
        <f>Lvl2Hdr</f>
        <v>Strategy</v>
      </c>
      <c r="F5" s="111" t="str">
        <f>Lvl3Hdr</f>
        <v>Activity</v>
      </c>
      <c r="G5" s="111" t="str">
        <f>Lvl4Hdr</f>
        <v>Sub-Activity</v>
      </c>
      <c r="H5" s="111" t="str">
        <f>LvlBottomHdr</f>
        <v>Unit</v>
      </c>
      <c r="I5" s="111"/>
      <c r="J5" s="111"/>
      <c r="K5" s="112" t="s">
        <v>40</v>
      </c>
      <c r="L5" s="113"/>
      <c r="M5" s="112" t="s">
        <v>41</v>
      </c>
      <c r="N5" s="113"/>
      <c r="O5" s="880" t="s">
        <v>42</v>
      </c>
      <c r="P5" s="881"/>
      <c r="Q5" s="881"/>
      <c r="R5" s="882"/>
      <c r="S5" s="114" t="s">
        <v>43</v>
      </c>
      <c r="T5" s="114"/>
      <c r="U5" s="114"/>
      <c r="V5" s="114"/>
      <c r="W5" s="114"/>
      <c r="X5" s="115" t="s">
        <v>44</v>
      </c>
      <c r="Y5" s="136" t="str">
        <f>"Cost Totals by Year ("&amp;LCU&amp;")"</f>
        <v>Cost Totals by Year (NGN)</v>
      </c>
      <c r="Z5" s="116"/>
      <c r="AA5" s="116"/>
      <c r="AB5" s="116"/>
      <c r="AC5" s="116"/>
      <c r="AD5" s="137" t="s">
        <v>44</v>
      </c>
      <c r="AE5" s="878" t="str">
        <f>"Cost Totals by Year ("&amp;ACU&amp;")"</f>
        <v>Cost Totals by Year (USD)</v>
      </c>
      <c r="AF5" s="878"/>
      <c r="AG5" s="878"/>
      <c r="AH5" s="878"/>
      <c r="AI5" s="879"/>
      <c r="AJ5" s="145" t="s">
        <v>44</v>
      </c>
      <c r="AK5" s="176"/>
    </row>
    <row r="6" spans="2:37" ht="4.5" customHeight="1">
      <c r="B6" s="117"/>
      <c r="C6" s="94"/>
      <c r="D6" s="94"/>
      <c r="E6" s="94"/>
      <c r="F6" s="94"/>
      <c r="G6" s="94"/>
      <c r="H6" s="94"/>
      <c r="I6" s="95"/>
      <c r="J6" s="95"/>
      <c r="K6" s="95"/>
      <c r="L6" s="95"/>
      <c r="M6" s="94"/>
      <c r="N6" s="94"/>
      <c r="O6" s="117"/>
      <c r="P6" s="95"/>
      <c r="Q6" s="95"/>
      <c r="R6" s="127"/>
      <c r="S6" s="95"/>
      <c r="T6" s="95"/>
      <c r="U6" s="95"/>
      <c r="V6" s="95"/>
      <c r="W6" s="95"/>
      <c r="X6" s="94"/>
      <c r="Y6" s="138"/>
      <c r="Z6" s="94"/>
      <c r="AA6" s="94"/>
      <c r="AB6" s="94"/>
      <c r="AC6" s="94"/>
      <c r="AD6" s="118"/>
      <c r="AE6" s="94"/>
      <c r="AF6" s="94"/>
      <c r="AG6" s="94"/>
      <c r="AH6" s="94"/>
      <c r="AI6" s="94"/>
      <c r="AJ6" s="94"/>
      <c r="AK6" s="177"/>
    </row>
    <row r="7" spans="2:37" ht="47.25" customHeight="1">
      <c r="B7" s="119" t="s">
        <v>45</v>
      </c>
      <c r="C7" s="79" t="s">
        <v>46</v>
      </c>
      <c r="D7" s="79" t="s">
        <v>47</v>
      </c>
      <c r="E7" s="79" t="s">
        <v>48</v>
      </c>
      <c r="F7" s="79" t="s">
        <v>49</v>
      </c>
      <c r="G7" s="79" t="s">
        <v>50</v>
      </c>
      <c r="H7" s="79" t="s">
        <v>51</v>
      </c>
      <c r="I7" s="79" t="s">
        <v>52</v>
      </c>
      <c r="J7" s="79" t="s">
        <v>163</v>
      </c>
      <c r="K7" s="79" t="s">
        <v>53</v>
      </c>
      <c r="L7" s="79" t="s">
        <v>54</v>
      </c>
      <c r="M7" s="79" t="s">
        <v>55</v>
      </c>
      <c r="N7" s="79" t="s">
        <v>56</v>
      </c>
      <c r="O7" s="119" t="s">
        <v>148</v>
      </c>
      <c r="P7" s="79" t="s">
        <v>149</v>
      </c>
      <c r="Q7" s="79" t="s">
        <v>150</v>
      </c>
      <c r="R7" s="120" t="s">
        <v>151</v>
      </c>
      <c r="S7" s="79" t="s">
        <v>152</v>
      </c>
      <c r="T7" s="79" t="s">
        <v>153</v>
      </c>
      <c r="U7" s="79" t="s">
        <v>57</v>
      </c>
      <c r="V7" s="79" t="s">
        <v>58</v>
      </c>
      <c r="W7" s="79" t="s">
        <v>59</v>
      </c>
      <c r="X7" s="79" t="s">
        <v>60</v>
      </c>
      <c r="Y7" s="119" t="s">
        <v>154</v>
      </c>
      <c r="Z7" s="79" t="s">
        <v>155</v>
      </c>
      <c r="AA7" s="79" t="s">
        <v>61</v>
      </c>
      <c r="AB7" s="79" t="s">
        <v>62</v>
      </c>
      <c r="AC7" s="79" t="s">
        <v>63</v>
      </c>
      <c r="AD7" s="120" t="s">
        <v>64</v>
      </c>
      <c r="AE7" s="79" t="s">
        <v>1821</v>
      </c>
      <c r="AF7" s="79" t="s">
        <v>1822</v>
      </c>
      <c r="AG7" s="79" t="s">
        <v>107</v>
      </c>
      <c r="AH7" s="79" t="s">
        <v>108</v>
      </c>
      <c r="AI7" s="79" t="s">
        <v>109</v>
      </c>
      <c r="AJ7" s="79" t="s">
        <v>106</v>
      </c>
      <c r="AK7" s="178" t="s">
        <v>38</v>
      </c>
    </row>
    <row r="8" spans="2:37" ht="12.75" customHeight="1">
      <c r="B8" s="121" t="s">
        <v>65</v>
      </c>
      <c r="C8" s="8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8" s="82">
        <f>IF(TblDetailBudget[[#This Row],[Level]]="", "", COUNTIFS($B$8:TblDetailBudget[[#This Row],[Level]], Lvl1Hdr))</f>
        <v>0</v>
      </c>
      <c r="E8" s="82">
        <f>IF(TblDetailBudget[[#This Row],[Level]]="", "", COUNTIFS($B$8:TblDetailBudget[[#This Row],[Level]], Lvl2Hdr, $D$8:TblDetailBudget[[#This Row],[Lvl 1 Header]], TblDetailBudget[[#This Row],[Lvl 1 Header]]))</f>
        <v>0</v>
      </c>
      <c r="F8" s="8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8" s="8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8" s="8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8" s="101" t="s">
        <v>158</v>
      </c>
      <c r="J8" s="101"/>
      <c r="K8" s="88"/>
      <c r="L8" s="88"/>
      <c r="M8" s="62" t="str">
        <f>IF(TblDetailBudget[[#This Row],[Level]]=LvlBottomHdr, IFERROR(INDEX(TblUnitCost[Unit], MATCH(TblDetailBudget[[#This Row],[Row Title]], TblUnitCost[Resource], 0)), "Invalid Resource"), "")</f>
        <v/>
      </c>
      <c r="N8" s="125" t="str">
        <f>IF(TblDetailBudget[[#This Row],[Level]]=LvlBottomHdr, IFERROR(INDEX(TblUnitCost[LCU], MATCH(TblDetailBudget[[#This Row],[Row Title]], TblUnitCost[Resource], 0)), "Invalid Resource"), "")</f>
        <v/>
      </c>
      <c r="O8" s="128"/>
      <c r="P8" s="108"/>
      <c r="Q8" s="185"/>
      <c r="R8" s="129"/>
      <c r="S8" s="108" t="s">
        <v>66</v>
      </c>
      <c r="T8" s="108" t="s">
        <v>66</v>
      </c>
      <c r="U8" s="108" t="s">
        <v>66</v>
      </c>
      <c r="V8" s="108" t="s">
        <v>66</v>
      </c>
      <c r="W8" s="108" t="s">
        <v>66</v>
      </c>
      <c r="X8" s="125" t="str">
        <f>IF(TblDetailBudget[[#This Row],[Level]]=LvlBottomHdr, IF(SUM(TblDetailBudget[[#This Row],[2021 Quant]:[2025 Quant]])&gt;0, SUM(TblDetailBudget[[#This Row],[2021 Quant]:[2025 Quant]]), ""), "")</f>
        <v/>
      </c>
      <c r="Y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634005460581.37439</v>
      </c>
      <c r="AD8" s="140">
        <f>SUM(TblDetailBudget[[#This Row],[2021 Cost (LCU)]:[2025 Cost (LCU)]])</f>
        <v>634005460581.37439</v>
      </c>
      <c r="AE8" s="134">
        <f>IFERROR(SUM(TblDetailBudget[[#This Row],[2021 Cost (LCU)]])/FX_Rate, "")</f>
        <v>0</v>
      </c>
      <c r="AF8" s="63">
        <f>IFERROR(SUM(TblDetailBudget[[#This Row],[2022 Cost (LCU)]])/FX_Rate, "")</f>
        <v>0</v>
      </c>
      <c r="AG8" s="63">
        <f>IFERROR(SUM(TblDetailBudget[[#This Row],[2023 Cost (LCU)]])/FX_Rate, "")</f>
        <v>0</v>
      </c>
      <c r="AH8" s="63">
        <f>IFERROR(SUM(TblDetailBudget[[#This Row],[2024 Cost (LCU)]])/FX_Rate, "")</f>
        <v>0</v>
      </c>
      <c r="AI8" s="63">
        <f>IFERROR(SUM(TblDetailBudget[[#This Row],[2025 Cost (LCU)]])/FX_Rate, "")</f>
        <v>396253412.86335897</v>
      </c>
      <c r="AJ8" s="125">
        <f>SUM(TblDetailBudget[[#This Row],[2021 Cost (USD)]:[2025 Cost (USD)]])</f>
        <v>396253412.86335897</v>
      </c>
      <c r="AK8" s="179"/>
    </row>
    <row r="9" spans="2:37" ht="12.75" customHeight="1">
      <c r="B9" s="163" t="s">
        <v>67</v>
      </c>
      <c r="C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</v>
      </c>
      <c r="D9" s="62">
        <f>IF(TblDetailBudget[[#This Row],[Level]]="", "", COUNTIFS($B$8:TblDetailBudget[[#This Row],[Level]], Lvl1Hdr))</f>
        <v>1</v>
      </c>
      <c r="E9" s="62">
        <f>IF(TblDetailBudget[[#This Row],[Level]]="", "", COUNTIFS($B$8:TblDetailBudget[[#This Row],[Level]], Lvl2Hdr, $D$8:TblDetailBudget[[#This Row],[Lvl 1 Header]], TblDetailBudget[[#This Row],[Lvl 1 Header]]))</f>
        <v>0</v>
      </c>
      <c r="F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9" s="102" t="s">
        <v>157</v>
      </c>
      <c r="J9" s="102"/>
      <c r="K9" s="88"/>
      <c r="L9" s="88"/>
      <c r="M9" s="62" t="str">
        <f>IF(TblDetailBudget[[#This Row],[Level]]=LvlBottomHdr, IFERROR(INDEX(TblUnitCost[Unit], MATCH(TblDetailBudget[[#This Row],[Row Title]], TblUnitCost[Resource], 0)), "Invalid Resource"), "")</f>
        <v/>
      </c>
      <c r="N9" s="63" t="str">
        <f>IF(TblDetailBudget[[#This Row],[Level]]=LvlBottomHdr, IFERROR(INDEX(TblUnitCost[LCU], MATCH(TblDetailBudget[[#This Row],[Row Title]], TblUnitCost[Resource], 0)), "Invalid Resource"), "")</f>
        <v/>
      </c>
      <c r="O9" s="130"/>
      <c r="P9" s="109"/>
      <c r="Q9" s="109"/>
      <c r="R9" s="109"/>
      <c r="S9" s="108" t="s">
        <v>66</v>
      </c>
      <c r="T9" s="108" t="s">
        <v>66</v>
      </c>
      <c r="U9" s="108" t="s">
        <v>66</v>
      </c>
      <c r="V9" s="108" t="s">
        <v>66</v>
      </c>
      <c r="W9" s="108" t="s">
        <v>66</v>
      </c>
      <c r="X9" s="63" t="str">
        <f>IF(TblDetailBudget[[#This Row],[Level]]=LvlBottomHdr, IF(SUM(TblDetailBudget[[#This Row],[2021 Quant]:[2025 Quant]])&gt;0, SUM(TblDetailBudget[[#This Row],[2021 Quant]:[2025 Quant]]), ""), "")</f>
        <v/>
      </c>
      <c r="Y9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464068916810.67773</v>
      </c>
      <c r="AD9" s="63">
        <f>SUM(TblDetailBudget[[#This Row],[2021 Cost (LCU)]:[2025 Cost (LCU)]])</f>
        <v>464068916810.67773</v>
      </c>
      <c r="AE9" s="63">
        <f>IFERROR(SUM(TblDetailBudget[[#This Row],[2021 Cost (LCU)]])/FX_Rate, "")</f>
        <v>0</v>
      </c>
      <c r="AF9" s="63">
        <f>IFERROR(SUM(TblDetailBudget[[#This Row],[2022 Cost (LCU)]])/FX_Rate, "")</f>
        <v>0</v>
      </c>
      <c r="AG9" s="63">
        <f>IFERROR(SUM(TblDetailBudget[[#This Row],[2023 Cost (LCU)]])/FX_Rate, "")</f>
        <v>0</v>
      </c>
      <c r="AH9" s="63">
        <f>IFERROR(SUM(TblDetailBudget[[#This Row],[2024 Cost (LCU)]])/FX_Rate, "")</f>
        <v>0</v>
      </c>
      <c r="AI9" s="63">
        <f>IFERROR(SUM(TblDetailBudget[[#This Row],[2025 Cost (LCU)]])/FX_Rate, "")</f>
        <v>290043073.00667357</v>
      </c>
      <c r="AJ9" s="125">
        <f>SUM(TblDetailBudget[[#This Row],[2021 Cost (USD)]:[2025 Cost (USD)]])</f>
        <v>290043073.00667357</v>
      </c>
      <c r="AK9" s="180"/>
    </row>
    <row r="10" spans="2:37" ht="12.75" customHeight="1">
      <c r="B10" s="122" t="s">
        <v>68</v>
      </c>
      <c r="C1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</v>
      </c>
      <c r="D10" s="62">
        <f>IF(TblDetailBudget[[#This Row],[Level]]="", "", COUNTIFS($B$8:TblDetailBudget[[#This Row],[Level]], Lvl1Hdr))</f>
        <v>1</v>
      </c>
      <c r="E10" s="62">
        <f>IF(TblDetailBudget[[#This Row],[Level]]="", "", COUNTIFS($B$8:TblDetailBudget[[#This Row],[Level]], Lvl2Hdr, $D$8:TblDetailBudget[[#This Row],[Lvl 1 Header]], TblDetailBudget[[#This Row],[Lvl 1 Header]]))</f>
        <v>1</v>
      </c>
      <c r="F1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1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0" s="188" t="s">
        <v>2401</v>
      </c>
      <c r="J10" s="101"/>
      <c r="K10" s="88" t="s">
        <v>66</v>
      </c>
      <c r="L10" s="88"/>
      <c r="M10" s="62" t="str">
        <f>IF(TblDetailBudget[[#This Row],[Level]]=LvlBottomHdr, IFERROR(INDEX(TblUnitCost[Unit], MATCH(TblDetailBudget[[#This Row],[Row Title]], TblUnitCost[Resource], 0)), "Invalid Resource"), "")</f>
        <v/>
      </c>
      <c r="N10" s="125" t="str">
        <f>IF(TblDetailBudget[[#This Row],[Level]]=LvlBottomHdr, IFERROR(INDEX(TblUnitCost[LCU], MATCH(TblDetailBudget[[#This Row],[Row Title]], TblUnitCost[Resource], 0)), "Invalid Resource"), "")</f>
        <v/>
      </c>
      <c r="O10" s="128"/>
      <c r="P10" s="108"/>
      <c r="Q10" s="185"/>
      <c r="R10" s="129"/>
      <c r="S10" s="108" t="s">
        <v>66</v>
      </c>
      <c r="T10" s="108" t="s">
        <v>66</v>
      </c>
      <c r="U10" s="108" t="s">
        <v>66</v>
      </c>
      <c r="V10" s="108" t="s">
        <v>66</v>
      </c>
      <c r="W10" s="108" t="s">
        <v>66</v>
      </c>
      <c r="X10" s="125" t="str">
        <f>IF(TblDetailBudget[[#This Row],[Level]]=LvlBottomHdr, IF(SUM(TblDetailBudget[[#This Row],[2021 Quant]:[2025 Quant]])&gt;0, SUM(TblDetailBudget[[#This Row],[2021 Quant]:[2025 Quant]]), ""), "")</f>
        <v/>
      </c>
      <c r="Y1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388090245430</v>
      </c>
      <c r="AD10" s="140">
        <f>SUM(TblDetailBudget[[#This Row],[2021 Cost (LCU)]:[2025 Cost (LCU)]])</f>
        <v>388090245430</v>
      </c>
      <c r="AE10" s="134">
        <f>IFERROR(SUM(TblDetailBudget[[#This Row],[2021 Cost (LCU)]])/FX_Rate, "")</f>
        <v>0</v>
      </c>
      <c r="AF10" s="63">
        <f>IFERROR(SUM(TblDetailBudget[[#This Row],[2022 Cost (LCU)]])/FX_Rate, "")</f>
        <v>0</v>
      </c>
      <c r="AG10" s="63">
        <f>IFERROR(SUM(TblDetailBudget[[#This Row],[2023 Cost (LCU)]])/FX_Rate, "")</f>
        <v>0</v>
      </c>
      <c r="AH10" s="63">
        <f>IFERROR(SUM(TblDetailBudget[[#This Row],[2024 Cost (LCU)]])/FX_Rate, "")</f>
        <v>0</v>
      </c>
      <c r="AI10" s="63">
        <f>IFERROR(SUM(TblDetailBudget[[#This Row],[2025 Cost (LCU)]])/FX_Rate, "")</f>
        <v>242556403.39375001</v>
      </c>
      <c r="AJ10" s="125">
        <f>SUM(TblDetailBudget[[#This Row],[2021 Cost (USD)]:[2025 Cost (USD)]])</f>
        <v>242556403.39375001</v>
      </c>
      <c r="AK10" s="180"/>
    </row>
    <row r="11" spans="2:37" ht="12.75" customHeight="1">
      <c r="B11" s="122" t="s">
        <v>69</v>
      </c>
      <c r="C1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1.1.1</v>
      </c>
      <c r="D11" s="62">
        <f>IF(TblDetailBudget[[#This Row],[Level]]="", "", COUNTIFS($B$8:TblDetailBudget[[#This Row],[Level]], Lvl1Hdr))</f>
        <v>1</v>
      </c>
      <c r="E11" s="62">
        <f>IF(TblDetailBudget[[#This Row],[Level]]="", "", COUNTIFS($B$8:TblDetailBudget[[#This Row],[Level]], Lvl2Hdr, $D$8:TblDetailBudget[[#This Row],[Lvl 1 Header]], TblDetailBudget[[#This Row],[Lvl 1 Header]]))</f>
        <v>1</v>
      </c>
      <c r="F1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1" s="188" t="s">
        <v>164</v>
      </c>
      <c r="J11" s="101"/>
      <c r="K11" s="88"/>
      <c r="L11" s="88"/>
      <c r="M11" s="62" t="str">
        <f>IF(TblDetailBudget[[#This Row],[Level]]=LvlBottomHdr, IFERROR(INDEX(TblUnitCost[Unit], MATCH(TblDetailBudget[[#This Row],[Row Title]], TblUnitCost[Resource], 0)), "Invalid Resource"), "")</f>
        <v/>
      </c>
      <c r="N11" s="125" t="str">
        <f>IF(TblDetailBudget[[#This Row],[Level]]=LvlBottomHdr, IFERROR(INDEX(TblUnitCost[LCU], MATCH(TblDetailBudget[[#This Row],[Row Title]], TblUnitCost[Resource], 0)), "Invalid Resource"), "")</f>
        <v/>
      </c>
      <c r="O11" s="128"/>
      <c r="P11" s="108"/>
      <c r="Q11" s="185"/>
      <c r="R11" s="129"/>
      <c r="S11" s="108" t="s">
        <v>66</v>
      </c>
      <c r="T11" s="108" t="s">
        <v>66</v>
      </c>
      <c r="U11" s="108" t="s">
        <v>66</v>
      </c>
      <c r="V11" s="108" t="s">
        <v>66</v>
      </c>
      <c r="W11" s="108" t="s">
        <v>66</v>
      </c>
      <c r="X11" s="125" t="str">
        <f>IF(TblDetailBudget[[#This Row],[Level]]=LvlBottomHdr, IF(SUM(TblDetailBudget[[#This Row],[2021 Quant]:[2025 Quant]])&gt;0, SUM(TblDetailBudget[[#This Row],[2021 Quant]:[2025 Quant]]), ""), "")</f>
        <v/>
      </c>
      <c r="Y11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194045122715</v>
      </c>
      <c r="AD11" s="140">
        <f>SUM(TblDetailBudget[[#This Row],[2021 Cost (LCU)]:[2025 Cost (LCU)]])</f>
        <v>194045122715</v>
      </c>
      <c r="AE11" s="134">
        <f>IFERROR(SUM(TblDetailBudget[[#This Row],[2021 Cost (LCU)]])/FX_Rate, "")</f>
        <v>0</v>
      </c>
      <c r="AF11" s="63">
        <f>IFERROR(SUM(TblDetailBudget[[#This Row],[2022 Cost (LCU)]])/FX_Rate, "")</f>
        <v>0</v>
      </c>
      <c r="AG11" s="63">
        <f>IFERROR(SUM(TblDetailBudget[[#This Row],[2023 Cost (LCU)]])/FX_Rate, "")</f>
        <v>0</v>
      </c>
      <c r="AH11" s="63">
        <f>IFERROR(SUM(TblDetailBudget[[#This Row],[2024 Cost (LCU)]])/FX_Rate, "")</f>
        <v>0</v>
      </c>
      <c r="AI11" s="63">
        <f>IFERROR(SUM(TblDetailBudget[[#This Row],[2025 Cost (LCU)]])/FX_Rate, "")</f>
        <v>121278201.69687501</v>
      </c>
      <c r="AJ11" s="125">
        <f>SUM(TblDetailBudget[[#This Row],[2021 Cost (USD)]:[2025 Cost (USD)]])</f>
        <v>121278201.69687501</v>
      </c>
      <c r="AK11" s="180" t="s">
        <v>33</v>
      </c>
    </row>
    <row r="12" spans="2:37" ht="12.75" customHeight="1">
      <c r="B12" s="122" t="s">
        <v>70</v>
      </c>
      <c r="C1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1.1.1.1</v>
      </c>
      <c r="D12" s="62">
        <f>IF(TblDetailBudget[[#This Row],[Level]]="", "", COUNTIFS($B$8:TblDetailBudget[[#This Row],[Level]], Lvl1Hdr))</f>
        <v>1</v>
      </c>
      <c r="E12" s="62">
        <f>IF(TblDetailBudget[[#This Row],[Level]]="", "", COUNTIFS($B$8:TblDetailBudget[[#This Row],[Level]], Lvl2Hdr, $D$8:TblDetailBudget[[#This Row],[Lvl 1 Header]], TblDetailBudget[[#This Row],[Lvl 1 Header]]))</f>
        <v>1</v>
      </c>
      <c r="F1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2" s="101" t="s">
        <v>2402</v>
      </c>
      <c r="J12" s="101"/>
      <c r="K12" s="88"/>
      <c r="L12" s="88"/>
      <c r="M12" s="62" t="str">
        <f>IF(TblDetailBudget[[#This Row],[Level]]=LvlBottomHdr, IFERROR(INDEX(TblUnitCost[Unit], MATCH(TblDetailBudget[[#This Row],[Row Title]], TblUnitCost[Resource], 0)), "Invalid Resource"), "")</f>
        <v/>
      </c>
      <c r="N12" s="125" t="str">
        <f>IF(TblDetailBudget[[#This Row],[Level]]=LvlBottomHdr, IFERROR(INDEX(TblUnitCost[LCU], MATCH(TblDetailBudget[[#This Row],[Row Title]], TblUnitCost[Resource], 0)), "Invalid Resource"), "")</f>
        <v/>
      </c>
      <c r="O12" s="128"/>
      <c r="P12" s="108"/>
      <c r="Q12" s="185"/>
      <c r="R12" s="129"/>
      <c r="S12" s="108" t="s">
        <v>66</v>
      </c>
      <c r="T12" s="108" t="s">
        <v>66</v>
      </c>
      <c r="U12" s="108" t="s">
        <v>66</v>
      </c>
      <c r="V12" s="108" t="s">
        <v>66</v>
      </c>
      <c r="W12" s="108" t="s">
        <v>66</v>
      </c>
      <c r="X12" s="125" t="str">
        <f>IF(TblDetailBudget[[#This Row],[Level]]=LvlBottomHdr, IF(SUM(TblDetailBudget[[#This Row],[2021 Quant]:[2025 Quant]])&gt;0, SUM(TblDetailBudget[[#This Row],[2021 Quant]:[2025 Quant]]), ""), "")</f>
        <v/>
      </c>
      <c r="Y1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194045122715</v>
      </c>
      <c r="AD12" s="140">
        <f>SUM(TblDetailBudget[[#This Row],[2021 Cost (LCU)]:[2025 Cost (LCU)]])</f>
        <v>194045122715</v>
      </c>
      <c r="AE12" s="134">
        <f>IFERROR(SUM(TblDetailBudget[[#This Row],[2021 Cost (LCU)]])/FX_Rate, "")</f>
        <v>0</v>
      </c>
      <c r="AF12" s="63">
        <f>IFERROR(SUM(TblDetailBudget[[#This Row],[2022 Cost (LCU)]])/FX_Rate, "")</f>
        <v>0</v>
      </c>
      <c r="AG12" s="63">
        <f>IFERROR(SUM(TblDetailBudget[[#This Row],[2023 Cost (LCU)]])/FX_Rate, "")</f>
        <v>0</v>
      </c>
      <c r="AH12" s="63">
        <f>IFERROR(SUM(TblDetailBudget[[#This Row],[2024 Cost (LCU)]])/FX_Rate, "")</f>
        <v>0</v>
      </c>
      <c r="AI12" s="63">
        <f>IFERROR(SUM(TblDetailBudget[[#This Row],[2025 Cost (LCU)]])/FX_Rate, "")</f>
        <v>121278201.69687501</v>
      </c>
      <c r="AJ12" s="125">
        <f>SUM(TblDetailBudget[[#This Row],[2021 Cost (USD)]:[2025 Cost (USD)]])</f>
        <v>121278201.69687501</v>
      </c>
      <c r="AK12" s="180"/>
    </row>
    <row r="13" spans="2:37" ht="12.75" customHeight="1">
      <c r="B13" s="122" t="s">
        <v>71</v>
      </c>
      <c r="C1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1.1.1.1.1</v>
      </c>
      <c r="D13" s="62">
        <f>IF(TblDetailBudget[[#This Row],[Level]]="", "", COUNTIFS($B$8:TblDetailBudget[[#This Row],[Level]], Lvl1Hdr))</f>
        <v>1</v>
      </c>
      <c r="E13" s="62">
        <f>IF(TblDetailBudget[[#This Row],[Level]]="", "", COUNTIFS($B$8:TblDetailBudget[[#This Row],[Level]], Lvl2Hdr, $D$8:TblDetailBudget[[#This Row],[Lvl 1 Header]], TblDetailBudget[[#This Row],[Lvl 1 Header]]))</f>
        <v>1</v>
      </c>
      <c r="F1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3" s="101" t="s">
        <v>2415</v>
      </c>
      <c r="J13" s="101" t="s">
        <v>1820</v>
      </c>
      <c r="K13" s="88"/>
      <c r="L13" s="88"/>
      <c r="M13" s="62" t="str">
        <f>IF(TblDetailBudget[[#This Row],[Level]]=LvlBottomHdr, IFERROR(INDEX(TblUnitCost[Unit], MATCH(TblDetailBudget[[#This Row],[Row Title]], TblUnitCost[Resource], 0)), "Invalid Resource"), "")</f>
        <v>per ITN</v>
      </c>
      <c r="N13" s="125">
        <f>IF(TblDetailBudget[[#This Row],[Level]]=LvlBottomHdr, IFERROR(INDEX(TblUnitCost[LCU], MATCH(TblDetailBudget[[#This Row],[Row Title]], TblUnitCost[Resource], 0)), "Invalid Resource"), "")</f>
        <v>5585</v>
      </c>
      <c r="O13" s="128">
        <f>'States and LGAs'!AV6</f>
        <v>34743979</v>
      </c>
      <c r="P13" s="108">
        <v>1</v>
      </c>
      <c r="Q13" s="185">
        <v>1</v>
      </c>
      <c r="R13" s="129">
        <v>1</v>
      </c>
      <c r="S13" s="108"/>
      <c r="T13" s="108"/>
      <c r="U13" s="108"/>
      <c r="V13" s="108"/>
      <c r="W13" s="108">
        <v>1</v>
      </c>
      <c r="X13" s="125">
        <f>IF(TblDetailBudget[[#This Row],[Level]]=LvlBottomHdr, IF(SUM(TblDetailBudget[[#This Row],[2021 Quant]:[2025 Quant]])&gt;0, SUM(TblDetailBudget[[#This Row],[2021 Quant]:[2025 Quant]]), ""), "")</f>
        <v>1</v>
      </c>
      <c r="Y13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194045122715</v>
      </c>
      <c r="AD13" s="140">
        <f>SUM(TblDetailBudget[[#This Row],[2021 Cost (LCU)]:[2025 Cost (LCU)]])</f>
        <v>194045122715</v>
      </c>
      <c r="AE13" s="134">
        <f>IFERROR(SUM(TblDetailBudget[[#This Row],[2021 Cost (LCU)]])/FX_Rate, "")</f>
        <v>0</v>
      </c>
      <c r="AF13" s="63">
        <f>IFERROR(SUM(TblDetailBudget[[#This Row],[2022 Cost (LCU)]])/FX_Rate, "")</f>
        <v>0</v>
      </c>
      <c r="AG13" s="63">
        <f>IFERROR(SUM(TblDetailBudget[[#This Row],[2023 Cost (LCU)]])/FX_Rate, "")</f>
        <v>0</v>
      </c>
      <c r="AH13" s="63">
        <f>IFERROR(SUM(TblDetailBudget[[#This Row],[2024 Cost (LCU)]])/FX_Rate, "")</f>
        <v>0</v>
      </c>
      <c r="AI13" s="63">
        <f>IFERROR(SUM(TblDetailBudget[[#This Row],[2025 Cost (LCU)]])/FX_Rate, "")</f>
        <v>121278201.69687501</v>
      </c>
      <c r="AJ13" s="125">
        <f>SUM(TblDetailBudget[[#This Row],[2021 Cost (USD)]:[2025 Cost (USD)]])</f>
        <v>121278201.69687501</v>
      </c>
      <c r="AK13" s="180"/>
    </row>
    <row r="14" spans="2:37" ht="12.75" hidden="1" customHeight="1">
      <c r="B14" s="122" t="s">
        <v>71</v>
      </c>
      <c r="C1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1.1.1.1.2</v>
      </c>
      <c r="D14" s="62">
        <f>IF(TblDetailBudget[[#This Row],[Level]]="", "", COUNTIFS($B$8:TblDetailBudget[[#This Row],[Level]], Lvl1Hdr))</f>
        <v>1</v>
      </c>
      <c r="E14" s="62">
        <f>IF(TblDetailBudget[[#This Row],[Level]]="", "", COUNTIFS($B$8:TblDetailBudget[[#This Row],[Level]], Lvl2Hdr, $D$8:TblDetailBudget[[#This Row],[Lvl 1 Header]], TblDetailBudget[[#This Row],[Lvl 1 Header]]))</f>
        <v>1</v>
      </c>
      <c r="F1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14" s="101"/>
      <c r="J14" s="101"/>
      <c r="K14" s="88"/>
      <c r="L14" s="88"/>
      <c r="M14" s="62" t="str">
        <f>IF(TblDetailBudget[[#This Row],[Level]]=LvlBottomHdr, IFERROR(INDEX(TblUnitCost[Unit], MATCH(TblDetailBudget[[#This Row],[Row Title]], TblUnitCost[Resource], 0)), "Invalid Resource"), "")</f>
        <v>Invalid Resource</v>
      </c>
      <c r="N14" s="125" t="str">
        <f>IF(TblDetailBudget[[#This Row],[Level]]=LvlBottomHdr, IFERROR(INDEX(TblUnitCost[LCU], MATCH(TblDetailBudget[[#This Row],[Row Title]], TblUnitCost[Resource], 0)), "Invalid Resource"), "")</f>
        <v>Invalid Resource</v>
      </c>
      <c r="O14" s="128"/>
      <c r="P14" s="108"/>
      <c r="Q14" s="185"/>
      <c r="R14" s="129"/>
      <c r="S14" s="108"/>
      <c r="T14" s="108"/>
      <c r="U14" s="108"/>
      <c r="V14" s="108"/>
      <c r="W14" s="108"/>
      <c r="X14" s="125" t="str">
        <f>IF(TblDetailBudget[[#This Row],[Level]]=LvlBottomHdr, IF(SUM(TblDetailBudget[[#This Row],[2021 Quant]:[2025 Quant]])&gt;0, SUM(TblDetailBudget[[#This Row],[2021 Quant]:[2025 Quant]]), ""), "")</f>
        <v/>
      </c>
      <c r="Y1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4" s="140">
        <f>SUM(TblDetailBudget[[#This Row],[2021 Cost (LCU)]:[2025 Cost (LCU)]])</f>
        <v>0</v>
      </c>
      <c r="AE14" s="134">
        <f>IFERROR(SUM(TblDetailBudget[[#This Row],[2021 Cost (LCU)]])/FX_Rate, "")</f>
        <v>0</v>
      </c>
      <c r="AF14" s="63">
        <f>IFERROR(SUM(TblDetailBudget[[#This Row],[2022 Cost (LCU)]])/FX_Rate, "")</f>
        <v>0</v>
      </c>
      <c r="AG14" s="63">
        <f>IFERROR(SUM(TblDetailBudget[[#This Row],[2023 Cost (LCU)]])/FX_Rate, "")</f>
        <v>0</v>
      </c>
      <c r="AH14" s="63">
        <f>IFERROR(SUM(TblDetailBudget[[#This Row],[2024 Cost (LCU)]])/FX_Rate, "")</f>
        <v>0</v>
      </c>
      <c r="AI14" s="63">
        <f>IFERROR(SUM(TblDetailBudget[[#This Row],[2025 Cost (LCU)]])/FX_Rate, "")</f>
        <v>0</v>
      </c>
      <c r="AJ14" s="125">
        <f>SUM(TblDetailBudget[[#This Row],[2021 Cost (USD)]:[2025 Cost (USD)]])</f>
        <v>0</v>
      </c>
      <c r="AK14" s="180"/>
    </row>
    <row r="15" spans="2:37" ht="12.75" hidden="1" customHeight="1">
      <c r="B15" s="122" t="s">
        <v>71</v>
      </c>
      <c r="C1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1.1.1.1.3</v>
      </c>
      <c r="D15" s="62">
        <f>IF(TblDetailBudget[[#This Row],[Level]]="", "", COUNTIFS($B$8:TblDetailBudget[[#This Row],[Level]], Lvl1Hdr))</f>
        <v>1</v>
      </c>
      <c r="E15" s="62">
        <f>IF(TblDetailBudget[[#This Row],[Level]]="", "", COUNTIFS($B$8:TblDetailBudget[[#This Row],[Level]], Lvl2Hdr, $D$8:TblDetailBudget[[#This Row],[Lvl 1 Header]], TblDetailBudget[[#This Row],[Lvl 1 Header]]))</f>
        <v>1</v>
      </c>
      <c r="F1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3</v>
      </c>
      <c r="I15" s="101"/>
      <c r="J15" s="101"/>
      <c r="K15" s="88"/>
      <c r="L15" s="88"/>
      <c r="M15" s="62" t="str">
        <f>IF(TblDetailBudget[[#This Row],[Level]]=LvlBottomHdr, IFERROR(INDEX(TblUnitCost[Unit], MATCH(TblDetailBudget[[#This Row],[Row Title]], TblUnitCost[Resource], 0)), "Invalid Resource"), "")</f>
        <v>Invalid Resource</v>
      </c>
      <c r="N15" s="125" t="str">
        <f>IF(TblDetailBudget[[#This Row],[Level]]=LvlBottomHdr, IFERROR(INDEX(TblUnitCost[LCU], MATCH(TblDetailBudget[[#This Row],[Row Title]], TblUnitCost[Resource], 0)), "Invalid Resource"), "")</f>
        <v>Invalid Resource</v>
      </c>
      <c r="O15" s="128"/>
      <c r="P15" s="108"/>
      <c r="Q15" s="185"/>
      <c r="R15" s="129"/>
      <c r="S15" s="108"/>
      <c r="T15" s="108"/>
      <c r="U15" s="108"/>
      <c r="V15" s="108"/>
      <c r="W15" s="108"/>
      <c r="X15" s="125" t="str">
        <f>IF(TblDetailBudget[[#This Row],[Level]]=LvlBottomHdr, IF(SUM(TblDetailBudget[[#This Row],[2021 Quant]:[2025 Quant]])&gt;0, SUM(TblDetailBudget[[#This Row],[2021 Quant]:[2025 Quant]]), ""), "")</f>
        <v/>
      </c>
      <c r="Y15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5" s="140">
        <f>SUM(TblDetailBudget[[#This Row],[2021 Cost (LCU)]:[2025 Cost (LCU)]])</f>
        <v>0</v>
      </c>
      <c r="AE15" s="134">
        <f>IFERROR(SUM(TblDetailBudget[[#This Row],[2021 Cost (LCU)]])/FX_Rate, "")</f>
        <v>0</v>
      </c>
      <c r="AF15" s="63">
        <f>IFERROR(SUM(TblDetailBudget[[#This Row],[2022 Cost (LCU)]])/FX_Rate, "")</f>
        <v>0</v>
      </c>
      <c r="AG15" s="63">
        <f>IFERROR(SUM(TblDetailBudget[[#This Row],[2023 Cost (LCU)]])/FX_Rate, "")</f>
        <v>0</v>
      </c>
      <c r="AH15" s="63">
        <f>IFERROR(SUM(TblDetailBudget[[#This Row],[2024 Cost (LCU)]])/FX_Rate, "")</f>
        <v>0</v>
      </c>
      <c r="AI15" s="63">
        <f>IFERROR(SUM(TblDetailBudget[[#This Row],[2025 Cost (LCU)]])/FX_Rate, "")</f>
        <v>0</v>
      </c>
      <c r="AJ15" s="125">
        <f>SUM(TblDetailBudget[[#This Row],[2021 Cost (USD)]:[2025 Cost (USD)]])</f>
        <v>0</v>
      </c>
      <c r="AK15" s="180"/>
    </row>
    <row r="16" spans="2:37" ht="12.75" hidden="1" customHeight="1">
      <c r="B16" s="122" t="s">
        <v>70</v>
      </c>
      <c r="C1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1.1.1.2</v>
      </c>
      <c r="D16" s="62">
        <f>IF(TblDetailBudget[[#This Row],[Level]]="", "", COUNTIFS($B$8:TblDetailBudget[[#This Row],[Level]], Lvl1Hdr))</f>
        <v>1</v>
      </c>
      <c r="E16" s="62">
        <f>IF(TblDetailBudget[[#This Row],[Level]]="", "", COUNTIFS($B$8:TblDetailBudget[[#This Row],[Level]], Lvl2Hdr, $D$8:TblDetailBudget[[#This Row],[Lvl 1 Header]], TblDetailBudget[[#This Row],[Lvl 1 Header]]))</f>
        <v>1</v>
      </c>
      <c r="F1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6" s="101"/>
      <c r="J16" s="101"/>
      <c r="K16" s="88"/>
      <c r="L16" s="88"/>
      <c r="M16" s="62" t="str">
        <f>IF(TblDetailBudget[[#This Row],[Level]]=LvlBottomHdr, IFERROR(INDEX(TblUnitCost[Unit], MATCH(TblDetailBudget[[#This Row],[Row Title]], TblUnitCost[Resource], 0)), "Invalid Resource"), "")</f>
        <v/>
      </c>
      <c r="N16" s="125" t="str">
        <f>IF(TblDetailBudget[[#This Row],[Level]]=LvlBottomHdr, IFERROR(INDEX(TblUnitCost[LCU], MATCH(TblDetailBudget[[#This Row],[Row Title]], TblUnitCost[Resource], 0)), "Invalid Resource"), "")</f>
        <v/>
      </c>
      <c r="O16" s="128"/>
      <c r="P16" s="108"/>
      <c r="Q16" s="185"/>
      <c r="R16" s="129"/>
      <c r="S16" s="108"/>
      <c r="T16" s="108"/>
      <c r="U16" s="108"/>
      <c r="V16" s="108"/>
      <c r="W16" s="108"/>
      <c r="X16" s="125" t="str">
        <f>IF(TblDetailBudget[[#This Row],[Level]]=LvlBottomHdr, IF(SUM(TblDetailBudget[[#This Row],[2021 Quant]:[2025 Quant]])&gt;0, SUM(TblDetailBudget[[#This Row],[2021 Quant]:[2025 Quant]]), ""), "")</f>
        <v/>
      </c>
      <c r="Y1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6" s="140">
        <f>SUM(TblDetailBudget[[#This Row],[2021 Cost (LCU)]:[2025 Cost (LCU)]])</f>
        <v>0</v>
      </c>
      <c r="AE16" s="134">
        <f>IFERROR(SUM(TblDetailBudget[[#This Row],[2021 Cost (LCU)]])/FX_Rate, "")</f>
        <v>0</v>
      </c>
      <c r="AF16" s="63">
        <f>IFERROR(SUM(TblDetailBudget[[#This Row],[2022 Cost (LCU)]])/FX_Rate, "")</f>
        <v>0</v>
      </c>
      <c r="AG16" s="63">
        <f>IFERROR(SUM(TblDetailBudget[[#This Row],[2023 Cost (LCU)]])/FX_Rate, "")</f>
        <v>0</v>
      </c>
      <c r="AH16" s="63">
        <f>IFERROR(SUM(TblDetailBudget[[#This Row],[2024 Cost (LCU)]])/FX_Rate, "")</f>
        <v>0</v>
      </c>
      <c r="AI16" s="63">
        <f>IFERROR(SUM(TblDetailBudget[[#This Row],[2025 Cost (LCU)]])/FX_Rate, "")</f>
        <v>0</v>
      </c>
      <c r="AJ16" s="125">
        <f>SUM(TblDetailBudget[[#This Row],[2021 Cost (USD)]:[2025 Cost (USD)]])</f>
        <v>0</v>
      </c>
      <c r="AK16" s="180"/>
    </row>
    <row r="17" spans="2:37" ht="12.75" hidden="1" customHeight="1">
      <c r="B17" s="122" t="s">
        <v>71</v>
      </c>
      <c r="C1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1.1.1.2.1</v>
      </c>
      <c r="D17" s="62">
        <f>IF(TblDetailBudget[[#This Row],[Level]]="", "", COUNTIFS($B$8:TblDetailBudget[[#This Row],[Level]], Lvl1Hdr))</f>
        <v>1</v>
      </c>
      <c r="E17" s="62">
        <f>IF(TblDetailBudget[[#This Row],[Level]]="", "", COUNTIFS($B$8:TblDetailBudget[[#This Row],[Level]], Lvl2Hdr, $D$8:TblDetailBudget[[#This Row],[Lvl 1 Header]], TblDetailBudget[[#This Row],[Lvl 1 Header]]))</f>
        <v>1</v>
      </c>
      <c r="F1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7" s="101"/>
      <c r="J17" s="101"/>
      <c r="K17" s="88"/>
      <c r="L17" s="88"/>
      <c r="M17" s="62" t="str">
        <f>IF(TblDetailBudget[[#This Row],[Level]]=LvlBottomHdr, IFERROR(INDEX(TblUnitCost[Unit], MATCH(TblDetailBudget[[#This Row],[Row Title]], TblUnitCost[Resource], 0)), "Invalid Resource"), "")</f>
        <v>Invalid Resource</v>
      </c>
      <c r="N17" s="125" t="str">
        <f>IF(TblDetailBudget[[#This Row],[Level]]=LvlBottomHdr, IFERROR(INDEX(TblUnitCost[LCU], MATCH(TblDetailBudget[[#This Row],[Row Title]], TblUnitCost[Resource], 0)), "Invalid Resource"), "")</f>
        <v>Invalid Resource</v>
      </c>
      <c r="O17" s="128"/>
      <c r="P17" s="108"/>
      <c r="Q17" s="185"/>
      <c r="R17" s="129"/>
      <c r="S17" s="108"/>
      <c r="T17" s="108"/>
      <c r="U17" s="108"/>
      <c r="V17" s="108"/>
      <c r="W17" s="108"/>
      <c r="X17" s="125" t="str">
        <f>IF(TblDetailBudget[[#This Row],[Level]]=LvlBottomHdr, IF(SUM(TblDetailBudget[[#This Row],[2021 Quant]:[2025 Quant]])&gt;0, SUM(TblDetailBudget[[#This Row],[2021 Quant]:[2025 Quant]]), ""), "")</f>
        <v/>
      </c>
      <c r="Y17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7" s="140">
        <f>SUM(TblDetailBudget[[#This Row],[2021 Cost (LCU)]:[2025 Cost (LCU)]])</f>
        <v>0</v>
      </c>
      <c r="AE17" s="134">
        <f>IFERROR(SUM(TblDetailBudget[[#This Row],[2021 Cost (LCU)]])/FX_Rate, "")</f>
        <v>0</v>
      </c>
      <c r="AF17" s="63">
        <f>IFERROR(SUM(TblDetailBudget[[#This Row],[2022 Cost (LCU)]])/FX_Rate, "")</f>
        <v>0</v>
      </c>
      <c r="AG17" s="63">
        <f>IFERROR(SUM(TblDetailBudget[[#This Row],[2023 Cost (LCU)]])/FX_Rate, "")</f>
        <v>0</v>
      </c>
      <c r="AH17" s="63">
        <f>IFERROR(SUM(TblDetailBudget[[#This Row],[2024 Cost (LCU)]])/FX_Rate, "")</f>
        <v>0</v>
      </c>
      <c r="AI17" s="63">
        <f>IFERROR(SUM(TblDetailBudget[[#This Row],[2025 Cost (LCU)]])/FX_Rate, "")</f>
        <v>0</v>
      </c>
      <c r="AJ17" s="125">
        <f>SUM(TblDetailBudget[[#This Row],[2021 Cost (USD)]:[2025 Cost (USD)]])</f>
        <v>0</v>
      </c>
      <c r="AK17" s="180"/>
    </row>
    <row r="18" spans="2:37" ht="12.75" hidden="1" customHeight="1">
      <c r="B18" s="122" t="s">
        <v>70</v>
      </c>
      <c r="C1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1.1.1.3</v>
      </c>
      <c r="D18" s="62">
        <f>IF(TblDetailBudget[[#This Row],[Level]]="", "", COUNTIFS($B$8:TblDetailBudget[[#This Row],[Level]], Lvl1Hdr))</f>
        <v>1</v>
      </c>
      <c r="E18" s="62">
        <f>IF(TblDetailBudget[[#This Row],[Level]]="", "", COUNTIFS($B$8:TblDetailBudget[[#This Row],[Level]], Lvl2Hdr, $D$8:TblDetailBudget[[#This Row],[Lvl 1 Header]], TblDetailBudget[[#This Row],[Lvl 1 Header]]))</f>
        <v>1</v>
      </c>
      <c r="F1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1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8" s="101"/>
      <c r="J18" s="101"/>
      <c r="K18" s="88"/>
      <c r="L18" s="88"/>
      <c r="M18" s="62" t="str">
        <f>IF(TblDetailBudget[[#This Row],[Level]]=LvlBottomHdr, IFERROR(INDEX(TblUnitCost[Unit], MATCH(TblDetailBudget[[#This Row],[Row Title]], TblUnitCost[Resource], 0)), "Invalid Resource"), "")</f>
        <v/>
      </c>
      <c r="N18" s="125" t="str">
        <f>IF(TblDetailBudget[[#This Row],[Level]]=LvlBottomHdr, IFERROR(INDEX(TblUnitCost[LCU], MATCH(TblDetailBudget[[#This Row],[Row Title]], TblUnitCost[Resource], 0)), "Invalid Resource"), "")</f>
        <v/>
      </c>
      <c r="O18" s="128"/>
      <c r="P18" s="108"/>
      <c r="Q18" s="185"/>
      <c r="R18" s="129"/>
      <c r="S18" s="108"/>
      <c r="T18" s="108"/>
      <c r="U18" s="108"/>
      <c r="V18" s="108"/>
      <c r="W18" s="108"/>
      <c r="X18" s="125" t="str">
        <f>IF(TblDetailBudget[[#This Row],[Level]]=LvlBottomHdr, IF(SUM(TblDetailBudget[[#This Row],[2021 Quant]:[2025 Quant]])&gt;0, SUM(TblDetailBudget[[#This Row],[2021 Quant]:[2025 Quant]]), ""), "")</f>
        <v/>
      </c>
      <c r="Y1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8" s="140">
        <f>SUM(TblDetailBudget[[#This Row],[2021 Cost (LCU)]:[2025 Cost (LCU)]])</f>
        <v>0</v>
      </c>
      <c r="AE18" s="134">
        <f>IFERROR(SUM(TblDetailBudget[[#This Row],[2021 Cost (LCU)]])/FX_Rate, "")</f>
        <v>0</v>
      </c>
      <c r="AF18" s="63">
        <f>IFERROR(SUM(TblDetailBudget[[#This Row],[2022 Cost (LCU)]])/FX_Rate, "")</f>
        <v>0</v>
      </c>
      <c r="AG18" s="63">
        <f>IFERROR(SUM(TblDetailBudget[[#This Row],[2023 Cost (LCU)]])/FX_Rate, "")</f>
        <v>0</v>
      </c>
      <c r="AH18" s="63">
        <f>IFERROR(SUM(TblDetailBudget[[#This Row],[2024 Cost (LCU)]])/FX_Rate, "")</f>
        <v>0</v>
      </c>
      <c r="AI18" s="63">
        <f>IFERROR(SUM(TblDetailBudget[[#This Row],[2025 Cost (LCU)]])/FX_Rate, "")</f>
        <v>0</v>
      </c>
      <c r="AJ18" s="125">
        <f>SUM(TblDetailBudget[[#This Row],[2021 Cost (USD)]:[2025 Cost (USD)]])</f>
        <v>0</v>
      </c>
      <c r="AK18" s="180"/>
    </row>
    <row r="19" spans="2:37" ht="12.75" hidden="1" customHeight="1">
      <c r="B19" s="122" t="s">
        <v>71</v>
      </c>
      <c r="C1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1.1.1.3.1</v>
      </c>
      <c r="D19" s="62">
        <f>IF(TblDetailBudget[[#This Row],[Level]]="", "", COUNTIFS($B$8:TblDetailBudget[[#This Row],[Level]], Lvl1Hdr))</f>
        <v>1</v>
      </c>
      <c r="E19" s="62">
        <f>IF(TblDetailBudget[[#This Row],[Level]]="", "", COUNTIFS($B$8:TblDetailBudget[[#This Row],[Level]], Lvl2Hdr, $D$8:TblDetailBudget[[#This Row],[Lvl 1 Header]], TblDetailBudget[[#This Row],[Lvl 1 Header]]))</f>
        <v>1</v>
      </c>
      <c r="F1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1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9" s="101"/>
      <c r="J19" s="101"/>
      <c r="K19" s="88"/>
      <c r="L19" s="88"/>
      <c r="M19" s="62" t="str">
        <f>IF(TblDetailBudget[[#This Row],[Level]]=LvlBottomHdr, IFERROR(INDEX(TblUnitCost[Unit], MATCH(TblDetailBudget[[#This Row],[Row Title]], TblUnitCost[Resource], 0)), "Invalid Resource"), "")</f>
        <v>Invalid Resource</v>
      </c>
      <c r="N19" s="125" t="str">
        <f>IF(TblDetailBudget[[#This Row],[Level]]=LvlBottomHdr, IFERROR(INDEX(TblUnitCost[LCU], MATCH(TblDetailBudget[[#This Row],[Row Title]], TblUnitCost[Resource], 0)), "Invalid Resource"), "")</f>
        <v>Invalid Resource</v>
      </c>
      <c r="O19" s="128"/>
      <c r="P19" s="108"/>
      <c r="Q19" s="185"/>
      <c r="R19" s="129"/>
      <c r="S19" s="108"/>
      <c r="T19" s="108"/>
      <c r="U19" s="108"/>
      <c r="V19" s="108"/>
      <c r="W19" s="108"/>
      <c r="X19" s="125" t="str">
        <f>IF(TblDetailBudget[[#This Row],[Level]]=LvlBottomHdr, IF(SUM(TblDetailBudget[[#This Row],[2021 Quant]:[2025 Quant]])&gt;0, SUM(TblDetailBudget[[#This Row],[2021 Quant]:[2025 Quant]]), ""), "")</f>
        <v/>
      </c>
      <c r="Y1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9" s="140">
        <f>SUM(TblDetailBudget[[#This Row],[2021 Cost (LCU)]:[2025 Cost (LCU)]])</f>
        <v>0</v>
      </c>
      <c r="AE19" s="134">
        <f>IFERROR(SUM(TblDetailBudget[[#This Row],[2021 Cost (LCU)]])/FX_Rate, "")</f>
        <v>0</v>
      </c>
      <c r="AF19" s="63">
        <f>IFERROR(SUM(TblDetailBudget[[#This Row],[2022 Cost (LCU)]])/FX_Rate, "")</f>
        <v>0</v>
      </c>
      <c r="AG19" s="63">
        <f>IFERROR(SUM(TblDetailBudget[[#This Row],[2023 Cost (LCU)]])/FX_Rate, "")</f>
        <v>0</v>
      </c>
      <c r="AH19" s="63">
        <f>IFERROR(SUM(TblDetailBudget[[#This Row],[2024 Cost (LCU)]])/FX_Rate, "")</f>
        <v>0</v>
      </c>
      <c r="AI19" s="63">
        <f>IFERROR(SUM(TblDetailBudget[[#This Row],[2025 Cost (LCU)]])/FX_Rate, "")</f>
        <v>0</v>
      </c>
      <c r="AJ19" s="125">
        <f>SUM(TblDetailBudget[[#This Row],[2021 Cost (USD)]:[2025 Cost (USD)]])</f>
        <v>0</v>
      </c>
      <c r="AK19" s="180"/>
    </row>
    <row r="20" spans="2:37" ht="12.75" hidden="1" customHeight="1">
      <c r="B20" s="122" t="s">
        <v>71</v>
      </c>
      <c r="C2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1.1.1.3.2</v>
      </c>
      <c r="D20" s="62">
        <f>IF(TblDetailBudget[[#This Row],[Level]]="", "", COUNTIFS($B$8:TblDetailBudget[[#This Row],[Level]], Lvl1Hdr))</f>
        <v>1</v>
      </c>
      <c r="E20" s="62">
        <f>IF(TblDetailBudget[[#This Row],[Level]]="", "", COUNTIFS($B$8:TblDetailBudget[[#This Row],[Level]], Lvl2Hdr, $D$8:TblDetailBudget[[#This Row],[Lvl 1 Header]], TblDetailBudget[[#This Row],[Lvl 1 Header]]))</f>
        <v>1</v>
      </c>
      <c r="F2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2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20" s="101"/>
      <c r="J20" s="101"/>
      <c r="K20" s="88"/>
      <c r="L20" s="88"/>
      <c r="M20" s="62" t="str">
        <f>IF(TblDetailBudget[[#This Row],[Level]]=LvlBottomHdr, IFERROR(INDEX(TblUnitCost[Unit], MATCH(TblDetailBudget[[#This Row],[Row Title]], TblUnitCost[Resource], 0)), "Invalid Resource"), "")</f>
        <v>Invalid Resource</v>
      </c>
      <c r="N20" s="125" t="str">
        <f>IF(TblDetailBudget[[#This Row],[Level]]=LvlBottomHdr, IFERROR(INDEX(TblUnitCost[LCU], MATCH(TblDetailBudget[[#This Row],[Row Title]], TblUnitCost[Resource], 0)), "Invalid Resource"), "")</f>
        <v>Invalid Resource</v>
      </c>
      <c r="O20" s="128"/>
      <c r="P20" s="108"/>
      <c r="Q20" s="185"/>
      <c r="R20" s="129"/>
      <c r="S20" s="108"/>
      <c r="T20" s="108"/>
      <c r="U20" s="108"/>
      <c r="V20" s="108"/>
      <c r="W20" s="108"/>
      <c r="X20" s="125" t="str">
        <f>IF(TblDetailBudget[[#This Row],[Level]]=LvlBottomHdr, IF(SUM(TblDetailBudget[[#This Row],[2021 Quant]:[2025 Quant]])&gt;0, SUM(TblDetailBudget[[#This Row],[2021 Quant]:[2025 Quant]]), ""), "")</f>
        <v/>
      </c>
      <c r="Y20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0" s="140">
        <f>SUM(TblDetailBudget[[#This Row],[2021 Cost (LCU)]:[2025 Cost (LCU)]])</f>
        <v>0</v>
      </c>
      <c r="AE20" s="134">
        <f>IFERROR(SUM(TblDetailBudget[[#This Row],[2021 Cost (LCU)]])/FX_Rate, "")</f>
        <v>0</v>
      </c>
      <c r="AF20" s="63">
        <f>IFERROR(SUM(TblDetailBudget[[#This Row],[2022 Cost (LCU)]])/FX_Rate, "")</f>
        <v>0</v>
      </c>
      <c r="AG20" s="63">
        <f>IFERROR(SUM(TblDetailBudget[[#This Row],[2023 Cost (LCU)]])/FX_Rate, "")</f>
        <v>0</v>
      </c>
      <c r="AH20" s="63">
        <f>IFERROR(SUM(TblDetailBudget[[#This Row],[2024 Cost (LCU)]])/FX_Rate, "")</f>
        <v>0</v>
      </c>
      <c r="AI20" s="63">
        <f>IFERROR(SUM(TblDetailBudget[[#This Row],[2025 Cost (LCU)]])/FX_Rate, "")</f>
        <v>0</v>
      </c>
      <c r="AJ20" s="125">
        <f>SUM(TblDetailBudget[[#This Row],[2021 Cost (USD)]:[2025 Cost (USD)]])</f>
        <v>0</v>
      </c>
      <c r="AK20" s="180"/>
    </row>
    <row r="21" spans="2:37" ht="12.75" hidden="1" customHeight="1">
      <c r="B21" s="122" t="s">
        <v>71</v>
      </c>
      <c r="C2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1.1.1.3.3</v>
      </c>
      <c r="D21" s="62">
        <f>IF(TblDetailBudget[[#This Row],[Level]]="", "", COUNTIFS($B$8:TblDetailBudget[[#This Row],[Level]], Lvl1Hdr))</f>
        <v>1</v>
      </c>
      <c r="E21" s="62">
        <f>IF(TblDetailBudget[[#This Row],[Level]]="", "", COUNTIFS($B$8:TblDetailBudget[[#This Row],[Level]], Lvl2Hdr, $D$8:TblDetailBudget[[#This Row],[Lvl 1 Header]], TblDetailBudget[[#This Row],[Lvl 1 Header]]))</f>
        <v>1</v>
      </c>
      <c r="F2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2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3</v>
      </c>
      <c r="I21" s="101"/>
      <c r="J21" s="101"/>
      <c r="K21" s="88"/>
      <c r="L21" s="88"/>
      <c r="M21" s="62" t="str">
        <f>IF(TblDetailBudget[[#This Row],[Level]]=LvlBottomHdr, IFERROR(INDEX(TblUnitCost[Unit], MATCH(TblDetailBudget[[#This Row],[Row Title]], TblUnitCost[Resource], 0)), "Invalid Resource"), "")</f>
        <v>Invalid Resource</v>
      </c>
      <c r="N21" s="125" t="str">
        <f>IF(TblDetailBudget[[#This Row],[Level]]=LvlBottomHdr, IFERROR(INDEX(TblUnitCost[LCU], MATCH(TblDetailBudget[[#This Row],[Row Title]], TblUnitCost[Resource], 0)), "Invalid Resource"), "")</f>
        <v>Invalid Resource</v>
      </c>
      <c r="O21" s="128"/>
      <c r="P21" s="108"/>
      <c r="Q21" s="185"/>
      <c r="R21" s="129"/>
      <c r="S21" s="108"/>
      <c r="T21" s="108"/>
      <c r="U21" s="108"/>
      <c r="V21" s="108"/>
      <c r="W21" s="108"/>
      <c r="X21" s="125" t="str">
        <f>IF(TblDetailBudget[[#This Row],[Level]]=LvlBottomHdr, IF(SUM(TblDetailBudget[[#This Row],[2021 Quant]:[2025 Quant]])&gt;0, SUM(TblDetailBudget[[#This Row],[2021 Quant]:[2025 Quant]]), ""), "")</f>
        <v/>
      </c>
      <c r="Y21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1" s="140">
        <f>SUM(TblDetailBudget[[#This Row],[2021 Cost (LCU)]:[2025 Cost (LCU)]])</f>
        <v>0</v>
      </c>
      <c r="AE21" s="134">
        <f>IFERROR(SUM(TblDetailBudget[[#This Row],[2021 Cost (LCU)]])/FX_Rate, "")</f>
        <v>0</v>
      </c>
      <c r="AF21" s="63">
        <f>IFERROR(SUM(TblDetailBudget[[#This Row],[2022 Cost (LCU)]])/FX_Rate, "")</f>
        <v>0</v>
      </c>
      <c r="AG21" s="63">
        <f>IFERROR(SUM(TblDetailBudget[[#This Row],[2023 Cost (LCU)]])/FX_Rate, "")</f>
        <v>0</v>
      </c>
      <c r="AH21" s="63">
        <f>IFERROR(SUM(TblDetailBudget[[#This Row],[2024 Cost (LCU)]])/FX_Rate, "")</f>
        <v>0</v>
      </c>
      <c r="AI21" s="63">
        <f>IFERROR(SUM(TblDetailBudget[[#This Row],[2025 Cost (LCU)]])/FX_Rate, "")</f>
        <v>0</v>
      </c>
      <c r="AJ21" s="125">
        <f>SUM(TblDetailBudget[[#This Row],[2021 Cost (USD)]:[2025 Cost (USD)]])</f>
        <v>0</v>
      </c>
      <c r="AK21" s="180"/>
    </row>
    <row r="22" spans="2:37" ht="12.75" customHeight="1">
      <c r="B22" s="122" t="s">
        <v>69</v>
      </c>
      <c r="C2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</v>
      </c>
      <c r="D22" s="62">
        <f>IF(TblDetailBudget[[#This Row],[Level]]="", "", COUNTIFS($B$8:TblDetailBudget[[#This Row],[Level]], Lvl1Hdr))</f>
        <v>1</v>
      </c>
      <c r="E22" s="62">
        <f>IF(TblDetailBudget[[#This Row],[Level]]="", "", COUNTIFS($B$8:TblDetailBudget[[#This Row],[Level]], Lvl2Hdr, $D$8:TblDetailBudget[[#This Row],[Lvl 1 Header]], TblDetailBudget[[#This Row],[Lvl 1 Header]]))</f>
        <v>1</v>
      </c>
      <c r="F2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2" s="188" t="s">
        <v>165</v>
      </c>
      <c r="J22" s="101"/>
      <c r="K22" s="88"/>
      <c r="L22" s="88"/>
      <c r="M22" s="62" t="str">
        <f>IF(TblDetailBudget[[#This Row],[Level]]=LvlBottomHdr, IFERROR(INDEX(TblUnitCost[Unit], MATCH(TblDetailBudget[[#This Row],[Row Title]], TblUnitCost[Resource], 0)), "Invalid Resource"), "")</f>
        <v/>
      </c>
      <c r="N22" s="125" t="str">
        <f>IF(TblDetailBudget[[#This Row],[Level]]=LvlBottomHdr, IFERROR(INDEX(TblUnitCost[LCU], MATCH(TblDetailBudget[[#This Row],[Row Title]], TblUnitCost[Resource], 0)), "Invalid Resource"), "")</f>
        <v/>
      </c>
      <c r="O22" s="128"/>
      <c r="P22" s="108"/>
      <c r="Q22" s="185"/>
      <c r="R22" s="129"/>
      <c r="S22" s="108"/>
      <c r="T22" s="108"/>
      <c r="U22" s="108"/>
      <c r="V22" s="108"/>
      <c r="W22" s="108"/>
      <c r="X22" s="125" t="str">
        <f>IF(TblDetailBudget[[#This Row],[Level]]=LvlBottomHdr, IF(SUM(TblDetailBudget[[#This Row],[2021 Quant]:[2025 Quant]])&gt;0, SUM(TblDetailBudget[[#This Row],[2021 Quant]:[2025 Quant]]), ""), "")</f>
        <v/>
      </c>
      <c r="Y2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194045122715</v>
      </c>
      <c r="AD22" s="140">
        <f>SUM(TblDetailBudget[[#This Row],[2021 Cost (LCU)]:[2025 Cost (LCU)]])</f>
        <v>194045122715</v>
      </c>
      <c r="AE22" s="134">
        <f>IFERROR(SUM(TblDetailBudget[[#This Row],[2021 Cost (LCU)]])/FX_Rate, "")</f>
        <v>0</v>
      </c>
      <c r="AF22" s="63">
        <f>IFERROR(SUM(TblDetailBudget[[#This Row],[2022 Cost (LCU)]])/FX_Rate, "")</f>
        <v>0</v>
      </c>
      <c r="AG22" s="63">
        <f>IFERROR(SUM(TblDetailBudget[[#This Row],[2023 Cost (LCU)]])/FX_Rate, "")</f>
        <v>0</v>
      </c>
      <c r="AH22" s="63">
        <f>IFERROR(SUM(TblDetailBudget[[#This Row],[2024 Cost (LCU)]])/FX_Rate, "")</f>
        <v>0</v>
      </c>
      <c r="AI22" s="63">
        <f>IFERROR(SUM(TblDetailBudget[[#This Row],[2025 Cost (LCU)]])/FX_Rate, "")</f>
        <v>121278201.69687501</v>
      </c>
      <c r="AJ22" s="125">
        <f>SUM(TblDetailBudget[[#This Row],[2021 Cost (USD)]:[2025 Cost (USD)]])</f>
        <v>121278201.69687501</v>
      </c>
      <c r="AK22" s="180" t="s">
        <v>32</v>
      </c>
    </row>
    <row r="23" spans="2:37" ht="12.75" customHeight="1">
      <c r="B23" s="122" t="s">
        <v>70</v>
      </c>
      <c r="C2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1.1.2.1</v>
      </c>
      <c r="D23" s="62">
        <f>IF(TblDetailBudget[[#This Row],[Level]]="", "", COUNTIFS($B$8:TblDetailBudget[[#This Row],[Level]], Lvl1Hdr))</f>
        <v>1</v>
      </c>
      <c r="E23" s="62">
        <f>IF(TblDetailBudget[[#This Row],[Level]]="", "", COUNTIFS($B$8:TblDetailBudget[[#This Row],[Level]], Lvl2Hdr, $D$8:TblDetailBudget[[#This Row],[Lvl 1 Header]], TblDetailBudget[[#This Row],[Lvl 1 Header]]))</f>
        <v>1</v>
      </c>
      <c r="F2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3" s="101" t="s">
        <v>2418</v>
      </c>
      <c r="J23" s="101"/>
      <c r="K23" s="88"/>
      <c r="L23" s="88"/>
      <c r="M23" s="62" t="str">
        <f>IF(TblDetailBudget[[#This Row],[Level]]=LvlBottomHdr, IFERROR(INDEX(TblUnitCost[Unit], MATCH(TblDetailBudget[[#This Row],[Row Title]], TblUnitCost[Resource], 0)), "Invalid Resource"), "")</f>
        <v/>
      </c>
      <c r="N23" s="125" t="str">
        <f>IF(TblDetailBudget[[#This Row],[Level]]=LvlBottomHdr, IFERROR(INDEX(TblUnitCost[LCU], MATCH(TblDetailBudget[[#This Row],[Row Title]], TblUnitCost[Resource], 0)), "Invalid Resource"), "")</f>
        <v/>
      </c>
      <c r="O23" s="128"/>
      <c r="P23" s="108"/>
      <c r="Q23" s="185"/>
      <c r="R23" s="129"/>
      <c r="S23" s="108"/>
      <c r="T23" s="108"/>
      <c r="U23" s="108"/>
      <c r="V23" s="108"/>
      <c r="W23" s="108"/>
      <c r="X23" s="125" t="str">
        <f>IF(TblDetailBudget[[#This Row],[Level]]=LvlBottomHdr, IF(SUM(TblDetailBudget[[#This Row],[2021 Quant]:[2025 Quant]])&gt;0, SUM(TblDetailBudget[[#This Row],[2021 Quant]:[2025 Quant]]), ""), "")</f>
        <v/>
      </c>
      <c r="Y23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194045122715</v>
      </c>
      <c r="AD23" s="140">
        <f>SUM(TblDetailBudget[[#This Row],[2021 Cost (LCU)]:[2025 Cost (LCU)]])</f>
        <v>194045122715</v>
      </c>
      <c r="AE23" s="134">
        <f>IFERROR(SUM(TblDetailBudget[[#This Row],[2021 Cost (LCU)]])/FX_Rate, "")</f>
        <v>0</v>
      </c>
      <c r="AF23" s="63">
        <f>IFERROR(SUM(TblDetailBudget[[#This Row],[2022 Cost (LCU)]])/FX_Rate, "")</f>
        <v>0</v>
      </c>
      <c r="AG23" s="63">
        <f>IFERROR(SUM(TblDetailBudget[[#This Row],[2023 Cost (LCU)]])/FX_Rate, "")</f>
        <v>0</v>
      </c>
      <c r="AH23" s="63">
        <f>IFERROR(SUM(TblDetailBudget[[#This Row],[2024 Cost (LCU)]])/FX_Rate, "")</f>
        <v>0</v>
      </c>
      <c r="AI23" s="63">
        <f>IFERROR(SUM(TblDetailBudget[[#This Row],[2025 Cost (LCU)]])/FX_Rate, "")</f>
        <v>121278201.69687501</v>
      </c>
      <c r="AJ23" s="125">
        <f>SUM(TblDetailBudget[[#This Row],[2021 Cost (USD)]:[2025 Cost (USD)]])</f>
        <v>121278201.69687501</v>
      </c>
      <c r="AK23" s="180"/>
    </row>
    <row r="24" spans="2:37" ht="12.75" customHeight="1">
      <c r="B24" s="122" t="s">
        <v>71</v>
      </c>
      <c r="C2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1.1.2.1.1</v>
      </c>
      <c r="D24" s="62">
        <f>IF(TblDetailBudget[[#This Row],[Level]]="", "", COUNTIFS($B$8:TblDetailBudget[[#This Row],[Level]], Lvl1Hdr))</f>
        <v>1</v>
      </c>
      <c r="E24" s="62">
        <f>IF(TblDetailBudget[[#This Row],[Level]]="", "", COUNTIFS($B$8:TblDetailBudget[[#This Row],[Level]], Lvl2Hdr, $D$8:TblDetailBudget[[#This Row],[Lvl 1 Header]], TblDetailBudget[[#This Row],[Lvl 1 Header]]))</f>
        <v>1</v>
      </c>
      <c r="F2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4" s="96" t="s">
        <v>2417</v>
      </c>
      <c r="J24" s="101"/>
      <c r="K24" s="88"/>
      <c r="L24" s="88"/>
      <c r="M24" s="62" t="str">
        <f>IF(TblDetailBudget[[#This Row],[Level]]=LvlBottomHdr, IFERROR(INDEX(TblUnitCost[Unit], MATCH(TblDetailBudget[[#This Row],[Row Title]], TblUnitCost[Resource], 0)), "Invalid Resource"), "")</f>
        <v>per ITN</v>
      </c>
      <c r="N24" s="125">
        <f>IF(TblDetailBudget[[#This Row],[Level]]=LvlBottomHdr, IFERROR(INDEX(TblUnitCost[LCU], MATCH(TblDetailBudget[[#This Row],[Row Title]], TblUnitCost[Resource], 0)), "Invalid Resource"), "")</f>
        <v>5585</v>
      </c>
      <c r="O24" s="128">
        <f>'States and LGAs'!AV6</f>
        <v>34743979</v>
      </c>
      <c r="P24" s="108">
        <v>1</v>
      </c>
      <c r="Q24" s="185">
        <v>1</v>
      </c>
      <c r="R24" s="129">
        <v>1</v>
      </c>
      <c r="S24" s="108"/>
      <c r="T24" s="108"/>
      <c r="U24" s="108"/>
      <c r="V24" s="108"/>
      <c r="W24" s="108">
        <v>1</v>
      </c>
      <c r="X24" s="125">
        <f>IF(TblDetailBudget[[#This Row],[Level]]=LvlBottomHdr, IF(SUM(TblDetailBudget[[#This Row],[2021 Quant]:[2025 Quant]])&gt;0, SUM(TblDetailBudget[[#This Row],[2021 Quant]:[2025 Quant]]), ""), "")</f>
        <v>1</v>
      </c>
      <c r="Y24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194045122715</v>
      </c>
      <c r="AD24" s="140">
        <f>SUM(TblDetailBudget[[#This Row],[2021 Cost (LCU)]:[2025 Cost (LCU)]])</f>
        <v>194045122715</v>
      </c>
      <c r="AE24" s="134">
        <f>IFERROR(SUM(TblDetailBudget[[#This Row],[2021 Cost (LCU)]])/FX_Rate, "")</f>
        <v>0</v>
      </c>
      <c r="AF24" s="63">
        <f>IFERROR(SUM(TblDetailBudget[[#This Row],[2022 Cost (LCU)]])/FX_Rate, "")</f>
        <v>0</v>
      </c>
      <c r="AG24" s="63">
        <f>IFERROR(SUM(TblDetailBudget[[#This Row],[2023 Cost (LCU)]])/FX_Rate, "")</f>
        <v>0</v>
      </c>
      <c r="AH24" s="63">
        <f>IFERROR(SUM(TblDetailBudget[[#This Row],[2024 Cost (LCU)]])/FX_Rate, "")</f>
        <v>0</v>
      </c>
      <c r="AI24" s="63">
        <f>IFERROR(SUM(TblDetailBudget[[#This Row],[2025 Cost (LCU)]])/FX_Rate, "")</f>
        <v>121278201.69687501</v>
      </c>
      <c r="AJ24" s="125">
        <f>SUM(TblDetailBudget[[#This Row],[2021 Cost (USD)]:[2025 Cost (USD)]])</f>
        <v>121278201.69687501</v>
      </c>
      <c r="AK24" s="180"/>
    </row>
    <row r="25" spans="2:37" ht="12.75" hidden="1" customHeight="1">
      <c r="B25" s="122" t="s">
        <v>70</v>
      </c>
      <c r="C2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1.1.2.2</v>
      </c>
      <c r="D25" s="62">
        <f>IF(TblDetailBudget[[#This Row],[Level]]="", "", COUNTIFS($B$8:TblDetailBudget[[#This Row],[Level]], Lvl1Hdr))</f>
        <v>1</v>
      </c>
      <c r="E25" s="62">
        <f>IF(TblDetailBudget[[#This Row],[Level]]="", "", COUNTIFS($B$8:TblDetailBudget[[#This Row],[Level]], Lvl2Hdr, $D$8:TblDetailBudget[[#This Row],[Lvl 1 Header]], TblDetailBudget[[#This Row],[Lvl 1 Header]]))</f>
        <v>1</v>
      </c>
      <c r="F2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5" s="101"/>
      <c r="J25" s="101"/>
      <c r="K25" s="88"/>
      <c r="L25" s="88"/>
      <c r="M25" s="62" t="str">
        <f>IF(TblDetailBudget[[#This Row],[Level]]=LvlBottomHdr, IFERROR(INDEX(TblUnitCost[Unit], MATCH(TblDetailBudget[[#This Row],[Row Title]], TblUnitCost[Resource], 0)), "Invalid Resource"), "")</f>
        <v/>
      </c>
      <c r="N25" s="125" t="str">
        <f>IF(TblDetailBudget[[#This Row],[Level]]=LvlBottomHdr, IFERROR(INDEX(TblUnitCost[LCU], MATCH(TblDetailBudget[[#This Row],[Row Title]], TblUnitCost[Resource], 0)), "Invalid Resource"), "")</f>
        <v/>
      </c>
      <c r="O25" s="128"/>
      <c r="P25" s="108"/>
      <c r="Q25" s="185"/>
      <c r="R25" s="129"/>
      <c r="S25" s="108"/>
      <c r="T25" s="108"/>
      <c r="U25" s="108"/>
      <c r="V25" s="108"/>
      <c r="W25" s="108"/>
      <c r="X25" s="125" t="str">
        <f>IF(TblDetailBudget[[#This Row],[Level]]=LvlBottomHdr, IF(SUM(TblDetailBudget[[#This Row],[2021 Quant]:[2025 Quant]])&gt;0, SUM(TblDetailBudget[[#This Row],[2021 Quant]:[2025 Quant]]), ""), "")</f>
        <v/>
      </c>
      <c r="Y2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5" s="140">
        <f>SUM(TblDetailBudget[[#This Row],[2021 Cost (LCU)]:[2025 Cost (LCU)]])</f>
        <v>0</v>
      </c>
      <c r="AE25" s="134">
        <f>IFERROR(SUM(TblDetailBudget[[#This Row],[2021 Cost (LCU)]])/FX_Rate, "")</f>
        <v>0</v>
      </c>
      <c r="AF25" s="63">
        <f>IFERROR(SUM(TblDetailBudget[[#This Row],[2022 Cost (LCU)]])/FX_Rate, "")</f>
        <v>0</v>
      </c>
      <c r="AG25" s="63">
        <f>IFERROR(SUM(TblDetailBudget[[#This Row],[2023 Cost (LCU)]])/FX_Rate, "")</f>
        <v>0</v>
      </c>
      <c r="AH25" s="63">
        <f>IFERROR(SUM(TblDetailBudget[[#This Row],[2024 Cost (LCU)]])/FX_Rate, "")</f>
        <v>0</v>
      </c>
      <c r="AI25" s="63">
        <f>IFERROR(SUM(TblDetailBudget[[#This Row],[2025 Cost (LCU)]])/FX_Rate, "")</f>
        <v>0</v>
      </c>
      <c r="AJ25" s="125">
        <f>SUM(TblDetailBudget[[#This Row],[2021 Cost (USD)]:[2025 Cost (USD)]])</f>
        <v>0</v>
      </c>
      <c r="AK25" s="180"/>
    </row>
    <row r="26" spans="2:37" ht="12.75" hidden="1" customHeight="1">
      <c r="B26" s="122" t="s">
        <v>70</v>
      </c>
      <c r="C2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1.1.2.3</v>
      </c>
      <c r="D26" s="62">
        <f>IF(TblDetailBudget[[#This Row],[Level]]="", "", COUNTIFS($B$8:TblDetailBudget[[#This Row],[Level]], Lvl1Hdr))</f>
        <v>1</v>
      </c>
      <c r="E26" s="62">
        <f>IF(TblDetailBudget[[#This Row],[Level]]="", "", COUNTIFS($B$8:TblDetailBudget[[#This Row],[Level]], Lvl2Hdr, $D$8:TblDetailBudget[[#This Row],[Lvl 1 Header]], TblDetailBudget[[#This Row],[Lvl 1 Header]]))</f>
        <v>1</v>
      </c>
      <c r="F2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2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6" s="101"/>
      <c r="J26" s="101"/>
      <c r="K26" s="88"/>
      <c r="L26" s="88"/>
      <c r="M26" s="62" t="str">
        <f>IF(TblDetailBudget[[#This Row],[Level]]=LvlBottomHdr, IFERROR(INDEX(TblUnitCost[Unit], MATCH(TblDetailBudget[[#This Row],[Row Title]], TblUnitCost[Resource], 0)), "Invalid Resource"), "")</f>
        <v/>
      </c>
      <c r="N26" s="125" t="str">
        <f>IF(TblDetailBudget[[#This Row],[Level]]=LvlBottomHdr, IFERROR(INDEX(TblUnitCost[LCU], MATCH(TblDetailBudget[[#This Row],[Row Title]], TblUnitCost[Resource], 0)), "Invalid Resource"), "")</f>
        <v/>
      </c>
      <c r="O26" s="128"/>
      <c r="P26" s="108"/>
      <c r="Q26" s="185"/>
      <c r="R26" s="129"/>
      <c r="S26" s="108"/>
      <c r="T26" s="108"/>
      <c r="U26" s="108"/>
      <c r="V26" s="108"/>
      <c r="W26" s="108"/>
      <c r="X26" s="125" t="str">
        <f>IF(TblDetailBudget[[#This Row],[Level]]=LvlBottomHdr, IF(SUM(TblDetailBudget[[#This Row],[2021 Quant]:[2025 Quant]])&gt;0, SUM(TblDetailBudget[[#This Row],[2021 Quant]:[2025 Quant]]), ""), "")</f>
        <v/>
      </c>
      <c r="Y2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6" s="140">
        <f>SUM(TblDetailBudget[[#This Row],[2021 Cost (LCU)]:[2025 Cost (LCU)]])</f>
        <v>0</v>
      </c>
      <c r="AE26" s="134">
        <f>IFERROR(SUM(TblDetailBudget[[#This Row],[2021 Cost (LCU)]])/FX_Rate, "")</f>
        <v>0</v>
      </c>
      <c r="AF26" s="63">
        <f>IFERROR(SUM(TblDetailBudget[[#This Row],[2022 Cost (LCU)]])/FX_Rate, "")</f>
        <v>0</v>
      </c>
      <c r="AG26" s="63">
        <f>IFERROR(SUM(TblDetailBudget[[#This Row],[2023 Cost (LCU)]])/FX_Rate, "")</f>
        <v>0</v>
      </c>
      <c r="AH26" s="63">
        <f>IFERROR(SUM(TblDetailBudget[[#This Row],[2024 Cost (LCU)]])/FX_Rate, "")</f>
        <v>0</v>
      </c>
      <c r="AI26" s="63">
        <f>IFERROR(SUM(TblDetailBudget[[#This Row],[2025 Cost (LCU)]])/FX_Rate, "")</f>
        <v>0</v>
      </c>
      <c r="AJ26" s="125">
        <f>SUM(TblDetailBudget[[#This Row],[2021 Cost (USD)]:[2025 Cost (USD)]])</f>
        <v>0</v>
      </c>
      <c r="AK26" s="180"/>
    </row>
    <row r="27" spans="2:37" ht="12.75" hidden="1" customHeight="1">
      <c r="B27" s="122" t="s">
        <v>71</v>
      </c>
      <c r="C2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1.1.2.3.1</v>
      </c>
      <c r="D27" s="62">
        <f>IF(TblDetailBudget[[#This Row],[Level]]="", "", COUNTIFS($B$8:TblDetailBudget[[#This Row],[Level]], Lvl1Hdr))</f>
        <v>1</v>
      </c>
      <c r="E27" s="62">
        <f>IF(TblDetailBudget[[#This Row],[Level]]="", "", COUNTIFS($B$8:TblDetailBudget[[#This Row],[Level]], Lvl2Hdr, $D$8:TblDetailBudget[[#This Row],[Lvl 1 Header]], TblDetailBudget[[#This Row],[Lvl 1 Header]]))</f>
        <v>1</v>
      </c>
      <c r="F2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2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7" s="101"/>
      <c r="J27" s="101"/>
      <c r="K27" s="88"/>
      <c r="L27" s="88"/>
      <c r="M27" s="62" t="str">
        <f>IF(TblDetailBudget[[#This Row],[Level]]=LvlBottomHdr, IFERROR(INDEX(TblUnitCost[Unit], MATCH(TblDetailBudget[[#This Row],[Row Title]], TblUnitCost[Resource], 0)), "Invalid Resource"), "")</f>
        <v>Invalid Resource</v>
      </c>
      <c r="N27" s="125" t="str">
        <f>IF(TblDetailBudget[[#This Row],[Level]]=LvlBottomHdr, IFERROR(INDEX(TblUnitCost[LCU], MATCH(TblDetailBudget[[#This Row],[Row Title]], TblUnitCost[Resource], 0)), "Invalid Resource"), "")</f>
        <v>Invalid Resource</v>
      </c>
      <c r="O27" s="128"/>
      <c r="P27" s="108"/>
      <c r="Q27" s="185"/>
      <c r="R27" s="129"/>
      <c r="S27" s="108"/>
      <c r="T27" s="108"/>
      <c r="U27" s="108"/>
      <c r="V27" s="108"/>
      <c r="W27" s="108"/>
      <c r="X27" s="125" t="str">
        <f>IF(TblDetailBudget[[#This Row],[Level]]=LvlBottomHdr, IF(SUM(TblDetailBudget[[#This Row],[2021 Quant]:[2025 Quant]])&gt;0, SUM(TblDetailBudget[[#This Row],[2021 Quant]:[2025 Quant]]), ""), "")</f>
        <v/>
      </c>
      <c r="Y27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7" s="140">
        <f>SUM(TblDetailBudget[[#This Row],[2021 Cost (LCU)]:[2025 Cost (LCU)]])</f>
        <v>0</v>
      </c>
      <c r="AE27" s="134">
        <f>IFERROR(SUM(TblDetailBudget[[#This Row],[2021 Cost (LCU)]])/FX_Rate, "")</f>
        <v>0</v>
      </c>
      <c r="AF27" s="63">
        <f>IFERROR(SUM(TblDetailBudget[[#This Row],[2022 Cost (LCU)]])/FX_Rate, "")</f>
        <v>0</v>
      </c>
      <c r="AG27" s="63">
        <f>IFERROR(SUM(TblDetailBudget[[#This Row],[2023 Cost (LCU)]])/FX_Rate, "")</f>
        <v>0</v>
      </c>
      <c r="AH27" s="63">
        <f>IFERROR(SUM(TblDetailBudget[[#This Row],[2024 Cost (LCU)]])/FX_Rate, "")</f>
        <v>0</v>
      </c>
      <c r="AI27" s="63">
        <f>IFERROR(SUM(TblDetailBudget[[#This Row],[2025 Cost (LCU)]])/FX_Rate, "")</f>
        <v>0</v>
      </c>
      <c r="AJ27" s="125">
        <f>SUM(TblDetailBudget[[#This Row],[2021 Cost (USD)]:[2025 Cost (USD)]])</f>
        <v>0</v>
      </c>
      <c r="AK27" s="180"/>
    </row>
    <row r="28" spans="2:37" ht="12.75" hidden="1" customHeight="1">
      <c r="B28" s="122" t="s">
        <v>71</v>
      </c>
      <c r="C2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1.1.2.3.2</v>
      </c>
      <c r="D28" s="62">
        <f>IF(TblDetailBudget[[#This Row],[Level]]="", "", COUNTIFS($B$8:TblDetailBudget[[#This Row],[Level]], Lvl1Hdr))</f>
        <v>1</v>
      </c>
      <c r="E28" s="62">
        <f>IF(TblDetailBudget[[#This Row],[Level]]="", "", COUNTIFS($B$8:TblDetailBudget[[#This Row],[Level]], Lvl2Hdr, $D$8:TblDetailBudget[[#This Row],[Lvl 1 Header]], TblDetailBudget[[#This Row],[Lvl 1 Header]]))</f>
        <v>1</v>
      </c>
      <c r="F2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2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28" s="101"/>
      <c r="J28" s="101"/>
      <c r="K28" s="88"/>
      <c r="L28" s="88"/>
      <c r="M28" s="62" t="str">
        <f>IF(TblDetailBudget[[#This Row],[Level]]=LvlBottomHdr, IFERROR(INDEX(TblUnitCost[Unit], MATCH(TblDetailBudget[[#This Row],[Row Title]], TblUnitCost[Resource], 0)), "Invalid Resource"), "")</f>
        <v>Invalid Resource</v>
      </c>
      <c r="N28" s="125" t="str">
        <f>IF(TblDetailBudget[[#This Row],[Level]]=LvlBottomHdr, IFERROR(INDEX(TblUnitCost[LCU], MATCH(TblDetailBudget[[#This Row],[Row Title]], TblUnitCost[Resource], 0)), "Invalid Resource"), "")</f>
        <v>Invalid Resource</v>
      </c>
      <c r="O28" s="128"/>
      <c r="P28" s="108"/>
      <c r="Q28" s="185"/>
      <c r="R28" s="129"/>
      <c r="S28" s="108"/>
      <c r="T28" s="108"/>
      <c r="U28" s="108"/>
      <c r="V28" s="108"/>
      <c r="W28" s="108"/>
      <c r="X28" s="125" t="str">
        <f>IF(TblDetailBudget[[#This Row],[Level]]=LvlBottomHdr, IF(SUM(TblDetailBudget[[#This Row],[2021 Quant]:[2025 Quant]])&gt;0, SUM(TblDetailBudget[[#This Row],[2021 Quant]:[2025 Quant]]), ""), "")</f>
        <v/>
      </c>
      <c r="Y28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8" s="140">
        <f>SUM(TblDetailBudget[[#This Row],[2021 Cost (LCU)]:[2025 Cost (LCU)]])</f>
        <v>0</v>
      </c>
      <c r="AE28" s="134">
        <f>IFERROR(SUM(TblDetailBudget[[#This Row],[2021 Cost (LCU)]])/FX_Rate, "")</f>
        <v>0</v>
      </c>
      <c r="AF28" s="63">
        <f>IFERROR(SUM(TblDetailBudget[[#This Row],[2022 Cost (LCU)]])/FX_Rate, "")</f>
        <v>0</v>
      </c>
      <c r="AG28" s="63">
        <f>IFERROR(SUM(TblDetailBudget[[#This Row],[2023 Cost (LCU)]])/FX_Rate, "")</f>
        <v>0</v>
      </c>
      <c r="AH28" s="63">
        <f>IFERROR(SUM(TblDetailBudget[[#This Row],[2024 Cost (LCU)]])/FX_Rate, "")</f>
        <v>0</v>
      </c>
      <c r="AI28" s="63">
        <f>IFERROR(SUM(TblDetailBudget[[#This Row],[2025 Cost (LCU)]])/FX_Rate, "")</f>
        <v>0</v>
      </c>
      <c r="AJ28" s="125">
        <f>SUM(TblDetailBudget[[#This Row],[2021 Cost (USD)]:[2025 Cost (USD)]])</f>
        <v>0</v>
      </c>
      <c r="AK28" s="180"/>
    </row>
    <row r="29" spans="2:37" ht="12.75" hidden="1" customHeight="1">
      <c r="B29" s="122" t="s">
        <v>71</v>
      </c>
      <c r="C2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1.1.2.3.3</v>
      </c>
      <c r="D29" s="62">
        <f>IF(TblDetailBudget[[#This Row],[Level]]="", "", COUNTIFS($B$8:TblDetailBudget[[#This Row],[Level]], Lvl1Hdr))</f>
        <v>1</v>
      </c>
      <c r="E29" s="62">
        <f>IF(TblDetailBudget[[#This Row],[Level]]="", "", COUNTIFS($B$8:TblDetailBudget[[#This Row],[Level]], Lvl2Hdr, $D$8:TblDetailBudget[[#This Row],[Lvl 1 Header]], TblDetailBudget[[#This Row],[Lvl 1 Header]]))</f>
        <v>1</v>
      </c>
      <c r="F2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2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3</v>
      </c>
      <c r="I29" s="101"/>
      <c r="J29" s="101"/>
      <c r="K29" s="88"/>
      <c r="L29" s="88"/>
      <c r="M29" s="62" t="str">
        <f>IF(TblDetailBudget[[#This Row],[Level]]=LvlBottomHdr, IFERROR(INDEX(TblUnitCost[Unit], MATCH(TblDetailBudget[[#This Row],[Row Title]], TblUnitCost[Resource], 0)), "Invalid Resource"), "")</f>
        <v>Invalid Resource</v>
      </c>
      <c r="N29" s="125" t="str">
        <f>IF(TblDetailBudget[[#This Row],[Level]]=LvlBottomHdr, IFERROR(INDEX(TblUnitCost[LCU], MATCH(TblDetailBudget[[#This Row],[Row Title]], TblUnitCost[Resource], 0)), "Invalid Resource"), "")</f>
        <v>Invalid Resource</v>
      </c>
      <c r="O29" s="128"/>
      <c r="P29" s="108"/>
      <c r="Q29" s="185"/>
      <c r="R29" s="129"/>
      <c r="S29" s="108"/>
      <c r="T29" s="108"/>
      <c r="U29" s="108"/>
      <c r="V29" s="108"/>
      <c r="W29" s="108"/>
      <c r="X29" s="125" t="str">
        <f>IF(TblDetailBudget[[#This Row],[Level]]=LvlBottomHdr, IF(SUM(TblDetailBudget[[#This Row],[2021 Quant]:[2025 Quant]])&gt;0, SUM(TblDetailBudget[[#This Row],[2021 Quant]:[2025 Quant]]), ""), "")</f>
        <v/>
      </c>
      <c r="Y2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9" s="140">
        <f>SUM(TblDetailBudget[[#This Row],[2021 Cost (LCU)]:[2025 Cost (LCU)]])</f>
        <v>0</v>
      </c>
      <c r="AE29" s="134">
        <f>IFERROR(SUM(TblDetailBudget[[#This Row],[2021 Cost (LCU)]])/FX_Rate, "")</f>
        <v>0</v>
      </c>
      <c r="AF29" s="63">
        <f>IFERROR(SUM(TblDetailBudget[[#This Row],[2022 Cost (LCU)]])/FX_Rate, "")</f>
        <v>0</v>
      </c>
      <c r="AG29" s="63">
        <f>IFERROR(SUM(TblDetailBudget[[#This Row],[2023 Cost (LCU)]])/FX_Rate, "")</f>
        <v>0</v>
      </c>
      <c r="AH29" s="63">
        <f>IFERROR(SUM(TblDetailBudget[[#This Row],[2024 Cost (LCU)]])/FX_Rate, "")</f>
        <v>0</v>
      </c>
      <c r="AI29" s="63">
        <f>IFERROR(SUM(TblDetailBudget[[#This Row],[2025 Cost (LCU)]])/FX_Rate, "")</f>
        <v>0</v>
      </c>
      <c r="AJ29" s="125">
        <f>SUM(TblDetailBudget[[#This Row],[2021 Cost (USD)]:[2025 Cost (USD)]])</f>
        <v>0</v>
      </c>
      <c r="AK29" s="180"/>
    </row>
    <row r="30" spans="2:37" ht="12.75" hidden="1" customHeight="1">
      <c r="B30" s="122" t="s">
        <v>71</v>
      </c>
      <c r="C3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1.1.2.3.4</v>
      </c>
      <c r="D30" s="62">
        <f>IF(TblDetailBudget[[#This Row],[Level]]="", "", COUNTIFS($B$8:TblDetailBudget[[#This Row],[Level]], Lvl1Hdr))</f>
        <v>1</v>
      </c>
      <c r="E30" s="62">
        <f>IF(TblDetailBudget[[#This Row],[Level]]="", "", COUNTIFS($B$8:TblDetailBudget[[#This Row],[Level]], Lvl2Hdr, $D$8:TblDetailBudget[[#This Row],[Lvl 1 Header]], TblDetailBudget[[#This Row],[Lvl 1 Header]]))</f>
        <v>1</v>
      </c>
      <c r="F3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3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3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4</v>
      </c>
      <c r="I30" s="101"/>
      <c r="J30" s="101"/>
      <c r="K30" s="88"/>
      <c r="L30" s="88"/>
      <c r="M30" s="62" t="str">
        <f>IF(TblDetailBudget[[#This Row],[Level]]=LvlBottomHdr, IFERROR(INDEX(TblUnitCost[Unit], MATCH(TblDetailBudget[[#This Row],[Row Title]], TblUnitCost[Resource], 0)), "Invalid Resource"), "")</f>
        <v>Invalid Resource</v>
      </c>
      <c r="N30" s="125" t="str">
        <f>IF(TblDetailBudget[[#This Row],[Level]]=LvlBottomHdr, IFERROR(INDEX(TblUnitCost[LCU], MATCH(TblDetailBudget[[#This Row],[Row Title]], TblUnitCost[Resource], 0)), "Invalid Resource"), "")</f>
        <v>Invalid Resource</v>
      </c>
      <c r="O30" s="128"/>
      <c r="P30" s="108"/>
      <c r="Q30" s="185"/>
      <c r="R30" s="129"/>
      <c r="S30" s="108"/>
      <c r="T30" s="108"/>
      <c r="U30" s="108"/>
      <c r="V30" s="108"/>
      <c r="W30" s="108"/>
      <c r="X30" s="125" t="str">
        <f>IF(TblDetailBudget[[#This Row],[Level]]=LvlBottomHdr, IF(SUM(TblDetailBudget[[#This Row],[2021 Quant]:[2025 Quant]])&gt;0, SUM(TblDetailBudget[[#This Row],[2021 Quant]:[2025 Quant]]), ""), "")</f>
        <v/>
      </c>
      <c r="Y30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0" s="140">
        <f>SUM(TblDetailBudget[[#This Row],[2021 Cost (LCU)]:[2025 Cost (LCU)]])</f>
        <v>0</v>
      </c>
      <c r="AE30" s="134">
        <f>IFERROR(SUM(TblDetailBudget[[#This Row],[2021 Cost (LCU)]])/FX_Rate, "")</f>
        <v>0</v>
      </c>
      <c r="AF30" s="63">
        <f>IFERROR(SUM(TblDetailBudget[[#This Row],[2022 Cost (LCU)]])/FX_Rate, "")</f>
        <v>0</v>
      </c>
      <c r="AG30" s="63">
        <f>IFERROR(SUM(TblDetailBudget[[#This Row],[2023 Cost (LCU)]])/FX_Rate, "")</f>
        <v>0</v>
      </c>
      <c r="AH30" s="63">
        <f>IFERROR(SUM(TblDetailBudget[[#This Row],[2024 Cost (LCU)]])/FX_Rate, "")</f>
        <v>0</v>
      </c>
      <c r="AI30" s="63">
        <f>IFERROR(SUM(TblDetailBudget[[#This Row],[2025 Cost (LCU)]])/FX_Rate, "")</f>
        <v>0</v>
      </c>
      <c r="AJ30" s="125">
        <f>SUM(TblDetailBudget[[#This Row],[2021 Cost (USD)]:[2025 Cost (USD)]])</f>
        <v>0</v>
      </c>
      <c r="AK30" s="180"/>
    </row>
    <row r="31" spans="2:37" ht="12.75" hidden="1" customHeight="1">
      <c r="B31" s="122" t="s">
        <v>71</v>
      </c>
      <c r="C3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1.1.2.3.5</v>
      </c>
      <c r="D31" s="62">
        <f>IF(TblDetailBudget[[#This Row],[Level]]="", "", COUNTIFS($B$8:TblDetailBudget[[#This Row],[Level]], Lvl1Hdr))</f>
        <v>1</v>
      </c>
      <c r="E31" s="62">
        <f>IF(TblDetailBudget[[#This Row],[Level]]="", "", COUNTIFS($B$8:TblDetailBudget[[#This Row],[Level]], Lvl2Hdr, $D$8:TblDetailBudget[[#This Row],[Lvl 1 Header]], TblDetailBudget[[#This Row],[Lvl 1 Header]]))</f>
        <v>1</v>
      </c>
      <c r="F3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3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3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5</v>
      </c>
      <c r="I31" s="101"/>
      <c r="J31" s="101"/>
      <c r="K31" s="88"/>
      <c r="L31" s="88"/>
      <c r="M31" s="62" t="str">
        <f>IF(TblDetailBudget[[#This Row],[Level]]=LvlBottomHdr, IFERROR(INDEX(TblUnitCost[Unit], MATCH(TblDetailBudget[[#This Row],[Row Title]], TblUnitCost[Resource], 0)), "Invalid Resource"), "")</f>
        <v>Invalid Resource</v>
      </c>
      <c r="N31" s="125" t="str">
        <f>IF(TblDetailBudget[[#This Row],[Level]]=LvlBottomHdr, IFERROR(INDEX(TblUnitCost[LCU], MATCH(TblDetailBudget[[#This Row],[Row Title]], TblUnitCost[Resource], 0)), "Invalid Resource"), "")</f>
        <v>Invalid Resource</v>
      </c>
      <c r="O31" s="128"/>
      <c r="P31" s="108"/>
      <c r="Q31" s="185"/>
      <c r="R31" s="129"/>
      <c r="S31" s="108"/>
      <c r="T31" s="108"/>
      <c r="U31" s="108"/>
      <c r="V31" s="108"/>
      <c r="W31" s="108"/>
      <c r="X31" s="125" t="str">
        <f>IF(TblDetailBudget[[#This Row],[Level]]=LvlBottomHdr, IF(SUM(TblDetailBudget[[#This Row],[2021 Quant]:[2025 Quant]])&gt;0, SUM(TblDetailBudget[[#This Row],[2021 Quant]:[2025 Quant]]), ""), "")</f>
        <v/>
      </c>
      <c r="Y31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1" s="140">
        <f>SUM(TblDetailBudget[[#This Row],[2021 Cost (LCU)]:[2025 Cost (LCU)]])</f>
        <v>0</v>
      </c>
      <c r="AE31" s="134">
        <f>IFERROR(SUM(TblDetailBudget[[#This Row],[2021 Cost (LCU)]])/FX_Rate, "")</f>
        <v>0</v>
      </c>
      <c r="AF31" s="63">
        <f>IFERROR(SUM(TblDetailBudget[[#This Row],[2022 Cost (LCU)]])/FX_Rate, "")</f>
        <v>0</v>
      </c>
      <c r="AG31" s="63">
        <f>IFERROR(SUM(TblDetailBudget[[#This Row],[2023 Cost (LCU)]])/FX_Rate, "")</f>
        <v>0</v>
      </c>
      <c r="AH31" s="63">
        <f>IFERROR(SUM(TblDetailBudget[[#This Row],[2024 Cost (LCU)]])/FX_Rate, "")</f>
        <v>0</v>
      </c>
      <c r="AI31" s="63">
        <f>IFERROR(SUM(TblDetailBudget[[#This Row],[2025 Cost (LCU)]])/FX_Rate, "")</f>
        <v>0</v>
      </c>
      <c r="AJ31" s="125">
        <f>SUM(TblDetailBudget[[#This Row],[2021 Cost (USD)]:[2025 Cost (USD)]])</f>
        <v>0</v>
      </c>
      <c r="AK31" s="180"/>
    </row>
    <row r="32" spans="2:37" ht="12.75" hidden="1" customHeight="1">
      <c r="B32" s="122" t="s">
        <v>71</v>
      </c>
      <c r="C3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1.1.2.3.6</v>
      </c>
      <c r="D32" s="62">
        <f>IF(TblDetailBudget[[#This Row],[Level]]="", "", COUNTIFS($B$8:TblDetailBudget[[#This Row],[Level]], Lvl1Hdr))</f>
        <v>1</v>
      </c>
      <c r="E32" s="62">
        <f>IF(TblDetailBudget[[#This Row],[Level]]="", "", COUNTIFS($B$8:TblDetailBudget[[#This Row],[Level]], Lvl2Hdr, $D$8:TblDetailBudget[[#This Row],[Lvl 1 Header]], TblDetailBudget[[#This Row],[Lvl 1 Header]]))</f>
        <v>1</v>
      </c>
      <c r="F3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3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3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6</v>
      </c>
      <c r="I32" s="101"/>
      <c r="J32" s="101"/>
      <c r="K32" s="88"/>
      <c r="L32" s="88"/>
      <c r="M32" s="62" t="str">
        <f>IF(TblDetailBudget[[#This Row],[Level]]=LvlBottomHdr, IFERROR(INDEX(TblUnitCost[Unit], MATCH(TblDetailBudget[[#This Row],[Row Title]], TblUnitCost[Resource], 0)), "Invalid Resource"), "")</f>
        <v>Invalid Resource</v>
      </c>
      <c r="N32" s="125" t="str">
        <f>IF(TblDetailBudget[[#This Row],[Level]]=LvlBottomHdr, IFERROR(INDEX(TblUnitCost[LCU], MATCH(TblDetailBudget[[#This Row],[Row Title]], TblUnitCost[Resource], 0)), "Invalid Resource"), "")</f>
        <v>Invalid Resource</v>
      </c>
      <c r="O32" s="128"/>
      <c r="P32" s="108"/>
      <c r="Q32" s="185"/>
      <c r="R32" s="129"/>
      <c r="S32" s="108"/>
      <c r="T32" s="108"/>
      <c r="U32" s="108"/>
      <c r="V32" s="108"/>
      <c r="W32" s="108"/>
      <c r="X32" s="125" t="str">
        <f>IF(TblDetailBudget[[#This Row],[Level]]=LvlBottomHdr, IF(SUM(TblDetailBudget[[#This Row],[2021 Quant]:[2025 Quant]])&gt;0, SUM(TblDetailBudget[[#This Row],[2021 Quant]:[2025 Quant]]), ""), "")</f>
        <v/>
      </c>
      <c r="Y32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2" s="140">
        <f>SUM(TblDetailBudget[[#This Row],[2021 Cost (LCU)]:[2025 Cost (LCU)]])</f>
        <v>0</v>
      </c>
      <c r="AE32" s="134">
        <f>IFERROR(SUM(TblDetailBudget[[#This Row],[2021 Cost (LCU)]])/FX_Rate, "")</f>
        <v>0</v>
      </c>
      <c r="AF32" s="63">
        <f>IFERROR(SUM(TblDetailBudget[[#This Row],[2022 Cost (LCU)]])/FX_Rate, "")</f>
        <v>0</v>
      </c>
      <c r="AG32" s="63">
        <f>IFERROR(SUM(TblDetailBudget[[#This Row],[2023 Cost (LCU)]])/FX_Rate, "")</f>
        <v>0</v>
      </c>
      <c r="AH32" s="63">
        <f>IFERROR(SUM(TblDetailBudget[[#This Row],[2024 Cost (LCU)]])/FX_Rate, "")</f>
        <v>0</v>
      </c>
      <c r="AI32" s="63">
        <f>IFERROR(SUM(TblDetailBudget[[#This Row],[2025 Cost (LCU)]])/FX_Rate, "")</f>
        <v>0</v>
      </c>
      <c r="AJ32" s="125">
        <f>SUM(TblDetailBudget[[#This Row],[2021 Cost (USD)]:[2025 Cost (USD)]])</f>
        <v>0</v>
      </c>
      <c r="AK32" s="180"/>
    </row>
    <row r="33" spans="2:37" ht="12.75" hidden="1" customHeight="1">
      <c r="B33" s="122" t="s">
        <v>71</v>
      </c>
      <c r="C3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1.1.2.3.7</v>
      </c>
      <c r="D33" s="62">
        <f>IF(TblDetailBudget[[#This Row],[Level]]="", "", COUNTIFS($B$8:TblDetailBudget[[#This Row],[Level]], Lvl1Hdr))</f>
        <v>1</v>
      </c>
      <c r="E33" s="62">
        <f>IF(TblDetailBudget[[#This Row],[Level]]="", "", COUNTIFS($B$8:TblDetailBudget[[#This Row],[Level]], Lvl2Hdr, $D$8:TblDetailBudget[[#This Row],[Lvl 1 Header]], TblDetailBudget[[#This Row],[Lvl 1 Header]]))</f>
        <v>1</v>
      </c>
      <c r="F3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3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3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7</v>
      </c>
      <c r="I33" s="101"/>
      <c r="J33" s="101"/>
      <c r="K33" s="88"/>
      <c r="L33" s="88"/>
      <c r="M33" s="62" t="str">
        <f>IF(TblDetailBudget[[#This Row],[Level]]=LvlBottomHdr, IFERROR(INDEX(TblUnitCost[Unit], MATCH(TblDetailBudget[[#This Row],[Row Title]], TblUnitCost[Resource], 0)), "Invalid Resource"), "")</f>
        <v>Invalid Resource</v>
      </c>
      <c r="N33" s="125" t="str">
        <f>IF(TblDetailBudget[[#This Row],[Level]]=LvlBottomHdr, IFERROR(INDEX(TblUnitCost[LCU], MATCH(TblDetailBudget[[#This Row],[Row Title]], TblUnitCost[Resource], 0)), "Invalid Resource"), "")</f>
        <v>Invalid Resource</v>
      </c>
      <c r="O33" s="128"/>
      <c r="P33" s="108"/>
      <c r="Q33" s="185"/>
      <c r="R33" s="129"/>
      <c r="S33" s="108"/>
      <c r="T33" s="108"/>
      <c r="U33" s="108"/>
      <c r="V33" s="108"/>
      <c r="W33" s="108"/>
      <c r="X33" s="125" t="str">
        <f>IF(TblDetailBudget[[#This Row],[Level]]=LvlBottomHdr, IF(SUM(TblDetailBudget[[#This Row],[2021 Quant]:[2025 Quant]])&gt;0, SUM(TblDetailBudget[[#This Row],[2021 Quant]:[2025 Quant]]), ""), "")</f>
        <v/>
      </c>
      <c r="Y33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3" s="140">
        <f>SUM(TblDetailBudget[[#This Row],[2021 Cost (LCU)]:[2025 Cost (LCU)]])</f>
        <v>0</v>
      </c>
      <c r="AE33" s="134">
        <f>IFERROR(SUM(TblDetailBudget[[#This Row],[2021 Cost (LCU)]])/FX_Rate, "")</f>
        <v>0</v>
      </c>
      <c r="AF33" s="63">
        <f>IFERROR(SUM(TblDetailBudget[[#This Row],[2022 Cost (LCU)]])/FX_Rate, "")</f>
        <v>0</v>
      </c>
      <c r="AG33" s="63">
        <f>IFERROR(SUM(TblDetailBudget[[#This Row],[2023 Cost (LCU)]])/FX_Rate, "")</f>
        <v>0</v>
      </c>
      <c r="AH33" s="63">
        <f>IFERROR(SUM(TblDetailBudget[[#This Row],[2024 Cost (LCU)]])/FX_Rate, "")</f>
        <v>0</v>
      </c>
      <c r="AI33" s="63">
        <f>IFERROR(SUM(TblDetailBudget[[#This Row],[2025 Cost (LCU)]])/FX_Rate, "")</f>
        <v>0</v>
      </c>
      <c r="AJ33" s="125">
        <f>SUM(TblDetailBudget[[#This Row],[2021 Cost (USD)]:[2025 Cost (USD)]])</f>
        <v>0</v>
      </c>
      <c r="AK33" s="180"/>
    </row>
    <row r="34" spans="2:37" ht="12.75" hidden="1" customHeight="1">
      <c r="B34" s="122" t="s">
        <v>71</v>
      </c>
      <c r="C3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1.1.2.3.8</v>
      </c>
      <c r="D34" s="62">
        <f>IF(TblDetailBudget[[#This Row],[Level]]="", "", COUNTIFS($B$8:TblDetailBudget[[#This Row],[Level]], Lvl1Hdr))</f>
        <v>1</v>
      </c>
      <c r="E34" s="62">
        <f>IF(TblDetailBudget[[#This Row],[Level]]="", "", COUNTIFS($B$8:TblDetailBudget[[#This Row],[Level]], Lvl2Hdr, $D$8:TblDetailBudget[[#This Row],[Lvl 1 Header]], TblDetailBudget[[#This Row],[Lvl 1 Header]]))</f>
        <v>1</v>
      </c>
      <c r="F3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3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3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8</v>
      </c>
      <c r="I34" s="101"/>
      <c r="J34" s="101"/>
      <c r="K34" s="88"/>
      <c r="L34" s="88"/>
      <c r="M34" s="62" t="str">
        <f>IF(TblDetailBudget[[#This Row],[Level]]=LvlBottomHdr, IFERROR(INDEX(TblUnitCost[Unit], MATCH(TblDetailBudget[[#This Row],[Row Title]], TblUnitCost[Resource], 0)), "Invalid Resource"), "")</f>
        <v>Invalid Resource</v>
      </c>
      <c r="N34" s="125" t="str">
        <f>IF(TblDetailBudget[[#This Row],[Level]]=LvlBottomHdr, IFERROR(INDEX(TblUnitCost[LCU], MATCH(TblDetailBudget[[#This Row],[Row Title]], TblUnitCost[Resource], 0)), "Invalid Resource"), "")</f>
        <v>Invalid Resource</v>
      </c>
      <c r="O34" s="128"/>
      <c r="P34" s="108"/>
      <c r="Q34" s="185"/>
      <c r="R34" s="129"/>
      <c r="S34" s="108"/>
      <c r="T34" s="108"/>
      <c r="U34" s="108"/>
      <c r="V34" s="108"/>
      <c r="W34" s="108"/>
      <c r="X34" s="125" t="str">
        <f>IF(TblDetailBudget[[#This Row],[Level]]=LvlBottomHdr, IF(SUM(TblDetailBudget[[#This Row],[2021 Quant]:[2025 Quant]])&gt;0, SUM(TblDetailBudget[[#This Row],[2021 Quant]:[2025 Quant]]), ""), "")</f>
        <v/>
      </c>
      <c r="Y3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4" s="140">
        <f>SUM(TblDetailBudget[[#This Row],[2021 Cost (LCU)]:[2025 Cost (LCU)]])</f>
        <v>0</v>
      </c>
      <c r="AE34" s="134">
        <f>IFERROR(SUM(TblDetailBudget[[#This Row],[2021 Cost (LCU)]])/FX_Rate, "")</f>
        <v>0</v>
      </c>
      <c r="AF34" s="63">
        <f>IFERROR(SUM(TblDetailBudget[[#This Row],[2022 Cost (LCU)]])/FX_Rate, "")</f>
        <v>0</v>
      </c>
      <c r="AG34" s="63">
        <f>IFERROR(SUM(TblDetailBudget[[#This Row],[2023 Cost (LCU)]])/FX_Rate, "")</f>
        <v>0</v>
      </c>
      <c r="AH34" s="63">
        <f>IFERROR(SUM(TblDetailBudget[[#This Row],[2024 Cost (LCU)]])/FX_Rate, "")</f>
        <v>0</v>
      </c>
      <c r="AI34" s="63">
        <f>IFERROR(SUM(TblDetailBudget[[#This Row],[2025 Cost (LCU)]])/FX_Rate, "")</f>
        <v>0</v>
      </c>
      <c r="AJ34" s="125">
        <f>SUM(TblDetailBudget[[#This Row],[2021 Cost (USD)]:[2025 Cost (USD)]])</f>
        <v>0</v>
      </c>
      <c r="AK34" s="180"/>
    </row>
    <row r="35" spans="2:37" ht="12.75" hidden="1" customHeight="1">
      <c r="B35" s="122" t="s">
        <v>71</v>
      </c>
      <c r="C3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1.1.2.3.9</v>
      </c>
      <c r="D35" s="62">
        <f>IF(TblDetailBudget[[#This Row],[Level]]="", "", COUNTIFS($B$8:TblDetailBudget[[#This Row],[Level]], Lvl1Hdr))</f>
        <v>1</v>
      </c>
      <c r="E35" s="62">
        <f>IF(TblDetailBudget[[#This Row],[Level]]="", "", COUNTIFS($B$8:TblDetailBudget[[#This Row],[Level]], Lvl2Hdr, $D$8:TblDetailBudget[[#This Row],[Lvl 1 Header]], TblDetailBudget[[#This Row],[Lvl 1 Header]]))</f>
        <v>1</v>
      </c>
      <c r="F3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3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3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9</v>
      </c>
      <c r="I35" s="101"/>
      <c r="J35" s="101"/>
      <c r="K35" s="88"/>
      <c r="L35" s="88"/>
      <c r="M35" s="62" t="str">
        <f>IF(TblDetailBudget[[#This Row],[Level]]=LvlBottomHdr, IFERROR(INDEX(TblUnitCost[Unit], MATCH(TblDetailBudget[[#This Row],[Row Title]], TblUnitCost[Resource], 0)), "Invalid Resource"), "")</f>
        <v>Invalid Resource</v>
      </c>
      <c r="N35" s="125" t="str">
        <f>IF(TblDetailBudget[[#This Row],[Level]]=LvlBottomHdr, IFERROR(INDEX(TblUnitCost[LCU], MATCH(TblDetailBudget[[#This Row],[Row Title]], TblUnitCost[Resource], 0)), "Invalid Resource"), "")</f>
        <v>Invalid Resource</v>
      </c>
      <c r="O35" s="128"/>
      <c r="P35" s="108"/>
      <c r="Q35" s="185"/>
      <c r="R35" s="129"/>
      <c r="S35" s="108"/>
      <c r="T35" s="108"/>
      <c r="U35" s="108"/>
      <c r="V35" s="108"/>
      <c r="W35" s="108"/>
      <c r="X35" s="125" t="str">
        <f>IF(TblDetailBudget[[#This Row],[Level]]=LvlBottomHdr, IF(SUM(TblDetailBudget[[#This Row],[2021 Quant]:[2025 Quant]])&gt;0, SUM(TblDetailBudget[[#This Row],[2021 Quant]:[2025 Quant]]), ""), "")</f>
        <v/>
      </c>
      <c r="Y35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5" s="140">
        <f>SUM(TblDetailBudget[[#This Row],[2021 Cost (LCU)]:[2025 Cost (LCU)]])</f>
        <v>0</v>
      </c>
      <c r="AE35" s="134">
        <f>IFERROR(SUM(TblDetailBudget[[#This Row],[2021 Cost (LCU)]])/FX_Rate, "")</f>
        <v>0</v>
      </c>
      <c r="AF35" s="63">
        <f>IFERROR(SUM(TblDetailBudget[[#This Row],[2022 Cost (LCU)]])/FX_Rate, "")</f>
        <v>0</v>
      </c>
      <c r="AG35" s="63">
        <f>IFERROR(SUM(TblDetailBudget[[#This Row],[2023 Cost (LCU)]])/FX_Rate, "")</f>
        <v>0</v>
      </c>
      <c r="AH35" s="63">
        <f>IFERROR(SUM(TblDetailBudget[[#This Row],[2024 Cost (LCU)]])/FX_Rate, "")</f>
        <v>0</v>
      </c>
      <c r="AI35" s="63">
        <f>IFERROR(SUM(TblDetailBudget[[#This Row],[2025 Cost (LCU)]])/FX_Rate, "")</f>
        <v>0</v>
      </c>
      <c r="AJ35" s="125">
        <f>SUM(TblDetailBudget[[#This Row],[2021 Cost (USD)]:[2025 Cost (USD)]])</f>
        <v>0</v>
      </c>
      <c r="AK35" s="180"/>
    </row>
    <row r="36" spans="2:37" ht="12.75" hidden="1" customHeight="1">
      <c r="B36" s="122" t="s">
        <v>71</v>
      </c>
      <c r="C3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1.1.2.3.10</v>
      </c>
      <c r="D36" s="62">
        <f>IF(TblDetailBudget[[#This Row],[Level]]="", "", COUNTIFS($B$8:TblDetailBudget[[#This Row],[Level]], Lvl1Hdr))</f>
        <v>1</v>
      </c>
      <c r="E36" s="62">
        <f>IF(TblDetailBudget[[#This Row],[Level]]="", "", COUNTIFS($B$8:TblDetailBudget[[#This Row],[Level]], Lvl2Hdr, $D$8:TblDetailBudget[[#This Row],[Lvl 1 Header]], TblDetailBudget[[#This Row],[Lvl 1 Header]]))</f>
        <v>1</v>
      </c>
      <c r="F3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3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3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10</v>
      </c>
      <c r="I36" s="101"/>
      <c r="J36" s="101"/>
      <c r="K36" s="88"/>
      <c r="L36" s="88"/>
      <c r="M36" s="62" t="str">
        <f>IF(TblDetailBudget[[#This Row],[Level]]=LvlBottomHdr, IFERROR(INDEX(TblUnitCost[Unit], MATCH(TblDetailBudget[[#This Row],[Row Title]], TblUnitCost[Resource], 0)), "Invalid Resource"), "")</f>
        <v>Invalid Resource</v>
      </c>
      <c r="N36" s="125" t="str">
        <f>IF(TblDetailBudget[[#This Row],[Level]]=LvlBottomHdr, IFERROR(INDEX(TblUnitCost[LCU], MATCH(TblDetailBudget[[#This Row],[Row Title]], TblUnitCost[Resource], 0)), "Invalid Resource"), "")</f>
        <v>Invalid Resource</v>
      </c>
      <c r="O36" s="128"/>
      <c r="P36" s="108"/>
      <c r="Q36" s="185"/>
      <c r="R36" s="129"/>
      <c r="S36" s="108"/>
      <c r="T36" s="108"/>
      <c r="U36" s="108"/>
      <c r="V36" s="108"/>
      <c r="W36" s="108"/>
      <c r="X36" s="125" t="str">
        <f>IF(TblDetailBudget[[#This Row],[Level]]=LvlBottomHdr, IF(SUM(TblDetailBudget[[#This Row],[2021 Quant]:[2025 Quant]])&gt;0, SUM(TblDetailBudget[[#This Row],[2021 Quant]:[2025 Quant]]), ""), "")</f>
        <v/>
      </c>
      <c r="Y36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6" s="140">
        <f>SUM(TblDetailBudget[[#This Row],[2021 Cost (LCU)]:[2025 Cost (LCU)]])</f>
        <v>0</v>
      </c>
      <c r="AE36" s="134">
        <f>IFERROR(SUM(TblDetailBudget[[#This Row],[2021 Cost (LCU)]])/FX_Rate, "")</f>
        <v>0</v>
      </c>
      <c r="AF36" s="63">
        <f>IFERROR(SUM(TblDetailBudget[[#This Row],[2022 Cost (LCU)]])/FX_Rate, "")</f>
        <v>0</v>
      </c>
      <c r="AG36" s="63">
        <f>IFERROR(SUM(TblDetailBudget[[#This Row],[2023 Cost (LCU)]])/FX_Rate, "")</f>
        <v>0</v>
      </c>
      <c r="AH36" s="63">
        <f>IFERROR(SUM(TblDetailBudget[[#This Row],[2024 Cost (LCU)]])/FX_Rate, "")</f>
        <v>0</v>
      </c>
      <c r="AI36" s="63">
        <f>IFERROR(SUM(TblDetailBudget[[#This Row],[2025 Cost (LCU)]])/FX_Rate, "")</f>
        <v>0</v>
      </c>
      <c r="AJ36" s="125">
        <f>SUM(TblDetailBudget[[#This Row],[2021 Cost (USD)]:[2025 Cost (USD)]])</f>
        <v>0</v>
      </c>
      <c r="AK36" s="180"/>
    </row>
    <row r="37" spans="2:37" ht="12.75" hidden="1" customHeight="1">
      <c r="B37" s="122" t="s">
        <v>70</v>
      </c>
      <c r="C3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1.1.2.4</v>
      </c>
      <c r="D37" s="62">
        <f>IF(TblDetailBudget[[#This Row],[Level]]="", "", COUNTIFS($B$8:TblDetailBudget[[#This Row],[Level]], Lvl1Hdr))</f>
        <v>1</v>
      </c>
      <c r="E37" s="62">
        <f>IF(TblDetailBudget[[#This Row],[Level]]="", "", COUNTIFS($B$8:TblDetailBudget[[#This Row],[Level]], Lvl2Hdr, $D$8:TblDetailBudget[[#This Row],[Lvl 1 Header]], TblDetailBudget[[#This Row],[Lvl 1 Header]]))</f>
        <v>1</v>
      </c>
      <c r="F3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3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3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37" s="101"/>
      <c r="J37" s="101"/>
      <c r="K37" s="88"/>
      <c r="L37" s="88"/>
      <c r="M37" s="62" t="str">
        <f>IF(TblDetailBudget[[#This Row],[Level]]=LvlBottomHdr, IFERROR(INDEX(TblUnitCost[Unit], MATCH(TblDetailBudget[[#This Row],[Row Title]], TblUnitCost[Resource], 0)), "Invalid Resource"), "")</f>
        <v/>
      </c>
      <c r="N37" s="125" t="str">
        <f>IF(TblDetailBudget[[#This Row],[Level]]=LvlBottomHdr, IFERROR(INDEX(TblUnitCost[LCU], MATCH(TblDetailBudget[[#This Row],[Row Title]], TblUnitCost[Resource], 0)), "Invalid Resource"), "")</f>
        <v/>
      </c>
      <c r="O37" s="128"/>
      <c r="P37" s="108"/>
      <c r="Q37" s="185"/>
      <c r="R37" s="129"/>
      <c r="S37" s="108"/>
      <c r="T37" s="108"/>
      <c r="U37" s="108"/>
      <c r="V37" s="108"/>
      <c r="W37" s="108"/>
      <c r="X37" s="125" t="str">
        <f>IF(TblDetailBudget[[#This Row],[Level]]=LvlBottomHdr, IF(SUM(TblDetailBudget[[#This Row],[2021 Quant]:[2025 Quant]])&gt;0, SUM(TblDetailBudget[[#This Row],[2021 Quant]:[2025 Quant]]), ""), "")</f>
        <v/>
      </c>
      <c r="Y3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3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3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3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3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37" s="140">
        <f>SUM(TblDetailBudget[[#This Row],[2021 Cost (LCU)]:[2025 Cost (LCU)]])</f>
        <v>0</v>
      </c>
      <c r="AE37" s="134">
        <f>IFERROR(SUM(TblDetailBudget[[#This Row],[2021 Cost (LCU)]])/FX_Rate, "")</f>
        <v>0</v>
      </c>
      <c r="AF37" s="63">
        <f>IFERROR(SUM(TblDetailBudget[[#This Row],[2022 Cost (LCU)]])/FX_Rate, "")</f>
        <v>0</v>
      </c>
      <c r="AG37" s="63">
        <f>IFERROR(SUM(TblDetailBudget[[#This Row],[2023 Cost (LCU)]])/FX_Rate, "")</f>
        <v>0</v>
      </c>
      <c r="AH37" s="63">
        <f>IFERROR(SUM(TblDetailBudget[[#This Row],[2024 Cost (LCU)]])/FX_Rate, "")</f>
        <v>0</v>
      </c>
      <c r="AI37" s="63">
        <f>IFERROR(SUM(TblDetailBudget[[#This Row],[2025 Cost (LCU)]])/FX_Rate, "")</f>
        <v>0</v>
      </c>
      <c r="AJ37" s="125">
        <f>SUM(TblDetailBudget[[#This Row],[2021 Cost (USD)]:[2025 Cost (USD)]])</f>
        <v>0</v>
      </c>
      <c r="AK37" s="180"/>
    </row>
    <row r="38" spans="2:37" ht="12.75" hidden="1" customHeight="1">
      <c r="B38" s="122" t="s">
        <v>71</v>
      </c>
      <c r="C3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1.1.2.4.1</v>
      </c>
      <c r="D38" s="62">
        <f>IF(TblDetailBudget[[#This Row],[Level]]="", "", COUNTIFS($B$8:TblDetailBudget[[#This Row],[Level]], Lvl1Hdr))</f>
        <v>1</v>
      </c>
      <c r="E38" s="62">
        <f>IF(TblDetailBudget[[#This Row],[Level]]="", "", COUNTIFS($B$8:TblDetailBudget[[#This Row],[Level]], Lvl2Hdr, $D$8:TblDetailBudget[[#This Row],[Lvl 1 Header]], TblDetailBudget[[#This Row],[Lvl 1 Header]]))</f>
        <v>1</v>
      </c>
      <c r="F3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3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3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38" s="101"/>
      <c r="J38" s="101"/>
      <c r="K38" s="88"/>
      <c r="L38" s="88"/>
      <c r="M38" s="62" t="str">
        <f>IF(TblDetailBudget[[#This Row],[Level]]=LvlBottomHdr, IFERROR(INDEX(TblUnitCost[Unit], MATCH(TblDetailBudget[[#This Row],[Row Title]], TblUnitCost[Resource], 0)), "Invalid Resource"), "")</f>
        <v>Invalid Resource</v>
      </c>
      <c r="N38" s="125" t="str">
        <f>IF(TblDetailBudget[[#This Row],[Level]]=LvlBottomHdr, IFERROR(INDEX(TblUnitCost[LCU], MATCH(TblDetailBudget[[#This Row],[Row Title]], TblUnitCost[Resource], 0)), "Invalid Resource"), "")</f>
        <v>Invalid Resource</v>
      </c>
      <c r="O38" s="128"/>
      <c r="P38" s="108"/>
      <c r="Q38" s="185"/>
      <c r="R38" s="129"/>
      <c r="S38" s="108"/>
      <c r="T38" s="108"/>
      <c r="U38" s="108"/>
      <c r="V38" s="108"/>
      <c r="W38" s="108"/>
      <c r="X38" s="125" t="str">
        <f>IF(TblDetailBudget[[#This Row],[Level]]=LvlBottomHdr, IF(SUM(TblDetailBudget[[#This Row],[2021 Quant]:[2025 Quant]])&gt;0, SUM(TblDetailBudget[[#This Row],[2021 Quant]:[2025 Quant]]), ""), "")</f>
        <v/>
      </c>
      <c r="Y38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8" s="140">
        <f>SUM(TblDetailBudget[[#This Row],[2021 Cost (LCU)]:[2025 Cost (LCU)]])</f>
        <v>0</v>
      </c>
      <c r="AE38" s="134">
        <f>IFERROR(SUM(TblDetailBudget[[#This Row],[2021 Cost (LCU)]])/FX_Rate, "")</f>
        <v>0</v>
      </c>
      <c r="AF38" s="63">
        <f>IFERROR(SUM(TblDetailBudget[[#This Row],[2022 Cost (LCU)]])/FX_Rate, "")</f>
        <v>0</v>
      </c>
      <c r="AG38" s="63">
        <f>IFERROR(SUM(TblDetailBudget[[#This Row],[2023 Cost (LCU)]])/FX_Rate, "")</f>
        <v>0</v>
      </c>
      <c r="AH38" s="63">
        <f>IFERROR(SUM(TblDetailBudget[[#This Row],[2024 Cost (LCU)]])/FX_Rate, "")</f>
        <v>0</v>
      </c>
      <c r="AI38" s="63">
        <f>IFERROR(SUM(TblDetailBudget[[#This Row],[2025 Cost (LCU)]])/FX_Rate, "")</f>
        <v>0</v>
      </c>
      <c r="AJ38" s="125">
        <f>SUM(TblDetailBudget[[#This Row],[2021 Cost (USD)]:[2025 Cost (USD)]])</f>
        <v>0</v>
      </c>
      <c r="AK38" s="180"/>
    </row>
    <row r="39" spans="2:37" ht="12.75" hidden="1" customHeight="1">
      <c r="B39" s="122" t="s">
        <v>71</v>
      </c>
      <c r="C3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1.1.2.4.2</v>
      </c>
      <c r="D39" s="62">
        <f>IF(TblDetailBudget[[#This Row],[Level]]="", "", COUNTIFS($B$8:TblDetailBudget[[#This Row],[Level]], Lvl1Hdr))</f>
        <v>1</v>
      </c>
      <c r="E39" s="62">
        <f>IF(TblDetailBudget[[#This Row],[Level]]="", "", COUNTIFS($B$8:TblDetailBudget[[#This Row],[Level]], Lvl2Hdr, $D$8:TblDetailBudget[[#This Row],[Lvl 1 Header]], TblDetailBudget[[#This Row],[Lvl 1 Header]]))</f>
        <v>1</v>
      </c>
      <c r="F3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3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3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39" s="101"/>
      <c r="J39" s="101"/>
      <c r="K39" s="88"/>
      <c r="L39" s="88"/>
      <c r="M39" s="62" t="str">
        <f>IF(TblDetailBudget[[#This Row],[Level]]=LvlBottomHdr, IFERROR(INDEX(TblUnitCost[Unit], MATCH(TblDetailBudget[[#This Row],[Row Title]], TblUnitCost[Resource], 0)), "Invalid Resource"), "")</f>
        <v>Invalid Resource</v>
      </c>
      <c r="N39" s="125" t="str">
        <f>IF(TblDetailBudget[[#This Row],[Level]]=LvlBottomHdr, IFERROR(INDEX(TblUnitCost[LCU], MATCH(TblDetailBudget[[#This Row],[Row Title]], TblUnitCost[Resource], 0)), "Invalid Resource"), "")</f>
        <v>Invalid Resource</v>
      </c>
      <c r="O39" s="128"/>
      <c r="P39" s="108"/>
      <c r="Q39" s="185"/>
      <c r="R39" s="129"/>
      <c r="S39" s="108"/>
      <c r="T39" s="108"/>
      <c r="U39" s="108"/>
      <c r="V39" s="108"/>
      <c r="W39" s="108"/>
      <c r="X39" s="125" t="str">
        <f>IF(TblDetailBudget[[#This Row],[Level]]=LvlBottomHdr, IF(SUM(TblDetailBudget[[#This Row],[2021 Quant]:[2025 Quant]])&gt;0, SUM(TblDetailBudget[[#This Row],[2021 Quant]:[2025 Quant]]), ""), "")</f>
        <v/>
      </c>
      <c r="Y3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9" s="140">
        <f>SUM(TblDetailBudget[[#This Row],[2021 Cost (LCU)]:[2025 Cost (LCU)]])</f>
        <v>0</v>
      </c>
      <c r="AE39" s="134">
        <f>IFERROR(SUM(TblDetailBudget[[#This Row],[2021 Cost (LCU)]])/FX_Rate, "")</f>
        <v>0</v>
      </c>
      <c r="AF39" s="63">
        <f>IFERROR(SUM(TblDetailBudget[[#This Row],[2022 Cost (LCU)]])/FX_Rate, "")</f>
        <v>0</v>
      </c>
      <c r="AG39" s="63">
        <f>IFERROR(SUM(TblDetailBudget[[#This Row],[2023 Cost (LCU)]])/FX_Rate, "")</f>
        <v>0</v>
      </c>
      <c r="AH39" s="63">
        <f>IFERROR(SUM(TblDetailBudget[[#This Row],[2024 Cost (LCU)]])/FX_Rate, "")</f>
        <v>0</v>
      </c>
      <c r="AI39" s="63">
        <f>IFERROR(SUM(TblDetailBudget[[#This Row],[2025 Cost (LCU)]])/FX_Rate, "")</f>
        <v>0</v>
      </c>
      <c r="AJ39" s="125">
        <f>SUM(TblDetailBudget[[#This Row],[2021 Cost (USD)]:[2025 Cost (USD)]])</f>
        <v>0</v>
      </c>
      <c r="AK39" s="180"/>
    </row>
    <row r="40" spans="2:37" ht="12.75" hidden="1" customHeight="1">
      <c r="B40" s="122" t="s">
        <v>71</v>
      </c>
      <c r="C4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1.1.2.4.3</v>
      </c>
      <c r="D40" s="62">
        <f>IF(TblDetailBudget[[#This Row],[Level]]="", "", COUNTIFS($B$8:TblDetailBudget[[#This Row],[Level]], Lvl1Hdr))</f>
        <v>1</v>
      </c>
      <c r="E40" s="62">
        <f>IF(TblDetailBudget[[#This Row],[Level]]="", "", COUNTIFS($B$8:TblDetailBudget[[#This Row],[Level]], Lvl2Hdr, $D$8:TblDetailBudget[[#This Row],[Lvl 1 Header]], TblDetailBudget[[#This Row],[Lvl 1 Header]]))</f>
        <v>1</v>
      </c>
      <c r="F4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4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4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3</v>
      </c>
      <c r="I40" s="101"/>
      <c r="J40" s="101"/>
      <c r="K40" s="88"/>
      <c r="L40" s="88"/>
      <c r="M40" s="62" t="str">
        <f>IF(TblDetailBudget[[#This Row],[Level]]=LvlBottomHdr, IFERROR(INDEX(TblUnitCost[Unit], MATCH(TblDetailBudget[[#This Row],[Row Title]], TblUnitCost[Resource], 0)), "Invalid Resource"), "")</f>
        <v>Invalid Resource</v>
      </c>
      <c r="N40" s="125" t="str">
        <f>IF(TblDetailBudget[[#This Row],[Level]]=LvlBottomHdr, IFERROR(INDEX(TblUnitCost[LCU], MATCH(TblDetailBudget[[#This Row],[Row Title]], TblUnitCost[Resource], 0)), "Invalid Resource"), "")</f>
        <v>Invalid Resource</v>
      </c>
      <c r="O40" s="128"/>
      <c r="P40" s="108"/>
      <c r="Q40" s="185"/>
      <c r="R40" s="129"/>
      <c r="S40" s="108"/>
      <c r="T40" s="108"/>
      <c r="U40" s="108"/>
      <c r="V40" s="108"/>
      <c r="W40" s="108"/>
      <c r="X40" s="125" t="str">
        <f>IF(TblDetailBudget[[#This Row],[Level]]=LvlBottomHdr, IF(SUM(TblDetailBudget[[#This Row],[2021 Quant]:[2025 Quant]])&gt;0, SUM(TblDetailBudget[[#This Row],[2021 Quant]:[2025 Quant]]), ""), "")</f>
        <v/>
      </c>
      <c r="Y40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0" s="140">
        <f>SUM(TblDetailBudget[[#This Row],[2021 Cost (LCU)]:[2025 Cost (LCU)]])</f>
        <v>0</v>
      </c>
      <c r="AE40" s="134">
        <f>IFERROR(SUM(TblDetailBudget[[#This Row],[2021 Cost (LCU)]])/FX_Rate, "")</f>
        <v>0</v>
      </c>
      <c r="AF40" s="63">
        <f>IFERROR(SUM(TblDetailBudget[[#This Row],[2022 Cost (LCU)]])/FX_Rate, "")</f>
        <v>0</v>
      </c>
      <c r="AG40" s="63">
        <f>IFERROR(SUM(TblDetailBudget[[#This Row],[2023 Cost (LCU)]])/FX_Rate, "")</f>
        <v>0</v>
      </c>
      <c r="AH40" s="63">
        <f>IFERROR(SUM(TblDetailBudget[[#This Row],[2024 Cost (LCU)]])/FX_Rate, "")</f>
        <v>0</v>
      </c>
      <c r="AI40" s="63">
        <f>IFERROR(SUM(TblDetailBudget[[#This Row],[2025 Cost (LCU)]])/FX_Rate, "")</f>
        <v>0</v>
      </c>
      <c r="AJ40" s="125">
        <f>SUM(TblDetailBudget[[#This Row],[2021 Cost (USD)]:[2025 Cost (USD)]])</f>
        <v>0</v>
      </c>
      <c r="AK40" s="180"/>
    </row>
    <row r="41" spans="2:37" ht="12.75" hidden="1" customHeight="1">
      <c r="B41" s="122" t="s">
        <v>71</v>
      </c>
      <c r="C4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1.1.2.4.4</v>
      </c>
      <c r="D41" s="62">
        <f>IF(TblDetailBudget[[#This Row],[Level]]="", "", COUNTIFS($B$8:TblDetailBudget[[#This Row],[Level]], Lvl1Hdr))</f>
        <v>1</v>
      </c>
      <c r="E41" s="62">
        <f>IF(TblDetailBudget[[#This Row],[Level]]="", "", COUNTIFS($B$8:TblDetailBudget[[#This Row],[Level]], Lvl2Hdr, $D$8:TblDetailBudget[[#This Row],[Lvl 1 Header]], TblDetailBudget[[#This Row],[Lvl 1 Header]]))</f>
        <v>1</v>
      </c>
      <c r="F4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4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4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4</v>
      </c>
      <c r="I41" s="101"/>
      <c r="J41" s="101"/>
      <c r="K41" s="88"/>
      <c r="L41" s="88"/>
      <c r="M41" s="62" t="str">
        <f>IF(TblDetailBudget[[#This Row],[Level]]=LvlBottomHdr, IFERROR(INDEX(TblUnitCost[Unit], MATCH(TblDetailBudget[[#This Row],[Row Title]], TblUnitCost[Resource], 0)), "Invalid Resource"), "")</f>
        <v>Invalid Resource</v>
      </c>
      <c r="N41" s="125" t="str">
        <f>IF(TblDetailBudget[[#This Row],[Level]]=LvlBottomHdr, IFERROR(INDEX(TblUnitCost[LCU], MATCH(TblDetailBudget[[#This Row],[Row Title]], TblUnitCost[Resource], 0)), "Invalid Resource"), "")</f>
        <v>Invalid Resource</v>
      </c>
      <c r="O41" s="128"/>
      <c r="P41" s="108"/>
      <c r="Q41" s="185"/>
      <c r="R41" s="129"/>
      <c r="S41" s="108"/>
      <c r="T41" s="108"/>
      <c r="U41" s="108"/>
      <c r="V41" s="108"/>
      <c r="W41" s="108"/>
      <c r="X41" s="125" t="str">
        <f>IF(TblDetailBudget[[#This Row],[Level]]=LvlBottomHdr, IF(SUM(TblDetailBudget[[#This Row],[2021 Quant]:[2025 Quant]])&gt;0, SUM(TblDetailBudget[[#This Row],[2021 Quant]:[2025 Quant]]), ""), "")</f>
        <v/>
      </c>
      <c r="Y41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1" s="140">
        <f>SUM(TblDetailBudget[[#This Row],[2021 Cost (LCU)]:[2025 Cost (LCU)]])</f>
        <v>0</v>
      </c>
      <c r="AE41" s="134">
        <f>IFERROR(SUM(TblDetailBudget[[#This Row],[2021 Cost (LCU)]])/FX_Rate, "")</f>
        <v>0</v>
      </c>
      <c r="AF41" s="63">
        <f>IFERROR(SUM(TblDetailBudget[[#This Row],[2022 Cost (LCU)]])/FX_Rate, "")</f>
        <v>0</v>
      </c>
      <c r="AG41" s="63">
        <f>IFERROR(SUM(TblDetailBudget[[#This Row],[2023 Cost (LCU)]])/FX_Rate, "")</f>
        <v>0</v>
      </c>
      <c r="AH41" s="63">
        <f>IFERROR(SUM(TblDetailBudget[[#This Row],[2024 Cost (LCU)]])/FX_Rate, "")</f>
        <v>0</v>
      </c>
      <c r="AI41" s="63">
        <f>IFERROR(SUM(TblDetailBudget[[#This Row],[2025 Cost (LCU)]])/FX_Rate, "")</f>
        <v>0</v>
      </c>
      <c r="AJ41" s="125">
        <f>SUM(TblDetailBudget[[#This Row],[2021 Cost (USD)]:[2025 Cost (USD)]])</f>
        <v>0</v>
      </c>
      <c r="AK41" s="180"/>
    </row>
    <row r="42" spans="2:37" ht="12.75" hidden="1" customHeight="1">
      <c r="B42" s="122" t="s">
        <v>71</v>
      </c>
      <c r="C4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1.1.2.4.5</v>
      </c>
      <c r="D42" s="62">
        <f>IF(TblDetailBudget[[#This Row],[Level]]="", "", COUNTIFS($B$8:TblDetailBudget[[#This Row],[Level]], Lvl1Hdr))</f>
        <v>1</v>
      </c>
      <c r="E42" s="62">
        <f>IF(TblDetailBudget[[#This Row],[Level]]="", "", COUNTIFS($B$8:TblDetailBudget[[#This Row],[Level]], Lvl2Hdr, $D$8:TblDetailBudget[[#This Row],[Lvl 1 Header]], TblDetailBudget[[#This Row],[Lvl 1 Header]]))</f>
        <v>1</v>
      </c>
      <c r="F4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4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4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5</v>
      </c>
      <c r="I42" s="101"/>
      <c r="J42" s="101"/>
      <c r="K42" s="88"/>
      <c r="L42" s="88"/>
      <c r="M42" s="62" t="str">
        <f>IF(TblDetailBudget[[#This Row],[Level]]=LvlBottomHdr, IFERROR(INDEX(TblUnitCost[Unit], MATCH(TblDetailBudget[[#This Row],[Row Title]], TblUnitCost[Resource], 0)), "Invalid Resource"), "")</f>
        <v>Invalid Resource</v>
      </c>
      <c r="N42" s="125" t="str">
        <f>IF(TblDetailBudget[[#This Row],[Level]]=LvlBottomHdr, IFERROR(INDEX(TblUnitCost[LCU], MATCH(TblDetailBudget[[#This Row],[Row Title]], TblUnitCost[Resource], 0)), "Invalid Resource"), "")</f>
        <v>Invalid Resource</v>
      </c>
      <c r="O42" s="128"/>
      <c r="P42" s="108"/>
      <c r="Q42" s="185"/>
      <c r="R42" s="129"/>
      <c r="S42" s="108"/>
      <c r="T42" s="108"/>
      <c r="U42" s="108"/>
      <c r="V42" s="108"/>
      <c r="W42" s="108"/>
      <c r="X42" s="125" t="str">
        <f>IF(TblDetailBudget[[#This Row],[Level]]=LvlBottomHdr, IF(SUM(TblDetailBudget[[#This Row],[2021 Quant]:[2025 Quant]])&gt;0, SUM(TblDetailBudget[[#This Row],[2021 Quant]:[2025 Quant]]), ""), "")</f>
        <v/>
      </c>
      <c r="Y42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2" s="140">
        <f>SUM(TblDetailBudget[[#This Row],[2021 Cost (LCU)]:[2025 Cost (LCU)]])</f>
        <v>0</v>
      </c>
      <c r="AE42" s="134">
        <f>IFERROR(SUM(TblDetailBudget[[#This Row],[2021 Cost (LCU)]])/FX_Rate, "")</f>
        <v>0</v>
      </c>
      <c r="AF42" s="63">
        <f>IFERROR(SUM(TblDetailBudget[[#This Row],[2022 Cost (LCU)]])/FX_Rate, "")</f>
        <v>0</v>
      </c>
      <c r="AG42" s="63">
        <f>IFERROR(SUM(TblDetailBudget[[#This Row],[2023 Cost (LCU)]])/FX_Rate, "")</f>
        <v>0</v>
      </c>
      <c r="AH42" s="63">
        <f>IFERROR(SUM(TblDetailBudget[[#This Row],[2024 Cost (LCU)]])/FX_Rate, "")</f>
        <v>0</v>
      </c>
      <c r="AI42" s="63">
        <f>IFERROR(SUM(TblDetailBudget[[#This Row],[2025 Cost (LCU)]])/FX_Rate, "")</f>
        <v>0</v>
      </c>
      <c r="AJ42" s="125">
        <f>SUM(TblDetailBudget[[#This Row],[2021 Cost (USD)]:[2025 Cost (USD)]])</f>
        <v>0</v>
      </c>
      <c r="AK42" s="180"/>
    </row>
    <row r="43" spans="2:37" ht="12.75" hidden="1" customHeight="1">
      <c r="B43" s="122" t="s">
        <v>71</v>
      </c>
      <c r="C4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1.1.2.4.6</v>
      </c>
      <c r="D43" s="62">
        <f>IF(TblDetailBudget[[#This Row],[Level]]="", "", COUNTIFS($B$8:TblDetailBudget[[#This Row],[Level]], Lvl1Hdr))</f>
        <v>1</v>
      </c>
      <c r="E43" s="62">
        <f>IF(TblDetailBudget[[#This Row],[Level]]="", "", COUNTIFS($B$8:TblDetailBudget[[#This Row],[Level]], Lvl2Hdr, $D$8:TblDetailBudget[[#This Row],[Lvl 1 Header]], TblDetailBudget[[#This Row],[Lvl 1 Header]]))</f>
        <v>1</v>
      </c>
      <c r="F4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4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4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6</v>
      </c>
      <c r="I43" s="101"/>
      <c r="J43" s="101"/>
      <c r="K43" s="88"/>
      <c r="L43" s="88"/>
      <c r="M43" s="62" t="str">
        <f>IF(TblDetailBudget[[#This Row],[Level]]=LvlBottomHdr, IFERROR(INDEX(TblUnitCost[Unit], MATCH(TblDetailBudget[[#This Row],[Row Title]], TblUnitCost[Resource], 0)), "Invalid Resource"), "")</f>
        <v>Invalid Resource</v>
      </c>
      <c r="N43" s="125" t="str">
        <f>IF(TblDetailBudget[[#This Row],[Level]]=LvlBottomHdr, IFERROR(INDEX(TblUnitCost[LCU], MATCH(TblDetailBudget[[#This Row],[Row Title]], TblUnitCost[Resource], 0)), "Invalid Resource"), "")</f>
        <v>Invalid Resource</v>
      </c>
      <c r="O43" s="128"/>
      <c r="P43" s="108"/>
      <c r="Q43" s="185"/>
      <c r="R43" s="129"/>
      <c r="S43" s="108"/>
      <c r="T43" s="108"/>
      <c r="U43" s="108"/>
      <c r="V43" s="108"/>
      <c r="W43" s="108"/>
      <c r="X43" s="125" t="str">
        <f>IF(TblDetailBudget[[#This Row],[Level]]=LvlBottomHdr, IF(SUM(TblDetailBudget[[#This Row],[2021 Quant]:[2025 Quant]])&gt;0, SUM(TblDetailBudget[[#This Row],[2021 Quant]:[2025 Quant]]), ""), "")</f>
        <v/>
      </c>
      <c r="Y43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3" s="140">
        <f>SUM(TblDetailBudget[[#This Row],[2021 Cost (LCU)]:[2025 Cost (LCU)]])</f>
        <v>0</v>
      </c>
      <c r="AE43" s="134">
        <f>IFERROR(SUM(TblDetailBudget[[#This Row],[2021 Cost (LCU)]])/FX_Rate, "")</f>
        <v>0</v>
      </c>
      <c r="AF43" s="63">
        <f>IFERROR(SUM(TblDetailBudget[[#This Row],[2022 Cost (LCU)]])/FX_Rate, "")</f>
        <v>0</v>
      </c>
      <c r="AG43" s="63">
        <f>IFERROR(SUM(TblDetailBudget[[#This Row],[2023 Cost (LCU)]])/FX_Rate, "")</f>
        <v>0</v>
      </c>
      <c r="AH43" s="63">
        <f>IFERROR(SUM(TblDetailBudget[[#This Row],[2024 Cost (LCU)]])/FX_Rate, "")</f>
        <v>0</v>
      </c>
      <c r="AI43" s="63">
        <f>IFERROR(SUM(TblDetailBudget[[#This Row],[2025 Cost (LCU)]])/FX_Rate, "")</f>
        <v>0</v>
      </c>
      <c r="AJ43" s="125">
        <f>SUM(TblDetailBudget[[#This Row],[2021 Cost (USD)]:[2025 Cost (USD)]])</f>
        <v>0</v>
      </c>
      <c r="AK43" s="180"/>
    </row>
    <row r="44" spans="2:37" ht="12.75" hidden="1" customHeight="1">
      <c r="B44" s="122" t="s">
        <v>71</v>
      </c>
      <c r="C4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1.1.2.4.7</v>
      </c>
      <c r="D44" s="62">
        <f>IF(TblDetailBudget[[#This Row],[Level]]="", "", COUNTIFS($B$8:TblDetailBudget[[#This Row],[Level]], Lvl1Hdr))</f>
        <v>1</v>
      </c>
      <c r="E44" s="62">
        <f>IF(TblDetailBudget[[#This Row],[Level]]="", "", COUNTIFS($B$8:TblDetailBudget[[#This Row],[Level]], Lvl2Hdr, $D$8:TblDetailBudget[[#This Row],[Lvl 1 Header]], TblDetailBudget[[#This Row],[Lvl 1 Header]]))</f>
        <v>1</v>
      </c>
      <c r="F4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4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4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7</v>
      </c>
      <c r="I44" s="101"/>
      <c r="J44" s="101"/>
      <c r="K44" s="88"/>
      <c r="L44" s="88"/>
      <c r="M44" s="62" t="str">
        <f>IF(TblDetailBudget[[#This Row],[Level]]=LvlBottomHdr, IFERROR(INDEX(TblUnitCost[Unit], MATCH(TblDetailBudget[[#This Row],[Row Title]], TblUnitCost[Resource], 0)), "Invalid Resource"), "")</f>
        <v>Invalid Resource</v>
      </c>
      <c r="N44" s="125" t="str">
        <f>IF(TblDetailBudget[[#This Row],[Level]]=LvlBottomHdr, IFERROR(INDEX(TblUnitCost[LCU], MATCH(TblDetailBudget[[#This Row],[Row Title]], TblUnitCost[Resource], 0)), "Invalid Resource"), "")</f>
        <v>Invalid Resource</v>
      </c>
      <c r="O44" s="128"/>
      <c r="P44" s="108"/>
      <c r="Q44" s="185"/>
      <c r="R44" s="129"/>
      <c r="S44" s="108"/>
      <c r="T44" s="108"/>
      <c r="U44" s="108"/>
      <c r="V44" s="108"/>
      <c r="W44" s="108"/>
      <c r="X44" s="125" t="str">
        <f>IF(TblDetailBudget[[#This Row],[Level]]=LvlBottomHdr, IF(SUM(TblDetailBudget[[#This Row],[2021 Quant]:[2025 Quant]])&gt;0, SUM(TblDetailBudget[[#This Row],[2021 Quant]:[2025 Quant]]), ""), "")</f>
        <v/>
      </c>
      <c r="Y4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4" s="140">
        <f>SUM(TblDetailBudget[[#This Row],[2021 Cost (LCU)]:[2025 Cost (LCU)]])</f>
        <v>0</v>
      </c>
      <c r="AE44" s="134">
        <f>IFERROR(SUM(TblDetailBudget[[#This Row],[2021 Cost (LCU)]])/FX_Rate, "")</f>
        <v>0</v>
      </c>
      <c r="AF44" s="63">
        <f>IFERROR(SUM(TblDetailBudget[[#This Row],[2022 Cost (LCU)]])/FX_Rate, "")</f>
        <v>0</v>
      </c>
      <c r="AG44" s="63">
        <f>IFERROR(SUM(TblDetailBudget[[#This Row],[2023 Cost (LCU)]])/FX_Rate, "")</f>
        <v>0</v>
      </c>
      <c r="AH44" s="63">
        <f>IFERROR(SUM(TblDetailBudget[[#This Row],[2024 Cost (LCU)]])/FX_Rate, "")</f>
        <v>0</v>
      </c>
      <c r="AI44" s="63">
        <f>IFERROR(SUM(TblDetailBudget[[#This Row],[2025 Cost (LCU)]])/FX_Rate, "")</f>
        <v>0</v>
      </c>
      <c r="AJ44" s="125">
        <f>SUM(TblDetailBudget[[#This Row],[2021 Cost (USD)]:[2025 Cost (USD)]])</f>
        <v>0</v>
      </c>
      <c r="AK44" s="180"/>
    </row>
    <row r="45" spans="2:37" ht="12.75" hidden="1" customHeight="1">
      <c r="B45" s="122" t="s">
        <v>70</v>
      </c>
      <c r="C4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1.1.2.5</v>
      </c>
      <c r="D45" s="62">
        <f>IF(TblDetailBudget[[#This Row],[Level]]="", "", COUNTIFS($B$8:TblDetailBudget[[#This Row],[Level]], Lvl1Hdr))</f>
        <v>1</v>
      </c>
      <c r="E45" s="62">
        <f>IF(TblDetailBudget[[#This Row],[Level]]="", "", COUNTIFS($B$8:TblDetailBudget[[#This Row],[Level]], Lvl2Hdr, $D$8:TblDetailBudget[[#This Row],[Lvl 1 Header]], TblDetailBudget[[#This Row],[Lvl 1 Header]]))</f>
        <v>1</v>
      </c>
      <c r="F4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4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4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45" s="101"/>
      <c r="J45" s="101"/>
      <c r="K45" s="88"/>
      <c r="L45" s="88"/>
      <c r="M45" s="62" t="str">
        <f>IF(TblDetailBudget[[#This Row],[Level]]=LvlBottomHdr, IFERROR(INDEX(TblUnitCost[Unit], MATCH(TblDetailBudget[[#This Row],[Row Title]], TblUnitCost[Resource], 0)), "Invalid Resource"), "")</f>
        <v/>
      </c>
      <c r="N45" s="125" t="str">
        <f>IF(TblDetailBudget[[#This Row],[Level]]=LvlBottomHdr, IFERROR(INDEX(TblUnitCost[LCU], MATCH(TblDetailBudget[[#This Row],[Row Title]], TblUnitCost[Resource], 0)), "Invalid Resource"), "")</f>
        <v/>
      </c>
      <c r="O45" s="128"/>
      <c r="P45" s="108"/>
      <c r="Q45" s="185"/>
      <c r="R45" s="129"/>
      <c r="S45" s="108"/>
      <c r="T45" s="108"/>
      <c r="U45" s="108"/>
      <c r="V45" s="108"/>
      <c r="W45" s="108"/>
      <c r="X45" s="125" t="str">
        <f>IF(TblDetailBudget[[#This Row],[Level]]=LvlBottomHdr, IF(SUM(TblDetailBudget[[#This Row],[2021 Quant]:[2025 Quant]])&gt;0, SUM(TblDetailBudget[[#This Row],[2021 Quant]:[2025 Quant]]), ""), "")</f>
        <v/>
      </c>
      <c r="Y4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4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4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4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4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45" s="140">
        <f>SUM(TblDetailBudget[[#This Row],[2021 Cost (LCU)]:[2025 Cost (LCU)]])</f>
        <v>0</v>
      </c>
      <c r="AE45" s="134">
        <f>IFERROR(SUM(TblDetailBudget[[#This Row],[2021 Cost (LCU)]])/FX_Rate, "")</f>
        <v>0</v>
      </c>
      <c r="AF45" s="63">
        <f>IFERROR(SUM(TblDetailBudget[[#This Row],[2022 Cost (LCU)]])/FX_Rate, "")</f>
        <v>0</v>
      </c>
      <c r="AG45" s="63">
        <f>IFERROR(SUM(TblDetailBudget[[#This Row],[2023 Cost (LCU)]])/FX_Rate, "")</f>
        <v>0</v>
      </c>
      <c r="AH45" s="63">
        <f>IFERROR(SUM(TblDetailBudget[[#This Row],[2024 Cost (LCU)]])/FX_Rate, "")</f>
        <v>0</v>
      </c>
      <c r="AI45" s="63">
        <f>IFERROR(SUM(TblDetailBudget[[#This Row],[2025 Cost (LCU)]])/FX_Rate, "")</f>
        <v>0</v>
      </c>
      <c r="AJ45" s="125">
        <f>SUM(TblDetailBudget[[#This Row],[2021 Cost (USD)]:[2025 Cost (USD)]])</f>
        <v>0</v>
      </c>
      <c r="AK45" s="180"/>
    </row>
    <row r="46" spans="2:37" ht="12.75" hidden="1" customHeight="1">
      <c r="B46" s="122" t="s">
        <v>71</v>
      </c>
      <c r="C4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1.1.2.5.1</v>
      </c>
      <c r="D46" s="62">
        <f>IF(TblDetailBudget[[#This Row],[Level]]="", "", COUNTIFS($B$8:TblDetailBudget[[#This Row],[Level]], Lvl1Hdr))</f>
        <v>1</v>
      </c>
      <c r="E46" s="62">
        <f>IF(TblDetailBudget[[#This Row],[Level]]="", "", COUNTIFS($B$8:TblDetailBudget[[#This Row],[Level]], Lvl2Hdr, $D$8:TblDetailBudget[[#This Row],[Lvl 1 Header]], TblDetailBudget[[#This Row],[Lvl 1 Header]]))</f>
        <v>1</v>
      </c>
      <c r="F4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4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4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46" s="101"/>
      <c r="J46" s="101"/>
      <c r="K46" s="88"/>
      <c r="L46" s="88"/>
      <c r="M46" s="62" t="str">
        <f>IF(TblDetailBudget[[#This Row],[Level]]=LvlBottomHdr, IFERROR(INDEX(TblUnitCost[Unit], MATCH(TblDetailBudget[[#This Row],[Row Title]], TblUnitCost[Resource], 0)), "Invalid Resource"), "")</f>
        <v>Invalid Resource</v>
      </c>
      <c r="N46" s="125" t="str">
        <f>IF(TblDetailBudget[[#This Row],[Level]]=LvlBottomHdr, IFERROR(INDEX(TblUnitCost[LCU], MATCH(TblDetailBudget[[#This Row],[Row Title]], TblUnitCost[Resource], 0)), "Invalid Resource"), "")</f>
        <v>Invalid Resource</v>
      </c>
      <c r="O46" s="128"/>
      <c r="P46" s="108"/>
      <c r="Q46" s="185"/>
      <c r="R46" s="129"/>
      <c r="S46" s="108"/>
      <c r="T46" s="108"/>
      <c r="U46" s="108"/>
      <c r="V46" s="108"/>
      <c r="W46" s="108"/>
      <c r="X46" s="125" t="str">
        <f>IF(TblDetailBudget[[#This Row],[Level]]=LvlBottomHdr, IF(SUM(TblDetailBudget[[#This Row],[2021 Quant]:[2025 Quant]])&gt;0, SUM(TblDetailBudget[[#This Row],[2021 Quant]:[2025 Quant]]), ""), "")</f>
        <v/>
      </c>
      <c r="Y46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6" s="140">
        <f>SUM(TblDetailBudget[[#This Row],[2021 Cost (LCU)]:[2025 Cost (LCU)]])</f>
        <v>0</v>
      </c>
      <c r="AE46" s="134">
        <f>IFERROR(SUM(TblDetailBudget[[#This Row],[2021 Cost (LCU)]])/FX_Rate, "")</f>
        <v>0</v>
      </c>
      <c r="AF46" s="63">
        <f>IFERROR(SUM(TblDetailBudget[[#This Row],[2022 Cost (LCU)]])/FX_Rate, "")</f>
        <v>0</v>
      </c>
      <c r="AG46" s="63">
        <f>IFERROR(SUM(TblDetailBudget[[#This Row],[2023 Cost (LCU)]])/FX_Rate, "")</f>
        <v>0</v>
      </c>
      <c r="AH46" s="63">
        <f>IFERROR(SUM(TblDetailBudget[[#This Row],[2024 Cost (LCU)]])/FX_Rate, "")</f>
        <v>0</v>
      </c>
      <c r="AI46" s="63">
        <f>IFERROR(SUM(TblDetailBudget[[#This Row],[2025 Cost (LCU)]])/FX_Rate, "")</f>
        <v>0</v>
      </c>
      <c r="AJ46" s="125">
        <f>SUM(TblDetailBudget[[#This Row],[2021 Cost (USD)]:[2025 Cost (USD)]])</f>
        <v>0</v>
      </c>
      <c r="AK46" s="180"/>
    </row>
    <row r="47" spans="2:37" ht="12.75" hidden="1" customHeight="1">
      <c r="B47" s="122" t="s">
        <v>69</v>
      </c>
      <c r="C4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</v>
      </c>
      <c r="D47" s="62">
        <f>IF(TblDetailBudget[[#This Row],[Level]]="", "", COUNTIFS($B$8:TblDetailBudget[[#This Row],[Level]], Lvl1Hdr))</f>
        <v>1</v>
      </c>
      <c r="E47" s="62">
        <f>IF(TblDetailBudget[[#This Row],[Level]]="", "", COUNTIFS($B$8:TblDetailBudget[[#This Row],[Level]], Lvl2Hdr, $D$8:TblDetailBudget[[#This Row],[Lvl 1 Header]], TblDetailBudget[[#This Row],[Lvl 1 Header]]))</f>
        <v>1</v>
      </c>
      <c r="F4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4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4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47" s="188"/>
      <c r="J47" s="101"/>
      <c r="K47" s="88"/>
      <c r="L47" s="88"/>
      <c r="M47" s="62" t="str">
        <f>IF(TblDetailBudget[[#This Row],[Level]]=LvlBottomHdr, IFERROR(INDEX(TblUnitCost[Unit], MATCH(TblDetailBudget[[#This Row],[Row Title]], TblUnitCost[Resource], 0)), "Invalid Resource"), "")</f>
        <v/>
      </c>
      <c r="N47" s="125" t="str">
        <f>IF(TblDetailBudget[[#This Row],[Level]]=LvlBottomHdr, IFERROR(INDEX(TblUnitCost[LCU], MATCH(TblDetailBudget[[#This Row],[Row Title]], TblUnitCost[Resource], 0)), "Invalid Resource"), "")</f>
        <v/>
      </c>
      <c r="O47" s="128"/>
      <c r="P47" s="108"/>
      <c r="Q47" s="185"/>
      <c r="R47" s="129"/>
      <c r="S47" s="108"/>
      <c r="T47" s="108"/>
      <c r="U47" s="108"/>
      <c r="V47" s="108"/>
      <c r="W47" s="108"/>
      <c r="X47" s="125" t="str">
        <f>IF(TblDetailBudget[[#This Row],[Level]]=LvlBottomHdr, IF(SUM(TblDetailBudget[[#This Row],[2021 Quant]:[2025 Quant]])&gt;0, SUM(TblDetailBudget[[#This Row],[2021 Quant]:[2025 Quant]]), ""), "")</f>
        <v/>
      </c>
      <c r="Y4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4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4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4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4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47" s="140">
        <f>SUM(TblDetailBudget[[#This Row],[2021 Cost (LCU)]:[2025 Cost (LCU)]])</f>
        <v>0</v>
      </c>
      <c r="AE47" s="134">
        <f>IFERROR(SUM(TblDetailBudget[[#This Row],[2021 Cost (LCU)]])/FX_Rate, "")</f>
        <v>0</v>
      </c>
      <c r="AF47" s="63">
        <f>IFERROR(SUM(TblDetailBudget[[#This Row],[2022 Cost (LCU)]])/FX_Rate, "")</f>
        <v>0</v>
      </c>
      <c r="AG47" s="63">
        <f>IFERROR(SUM(TblDetailBudget[[#This Row],[2023 Cost (LCU)]])/FX_Rate, "")</f>
        <v>0</v>
      </c>
      <c r="AH47" s="63">
        <f>IFERROR(SUM(TblDetailBudget[[#This Row],[2024 Cost (LCU)]])/FX_Rate, "")</f>
        <v>0</v>
      </c>
      <c r="AI47" s="63">
        <f>IFERROR(SUM(TblDetailBudget[[#This Row],[2025 Cost (LCU)]])/FX_Rate, "")</f>
        <v>0</v>
      </c>
      <c r="AJ47" s="125">
        <f>SUM(TblDetailBudget[[#This Row],[2021 Cost (USD)]:[2025 Cost (USD)]])</f>
        <v>0</v>
      </c>
      <c r="AK47" s="180"/>
    </row>
    <row r="48" spans="2:37" ht="12.75" hidden="1" customHeight="1">
      <c r="B48" s="122" t="s">
        <v>70</v>
      </c>
      <c r="C4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1.1.3.1</v>
      </c>
      <c r="D48" s="62">
        <f>IF(TblDetailBudget[[#This Row],[Level]]="", "", COUNTIFS($B$8:TblDetailBudget[[#This Row],[Level]], Lvl1Hdr))</f>
        <v>1</v>
      </c>
      <c r="E48" s="62">
        <f>IF(TblDetailBudget[[#This Row],[Level]]="", "", COUNTIFS($B$8:TblDetailBudget[[#This Row],[Level]], Lvl2Hdr, $D$8:TblDetailBudget[[#This Row],[Lvl 1 Header]], TblDetailBudget[[#This Row],[Lvl 1 Header]]))</f>
        <v>1</v>
      </c>
      <c r="F4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4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4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48" s="101"/>
      <c r="J48" s="101"/>
      <c r="K48" s="88"/>
      <c r="L48" s="88"/>
      <c r="M48" s="62" t="str">
        <f>IF(TblDetailBudget[[#This Row],[Level]]=LvlBottomHdr, IFERROR(INDEX(TblUnitCost[Unit], MATCH(TblDetailBudget[[#This Row],[Row Title]], TblUnitCost[Resource], 0)), "Invalid Resource"), "")</f>
        <v/>
      </c>
      <c r="N48" s="125" t="str">
        <f>IF(TblDetailBudget[[#This Row],[Level]]=LvlBottomHdr, IFERROR(INDEX(TblUnitCost[LCU], MATCH(TblDetailBudget[[#This Row],[Row Title]], TblUnitCost[Resource], 0)), "Invalid Resource"), "")</f>
        <v/>
      </c>
      <c r="O48" s="128"/>
      <c r="P48" s="108"/>
      <c r="Q48" s="185"/>
      <c r="R48" s="129"/>
      <c r="S48" s="108"/>
      <c r="T48" s="108"/>
      <c r="U48" s="108"/>
      <c r="V48" s="108"/>
      <c r="W48" s="108"/>
      <c r="X48" s="125" t="str">
        <f>IF(TblDetailBudget[[#This Row],[Level]]=LvlBottomHdr, IF(SUM(TblDetailBudget[[#This Row],[2021 Quant]:[2025 Quant]])&gt;0, SUM(TblDetailBudget[[#This Row],[2021 Quant]:[2025 Quant]]), ""), "")</f>
        <v/>
      </c>
      <c r="Y4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4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4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4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4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48" s="140">
        <f>SUM(TblDetailBudget[[#This Row],[2021 Cost (LCU)]:[2025 Cost (LCU)]])</f>
        <v>0</v>
      </c>
      <c r="AE48" s="134">
        <f>IFERROR(SUM(TblDetailBudget[[#This Row],[2021 Cost (LCU)]])/FX_Rate, "")</f>
        <v>0</v>
      </c>
      <c r="AF48" s="63">
        <f>IFERROR(SUM(TblDetailBudget[[#This Row],[2022 Cost (LCU)]])/FX_Rate, "")</f>
        <v>0</v>
      </c>
      <c r="AG48" s="63">
        <f>IFERROR(SUM(TblDetailBudget[[#This Row],[2023 Cost (LCU)]])/FX_Rate, "")</f>
        <v>0</v>
      </c>
      <c r="AH48" s="63">
        <f>IFERROR(SUM(TblDetailBudget[[#This Row],[2024 Cost (LCU)]])/FX_Rate, "")</f>
        <v>0</v>
      </c>
      <c r="AI48" s="63">
        <f>IFERROR(SUM(TblDetailBudget[[#This Row],[2025 Cost (LCU)]])/FX_Rate, "")</f>
        <v>0</v>
      </c>
      <c r="AJ48" s="125">
        <f>SUM(TblDetailBudget[[#This Row],[2021 Cost (USD)]:[2025 Cost (USD)]])</f>
        <v>0</v>
      </c>
      <c r="AK48" s="180"/>
    </row>
    <row r="49" spans="2:37" ht="12.75" hidden="1" customHeight="1">
      <c r="B49" s="122" t="s">
        <v>71</v>
      </c>
      <c r="C4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1.1.3.1.1</v>
      </c>
      <c r="D49" s="62">
        <f>IF(TblDetailBudget[[#This Row],[Level]]="", "", COUNTIFS($B$8:TblDetailBudget[[#This Row],[Level]], Lvl1Hdr))</f>
        <v>1</v>
      </c>
      <c r="E49" s="62">
        <f>IF(TblDetailBudget[[#This Row],[Level]]="", "", COUNTIFS($B$8:TblDetailBudget[[#This Row],[Level]], Lvl2Hdr, $D$8:TblDetailBudget[[#This Row],[Lvl 1 Header]], TblDetailBudget[[#This Row],[Lvl 1 Header]]))</f>
        <v>1</v>
      </c>
      <c r="F4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4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4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49" s="101"/>
      <c r="J49" s="101"/>
      <c r="K49" s="88"/>
      <c r="L49" s="88"/>
      <c r="M49" s="62" t="str">
        <f>IF(TblDetailBudget[[#This Row],[Level]]=LvlBottomHdr, IFERROR(INDEX(TblUnitCost[Unit], MATCH(TblDetailBudget[[#This Row],[Row Title]], TblUnitCost[Resource], 0)), "Invalid Resource"), "")</f>
        <v>Invalid Resource</v>
      </c>
      <c r="N49" s="125" t="str">
        <f>IF(TblDetailBudget[[#This Row],[Level]]=LvlBottomHdr, IFERROR(INDEX(TblUnitCost[LCU], MATCH(TblDetailBudget[[#This Row],[Row Title]], TblUnitCost[Resource], 0)), "Invalid Resource"), "")</f>
        <v>Invalid Resource</v>
      </c>
      <c r="O49" s="128"/>
      <c r="P49" s="108"/>
      <c r="Q49" s="185">
        <v>1</v>
      </c>
      <c r="R49" s="129">
        <v>1</v>
      </c>
      <c r="S49" s="108"/>
      <c r="T49" s="108"/>
      <c r="U49" s="108"/>
      <c r="V49" s="108"/>
      <c r="W49" s="108">
        <v>1</v>
      </c>
      <c r="X49" s="125">
        <f>IF(TblDetailBudget[[#This Row],[Level]]=LvlBottomHdr, IF(SUM(TblDetailBudget[[#This Row],[2021 Quant]:[2025 Quant]])&gt;0, SUM(TblDetailBudget[[#This Row],[2021 Quant]:[2025 Quant]]), ""), "")</f>
        <v>1</v>
      </c>
      <c r="Y4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9" s="140">
        <f>SUM(TblDetailBudget[[#This Row],[2021 Cost (LCU)]:[2025 Cost (LCU)]])</f>
        <v>0</v>
      </c>
      <c r="AE49" s="134">
        <f>IFERROR(SUM(TblDetailBudget[[#This Row],[2021 Cost (LCU)]])/FX_Rate, "")</f>
        <v>0</v>
      </c>
      <c r="AF49" s="63">
        <f>IFERROR(SUM(TblDetailBudget[[#This Row],[2022 Cost (LCU)]])/FX_Rate, "")</f>
        <v>0</v>
      </c>
      <c r="AG49" s="63">
        <f>IFERROR(SUM(TblDetailBudget[[#This Row],[2023 Cost (LCU)]])/FX_Rate, "")</f>
        <v>0</v>
      </c>
      <c r="AH49" s="63">
        <f>IFERROR(SUM(TblDetailBudget[[#This Row],[2024 Cost (LCU)]])/FX_Rate, "")</f>
        <v>0</v>
      </c>
      <c r="AI49" s="63">
        <f>IFERROR(SUM(TblDetailBudget[[#This Row],[2025 Cost (LCU)]])/FX_Rate, "")</f>
        <v>0</v>
      </c>
      <c r="AJ49" s="125">
        <f>SUM(TblDetailBudget[[#This Row],[2021 Cost (USD)]:[2025 Cost (USD)]])</f>
        <v>0</v>
      </c>
      <c r="AK49" s="180"/>
    </row>
    <row r="50" spans="2:37" ht="12.75" hidden="1" customHeight="1">
      <c r="B50" s="122" t="s">
        <v>71</v>
      </c>
      <c r="C5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1.1.3.1.2</v>
      </c>
      <c r="D50" s="62">
        <f>IF(TblDetailBudget[[#This Row],[Level]]="", "", COUNTIFS($B$8:TblDetailBudget[[#This Row],[Level]], Lvl1Hdr))</f>
        <v>1</v>
      </c>
      <c r="E50" s="62">
        <f>IF(TblDetailBudget[[#This Row],[Level]]="", "", COUNTIFS($B$8:TblDetailBudget[[#This Row],[Level]], Lvl2Hdr, $D$8:TblDetailBudget[[#This Row],[Lvl 1 Header]], TblDetailBudget[[#This Row],[Lvl 1 Header]]))</f>
        <v>1</v>
      </c>
      <c r="F5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5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5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50" s="101"/>
      <c r="J50" s="101"/>
      <c r="K50" s="88"/>
      <c r="L50" s="88"/>
      <c r="M50" s="62" t="str">
        <f>IF(TblDetailBudget[[#This Row],[Level]]=LvlBottomHdr, IFERROR(INDEX(TblUnitCost[Unit], MATCH(TblDetailBudget[[#This Row],[Row Title]], TblUnitCost[Resource], 0)), "Invalid Resource"), "")</f>
        <v>Invalid Resource</v>
      </c>
      <c r="N50" s="125" t="str">
        <f>IF(TblDetailBudget[[#This Row],[Level]]=LvlBottomHdr, IFERROR(INDEX(TblUnitCost[LCU], MATCH(TblDetailBudget[[#This Row],[Row Title]], TblUnitCost[Resource], 0)), "Invalid Resource"), "")</f>
        <v>Invalid Resource</v>
      </c>
      <c r="O50" s="128"/>
      <c r="P50" s="108"/>
      <c r="Q50" s="185"/>
      <c r="R50" s="129"/>
      <c r="S50" s="108"/>
      <c r="T50" s="108"/>
      <c r="U50" s="108"/>
      <c r="V50" s="108"/>
      <c r="W50" s="108"/>
      <c r="X50" s="125" t="str">
        <f>IF(TblDetailBudget[[#This Row],[Level]]=LvlBottomHdr, IF(SUM(TblDetailBudget[[#This Row],[2021 Quant]:[2025 Quant]])&gt;0, SUM(TblDetailBudget[[#This Row],[2021 Quant]:[2025 Quant]]), ""), "")</f>
        <v/>
      </c>
      <c r="Y50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0" s="140">
        <f>SUM(TblDetailBudget[[#This Row],[2021 Cost (LCU)]:[2025 Cost (LCU)]])</f>
        <v>0</v>
      </c>
      <c r="AE50" s="134">
        <f>IFERROR(SUM(TblDetailBudget[[#This Row],[2021 Cost (LCU)]])/FX_Rate, "")</f>
        <v>0</v>
      </c>
      <c r="AF50" s="63">
        <f>IFERROR(SUM(TblDetailBudget[[#This Row],[2022 Cost (LCU)]])/FX_Rate, "")</f>
        <v>0</v>
      </c>
      <c r="AG50" s="63">
        <f>IFERROR(SUM(TblDetailBudget[[#This Row],[2023 Cost (LCU)]])/FX_Rate, "")</f>
        <v>0</v>
      </c>
      <c r="AH50" s="63">
        <f>IFERROR(SUM(TblDetailBudget[[#This Row],[2024 Cost (LCU)]])/FX_Rate, "")</f>
        <v>0</v>
      </c>
      <c r="AI50" s="63">
        <f>IFERROR(SUM(TblDetailBudget[[#This Row],[2025 Cost (LCU)]])/FX_Rate, "")</f>
        <v>0</v>
      </c>
      <c r="AJ50" s="125">
        <f>SUM(TblDetailBudget[[#This Row],[2021 Cost (USD)]:[2025 Cost (USD)]])</f>
        <v>0</v>
      </c>
      <c r="AK50" s="180"/>
    </row>
    <row r="51" spans="2:37" ht="12.75" hidden="1" customHeight="1">
      <c r="B51" s="122" t="s">
        <v>71</v>
      </c>
      <c r="C5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1.1.3.1.3</v>
      </c>
      <c r="D51" s="62">
        <f>IF(TblDetailBudget[[#This Row],[Level]]="", "", COUNTIFS($B$8:TblDetailBudget[[#This Row],[Level]], Lvl1Hdr))</f>
        <v>1</v>
      </c>
      <c r="E51" s="62">
        <f>IF(TblDetailBudget[[#This Row],[Level]]="", "", COUNTIFS($B$8:TblDetailBudget[[#This Row],[Level]], Lvl2Hdr, $D$8:TblDetailBudget[[#This Row],[Lvl 1 Header]], TblDetailBudget[[#This Row],[Lvl 1 Header]]))</f>
        <v>1</v>
      </c>
      <c r="F5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5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5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3</v>
      </c>
      <c r="I51" s="101"/>
      <c r="J51" s="101"/>
      <c r="K51" s="88"/>
      <c r="L51" s="88"/>
      <c r="M51" s="62" t="str">
        <f>IF(TblDetailBudget[[#This Row],[Level]]=LvlBottomHdr, IFERROR(INDEX(TblUnitCost[Unit], MATCH(TblDetailBudget[[#This Row],[Row Title]], TblUnitCost[Resource], 0)), "Invalid Resource"), "")</f>
        <v>Invalid Resource</v>
      </c>
      <c r="N51" s="125" t="str">
        <f>IF(TblDetailBudget[[#This Row],[Level]]=LvlBottomHdr, IFERROR(INDEX(TblUnitCost[LCU], MATCH(TblDetailBudget[[#This Row],[Row Title]], TblUnitCost[Resource], 0)), "Invalid Resource"), "")</f>
        <v>Invalid Resource</v>
      </c>
      <c r="O51" s="128"/>
      <c r="P51" s="108"/>
      <c r="Q51" s="185"/>
      <c r="R51" s="129"/>
      <c r="S51" s="108"/>
      <c r="T51" s="108"/>
      <c r="U51" s="108"/>
      <c r="V51" s="108"/>
      <c r="W51" s="108"/>
      <c r="X51" s="125" t="str">
        <f>IF(TblDetailBudget[[#This Row],[Level]]=LvlBottomHdr, IF(SUM(TblDetailBudget[[#This Row],[2021 Quant]:[2025 Quant]])&gt;0, SUM(TblDetailBudget[[#This Row],[2021 Quant]:[2025 Quant]]), ""), "")</f>
        <v/>
      </c>
      <c r="Y51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1" s="140">
        <f>SUM(TblDetailBudget[[#This Row],[2021 Cost (LCU)]:[2025 Cost (LCU)]])</f>
        <v>0</v>
      </c>
      <c r="AE51" s="134">
        <f>IFERROR(SUM(TblDetailBudget[[#This Row],[2021 Cost (LCU)]])/FX_Rate, "")</f>
        <v>0</v>
      </c>
      <c r="AF51" s="63">
        <f>IFERROR(SUM(TblDetailBudget[[#This Row],[2022 Cost (LCU)]])/FX_Rate, "")</f>
        <v>0</v>
      </c>
      <c r="AG51" s="63">
        <f>IFERROR(SUM(TblDetailBudget[[#This Row],[2023 Cost (LCU)]])/FX_Rate, "")</f>
        <v>0</v>
      </c>
      <c r="AH51" s="63">
        <f>IFERROR(SUM(TblDetailBudget[[#This Row],[2024 Cost (LCU)]])/FX_Rate, "")</f>
        <v>0</v>
      </c>
      <c r="AI51" s="63">
        <f>IFERROR(SUM(TblDetailBudget[[#This Row],[2025 Cost (LCU)]])/FX_Rate, "")</f>
        <v>0</v>
      </c>
      <c r="AJ51" s="125">
        <f>SUM(TblDetailBudget[[#This Row],[2021 Cost (USD)]:[2025 Cost (USD)]])</f>
        <v>0</v>
      </c>
      <c r="AK51" s="180"/>
    </row>
    <row r="52" spans="2:37" ht="12.75" hidden="1" customHeight="1">
      <c r="B52" s="122" t="s">
        <v>71</v>
      </c>
      <c r="C5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1.1.3.1.4</v>
      </c>
      <c r="D52" s="62">
        <f>IF(TblDetailBudget[[#This Row],[Level]]="", "", COUNTIFS($B$8:TblDetailBudget[[#This Row],[Level]], Lvl1Hdr))</f>
        <v>1</v>
      </c>
      <c r="E52" s="62">
        <f>IF(TblDetailBudget[[#This Row],[Level]]="", "", COUNTIFS($B$8:TblDetailBudget[[#This Row],[Level]], Lvl2Hdr, $D$8:TblDetailBudget[[#This Row],[Lvl 1 Header]], TblDetailBudget[[#This Row],[Lvl 1 Header]]))</f>
        <v>1</v>
      </c>
      <c r="F5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5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5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4</v>
      </c>
      <c r="I52" s="101"/>
      <c r="J52" s="101"/>
      <c r="K52" s="88"/>
      <c r="L52" s="88"/>
      <c r="M52" s="62" t="str">
        <f>IF(TblDetailBudget[[#This Row],[Level]]=LvlBottomHdr, IFERROR(INDEX(TblUnitCost[Unit], MATCH(TblDetailBudget[[#This Row],[Row Title]], TblUnitCost[Resource], 0)), "Invalid Resource"), "")</f>
        <v>Invalid Resource</v>
      </c>
      <c r="N52" s="125" t="str">
        <f>IF(TblDetailBudget[[#This Row],[Level]]=LvlBottomHdr, IFERROR(INDEX(TblUnitCost[LCU], MATCH(TblDetailBudget[[#This Row],[Row Title]], TblUnitCost[Resource], 0)), "Invalid Resource"), "")</f>
        <v>Invalid Resource</v>
      </c>
      <c r="O52" s="128"/>
      <c r="P52" s="108"/>
      <c r="Q52" s="185"/>
      <c r="R52" s="129"/>
      <c r="S52" s="108"/>
      <c r="T52" s="108"/>
      <c r="U52" s="108"/>
      <c r="V52" s="108"/>
      <c r="W52" s="108"/>
      <c r="X52" s="125" t="str">
        <f>IF(TblDetailBudget[[#This Row],[Level]]=LvlBottomHdr, IF(SUM(TblDetailBudget[[#This Row],[2021 Quant]:[2025 Quant]])&gt;0, SUM(TblDetailBudget[[#This Row],[2021 Quant]:[2025 Quant]]), ""), "")</f>
        <v/>
      </c>
      <c r="Y52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2" s="140">
        <f>SUM(TblDetailBudget[[#This Row],[2021 Cost (LCU)]:[2025 Cost (LCU)]])</f>
        <v>0</v>
      </c>
      <c r="AE52" s="134">
        <f>IFERROR(SUM(TblDetailBudget[[#This Row],[2021 Cost (LCU)]])/FX_Rate, "")</f>
        <v>0</v>
      </c>
      <c r="AF52" s="63">
        <f>IFERROR(SUM(TblDetailBudget[[#This Row],[2022 Cost (LCU)]])/FX_Rate, "")</f>
        <v>0</v>
      </c>
      <c r="AG52" s="63">
        <f>IFERROR(SUM(TblDetailBudget[[#This Row],[2023 Cost (LCU)]])/FX_Rate, "")</f>
        <v>0</v>
      </c>
      <c r="AH52" s="63">
        <f>IFERROR(SUM(TblDetailBudget[[#This Row],[2024 Cost (LCU)]])/FX_Rate, "")</f>
        <v>0</v>
      </c>
      <c r="AI52" s="63">
        <f>IFERROR(SUM(TblDetailBudget[[#This Row],[2025 Cost (LCU)]])/FX_Rate, "")</f>
        <v>0</v>
      </c>
      <c r="AJ52" s="125">
        <f>SUM(TblDetailBudget[[#This Row],[2021 Cost (USD)]:[2025 Cost (USD)]])</f>
        <v>0</v>
      </c>
      <c r="AK52" s="180"/>
    </row>
    <row r="53" spans="2:37" ht="12.75" hidden="1" customHeight="1">
      <c r="B53" s="122" t="s">
        <v>71</v>
      </c>
      <c r="C5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1.1.3.1.5</v>
      </c>
      <c r="D53" s="62">
        <f>IF(TblDetailBudget[[#This Row],[Level]]="", "", COUNTIFS($B$8:TblDetailBudget[[#This Row],[Level]], Lvl1Hdr))</f>
        <v>1</v>
      </c>
      <c r="E53" s="62">
        <f>IF(TblDetailBudget[[#This Row],[Level]]="", "", COUNTIFS($B$8:TblDetailBudget[[#This Row],[Level]], Lvl2Hdr, $D$8:TblDetailBudget[[#This Row],[Lvl 1 Header]], TblDetailBudget[[#This Row],[Lvl 1 Header]]))</f>
        <v>1</v>
      </c>
      <c r="F5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5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5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5</v>
      </c>
      <c r="I53" s="101"/>
      <c r="J53" s="101"/>
      <c r="K53" s="88"/>
      <c r="L53" s="88"/>
      <c r="M53" s="62" t="str">
        <f>IF(TblDetailBudget[[#This Row],[Level]]=LvlBottomHdr, IFERROR(INDEX(TblUnitCost[Unit], MATCH(TblDetailBudget[[#This Row],[Row Title]], TblUnitCost[Resource], 0)), "Invalid Resource"), "")</f>
        <v>Invalid Resource</v>
      </c>
      <c r="N53" s="125" t="str">
        <f>IF(TblDetailBudget[[#This Row],[Level]]=LvlBottomHdr, IFERROR(INDEX(TblUnitCost[LCU], MATCH(TblDetailBudget[[#This Row],[Row Title]], TblUnitCost[Resource], 0)), "Invalid Resource"), "")</f>
        <v>Invalid Resource</v>
      </c>
      <c r="O53" s="128"/>
      <c r="P53" s="108"/>
      <c r="Q53" s="185"/>
      <c r="R53" s="129"/>
      <c r="S53" s="108"/>
      <c r="T53" s="108"/>
      <c r="U53" s="108"/>
      <c r="V53" s="108"/>
      <c r="W53" s="108"/>
      <c r="X53" s="125" t="str">
        <f>IF(TblDetailBudget[[#This Row],[Level]]=LvlBottomHdr, IF(SUM(TblDetailBudget[[#This Row],[2021 Quant]:[2025 Quant]])&gt;0, SUM(TblDetailBudget[[#This Row],[2021 Quant]:[2025 Quant]]), ""), "")</f>
        <v/>
      </c>
      <c r="Y53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3" s="140">
        <f>SUM(TblDetailBudget[[#This Row],[2021 Cost (LCU)]:[2025 Cost (LCU)]])</f>
        <v>0</v>
      </c>
      <c r="AE53" s="134">
        <f>IFERROR(SUM(TblDetailBudget[[#This Row],[2021 Cost (LCU)]])/FX_Rate, "")</f>
        <v>0</v>
      </c>
      <c r="AF53" s="63">
        <f>IFERROR(SUM(TblDetailBudget[[#This Row],[2022 Cost (LCU)]])/FX_Rate, "")</f>
        <v>0</v>
      </c>
      <c r="AG53" s="63">
        <f>IFERROR(SUM(TblDetailBudget[[#This Row],[2023 Cost (LCU)]])/FX_Rate, "")</f>
        <v>0</v>
      </c>
      <c r="AH53" s="63">
        <f>IFERROR(SUM(TblDetailBudget[[#This Row],[2024 Cost (LCU)]])/FX_Rate, "")</f>
        <v>0</v>
      </c>
      <c r="AI53" s="63">
        <f>IFERROR(SUM(TblDetailBudget[[#This Row],[2025 Cost (LCU)]])/FX_Rate, "")</f>
        <v>0</v>
      </c>
      <c r="AJ53" s="125">
        <f>SUM(TblDetailBudget[[#This Row],[2021 Cost (USD)]:[2025 Cost (USD)]])</f>
        <v>0</v>
      </c>
      <c r="AK53" s="180"/>
    </row>
    <row r="54" spans="2:37" ht="12.75" hidden="1" customHeight="1">
      <c r="B54" s="122" t="s">
        <v>71</v>
      </c>
      <c r="C5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1.1.3.1.6</v>
      </c>
      <c r="D54" s="62">
        <f>IF(TblDetailBudget[[#This Row],[Level]]="", "", COUNTIFS($B$8:TblDetailBudget[[#This Row],[Level]], Lvl1Hdr))</f>
        <v>1</v>
      </c>
      <c r="E54" s="62">
        <f>IF(TblDetailBudget[[#This Row],[Level]]="", "", COUNTIFS($B$8:TblDetailBudget[[#This Row],[Level]], Lvl2Hdr, $D$8:TblDetailBudget[[#This Row],[Lvl 1 Header]], TblDetailBudget[[#This Row],[Lvl 1 Header]]))</f>
        <v>1</v>
      </c>
      <c r="F5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5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5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6</v>
      </c>
      <c r="I54" s="101"/>
      <c r="J54" s="101"/>
      <c r="K54" s="88"/>
      <c r="L54" s="88"/>
      <c r="M54" s="62" t="str">
        <f>IF(TblDetailBudget[[#This Row],[Level]]=LvlBottomHdr, IFERROR(INDEX(TblUnitCost[Unit], MATCH(TblDetailBudget[[#This Row],[Row Title]], TblUnitCost[Resource], 0)), "Invalid Resource"), "")</f>
        <v>Invalid Resource</v>
      </c>
      <c r="N54" s="125" t="str">
        <f>IF(TblDetailBudget[[#This Row],[Level]]=LvlBottomHdr, IFERROR(INDEX(TblUnitCost[LCU], MATCH(TblDetailBudget[[#This Row],[Row Title]], TblUnitCost[Resource], 0)), "Invalid Resource"), "")</f>
        <v>Invalid Resource</v>
      </c>
      <c r="O54" s="128"/>
      <c r="P54" s="108"/>
      <c r="Q54" s="185"/>
      <c r="R54" s="129"/>
      <c r="S54" s="108"/>
      <c r="T54" s="108"/>
      <c r="U54" s="108"/>
      <c r="V54" s="108"/>
      <c r="W54" s="108"/>
      <c r="X54" s="125" t="str">
        <f>IF(TblDetailBudget[[#This Row],[Level]]=LvlBottomHdr, IF(SUM(TblDetailBudget[[#This Row],[2021 Quant]:[2025 Quant]])&gt;0, SUM(TblDetailBudget[[#This Row],[2021 Quant]:[2025 Quant]]), ""), "")</f>
        <v/>
      </c>
      <c r="Y5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4" s="140">
        <f>SUM(TblDetailBudget[[#This Row],[2021 Cost (LCU)]:[2025 Cost (LCU)]])</f>
        <v>0</v>
      </c>
      <c r="AE54" s="134">
        <f>IFERROR(SUM(TblDetailBudget[[#This Row],[2021 Cost (LCU)]])/FX_Rate, "")</f>
        <v>0</v>
      </c>
      <c r="AF54" s="63">
        <f>IFERROR(SUM(TblDetailBudget[[#This Row],[2022 Cost (LCU)]])/FX_Rate, "")</f>
        <v>0</v>
      </c>
      <c r="AG54" s="63">
        <f>IFERROR(SUM(TblDetailBudget[[#This Row],[2023 Cost (LCU)]])/FX_Rate, "")</f>
        <v>0</v>
      </c>
      <c r="AH54" s="63">
        <f>IFERROR(SUM(TblDetailBudget[[#This Row],[2024 Cost (LCU)]])/FX_Rate, "")</f>
        <v>0</v>
      </c>
      <c r="AI54" s="63">
        <f>IFERROR(SUM(TblDetailBudget[[#This Row],[2025 Cost (LCU)]])/FX_Rate, "")</f>
        <v>0</v>
      </c>
      <c r="AJ54" s="125">
        <f>SUM(TblDetailBudget[[#This Row],[2021 Cost (USD)]:[2025 Cost (USD)]])</f>
        <v>0</v>
      </c>
      <c r="AK54" s="180"/>
    </row>
    <row r="55" spans="2:37" ht="12.75" hidden="1" customHeight="1">
      <c r="B55" s="122" t="s">
        <v>71</v>
      </c>
      <c r="C5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1.1.3.1.7</v>
      </c>
      <c r="D55" s="62">
        <f>IF(TblDetailBudget[[#This Row],[Level]]="", "", COUNTIFS($B$8:TblDetailBudget[[#This Row],[Level]], Lvl1Hdr))</f>
        <v>1</v>
      </c>
      <c r="E55" s="62">
        <f>IF(TblDetailBudget[[#This Row],[Level]]="", "", COUNTIFS($B$8:TblDetailBudget[[#This Row],[Level]], Lvl2Hdr, $D$8:TblDetailBudget[[#This Row],[Lvl 1 Header]], TblDetailBudget[[#This Row],[Lvl 1 Header]]))</f>
        <v>1</v>
      </c>
      <c r="F5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5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5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7</v>
      </c>
      <c r="I55" s="101"/>
      <c r="J55" s="101"/>
      <c r="K55" s="88"/>
      <c r="L55" s="88"/>
      <c r="M55" s="62" t="str">
        <f>IF(TblDetailBudget[[#This Row],[Level]]=LvlBottomHdr, IFERROR(INDEX(TblUnitCost[Unit], MATCH(TblDetailBudget[[#This Row],[Row Title]], TblUnitCost[Resource], 0)), "Invalid Resource"), "")</f>
        <v>Invalid Resource</v>
      </c>
      <c r="N55" s="125" t="str">
        <f>IF(TblDetailBudget[[#This Row],[Level]]=LvlBottomHdr, IFERROR(INDEX(TblUnitCost[LCU], MATCH(TblDetailBudget[[#This Row],[Row Title]], TblUnitCost[Resource], 0)), "Invalid Resource"), "")</f>
        <v>Invalid Resource</v>
      </c>
      <c r="O55" s="128"/>
      <c r="P55" s="108"/>
      <c r="Q55" s="185"/>
      <c r="R55" s="129"/>
      <c r="S55" s="108"/>
      <c r="T55" s="108"/>
      <c r="U55" s="108"/>
      <c r="V55" s="108"/>
      <c r="W55" s="108"/>
      <c r="X55" s="125" t="str">
        <f>IF(TblDetailBudget[[#This Row],[Level]]=LvlBottomHdr, IF(SUM(TblDetailBudget[[#This Row],[2021 Quant]:[2025 Quant]])&gt;0, SUM(TblDetailBudget[[#This Row],[2021 Quant]:[2025 Quant]]), ""), "")</f>
        <v/>
      </c>
      <c r="Y55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5" s="140">
        <f>SUM(TblDetailBudget[[#This Row],[2021 Cost (LCU)]:[2025 Cost (LCU)]])</f>
        <v>0</v>
      </c>
      <c r="AE55" s="134">
        <f>IFERROR(SUM(TblDetailBudget[[#This Row],[2021 Cost (LCU)]])/FX_Rate, "")</f>
        <v>0</v>
      </c>
      <c r="AF55" s="63">
        <f>IFERROR(SUM(TblDetailBudget[[#This Row],[2022 Cost (LCU)]])/FX_Rate, "")</f>
        <v>0</v>
      </c>
      <c r="AG55" s="63">
        <f>IFERROR(SUM(TblDetailBudget[[#This Row],[2023 Cost (LCU)]])/FX_Rate, "")</f>
        <v>0</v>
      </c>
      <c r="AH55" s="63">
        <f>IFERROR(SUM(TblDetailBudget[[#This Row],[2024 Cost (LCU)]])/FX_Rate, "")</f>
        <v>0</v>
      </c>
      <c r="AI55" s="63">
        <f>IFERROR(SUM(TblDetailBudget[[#This Row],[2025 Cost (LCU)]])/FX_Rate, "")</f>
        <v>0</v>
      </c>
      <c r="AJ55" s="125">
        <f>SUM(TblDetailBudget[[#This Row],[2021 Cost (USD)]:[2025 Cost (USD)]])</f>
        <v>0</v>
      </c>
      <c r="AK55" s="180"/>
    </row>
    <row r="56" spans="2:37" ht="12.75" hidden="1" customHeight="1">
      <c r="B56" s="122" t="s">
        <v>71</v>
      </c>
      <c r="C5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1.1.3.1.8</v>
      </c>
      <c r="D56" s="62">
        <f>IF(TblDetailBudget[[#This Row],[Level]]="", "", COUNTIFS($B$8:TblDetailBudget[[#This Row],[Level]], Lvl1Hdr))</f>
        <v>1</v>
      </c>
      <c r="E56" s="62">
        <f>IF(TblDetailBudget[[#This Row],[Level]]="", "", COUNTIFS($B$8:TblDetailBudget[[#This Row],[Level]], Lvl2Hdr, $D$8:TblDetailBudget[[#This Row],[Lvl 1 Header]], TblDetailBudget[[#This Row],[Lvl 1 Header]]))</f>
        <v>1</v>
      </c>
      <c r="F5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5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5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8</v>
      </c>
      <c r="I56" s="101"/>
      <c r="J56" s="101"/>
      <c r="K56" s="88"/>
      <c r="L56" s="88"/>
      <c r="M56" s="62" t="str">
        <f>IF(TblDetailBudget[[#This Row],[Level]]=LvlBottomHdr, IFERROR(INDEX(TblUnitCost[Unit], MATCH(TblDetailBudget[[#This Row],[Row Title]], TblUnitCost[Resource], 0)), "Invalid Resource"), "")</f>
        <v>Invalid Resource</v>
      </c>
      <c r="N56" s="125" t="str">
        <f>IF(TblDetailBudget[[#This Row],[Level]]=LvlBottomHdr, IFERROR(INDEX(TblUnitCost[LCU], MATCH(TblDetailBudget[[#This Row],[Row Title]], TblUnitCost[Resource], 0)), "Invalid Resource"), "")</f>
        <v>Invalid Resource</v>
      </c>
      <c r="O56" s="128"/>
      <c r="P56" s="108"/>
      <c r="Q56" s="185"/>
      <c r="R56" s="129"/>
      <c r="S56" s="108"/>
      <c r="T56" s="108"/>
      <c r="U56" s="108"/>
      <c r="V56" s="108"/>
      <c r="W56" s="108"/>
      <c r="X56" s="125" t="str">
        <f>IF(TblDetailBudget[[#This Row],[Level]]=LvlBottomHdr, IF(SUM(TblDetailBudget[[#This Row],[2021 Quant]:[2025 Quant]])&gt;0, SUM(TblDetailBudget[[#This Row],[2021 Quant]:[2025 Quant]]), ""), "")</f>
        <v/>
      </c>
      <c r="Y56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6" s="140">
        <f>SUM(TblDetailBudget[[#This Row],[2021 Cost (LCU)]:[2025 Cost (LCU)]])</f>
        <v>0</v>
      </c>
      <c r="AE56" s="134">
        <f>IFERROR(SUM(TblDetailBudget[[#This Row],[2021 Cost (LCU)]])/FX_Rate, "")</f>
        <v>0</v>
      </c>
      <c r="AF56" s="63">
        <f>IFERROR(SUM(TblDetailBudget[[#This Row],[2022 Cost (LCU)]])/FX_Rate, "")</f>
        <v>0</v>
      </c>
      <c r="AG56" s="63">
        <f>IFERROR(SUM(TblDetailBudget[[#This Row],[2023 Cost (LCU)]])/FX_Rate, "")</f>
        <v>0</v>
      </c>
      <c r="AH56" s="63">
        <f>IFERROR(SUM(TblDetailBudget[[#This Row],[2024 Cost (LCU)]])/FX_Rate, "")</f>
        <v>0</v>
      </c>
      <c r="AI56" s="63">
        <f>IFERROR(SUM(TblDetailBudget[[#This Row],[2025 Cost (LCU)]])/FX_Rate, "")</f>
        <v>0</v>
      </c>
      <c r="AJ56" s="125">
        <f>SUM(TblDetailBudget[[#This Row],[2021 Cost (USD)]:[2025 Cost (USD)]])</f>
        <v>0</v>
      </c>
      <c r="AK56" s="180"/>
    </row>
    <row r="57" spans="2:37" ht="12.75" hidden="1" customHeight="1">
      <c r="B57" s="122" t="s">
        <v>71</v>
      </c>
      <c r="C5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1.1.3.1.9</v>
      </c>
      <c r="D57" s="62">
        <f>IF(TblDetailBudget[[#This Row],[Level]]="", "", COUNTIFS($B$8:TblDetailBudget[[#This Row],[Level]], Lvl1Hdr))</f>
        <v>1</v>
      </c>
      <c r="E57" s="62">
        <f>IF(TblDetailBudget[[#This Row],[Level]]="", "", COUNTIFS($B$8:TblDetailBudget[[#This Row],[Level]], Lvl2Hdr, $D$8:TblDetailBudget[[#This Row],[Lvl 1 Header]], TblDetailBudget[[#This Row],[Lvl 1 Header]]))</f>
        <v>1</v>
      </c>
      <c r="F5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5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5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9</v>
      </c>
      <c r="I57" s="101"/>
      <c r="J57" s="101"/>
      <c r="K57" s="88"/>
      <c r="L57" s="88"/>
      <c r="M57" s="62" t="str">
        <f>IF(TblDetailBudget[[#This Row],[Level]]=LvlBottomHdr, IFERROR(INDEX(TblUnitCost[Unit], MATCH(TblDetailBudget[[#This Row],[Row Title]], TblUnitCost[Resource], 0)), "Invalid Resource"), "")</f>
        <v>Invalid Resource</v>
      </c>
      <c r="N57" s="125" t="str">
        <f>IF(TblDetailBudget[[#This Row],[Level]]=LvlBottomHdr, IFERROR(INDEX(TblUnitCost[LCU], MATCH(TblDetailBudget[[#This Row],[Row Title]], TblUnitCost[Resource], 0)), "Invalid Resource"), "")</f>
        <v>Invalid Resource</v>
      </c>
      <c r="O57" s="128"/>
      <c r="P57" s="108"/>
      <c r="Q57" s="185"/>
      <c r="R57" s="129"/>
      <c r="S57" s="108"/>
      <c r="T57" s="108"/>
      <c r="U57" s="108"/>
      <c r="V57" s="108"/>
      <c r="W57" s="108"/>
      <c r="X57" s="125" t="str">
        <f>IF(TblDetailBudget[[#This Row],[Level]]=LvlBottomHdr, IF(SUM(TblDetailBudget[[#This Row],[2021 Quant]:[2025 Quant]])&gt;0, SUM(TblDetailBudget[[#This Row],[2021 Quant]:[2025 Quant]]), ""), "")</f>
        <v/>
      </c>
      <c r="Y57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7" s="140">
        <f>SUM(TblDetailBudget[[#This Row],[2021 Cost (LCU)]:[2025 Cost (LCU)]])</f>
        <v>0</v>
      </c>
      <c r="AE57" s="134">
        <f>IFERROR(SUM(TblDetailBudget[[#This Row],[2021 Cost (LCU)]])/FX_Rate, "")</f>
        <v>0</v>
      </c>
      <c r="AF57" s="63">
        <f>IFERROR(SUM(TblDetailBudget[[#This Row],[2022 Cost (LCU)]])/FX_Rate, "")</f>
        <v>0</v>
      </c>
      <c r="AG57" s="63">
        <f>IFERROR(SUM(TblDetailBudget[[#This Row],[2023 Cost (LCU)]])/FX_Rate, "")</f>
        <v>0</v>
      </c>
      <c r="AH57" s="63">
        <f>IFERROR(SUM(TblDetailBudget[[#This Row],[2024 Cost (LCU)]])/FX_Rate, "")</f>
        <v>0</v>
      </c>
      <c r="AI57" s="63">
        <f>IFERROR(SUM(TblDetailBudget[[#This Row],[2025 Cost (LCU)]])/FX_Rate, "")</f>
        <v>0</v>
      </c>
      <c r="AJ57" s="125">
        <f>SUM(TblDetailBudget[[#This Row],[2021 Cost (USD)]:[2025 Cost (USD)]])</f>
        <v>0</v>
      </c>
      <c r="AK57" s="180"/>
    </row>
    <row r="58" spans="2:37" ht="12.75" hidden="1" customHeight="1">
      <c r="B58" s="122" t="s">
        <v>71</v>
      </c>
      <c r="C5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1.1.3.1.10</v>
      </c>
      <c r="D58" s="62">
        <f>IF(TblDetailBudget[[#This Row],[Level]]="", "", COUNTIFS($B$8:TblDetailBudget[[#This Row],[Level]], Lvl1Hdr))</f>
        <v>1</v>
      </c>
      <c r="E58" s="62">
        <f>IF(TblDetailBudget[[#This Row],[Level]]="", "", COUNTIFS($B$8:TblDetailBudget[[#This Row],[Level]], Lvl2Hdr, $D$8:TblDetailBudget[[#This Row],[Lvl 1 Header]], TblDetailBudget[[#This Row],[Lvl 1 Header]]))</f>
        <v>1</v>
      </c>
      <c r="F5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5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5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10</v>
      </c>
      <c r="I58" s="101"/>
      <c r="J58" s="101"/>
      <c r="K58" s="88"/>
      <c r="L58" s="88"/>
      <c r="M58" s="62" t="str">
        <f>IF(TblDetailBudget[[#This Row],[Level]]=LvlBottomHdr, IFERROR(INDEX(TblUnitCost[Unit], MATCH(TblDetailBudget[[#This Row],[Row Title]], TblUnitCost[Resource], 0)), "Invalid Resource"), "")</f>
        <v>Invalid Resource</v>
      </c>
      <c r="N58" s="125" t="str">
        <f>IF(TblDetailBudget[[#This Row],[Level]]=LvlBottomHdr, IFERROR(INDEX(TblUnitCost[LCU], MATCH(TblDetailBudget[[#This Row],[Row Title]], TblUnitCost[Resource], 0)), "Invalid Resource"), "")</f>
        <v>Invalid Resource</v>
      </c>
      <c r="O58" s="128"/>
      <c r="P58" s="108"/>
      <c r="Q58" s="185"/>
      <c r="R58" s="129"/>
      <c r="S58" s="108"/>
      <c r="T58" s="108"/>
      <c r="U58" s="108"/>
      <c r="V58" s="108"/>
      <c r="W58" s="108"/>
      <c r="X58" s="125" t="str">
        <f>IF(TblDetailBudget[[#This Row],[Level]]=LvlBottomHdr, IF(SUM(TblDetailBudget[[#This Row],[2021 Quant]:[2025 Quant]])&gt;0, SUM(TblDetailBudget[[#This Row],[2021 Quant]:[2025 Quant]]), ""), "")</f>
        <v/>
      </c>
      <c r="Y58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8" s="140">
        <f>SUM(TblDetailBudget[[#This Row],[2021 Cost (LCU)]:[2025 Cost (LCU)]])</f>
        <v>0</v>
      </c>
      <c r="AE58" s="134">
        <f>IFERROR(SUM(TblDetailBudget[[#This Row],[2021 Cost (LCU)]])/FX_Rate, "")</f>
        <v>0</v>
      </c>
      <c r="AF58" s="63">
        <f>IFERROR(SUM(TblDetailBudget[[#This Row],[2022 Cost (LCU)]])/FX_Rate, "")</f>
        <v>0</v>
      </c>
      <c r="AG58" s="63">
        <f>IFERROR(SUM(TblDetailBudget[[#This Row],[2023 Cost (LCU)]])/FX_Rate, "")</f>
        <v>0</v>
      </c>
      <c r="AH58" s="63">
        <f>IFERROR(SUM(TblDetailBudget[[#This Row],[2024 Cost (LCU)]])/FX_Rate, "")</f>
        <v>0</v>
      </c>
      <c r="AI58" s="63">
        <f>IFERROR(SUM(TblDetailBudget[[#This Row],[2025 Cost (LCU)]])/FX_Rate, "")</f>
        <v>0</v>
      </c>
      <c r="AJ58" s="125">
        <f>SUM(TblDetailBudget[[#This Row],[2021 Cost (USD)]:[2025 Cost (USD)]])</f>
        <v>0</v>
      </c>
      <c r="AK58" s="180"/>
    </row>
    <row r="59" spans="2:37" ht="12.75" hidden="1" customHeight="1">
      <c r="B59" s="122" t="s">
        <v>71</v>
      </c>
      <c r="C5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1.1.3.1.11</v>
      </c>
      <c r="D59" s="62">
        <f>IF(TblDetailBudget[[#This Row],[Level]]="", "", COUNTIFS($B$8:TblDetailBudget[[#This Row],[Level]], Lvl1Hdr))</f>
        <v>1</v>
      </c>
      <c r="E59" s="62">
        <f>IF(TblDetailBudget[[#This Row],[Level]]="", "", COUNTIFS($B$8:TblDetailBudget[[#This Row],[Level]], Lvl2Hdr, $D$8:TblDetailBudget[[#This Row],[Lvl 1 Header]], TblDetailBudget[[#This Row],[Lvl 1 Header]]))</f>
        <v>1</v>
      </c>
      <c r="F5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5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5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11</v>
      </c>
      <c r="I59" s="101"/>
      <c r="J59" s="101"/>
      <c r="K59" s="88"/>
      <c r="L59" s="88"/>
      <c r="M59" s="62" t="str">
        <f>IF(TblDetailBudget[[#This Row],[Level]]=LvlBottomHdr, IFERROR(INDEX(TblUnitCost[Unit], MATCH(TblDetailBudget[[#This Row],[Row Title]], TblUnitCost[Resource], 0)), "Invalid Resource"), "")</f>
        <v>Invalid Resource</v>
      </c>
      <c r="N59" s="125" t="str">
        <f>IF(TblDetailBudget[[#This Row],[Level]]=LvlBottomHdr, IFERROR(INDEX(TblUnitCost[LCU], MATCH(TblDetailBudget[[#This Row],[Row Title]], TblUnitCost[Resource], 0)), "Invalid Resource"), "")</f>
        <v>Invalid Resource</v>
      </c>
      <c r="O59" s="128"/>
      <c r="P59" s="108"/>
      <c r="Q59" s="185"/>
      <c r="R59" s="129"/>
      <c r="S59" s="108"/>
      <c r="T59" s="108"/>
      <c r="U59" s="108"/>
      <c r="V59" s="108"/>
      <c r="W59" s="108"/>
      <c r="X59" s="125" t="str">
        <f>IF(TblDetailBudget[[#This Row],[Level]]=LvlBottomHdr, IF(SUM(TblDetailBudget[[#This Row],[2021 Quant]:[2025 Quant]])&gt;0, SUM(TblDetailBudget[[#This Row],[2021 Quant]:[2025 Quant]]), ""), "")</f>
        <v/>
      </c>
      <c r="Y5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9" s="140">
        <f>SUM(TblDetailBudget[[#This Row],[2021 Cost (LCU)]:[2025 Cost (LCU)]])</f>
        <v>0</v>
      </c>
      <c r="AE59" s="134">
        <f>IFERROR(SUM(TblDetailBudget[[#This Row],[2021 Cost (LCU)]])/FX_Rate, "")</f>
        <v>0</v>
      </c>
      <c r="AF59" s="63">
        <f>IFERROR(SUM(TblDetailBudget[[#This Row],[2022 Cost (LCU)]])/FX_Rate, "")</f>
        <v>0</v>
      </c>
      <c r="AG59" s="63">
        <f>IFERROR(SUM(TblDetailBudget[[#This Row],[2023 Cost (LCU)]])/FX_Rate, "")</f>
        <v>0</v>
      </c>
      <c r="AH59" s="63">
        <f>IFERROR(SUM(TblDetailBudget[[#This Row],[2024 Cost (LCU)]])/FX_Rate, "")</f>
        <v>0</v>
      </c>
      <c r="AI59" s="63">
        <f>IFERROR(SUM(TblDetailBudget[[#This Row],[2025 Cost (LCU)]])/FX_Rate, "")</f>
        <v>0</v>
      </c>
      <c r="AJ59" s="125">
        <f>SUM(TblDetailBudget[[#This Row],[2021 Cost (USD)]:[2025 Cost (USD)]])</f>
        <v>0</v>
      </c>
      <c r="AK59" s="180"/>
    </row>
    <row r="60" spans="2:37" ht="12.75" hidden="1" customHeight="1">
      <c r="B60" s="122" t="s">
        <v>70</v>
      </c>
      <c r="C6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1.1.3.2</v>
      </c>
      <c r="D60" s="62">
        <f>IF(TblDetailBudget[[#This Row],[Level]]="", "", COUNTIFS($B$8:TblDetailBudget[[#This Row],[Level]], Lvl1Hdr))</f>
        <v>1</v>
      </c>
      <c r="E60" s="62">
        <f>IF(TblDetailBudget[[#This Row],[Level]]="", "", COUNTIFS($B$8:TblDetailBudget[[#This Row],[Level]], Lvl2Hdr, $D$8:TblDetailBudget[[#This Row],[Lvl 1 Header]], TblDetailBudget[[#This Row],[Lvl 1 Header]]))</f>
        <v>1</v>
      </c>
      <c r="F6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6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6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60" s="101" t="s">
        <v>166</v>
      </c>
      <c r="J60" s="101"/>
      <c r="K60" s="88"/>
      <c r="L60" s="88"/>
      <c r="M60" s="62" t="str">
        <f>IF(TblDetailBudget[[#This Row],[Level]]=LvlBottomHdr, IFERROR(INDEX(TblUnitCost[Unit], MATCH(TblDetailBudget[[#This Row],[Row Title]], TblUnitCost[Resource], 0)), "Invalid Resource"), "")</f>
        <v/>
      </c>
      <c r="N60" s="125" t="str">
        <f>IF(TblDetailBudget[[#This Row],[Level]]=LvlBottomHdr, IFERROR(INDEX(TblUnitCost[LCU], MATCH(TblDetailBudget[[#This Row],[Row Title]], TblUnitCost[Resource], 0)), "Invalid Resource"), "")</f>
        <v/>
      </c>
      <c r="O60" s="128"/>
      <c r="P60" s="108"/>
      <c r="Q60" s="185"/>
      <c r="R60" s="129"/>
      <c r="S60" s="108"/>
      <c r="T60" s="108"/>
      <c r="U60" s="108"/>
      <c r="V60" s="108"/>
      <c r="W60" s="108"/>
      <c r="X60" s="125" t="str">
        <f>IF(TblDetailBudget[[#This Row],[Level]]=LvlBottomHdr, IF(SUM(TblDetailBudget[[#This Row],[2021 Quant]:[2025 Quant]])&gt;0, SUM(TblDetailBudget[[#This Row],[2021 Quant]:[2025 Quant]]), ""), "")</f>
        <v/>
      </c>
      <c r="Y6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6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6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6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6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60" s="140">
        <f>SUM(TblDetailBudget[[#This Row],[2021 Cost (LCU)]:[2025 Cost (LCU)]])</f>
        <v>0</v>
      </c>
      <c r="AE60" s="134">
        <f>IFERROR(SUM(TblDetailBudget[[#This Row],[2021 Cost (LCU)]])/FX_Rate, "")</f>
        <v>0</v>
      </c>
      <c r="AF60" s="63">
        <f>IFERROR(SUM(TblDetailBudget[[#This Row],[2022 Cost (LCU)]])/FX_Rate, "")</f>
        <v>0</v>
      </c>
      <c r="AG60" s="63">
        <f>IFERROR(SUM(TblDetailBudget[[#This Row],[2023 Cost (LCU)]])/FX_Rate, "")</f>
        <v>0</v>
      </c>
      <c r="AH60" s="63">
        <f>IFERROR(SUM(TblDetailBudget[[#This Row],[2024 Cost (LCU)]])/FX_Rate, "")</f>
        <v>0</v>
      </c>
      <c r="AI60" s="63">
        <f>IFERROR(SUM(TblDetailBudget[[#This Row],[2025 Cost (LCU)]])/FX_Rate, "")</f>
        <v>0</v>
      </c>
      <c r="AJ60" s="125">
        <f>SUM(TblDetailBudget[[#This Row],[2021 Cost (USD)]:[2025 Cost (USD)]])</f>
        <v>0</v>
      </c>
      <c r="AK60" s="180"/>
    </row>
    <row r="61" spans="2:37" ht="12.75" hidden="1" customHeight="1">
      <c r="B61" s="122" t="s">
        <v>71</v>
      </c>
      <c r="C6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1.1.3.2.1</v>
      </c>
      <c r="D61" s="62">
        <f>IF(TblDetailBudget[[#This Row],[Level]]="", "", COUNTIFS($B$8:TblDetailBudget[[#This Row],[Level]], Lvl1Hdr))</f>
        <v>1</v>
      </c>
      <c r="E61" s="62">
        <f>IF(TblDetailBudget[[#This Row],[Level]]="", "", COUNTIFS($B$8:TblDetailBudget[[#This Row],[Level]], Lvl2Hdr, $D$8:TblDetailBudget[[#This Row],[Lvl 1 Header]], TblDetailBudget[[#This Row],[Lvl 1 Header]]))</f>
        <v>1</v>
      </c>
      <c r="F6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6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6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61" s="101"/>
      <c r="J61" s="101"/>
      <c r="K61" s="88"/>
      <c r="L61" s="88"/>
      <c r="M61" s="62" t="str">
        <f>IF(TblDetailBudget[[#This Row],[Level]]=LvlBottomHdr, IFERROR(INDEX(TblUnitCost[Unit], MATCH(TblDetailBudget[[#This Row],[Row Title]], TblUnitCost[Resource], 0)), "Invalid Resource"), "")</f>
        <v>Invalid Resource</v>
      </c>
      <c r="N61" s="125" t="str">
        <f>IF(TblDetailBudget[[#This Row],[Level]]=LvlBottomHdr, IFERROR(INDEX(TblUnitCost[LCU], MATCH(TblDetailBudget[[#This Row],[Row Title]], TblUnitCost[Resource], 0)), "Invalid Resource"), "")</f>
        <v>Invalid Resource</v>
      </c>
      <c r="O61" s="128"/>
      <c r="P61" s="108"/>
      <c r="Q61" s="185"/>
      <c r="R61" s="129"/>
      <c r="S61" s="108"/>
      <c r="T61" s="108"/>
      <c r="U61" s="108"/>
      <c r="V61" s="108"/>
      <c r="W61" s="108"/>
      <c r="X61" s="125" t="str">
        <f>IF(TblDetailBudget[[#This Row],[Level]]=LvlBottomHdr, IF(SUM(TblDetailBudget[[#This Row],[2021 Quant]:[2025 Quant]])&gt;0, SUM(TblDetailBudget[[#This Row],[2021 Quant]:[2025 Quant]]), ""), "")</f>
        <v/>
      </c>
      <c r="Y61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6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6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6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6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61" s="140">
        <f>SUM(TblDetailBudget[[#This Row],[2021 Cost (LCU)]:[2025 Cost (LCU)]])</f>
        <v>0</v>
      </c>
      <c r="AE61" s="134">
        <f>IFERROR(SUM(TblDetailBudget[[#This Row],[2021 Cost (LCU)]])/FX_Rate, "")</f>
        <v>0</v>
      </c>
      <c r="AF61" s="63">
        <f>IFERROR(SUM(TblDetailBudget[[#This Row],[2022 Cost (LCU)]])/FX_Rate, "")</f>
        <v>0</v>
      </c>
      <c r="AG61" s="63">
        <f>IFERROR(SUM(TblDetailBudget[[#This Row],[2023 Cost (LCU)]])/FX_Rate, "")</f>
        <v>0</v>
      </c>
      <c r="AH61" s="63">
        <f>IFERROR(SUM(TblDetailBudget[[#This Row],[2024 Cost (LCU)]])/FX_Rate, "")</f>
        <v>0</v>
      </c>
      <c r="AI61" s="63">
        <f>IFERROR(SUM(TblDetailBudget[[#This Row],[2025 Cost (LCU)]])/FX_Rate, "")</f>
        <v>0</v>
      </c>
      <c r="AJ61" s="125">
        <f>SUM(TblDetailBudget[[#This Row],[2021 Cost (USD)]:[2025 Cost (USD)]])</f>
        <v>0</v>
      </c>
      <c r="AK61" s="180"/>
    </row>
    <row r="62" spans="2:37" ht="12.75" hidden="1" customHeight="1">
      <c r="B62" s="122" t="s">
        <v>71</v>
      </c>
      <c r="C6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1.1.3.2.2</v>
      </c>
      <c r="D62" s="62">
        <f>IF(TblDetailBudget[[#This Row],[Level]]="", "", COUNTIFS($B$8:TblDetailBudget[[#This Row],[Level]], Lvl1Hdr))</f>
        <v>1</v>
      </c>
      <c r="E62" s="62">
        <f>IF(TblDetailBudget[[#This Row],[Level]]="", "", COUNTIFS($B$8:TblDetailBudget[[#This Row],[Level]], Lvl2Hdr, $D$8:TblDetailBudget[[#This Row],[Lvl 1 Header]], TblDetailBudget[[#This Row],[Lvl 1 Header]]))</f>
        <v>1</v>
      </c>
      <c r="F6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6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6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62" s="101"/>
      <c r="J62" s="101"/>
      <c r="K62" s="88"/>
      <c r="L62" s="88"/>
      <c r="M62" s="62" t="str">
        <f>IF(TblDetailBudget[[#This Row],[Level]]=LvlBottomHdr, IFERROR(INDEX(TblUnitCost[Unit], MATCH(TblDetailBudget[[#This Row],[Row Title]], TblUnitCost[Resource], 0)), "Invalid Resource"), "")</f>
        <v>Invalid Resource</v>
      </c>
      <c r="N62" s="125" t="str">
        <f>IF(TblDetailBudget[[#This Row],[Level]]=LvlBottomHdr, IFERROR(INDEX(TblUnitCost[LCU], MATCH(TblDetailBudget[[#This Row],[Row Title]], TblUnitCost[Resource], 0)), "Invalid Resource"), "")</f>
        <v>Invalid Resource</v>
      </c>
      <c r="O62" s="128"/>
      <c r="P62" s="108"/>
      <c r="Q62" s="185"/>
      <c r="R62" s="129"/>
      <c r="S62" s="108"/>
      <c r="T62" s="108"/>
      <c r="U62" s="108"/>
      <c r="V62" s="108"/>
      <c r="W62" s="108"/>
      <c r="X62" s="125" t="str">
        <f>IF(TblDetailBudget[[#This Row],[Level]]=LvlBottomHdr, IF(SUM(TblDetailBudget[[#This Row],[2021 Quant]:[2025 Quant]])&gt;0, SUM(TblDetailBudget[[#This Row],[2021 Quant]:[2025 Quant]]), ""), "")</f>
        <v/>
      </c>
      <c r="Y62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6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6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6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6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62" s="140">
        <f>SUM(TblDetailBudget[[#This Row],[2021 Cost (LCU)]:[2025 Cost (LCU)]])</f>
        <v>0</v>
      </c>
      <c r="AE62" s="134">
        <f>IFERROR(SUM(TblDetailBudget[[#This Row],[2021 Cost (LCU)]])/FX_Rate, "")</f>
        <v>0</v>
      </c>
      <c r="AF62" s="63">
        <f>IFERROR(SUM(TblDetailBudget[[#This Row],[2022 Cost (LCU)]])/FX_Rate, "")</f>
        <v>0</v>
      </c>
      <c r="AG62" s="63">
        <f>IFERROR(SUM(TblDetailBudget[[#This Row],[2023 Cost (LCU)]])/FX_Rate, "")</f>
        <v>0</v>
      </c>
      <c r="AH62" s="63">
        <f>IFERROR(SUM(TblDetailBudget[[#This Row],[2024 Cost (LCU)]])/FX_Rate, "")</f>
        <v>0</v>
      </c>
      <c r="AI62" s="63">
        <f>IFERROR(SUM(TblDetailBudget[[#This Row],[2025 Cost (LCU)]])/FX_Rate, "")</f>
        <v>0</v>
      </c>
      <c r="AJ62" s="125">
        <f>SUM(TblDetailBudget[[#This Row],[2021 Cost (USD)]:[2025 Cost (USD)]])</f>
        <v>0</v>
      </c>
      <c r="AK62" s="180"/>
    </row>
    <row r="63" spans="2:37" ht="12.75" hidden="1" customHeight="1">
      <c r="B63" s="122" t="s">
        <v>71</v>
      </c>
      <c r="C6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1.1.3.2.3</v>
      </c>
      <c r="D63" s="62">
        <f>IF(TblDetailBudget[[#This Row],[Level]]="", "", COUNTIFS($B$8:TblDetailBudget[[#This Row],[Level]], Lvl1Hdr))</f>
        <v>1</v>
      </c>
      <c r="E63" s="62">
        <f>IF(TblDetailBudget[[#This Row],[Level]]="", "", COUNTIFS($B$8:TblDetailBudget[[#This Row],[Level]], Lvl2Hdr, $D$8:TblDetailBudget[[#This Row],[Lvl 1 Header]], TblDetailBudget[[#This Row],[Lvl 1 Header]]))</f>
        <v>1</v>
      </c>
      <c r="F6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6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6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3</v>
      </c>
      <c r="I63" s="101"/>
      <c r="J63" s="101"/>
      <c r="K63" s="88"/>
      <c r="L63" s="88"/>
      <c r="M63" s="62" t="str">
        <f>IF(TblDetailBudget[[#This Row],[Level]]=LvlBottomHdr, IFERROR(INDEX(TblUnitCost[Unit], MATCH(TblDetailBudget[[#This Row],[Row Title]], TblUnitCost[Resource], 0)), "Invalid Resource"), "")</f>
        <v>Invalid Resource</v>
      </c>
      <c r="N63" s="125" t="str">
        <f>IF(TblDetailBudget[[#This Row],[Level]]=LvlBottomHdr, IFERROR(INDEX(TblUnitCost[LCU], MATCH(TblDetailBudget[[#This Row],[Row Title]], TblUnitCost[Resource], 0)), "Invalid Resource"), "")</f>
        <v>Invalid Resource</v>
      </c>
      <c r="O63" s="128"/>
      <c r="P63" s="108"/>
      <c r="Q63" s="185"/>
      <c r="R63" s="129"/>
      <c r="S63" s="108"/>
      <c r="T63" s="108"/>
      <c r="U63" s="108"/>
      <c r="V63" s="108"/>
      <c r="W63" s="108"/>
      <c r="X63" s="125" t="str">
        <f>IF(TblDetailBudget[[#This Row],[Level]]=LvlBottomHdr, IF(SUM(TblDetailBudget[[#This Row],[2021 Quant]:[2025 Quant]])&gt;0, SUM(TblDetailBudget[[#This Row],[2021 Quant]:[2025 Quant]]), ""), "")</f>
        <v/>
      </c>
      <c r="Y63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6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6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6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6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63" s="140">
        <f>SUM(TblDetailBudget[[#This Row],[2021 Cost (LCU)]:[2025 Cost (LCU)]])</f>
        <v>0</v>
      </c>
      <c r="AE63" s="134">
        <f>IFERROR(SUM(TblDetailBudget[[#This Row],[2021 Cost (LCU)]])/FX_Rate, "")</f>
        <v>0</v>
      </c>
      <c r="AF63" s="63">
        <f>IFERROR(SUM(TblDetailBudget[[#This Row],[2022 Cost (LCU)]])/FX_Rate, "")</f>
        <v>0</v>
      </c>
      <c r="AG63" s="63">
        <f>IFERROR(SUM(TblDetailBudget[[#This Row],[2023 Cost (LCU)]])/FX_Rate, "")</f>
        <v>0</v>
      </c>
      <c r="AH63" s="63">
        <f>IFERROR(SUM(TblDetailBudget[[#This Row],[2024 Cost (LCU)]])/FX_Rate, "")</f>
        <v>0</v>
      </c>
      <c r="AI63" s="63">
        <f>IFERROR(SUM(TblDetailBudget[[#This Row],[2025 Cost (LCU)]])/FX_Rate, "")</f>
        <v>0</v>
      </c>
      <c r="AJ63" s="125">
        <f>SUM(TblDetailBudget[[#This Row],[2021 Cost (USD)]:[2025 Cost (USD)]])</f>
        <v>0</v>
      </c>
      <c r="AK63" s="180"/>
    </row>
    <row r="64" spans="2:37" ht="12.75" hidden="1" customHeight="1">
      <c r="B64" s="122" t="s">
        <v>71</v>
      </c>
      <c r="C6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1.1.3.2.4</v>
      </c>
      <c r="D64" s="62">
        <f>IF(TblDetailBudget[[#This Row],[Level]]="", "", COUNTIFS($B$8:TblDetailBudget[[#This Row],[Level]], Lvl1Hdr))</f>
        <v>1</v>
      </c>
      <c r="E64" s="62">
        <f>IF(TblDetailBudget[[#This Row],[Level]]="", "", COUNTIFS($B$8:TblDetailBudget[[#This Row],[Level]], Lvl2Hdr, $D$8:TblDetailBudget[[#This Row],[Lvl 1 Header]], TblDetailBudget[[#This Row],[Lvl 1 Header]]))</f>
        <v>1</v>
      </c>
      <c r="F6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6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6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4</v>
      </c>
      <c r="I64" s="101"/>
      <c r="J64" s="101"/>
      <c r="K64" s="88"/>
      <c r="L64" s="88"/>
      <c r="M64" s="62" t="str">
        <f>IF(TblDetailBudget[[#This Row],[Level]]=LvlBottomHdr, IFERROR(INDEX(TblUnitCost[Unit], MATCH(TblDetailBudget[[#This Row],[Row Title]], TblUnitCost[Resource], 0)), "Invalid Resource"), "")</f>
        <v>Invalid Resource</v>
      </c>
      <c r="N64" s="125" t="str">
        <f>IF(TblDetailBudget[[#This Row],[Level]]=LvlBottomHdr, IFERROR(INDEX(TblUnitCost[LCU], MATCH(TblDetailBudget[[#This Row],[Row Title]], TblUnitCost[Resource], 0)), "Invalid Resource"), "")</f>
        <v>Invalid Resource</v>
      </c>
      <c r="O64" s="128"/>
      <c r="P64" s="108"/>
      <c r="Q64" s="185"/>
      <c r="R64" s="129"/>
      <c r="S64" s="108"/>
      <c r="T64" s="108"/>
      <c r="U64" s="108"/>
      <c r="V64" s="108"/>
      <c r="W64" s="108"/>
      <c r="X64" s="125" t="str">
        <f>IF(TblDetailBudget[[#This Row],[Level]]=LvlBottomHdr, IF(SUM(TblDetailBudget[[#This Row],[2021 Quant]:[2025 Quant]])&gt;0, SUM(TblDetailBudget[[#This Row],[2021 Quant]:[2025 Quant]]), ""), "")</f>
        <v/>
      </c>
      <c r="Y6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6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6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6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6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64" s="140">
        <f>SUM(TblDetailBudget[[#This Row],[2021 Cost (LCU)]:[2025 Cost (LCU)]])</f>
        <v>0</v>
      </c>
      <c r="AE64" s="134">
        <f>IFERROR(SUM(TblDetailBudget[[#This Row],[2021 Cost (LCU)]])/FX_Rate, "")</f>
        <v>0</v>
      </c>
      <c r="AF64" s="63">
        <f>IFERROR(SUM(TblDetailBudget[[#This Row],[2022 Cost (LCU)]])/FX_Rate, "")</f>
        <v>0</v>
      </c>
      <c r="AG64" s="63">
        <f>IFERROR(SUM(TblDetailBudget[[#This Row],[2023 Cost (LCU)]])/FX_Rate, "")</f>
        <v>0</v>
      </c>
      <c r="AH64" s="63">
        <f>IFERROR(SUM(TblDetailBudget[[#This Row],[2024 Cost (LCU)]])/FX_Rate, "")</f>
        <v>0</v>
      </c>
      <c r="AI64" s="63">
        <f>IFERROR(SUM(TblDetailBudget[[#This Row],[2025 Cost (LCU)]])/FX_Rate, "")</f>
        <v>0</v>
      </c>
      <c r="AJ64" s="125">
        <f>SUM(TblDetailBudget[[#This Row],[2021 Cost (USD)]:[2025 Cost (USD)]])</f>
        <v>0</v>
      </c>
      <c r="AK64" s="180"/>
    </row>
    <row r="65" spans="2:37" ht="12.75" hidden="1" customHeight="1">
      <c r="B65" s="122" t="s">
        <v>71</v>
      </c>
      <c r="C6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1.1.3.2.5</v>
      </c>
      <c r="D65" s="62">
        <f>IF(TblDetailBudget[[#This Row],[Level]]="", "", COUNTIFS($B$8:TblDetailBudget[[#This Row],[Level]], Lvl1Hdr))</f>
        <v>1</v>
      </c>
      <c r="E65" s="62">
        <f>IF(TblDetailBudget[[#This Row],[Level]]="", "", COUNTIFS($B$8:TblDetailBudget[[#This Row],[Level]], Lvl2Hdr, $D$8:TblDetailBudget[[#This Row],[Lvl 1 Header]], TblDetailBudget[[#This Row],[Lvl 1 Header]]))</f>
        <v>1</v>
      </c>
      <c r="F6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6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6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5</v>
      </c>
      <c r="I65" s="101"/>
      <c r="J65" s="101"/>
      <c r="K65" s="88"/>
      <c r="L65" s="88"/>
      <c r="M65" s="62" t="str">
        <f>IF(TblDetailBudget[[#This Row],[Level]]=LvlBottomHdr, IFERROR(INDEX(TblUnitCost[Unit], MATCH(TblDetailBudget[[#This Row],[Row Title]], TblUnitCost[Resource], 0)), "Invalid Resource"), "")</f>
        <v>Invalid Resource</v>
      </c>
      <c r="N65" s="125" t="str">
        <f>IF(TblDetailBudget[[#This Row],[Level]]=LvlBottomHdr, IFERROR(INDEX(TblUnitCost[LCU], MATCH(TblDetailBudget[[#This Row],[Row Title]], TblUnitCost[Resource], 0)), "Invalid Resource"), "")</f>
        <v>Invalid Resource</v>
      </c>
      <c r="O65" s="128"/>
      <c r="P65" s="108"/>
      <c r="Q65" s="185"/>
      <c r="R65" s="129"/>
      <c r="S65" s="108"/>
      <c r="T65" s="108"/>
      <c r="U65" s="108"/>
      <c r="V65" s="108"/>
      <c r="W65" s="108"/>
      <c r="X65" s="125" t="str">
        <f>IF(TblDetailBudget[[#This Row],[Level]]=LvlBottomHdr, IF(SUM(TblDetailBudget[[#This Row],[2021 Quant]:[2025 Quant]])&gt;0, SUM(TblDetailBudget[[#This Row],[2021 Quant]:[2025 Quant]]), ""), "")</f>
        <v/>
      </c>
      <c r="Y65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6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6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6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6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65" s="140">
        <f>SUM(TblDetailBudget[[#This Row],[2021 Cost (LCU)]:[2025 Cost (LCU)]])</f>
        <v>0</v>
      </c>
      <c r="AE65" s="134">
        <f>IFERROR(SUM(TblDetailBudget[[#This Row],[2021 Cost (LCU)]])/FX_Rate, "")</f>
        <v>0</v>
      </c>
      <c r="AF65" s="63">
        <f>IFERROR(SUM(TblDetailBudget[[#This Row],[2022 Cost (LCU)]])/FX_Rate, "")</f>
        <v>0</v>
      </c>
      <c r="AG65" s="63">
        <f>IFERROR(SUM(TblDetailBudget[[#This Row],[2023 Cost (LCU)]])/FX_Rate, "")</f>
        <v>0</v>
      </c>
      <c r="AH65" s="63">
        <f>IFERROR(SUM(TblDetailBudget[[#This Row],[2024 Cost (LCU)]])/FX_Rate, "")</f>
        <v>0</v>
      </c>
      <c r="AI65" s="63">
        <f>IFERROR(SUM(TblDetailBudget[[#This Row],[2025 Cost (LCU)]])/FX_Rate, "")</f>
        <v>0</v>
      </c>
      <c r="AJ65" s="125">
        <f>SUM(TblDetailBudget[[#This Row],[2021 Cost (USD)]:[2025 Cost (USD)]])</f>
        <v>0</v>
      </c>
      <c r="AK65" s="180"/>
    </row>
    <row r="66" spans="2:37" ht="12.75" hidden="1" customHeight="1">
      <c r="B66" s="122" t="s">
        <v>71</v>
      </c>
      <c r="C6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1.1.3.2.6</v>
      </c>
      <c r="D66" s="62">
        <f>IF(TblDetailBudget[[#This Row],[Level]]="", "", COUNTIFS($B$8:TblDetailBudget[[#This Row],[Level]], Lvl1Hdr))</f>
        <v>1</v>
      </c>
      <c r="E66" s="62">
        <f>IF(TblDetailBudget[[#This Row],[Level]]="", "", COUNTIFS($B$8:TblDetailBudget[[#This Row],[Level]], Lvl2Hdr, $D$8:TblDetailBudget[[#This Row],[Lvl 1 Header]], TblDetailBudget[[#This Row],[Lvl 1 Header]]))</f>
        <v>1</v>
      </c>
      <c r="F6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6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6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6</v>
      </c>
      <c r="I66" s="101"/>
      <c r="J66" s="101"/>
      <c r="K66" s="88"/>
      <c r="L66" s="88"/>
      <c r="M66" s="62" t="str">
        <f>IF(TblDetailBudget[[#This Row],[Level]]=LvlBottomHdr, IFERROR(INDEX(TblUnitCost[Unit], MATCH(TblDetailBudget[[#This Row],[Row Title]], TblUnitCost[Resource], 0)), "Invalid Resource"), "")</f>
        <v>Invalid Resource</v>
      </c>
      <c r="N66" s="125" t="str">
        <f>IF(TblDetailBudget[[#This Row],[Level]]=LvlBottomHdr, IFERROR(INDEX(TblUnitCost[LCU], MATCH(TblDetailBudget[[#This Row],[Row Title]], TblUnitCost[Resource], 0)), "Invalid Resource"), "")</f>
        <v>Invalid Resource</v>
      </c>
      <c r="O66" s="128"/>
      <c r="P66" s="108"/>
      <c r="Q66" s="185"/>
      <c r="R66" s="129"/>
      <c r="S66" s="108"/>
      <c r="T66" s="108"/>
      <c r="U66" s="108"/>
      <c r="V66" s="108"/>
      <c r="W66" s="108"/>
      <c r="X66" s="125" t="str">
        <f>IF(TblDetailBudget[[#This Row],[Level]]=LvlBottomHdr, IF(SUM(TblDetailBudget[[#This Row],[2021 Quant]:[2025 Quant]])&gt;0, SUM(TblDetailBudget[[#This Row],[2021 Quant]:[2025 Quant]]), ""), "")</f>
        <v/>
      </c>
      <c r="Y66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6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6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6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6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66" s="140">
        <f>SUM(TblDetailBudget[[#This Row],[2021 Cost (LCU)]:[2025 Cost (LCU)]])</f>
        <v>0</v>
      </c>
      <c r="AE66" s="134">
        <f>IFERROR(SUM(TblDetailBudget[[#This Row],[2021 Cost (LCU)]])/FX_Rate, "")</f>
        <v>0</v>
      </c>
      <c r="AF66" s="63">
        <f>IFERROR(SUM(TblDetailBudget[[#This Row],[2022 Cost (LCU)]])/FX_Rate, "")</f>
        <v>0</v>
      </c>
      <c r="AG66" s="63">
        <f>IFERROR(SUM(TblDetailBudget[[#This Row],[2023 Cost (LCU)]])/FX_Rate, "")</f>
        <v>0</v>
      </c>
      <c r="AH66" s="63">
        <f>IFERROR(SUM(TblDetailBudget[[#This Row],[2024 Cost (LCU)]])/FX_Rate, "")</f>
        <v>0</v>
      </c>
      <c r="AI66" s="63">
        <f>IFERROR(SUM(TblDetailBudget[[#This Row],[2025 Cost (LCU)]])/FX_Rate, "")</f>
        <v>0</v>
      </c>
      <c r="AJ66" s="125">
        <f>SUM(TblDetailBudget[[#This Row],[2021 Cost (USD)]:[2025 Cost (USD)]])</f>
        <v>0</v>
      </c>
      <c r="AK66" s="180"/>
    </row>
    <row r="67" spans="2:37" ht="12.75" hidden="1" customHeight="1">
      <c r="B67" s="122" t="s">
        <v>71</v>
      </c>
      <c r="C6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1.1.3.2.7</v>
      </c>
      <c r="D67" s="62">
        <f>IF(TblDetailBudget[[#This Row],[Level]]="", "", COUNTIFS($B$8:TblDetailBudget[[#This Row],[Level]], Lvl1Hdr))</f>
        <v>1</v>
      </c>
      <c r="E67" s="62">
        <f>IF(TblDetailBudget[[#This Row],[Level]]="", "", COUNTIFS($B$8:TblDetailBudget[[#This Row],[Level]], Lvl2Hdr, $D$8:TblDetailBudget[[#This Row],[Lvl 1 Header]], TblDetailBudget[[#This Row],[Lvl 1 Header]]))</f>
        <v>1</v>
      </c>
      <c r="F6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6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6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7</v>
      </c>
      <c r="I67" s="101"/>
      <c r="J67" s="101"/>
      <c r="K67" s="88"/>
      <c r="L67" s="88"/>
      <c r="M67" s="62" t="str">
        <f>IF(TblDetailBudget[[#This Row],[Level]]=LvlBottomHdr, IFERROR(INDEX(TblUnitCost[Unit], MATCH(TblDetailBudget[[#This Row],[Row Title]], TblUnitCost[Resource], 0)), "Invalid Resource"), "")</f>
        <v>Invalid Resource</v>
      </c>
      <c r="N67" s="125" t="str">
        <f>IF(TblDetailBudget[[#This Row],[Level]]=LvlBottomHdr, IFERROR(INDEX(TblUnitCost[LCU], MATCH(TblDetailBudget[[#This Row],[Row Title]], TblUnitCost[Resource], 0)), "Invalid Resource"), "")</f>
        <v>Invalid Resource</v>
      </c>
      <c r="O67" s="128"/>
      <c r="P67" s="108"/>
      <c r="Q67" s="185"/>
      <c r="R67" s="129"/>
      <c r="S67" s="108"/>
      <c r="T67" s="108"/>
      <c r="U67" s="108"/>
      <c r="V67" s="108"/>
      <c r="W67" s="108"/>
      <c r="X67" s="125" t="str">
        <f>IF(TblDetailBudget[[#This Row],[Level]]=LvlBottomHdr, IF(SUM(TblDetailBudget[[#This Row],[2021 Quant]:[2025 Quant]])&gt;0, SUM(TblDetailBudget[[#This Row],[2021 Quant]:[2025 Quant]]), ""), "")</f>
        <v/>
      </c>
      <c r="Y67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6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6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6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6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67" s="140">
        <f>SUM(TblDetailBudget[[#This Row],[2021 Cost (LCU)]:[2025 Cost (LCU)]])</f>
        <v>0</v>
      </c>
      <c r="AE67" s="134">
        <f>IFERROR(SUM(TblDetailBudget[[#This Row],[2021 Cost (LCU)]])/FX_Rate, "")</f>
        <v>0</v>
      </c>
      <c r="AF67" s="63">
        <f>IFERROR(SUM(TblDetailBudget[[#This Row],[2022 Cost (LCU)]])/FX_Rate, "")</f>
        <v>0</v>
      </c>
      <c r="AG67" s="63">
        <f>IFERROR(SUM(TblDetailBudget[[#This Row],[2023 Cost (LCU)]])/FX_Rate, "")</f>
        <v>0</v>
      </c>
      <c r="AH67" s="63">
        <f>IFERROR(SUM(TblDetailBudget[[#This Row],[2024 Cost (LCU)]])/FX_Rate, "")</f>
        <v>0</v>
      </c>
      <c r="AI67" s="63">
        <f>IFERROR(SUM(TblDetailBudget[[#This Row],[2025 Cost (LCU)]])/FX_Rate, "")</f>
        <v>0</v>
      </c>
      <c r="AJ67" s="125">
        <f>SUM(TblDetailBudget[[#This Row],[2021 Cost (USD)]:[2025 Cost (USD)]])</f>
        <v>0</v>
      </c>
      <c r="AK67" s="180"/>
    </row>
    <row r="68" spans="2:37" ht="12.75" hidden="1" customHeight="1">
      <c r="B68" s="122" t="s">
        <v>71</v>
      </c>
      <c r="C6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1.1.3.2.8</v>
      </c>
      <c r="D68" s="62">
        <f>IF(TblDetailBudget[[#This Row],[Level]]="", "", COUNTIFS($B$8:TblDetailBudget[[#This Row],[Level]], Lvl1Hdr))</f>
        <v>1</v>
      </c>
      <c r="E68" s="62">
        <f>IF(TblDetailBudget[[#This Row],[Level]]="", "", COUNTIFS($B$8:TblDetailBudget[[#This Row],[Level]], Lvl2Hdr, $D$8:TblDetailBudget[[#This Row],[Lvl 1 Header]], TblDetailBudget[[#This Row],[Lvl 1 Header]]))</f>
        <v>1</v>
      </c>
      <c r="F6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6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6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8</v>
      </c>
      <c r="I68" s="101"/>
      <c r="J68" s="101"/>
      <c r="K68" s="88"/>
      <c r="L68" s="88"/>
      <c r="M68" s="62" t="str">
        <f>IF(TblDetailBudget[[#This Row],[Level]]=LvlBottomHdr, IFERROR(INDEX(TblUnitCost[Unit], MATCH(TblDetailBudget[[#This Row],[Row Title]], TblUnitCost[Resource], 0)), "Invalid Resource"), "")</f>
        <v>Invalid Resource</v>
      </c>
      <c r="N68" s="125" t="str">
        <f>IF(TblDetailBudget[[#This Row],[Level]]=LvlBottomHdr, IFERROR(INDEX(TblUnitCost[LCU], MATCH(TblDetailBudget[[#This Row],[Row Title]], TblUnitCost[Resource], 0)), "Invalid Resource"), "")</f>
        <v>Invalid Resource</v>
      </c>
      <c r="O68" s="128"/>
      <c r="P68" s="108"/>
      <c r="Q68" s="185"/>
      <c r="R68" s="129"/>
      <c r="S68" s="108"/>
      <c r="T68" s="108"/>
      <c r="U68" s="108"/>
      <c r="V68" s="108"/>
      <c r="W68" s="108"/>
      <c r="X68" s="125" t="str">
        <f>IF(TblDetailBudget[[#This Row],[Level]]=LvlBottomHdr, IF(SUM(TblDetailBudget[[#This Row],[2021 Quant]:[2025 Quant]])&gt;0, SUM(TblDetailBudget[[#This Row],[2021 Quant]:[2025 Quant]]), ""), "")</f>
        <v/>
      </c>
      <c r="Y68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6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6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6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6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68" s="140">
        <f>SUM(TblDetailBudget[[#This Row],[2021 Cost (LCU)]:[2025 Cost (LCU)]])</f>
        <v>0</v>
      </c>
      <c r="AE68" s="134">
        <f>IFERROR(SUM(TblDetailBudget[[#This Row],[2021 Cost (LCU)]])/FX_Rate, "")</f>
        <v>0</v>
      </c>
      <c r="AF68" s="63">
        <f>IFERROR(SUM(TblDetailBudget[[#This Row],[2022 Cost (LCU)]])/FX_Rate, "")</f>
        <v>0</v>
      </c>
      <c r="AG68" s="63">
        <f>IFERROR(SUM(TblDetailBudget[[#This Row],[2023 Cost (LCU)]])/FX_Rate, "")</f>
        <v>0</v>
      </c>
      <c r="AH68" s="63">
        <f>IFERROR(SUM(TblDetailBudget[[#This Row],[2024 Cost (LCU)]])/FX_Rate, "")</f>
        <v>0</v>
      </c>
      <c r="AI68" s="63">
        <f>IFERROR(SUM(TblDetailBudget[[#This Row],[2025 Cost (LCU)]])/FX_Rate, "")</f>
        <v>0</v>
      </c>
      <c r="AJ68" s="125">
        <f>SUM(TblDetailBudget[[#This Row],[2021 Cost (USD)]:[2025 Cost (USD)]])</f>
        <v>0</v>
      </c>
      <c r="AK68" s="180"/>
    </row>
    <row r="69" spans="2:37" ht="12.75" hidden="1" customHeight="1">
      <c r="B69" s="122" t="s">
        <v>71</v>
      </c>
      <c r="C6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1.1.3.2.9</v>
      </c>
      <c r="D69" s="62">
        <f>IF(TblDetailBudget[[#This Row],[Level]]="", "", COUNTIFS($B$8:TblDetailBudget[[#This Row],[Level]], Lvl1Hdr))</f>
        <v>1</v>
      </c>
      <c r="E69" s="62">
        <f>IF(TblDetailBudget[[#This Row],[Level]]="", "", COUNTIFS($B$8:TblDetailBudget[[#This Row],[Level]], Lvl2Hdr, $D$8:TblDetailBudget[[#This Row],[Lvl 1 Header]], TblDetailBudget[[#This Row],[Lvl 1 Header]]))</f>
        <v>1</v>
      </c>
      <c r="F6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6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6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9</v>
      </c>
      <c r="I69" s="101"/>
      <c r="J69" s="101"/>
      <c r="K69" s="88"/>
      <c r="L69" s="88"/>
      <c r="M69" s="62" t="str">
        <f>IF(TblDetailBudget[[#This Row],[Level]]=LvlBottomHdr, IFERROR(INDEX(TblUnitCost[Unit], MATCH(TblDetailBudget[[#This Row],[Row Title]], TblUnitCost[Resource], 0)), "Invalid Resource"), "")</f>
        <v>Invalid Resource</v>
      </c>
      <c r="N69" s="125" t="str">
        <f>IF(TblDetailBudget[[#This Row],[Level]]=LvlBottomHdr, IFERROR(INDEX(TblUnitCost[LCU], MATCH(TblDetailBudget[[#This Row],[Row Title]], TblUnitCost[Resource], 0)), "Invalid Resource"), "")</f>
        <v>Invalid Resource</v>
      </c>
      <c r="O69" s="128"/>
      <c r="P69" s="108"/>
      <c r="Q69" s="185"/>
      <c r="R69" s="129"/>
      <c r="S69" s="108"/>
      <c r="T69" s="108"/>
      <c r="U69" s="108"/>
      <c r="V69" s="108"/>
      <c r="W69" s="108"/>
      <c r="X69" s="125" t="str">
        <f>IF(TblDetailBudget[[#This Row],[Level]]=LvlBottomHdr, IF(SUM(TblDetailBudget[[#This Row],[2021 Quant]:[2025 Quant]])&gt;0, SUM(TblDetailBudget[[#This Row],[2021 Quant]:[2025 Quant]]), ""), "")</f>
        <v/>
      </c>
      <c r="Y6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6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6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6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6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69" s="140">
        <f>SUM(TblDetailBudget[[#This Row],[2021 Cost (LCU)]:[2025 Cost (LCU)]])</f>
        <v>0</v>
      </c>
      <c r="AE69" s="134">
        <f>IFERROR(SUM(TblDetailBudget[[#This Row],[2021 Cost (LCU)]])/FX_Rate, "")</f>
        <v>0</v>
      </c>
      <c r="AF69" s="63">
        <f>IFERROR(SUM(TblDetailBudget[[#This Row],[2022 Cost (LCU)]])/FX_Rate, "")</f>
        <v>0</v>
      </c>
      <c r="AG69" s="63">
        <f>IFERROR(SUM(TblDetailBudget[[#This Row],[2023 Cost (LCU)]])/FX_Rate, "")</f>
        <v>0</v>
      </c>
      <c r="AH69" s="63">
        <f>IFERROR(SUM(TblDetailBudget[[#This Row],[2024 Cost (LCU)]])/FX_Rate, "")</f>
        <v>0</v>
      </c>
      <c r="AI69" s="63">
        <f>IFERROR(SUM(TblDetailBudget[[#This Row],[2025 Cost (LCU)]])/FX_Rate, "")</f>
        <v>0</v>
      </c>
      <c r="AJ69" s="125">
        <f>SUM(TblDetailBudget[[#This Row],[2021 Cost (USD)]:[2025 Cost (USD)]])</f>
        <v>0</v>
      </c>
      <c r="AK69" s="180"/>
    </row>
    <row r="70" spans="2:37" ht="12.75" hidden="1" customHeight="1">
      <c r="B70" s="122" t="s">
        <v>71</v>
      </c>
      <c r="C7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1.1.3.2.10</v>
      </c>
      <c r="D70" s="62">
        <f>IF(TblDetailBudget[[#This Row],[Level]]="", "", COUNTIFS($B$8:TblDetailBudget[[#This Row],[Level]], Lvl1Hdr))</f>
        <v>1</v>
      </c>
      <c r="E70" s="62">
        <f>IF(TblDetailBudget[[#This Row],[Level]]="", "", COUNTIFS($B$8:TblDetailBudget[[#This Row],[Level]], Lvl2Hdr, $D$8:TblDetailBudget[[#This Row],[Lvl 1 Header]], TblDetailBudget[[#This Row],[Lvl 1 Header]]))</f>
        <v>1</v>
      </c>
      <c r="F7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7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7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10</v>
      </c>
      <c r="I70" s="101"/>
      <c r="J70" s="101"/>
      <c r="K70" s="88"/>
      <c r="L70" s="88"/>
      <c r="M70" s="62" t="str">
        <f>IF(TblDetailBudget[[#This Row],[Level]]=LvlBottomHdr, IFERROR(INDEX(TblUnitCost[Unit], MATCH(TblDetailBudget[[#This Row],[Row Title]], TblUnitCost[Resource], 0)), "Invalid Resource"), "")</f>
        <v>Invalid Resource</v>
      </c>
      <c r="N70" s="125" t="str">
        <f>IF(TblDetailBudget[[#This Row],[Level]]=LvlBottomHdr, IFERROR(INDEX(TblUnitCost[LCU], MATCH(TblDetailBudget[[#This Row],[Row Title]], TblUnitCost[Resource], 0)), "Invalid Resource"), "")</f>
        <v>Invalid Resource</v>
      </c>
      <c r="O70" s="128"/>
      <c r="P70" s="108"/>
      <c r="Q70" s="185"/>
      <c r="R70" s="129"/>
      <c r="S70" s="108"/>
      <c r="T70" s="108"/>
      <c r="U70" s="108"/>
      <c r="V70" s="108"/>
      <c r="W70" s="108"/>
      <c r="X70" s="125" t="str">
        <f>IF(TblDetailBudget[[#This Row],[Level]]=LvlBottomHdr, IF(SUM(TblDetailBudget[[#This Row],[2021 Quant]:[2025 Quant]])&gt;0, SUM(TblDetailBudget[[#This Row],[2021 Quant]:[2025 Quant]]), ""), "")</f>
        <v/>
      </c>
      <c r="Y70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7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7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7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7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70" s="140">
        <f>SUM(TblDetailBudget[[#This Row],[2021 Cost (LCU)]:[2025 Cost (LCU)]])</f>
        <v>0</v>
      </c>
      <c r="AE70" s="134">
        <f>IFERROR(SUM(TblDetailBudget[[#This Row],[2021 Cost (LCU)]])/FX_Rate, "")</f>
        <v>0</v>
      </c>
      <c r="AF70" s="63">
        <f>IFERROR(SUM(TblDetailBudget[[#This Row],[2022 Cost (LCU)]])/FX_Rate, "")</f>
        <v>0</v>
      </c>
      <c r="AG70" s="63">
        <f>IFERROR(SUM(TblDetailBudget[[#This Row],[2023 Cost (LCU)]])/FX_Rate, "")</f>
        <v>0</v>
      </c>
      <c r="AH70" s="63">
        <f>IFERROR(SUM(TblDetailBudget[[#This Row],[2024 Cost (LCU)]])/FX_Rate, "")</f>
        <v>0</v>
      </c>
      <c r="AI70" s="63">
        <f>IFERROR(SUM(TblDetailBudget[[#This Row],[2025 Cost (LCU)]])/FX_Rate, "")</f>
        <v>0</v>
      </c>
      <c r="AJ70" s="125">
        <f>SUM(TblDetailBudget[[#This Row],[2021 Cost (USD)]:[2025 Cost (USD)]])</f>
        <v>0</v>
      </c>
      <c r="AK70" s="180"/>
    </row>
    <row r="71" spans="2:37" ht="12.75" hidden="1" customHeight="1">
      <c r="B71" s="122" t="s">
        <v>71</v>
      </c>
      <c r="C7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1.1.3.2.11</v>
      </c>
      <c r="D71" s="62">
        <f>IF(TblDetailBudget[[#This Row],[Level]]="", "", COUNTIFS($B$8:TblDetailBudget[[#This Row],[Level]], Lvl1Hdr))</f>
        <v>1</v>
      </c>
      <c r="E71" s="62">
        <f>IF(TblDetailBudget[[#This Row],[Level]]="", "", COUNTIFS($B$8:TblDetailBudget[[#This Row],[Level]], Lvl2Hdr, $D$8:TblDetailBudget[[#This Row],[Lvl 1 Header]], TblDetailBudget[[#This Row],[Lvl 1 Header]]))</f>
        <v>1</v>
      </c>
      <c r="F7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7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7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11</v>
      </c>
      <c r="I71" s="101"/>
      <c r="J71" s="101"/>
      <c r="K71" s="88"/>
      <c r="L71" s="88"/>
      <c r="M71" s="62" t="str">
        <f>IF(TblDetailBudget[[#This Row],[Level]]=LvlBottomHdr, IFERROR(INDEX(TblUnitCost[Unit], MATCH(TblDetailBudget[[#This Row],[Row Title]], TblUnitCost[Resource], 0)), "Invalid Resource"), "")</f>
        <v>Invalid Resource</v>
      </c>
      <c r="N71" s="125" t="str">
        <f>IF(TblDetailBudget[[#This Row],[Level]]=LvlBottomHdr, IFERROR(INDEX(TblUnitCost[LCU], MATCH(TblDetailBudget[[#This Row],[Row Title]], TblUnitCost[Resource], 0)), "Invalid Resource"), "")</f>
        <v>Invalid Resource</v>
      </c>
      <c r="O71" s="128"/>
      <c r="P71" s="108"/>
      <c r="Q71" s="185"/>
      <c r="R71" s="129"/>
      <c r="S71" s="108"/>
      <c r="T71" s="108"/>
      <c r="U71" s="108"/>
      <c r="V71" s="108"/>
      <c r="W71" s="108"/>
      <c r="X71" s="125" t="str">
        <f>IF(TblDetailBudget[[#This Row],[Level]]=LvlBottomHdr, IF(SUM(TblDetailBudget[[#This Row],[2021 Quant]:[2025 Quant]])&gt;0, SUM(TblDetailBudget[[#This Row],[2021 Quant]:[2025 Quant]]), ""), "")</f>
        <v/>
      </c>
      <c r="Y71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7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7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7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7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71" s="140">
        <f>SUM(TblDetailBudget[[#This Row],[2021 Cost (LCU)]:[2025 Cost (LCU)]])</f>
        <v>0</v>
      </c>
      <c r="AE71" s="134">
        <f>IFERROR(SUM(TblDetailBudget[[#This Row],[2021 Cost (LCU)]])/FX_Rate, "")</f>
        <v>0</v>
      </c>
      <c r="AF71" s="63">
        <f>IFERROR(SUM(TblDetailBudget[[#This Row],[2022 Cost (LCU)]])/FX_Rate, "")</f>
        <v>0</v>
      </c>
      <c r="AG71" s="63">
        <f>IFERROR(SUM(TblDetailBudget[[#This Row],[2023 Cost (LCU)]])/FX_Rate, "")</f>
        <v>0</v>
      </c>
      <c r="AH71" s="63">
        <f>IFERROR(SUM(TblDetailBudget[[#This Row],[2024 Cost (LCU)]])/FX_Rate, "")</f>
        <v>0</v>
      </c>
      <c r="AI71" s="63">
        <f>IFERROR(SUM(TblDetailBudget[[#This Row],[2025 Cost (LCU)]])/FX_Rate, "")</f>
        <v>0</v>
      </c>
      <c r="AJ71" s="125">
        <f>SUM(TblDetailBudget[[#This Row],[2021 Cost (USD)]:[2025 Cost (USD)]])</f>
        <v>0</v>
      </c>
      <c r="AK71" s="180"/>
    </row>
    <row r="72" spans="2:37" ht="12.75" hidden="1" customHeight="1">
      <c r="B72" s="122" t="s">
        <v>70</v>
      </c>
      <c r="C7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1.1.3.3</v>
      </c>
      <c r="D72" s="62">
        <f>IF(TblDetailBudget[[#This Row],[Level]]="", "", COUNTIFS($B$8:TblDetailBudget[[#This Row],[Level]], Lvl1Hdr))</f>
        <v>1</v>
      </c>
      <c r="E72" s="62">
        <f>IF(TblDetailBudget[[#This Row],[Level]]="", "", COUNTIFS($B$8:TblDetailBudget[[#This Row],[Level]], Lvl2Hdr, $D$8:TblDetailBudget[[#This Row],[Lvl 1 Header]], TblDetailBudget[[#This Row],[Lvl 1 Header]]))</f>
        <v>1</v>
      </c>
      <c r="F7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7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7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72" s="101" t="s">
        <v>167</v>
      </c>
      <c r="J72" s="101"/>
      <c r="K72" s="88"/>
      <c r="L72" s="88"/>
      <c r="M72" s="62" t="str">
        <f>IF(TblDetailBudget[[#This Row],[Level]]=LvlBottomHdr, IFERROR(INDEX(TblUnitCost[Unit], MATCH(TblDetailBudget[[#This Row],[Row Title]], TblUnitCost[Resource], 0)), "Invalid Resource"), "")</f>
        <v/>
      </c>
      <c r="N72" s="125" t="str">
        <f>IF(TblDetailBudget[[#This Row],[Level]]=LvlBottomHdr, IFERROR(INDEX(TblUnitCost[LCU], MATCH(TblDetailBudget[[#This Row],[Row Title]], TblUnitCost[Resource], 0)), "Invalid Resource"), "")</f>
        <v/>
      </c>
      <c r="O72" s="128"/>
      <c r="P72" s="108"/>
      <c r="Q72" s="185"/>
      <c r="R72" s="129"/>
      <c r="S72" s="108"/>
      <c r="T72" s="108"/>
      <c r="U72" s="108"/>
      <c r="V72" s="108"/>
      <c r="W72" s="108"/>
      <c r="X72" s="125" t="str">
        <f>IF(TblDetailBudget[[#This Row],[Level]]=LvlBottomHdr, IF(SUM(TblDetailBudget[[#This Row],[2021 Quant]:[2025 Quant]])&gt;0, SUM(TblDetailBudget[[#This Row],[2021 Quant]:[2025 Quant]]), ""), "")</f>
        <v/>
      </c>
      <c r="Y7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7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7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7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7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72" s="140">
        <f>SUM(TblDetailBudget[[#This Row],[2021 Cost (LCU)]:[2025 Cost (LCU)]])</f>
        <v>0</v>
      </c>
      <c r="AE72" s="134">
        <f>IFERROR(SUM(TblDetailBudget[[#This Row],[2021 Cost (LCU)]])/FX_Rate, "")</f>
        <v>0</v>
      </c>
      <c r="AF72" s="63">
        <f>IFERROR(SUM(TblDetailBudget[[#This Row],[2022 Cost (LCU)]])/FX_Rate, "")</f>
        <v>0</v>
      </c>
      <c r="AG72" s="63">
        <f>IFERROR(SUM(TblDetailBudget[[#This Row],[2023 Cost (LCU)]])/FX_Rate, "")</f>
        <v>0</v>
      </c>
      <c r="AH72" s="63">
        <f>IFERROR(SUM(TblDetailBudget[[#This Row],[2024 Cost (LCU)]])/FX_Rate, "")</f>
        <v>0</v>
      </c>
      <c r="AI72" s="63">
        <f>IFERROR(SUM(TblDetailBudget[[#This Row],[2025 Cost (LCU)]])/FX_Rate, "")</f>
        <v>0</v>
      </c>
      <c r="AJ72" s="125">
        <f>SUM(TblDetailBudget[[#This Row],[2021 Cost (USD)]:[2025 Cost (USD)]])</f>
        <v>0</v>
      </c>
      <c r="AK72" s="180"/>
    </row>
    <row r="73" spans="2:37" ht="12.75" hidden="1" customHeight="1">
      <c r="B73" s="122" t="s">
        <v>71</v>
      </c>
      <c r="C7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1.1.3.3.1</v>
      </c>
      <c r="D73" s="62">
        <f>IF(TblDetailBudget[[#This Row],[Level]]="", "", COUNTIFS($B$8:TblDetailBudget[[#This Row],[Level]], Lvl1Hdr))</f>
        <v>1</v>
      </c>
      <c r="E73" s="62">
        <f>IF(TblDetailBudget[[#This Row],[Level]]="", "", COUNTIFS($B$8:TblDetailBudget[[#This Row],[Level]], Lvl2Hdr, $D$8:TblDetailBudget[[#This Row],[Lvl 1 Header]], TblDetailBudget[[#This Row],[Lvl 1 Header]]))</f>
        <v>1</v>
      </c>
      <c r="F7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7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7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73" s="101"/>
      <c r="J73" s="101"/>
      <c r="K73" s="88"/>
      <c r="L73" s="88"/>
      <c r="M73" s="62" t="str">
        <f>IF(TblDetailBudget[[#This Row],[Level]]=LvlBottomHdr, IFERROR(INDEX(TblUnitCost[Unit], MATCH(TblDetailBudget[[#This Row],[Row Title]], TblUnitCost[Resource], 0)), "Invalid Resource"), "")</f>
        <v>Invalid Resource</v>
      </c>
      <c r="N73" s="125" t="str">
        <f>IF(TblDetailBudget[[#This Row],[Level]]=LvlBottomHdr, IFERROR(INDEX(TblUnitCost[LCU], MATCH(TblDetailBudget[[#This Row],[Row Title]], TblUnitCost[Resource], 0)), "Invalid Resource"), "")</f>
        <v>Invalid Resource</v>
      </c>
      <c r="O73" s="128"/>
      <c r="P73" s="108"/>
      <c r="Q73" s="185"/>
      <c r="R73" s="129"/>
      <c r="S73" s="108"/>
      <c r="T73" s="108"/>
      <c r="U73" s="108"/>
      <c r="V73" s="108"/>
      <c r="W73" s="108"/>
      <c r="X73" s="125" t="str">
        <f>IF(TblDetailBudget[[#This Row],[Level]]=LvlBottomHdr, IF(SUM(TblDetailBudget[[#This Row],[2021 Quant]:[2025 Quant]])&gt;0, SUM(TblDetailBudget[[#This Row],[2021 Quant]:[2025 Quant]]), ""), "")</f>
        <v/>
      </c>
      <c r="Y73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7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7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7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7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73" s="140">
        <f>SUM(TblDetailBudget[[#This Row],[2021 Cost (LCU)]:[2025 Cost (LCU)]])</f>
        <v>0</v>
      </c>
      <c r="AE73" s="134">
        <f>IFERROR(SUM(TblDetailBudget[[#This Row],[2021 Cost (LCU)]])/FX_Rate, "")</f>
        <v>0</v>
      </c>
      <c r="AF73" s="63">
        <f>IFERROR(SUM(TblDetailBudget[[#This Row],[2022 Cost (LCU)]])/FX_Rate, "")</f>
        <v>0</v>
      </c>
      <c r="AG73" s="63">
        <f>IFERROR(SUM(TblDetailBudget[[#This Row],[2023 Cost (LCU)]])/FX_Rate, "")</f>
        <v>0</v>
      </c>
      <c r="AH73" s="63">
        <f>IFERROR(SUM(TblDetailBudget[[#This Row],[2024 Cost (LCU)]])/FX_Rate, "")</f>
        <v>0</v>
      </c>
      <c r="AI73" s="63">
        <f>IFERROR(SUM(TblDetailBudget[[#This Row],[2025 Cost (LCU)]])/FX_Rate, "")</f>
        <v>0</v>
      </c>
      <c r="AJ73" s="125">
        <f>SUM(TblDetailBudget[[#This Row],[2021 Cost (USD)]:[2025 Cost (USD)]])</f>
        <v>0</v>
      </c>
      <c r="AK73" s="180"/>
    </row>
    <row r="74" spans="2:37" ht="12.75" hidden="1" customHeight="1">
      <c r="B74" s="122" t="s">
        <v>71</v>
      </c>
      <c r="C7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1.1.3.3.2</v>
      </c>
      <c r="D74" s="62">
        <f>IF(TblDetailBudget[[#This Row],[Level]]="", "", COUNTIFS($B$8:TblDetailBudget[[#This Row],[Level]], Lvl1Hdr))</f>
        <v>1</v>
      </c>
      <c r="E74" s="62">
        <f>IF(TblDetailBudget[[#This Row],[Level]]="", "", COUNTIFS($B$8:TblDetailBudget[[#This Row],[Level]], Lvl2Hdr, $D$8:TblDetailBudget[[#This Row],[Lvl 1 Header]], TblDetailBudget[[#This Row],[Lvl 1 Header]]))</f>
        <v>1</v>
      </c>
      <c r="F7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7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7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74" s="101"/>
      <c r="J74" s="101"/>
      <c r="K74" s="88"/>
      <c r="L74" s="88"/>
      <c r="M74" s="62" t="str">
        <f>IF(TblDetailBudget[[#This Row],[Level]]=LvlBottomHdr, IFERROR(INDEX(TblUnitCost[Unit], MATCH(TblDetailBudget[[#This Row],[Row Title]], TblUnitCost[Resource], 0)), "Invalid Resource"), "")</f>
        <v>Invalid Resource</v>
      </c>
      <c r="N74" s="125" t="str">
        <f>IF(TblDetailBudget[[#This Row],[Level]]=LvlBottomHdr, IFERROR(INDEX(TblUnitCost[LCU], MATCH(TblDetailBudget[[#This Row],[Row Title]], TblUnitCost[Resource], 0)), "Invalid Resource"), "")</f>
        <v>Invalid Resource</v>
      </c>
      <c r="O74" s="128"/>
      <c r="P74" s="108"/>
      <c r="Q74" s="185"/>
      <c r="R74" s="129"/>
      <c r="S74" s="108"/>
      <c r="T74" s="108"/>
      <c r="U74" s="108"/>
      <c r="V74" s="108"/>
      <c r="W74" s="108"/>
      <c r="X74" s="125" t="str">
        <f>IF(TblDetailBudget[[#This Row],[Level]]=LvlBottomHdr, IF(SUM(TblDetailBudget[[#This Row],[2021 Quant]:[2025 Quant]])&gt;0, SUM(TblDetailBudget[[#This Row],[2021 Quant]:[2025 Quant]]), ""), "")</f>
        <v/>
      </c>
      <c r="Y7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7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7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7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7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74" s="140">
        <f>SUM(TblDetailBudget[[#This Row],[2021 Cost (LCU)]:[2025 Cost (LCU)]])</f>
        <v>0</v>
      </c>
      <c r="AE74" s="134">
        <f>IFERROR(SUM(TblDetailBudget[[#This Row],[2021 Cost (LCU)]])/FX_Rate, "")</f>
        <v>0</v>
      </c>
      <c r="AF74" s="63">
        <f>IFERROR(SUM(TblDetailBudget[[#This Row],[2022 Cost (LCU)]])/FX_Rate, "")</f>
        <v>0</v>
      </c>
      <c r="AG74" s="63">
        <f>IFERROR(SUM(TblDetailBudget[[#This Row],[2023 Cost (LCU)]])/FX_Rate, "")</f>
        <v>0</v>
      </c>
      <c r="AH74" s="63">
        <f>IFERROR(SUM(TblDetailBudget[[#This Row],[2024 Cost (LCU)]])/FX_Rate, "")</f>
        <v>0</v>
      </c>
      <c r="AI74" s="63">
        <f>IFERROR(SUM(TblDetailBudget[[#This Row],[2025 Cost (LCU)]])/FX_Rate, "")</f>
        <v>0</v>
      </c>
      <c r="AJ74" s="125">
        <f>SUM(TblDetailBudget[[#This Row],[2021 Cost (USD)]:[2025 Cost (USD)]])</f>
        <v>0</v>
      </c>
      <c r="AK74" s="180"/>
    </row>
    <row r="75" spans="2:37" ht="12.75" hidden="1" customHeight="1">
      <c r="B75" s="122" t="s">
        <v>71</v>
      </c>
      <c r="C7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1.1.3.3.3</v>
      </c>
      <c r="D75" s="62">
        <f>IF(TblDetailBudget[[#This Row],[Level]]="", "", COUNTIFS($B$8:TblDetailBudget[[#This Row],[Level]], Lvl1Hdr))</f>
        <v>1</v>
      </c>
      <c r="E75" s="62">
        <f>IF(TblDetailBudget[[#This Row],[Level]]="", "", COUNTIFS($B$8:TblDetailBudget[[#This Row],[Level]], Lvl2Hdr, $D$8:TblDetailBudget[[#This Row],[Lvl 1 Header]], TblDetailBudget[[#This Row],[Lvl 1 Header]]))</f>
        <v>1</v>
      </c>
      <c r="F7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7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7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3</v>
      </c>
      <c r="I75" s="101"/>
      <c r="J75" s="101"/>
      <c r="K75" s="88"/>
      <c r="L75" s="88"/>
      <c r="M75" s="62" t="str">
        <f>IF(TblDetailBudget[[#This Row],[Level]]=LvlBottomHdr, IFERROR(INDEX(TblUnitCost[Unit], MATCH(TblDetailBudget[[#This Row],[Row Title]], TblUnitCost[Resource], 0)), "Invalid Resource"), "")</f>
        <v>Invalid Resource</v>
      </c>
      <c r="N75" s="125" t="str">
        <f>IF(TblDetailBudget[[#This Row],[Level]]=LvlBottomHdr, IFERROR(INDEX(TblUnitCost[LCU], MATCH(TblDetailBudget[[#This Row],[Row Title]], TblUnitCost[Resource], 0)), "Invalid Resource"), "")</f>
        <v>Invalid Resource</v>
      </c>
      <c r="O75" s="128"/>
      <c r="P75" s="108"/>
      <c r="Q75" s="185"/>
      <c r="R75" s="129"/>
      <c r="S75" s="108"/>
      <c r="T75" s="108"/>
      <c r="U75" s="108"/>
      <c r="V75" s="108"/>
      <c r="W75" s="108"/>
      <c r="X75" s="125" t="str">
        <f>IF(TblDetailBudget[[#This Row],[Level]]=LvlBottomHdr, IF(SUM(TblDetailBudget[[#This Row],[2021 Quant]:[2025 Quant]])&gt;0, SUM(TblDetailBudget[[#This Row],[2021 Quant]:[2025 Quant]]), ""), "")</f>
        <v/>
      </c>
      <c r="Y75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7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7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7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7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75" s="140">
        <f>SUM(TblDetailBudget[[#This Row],[2021 Cost (LCU)]:[2025 Cost (LCU)]])</f>
        <v>0</v>
      </c>
      <c r="AE75" s="134">
        <f>IFERROR(SUM(TblDetailBudget[[#This Row],[2021 Cost (LCU)]])/FX_Rate, "")</f>
        <v>0</v>
      </c>
      <c r="AF75" s="63">
        <f>IFERROR(SUM(TblDetailBudget[[#This Row],[2022 Cost (LCU)]])/FX_Rate, "")</f>
        <v>0</v>
      </c>
      <c r="AG75" s="63">
        <f>IFERROR(SUM(TblDetailBudget[[#This Row],[2023 Cost (LCU)]])/FX_Rate, "")</f>
        <v>0</v>
      </c>
      <c r="AH75" s="63">
        <f>IFERROR(SUM(TblDetailBudget[[#This Row],[2024 Cost (LCU)]])/FX_Rate, "")</f>
        <v>0</v>
      </c>
      <c r="AI75" s="63">
        <f>IFERROR(SUM(TblDetailBudget[[#This Row],[2025 Cost (LCU)]])/FX_Rate, "")</f>
        <v>0</v>
      </c>
      <c r="AJ75" s="125">
        <f>SUM(TblDetailBudget[[#This Row],[2021 Cost (USD)]:[2025 Cost (USD)]])</f>
        <v>0</v>
      </c>
      <c r="AK75" s="180"/>
    </row>
    <row r="76" spans="2:37" ht="12.75" hidden="1" customHeight="1">
      <c r="B76" s="122" t="s">
        <v>71</v>
      </c>
      <c r="C7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1.1.3.3.4</v>
      </c>
      <c r="D76" s="62">
        <f>IF(TblDetailBudget[[#This Row],[Level]]="", "", COUNTIFS($B$8:TblDetailBudget[[#This Row],[Level]], Lvl1Hdr))</f>
        <v>1</v>
      </c>
      <c r="E76" s="62">
        <f>IF(TblDetailBudget[[#This Row],[Level]]="", "", COUNTIFS($B$8:TblDetailBudget[[#This Row],[Level]], Lvl2Hdr, $D$8:TblDetailBudget[[#This Row],[Lvl 1 Header]], TblDetailBudget[[#This Row],[Lvl 1 Header]]))</f>
        <v>1</v>
      </c>
      <c r="F7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7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7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4</v>
      </c>
      <c r="I76" s="101"/>
      <c r="J76" s="101"/>
      <c r="K76" s="88"/>
      <c r="L76" s="88"/>
      <c r="M76" s="62" t="str">
        <f>IF(TblDetailBudget[[#This Row],[Level]]=LvlBottomHdr, IFERROR(INDEX(TblUnitCost[Unit], MATCH(TblDetailBudget[[#This Row],[Row Title]], TblUnitCost[Resource], 0)), "Invalid Resource"), "")</f>
        <v>Invalid Resource</v>
      </c>
      <c r="N76" s="125" t="str">
        <f>IF(TblDetailBudget[[#This Row],[Level]]=LvlBottomHdr, IFERROR(INDEX(TblUnitCost[LCU], MATCH(TblDetailBudget[[#This Row],[Row Title]], TblUnitCost[Resource], 0)), "Invalid Resource"), "")</f>
        <v>Invalid Resource</v>
      </c>
      <c r="O76" s="128"/>
      <c r="P76" s="108"/>
      <c r="Q76" s="185"/>
      <c r="R76" s="129"/>
      <c r="S76" s="108"/>
      <c r="T76" s="108"/>
      <c r="U76" s="108"/>
      <c r="V76" s="108"/>
      <c r="W76" s="108"/>
      <c r="X76" s="125" t="str">
        <f>IF(TblDetailBudget[[#This Row],[Level]]=LvlBottomHdr, IF(SUM(TblDetailBudget[[#This Row],[2021 Quant]:[2025 Quant]])&gt;0, SUM(TblDetailBudget[[#This Row],[2021 Quant]:[2025 Quant]]), ""), "")</f>
        <v/>
      </c>
      <c r="Y76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7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7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7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7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76" s="140">
        <f>SUM(TblDetailBudget[[#This Row],[2021 Cost (LCU)]:[2025 Cost (LCU)]])</f>
        <v>0</v>
      </c>
      <c r="AE76" s="134">
        <f>IFERROR(SUM(TblDetailBudget[[#This Row],[2021 Cost (LCU)]])/FX_Rate, "")</f>
        <v>0</v>
      </c>
      <c r="AF76" s="63">
        <f>IFERROR(SUM(TblDetailBudget[[#This Row],[2022 Cost (LCU)]])/FX_Rate, "")</f>
        <v>0</v>
      </c>
      <c r="AG76" s="63">
        <f>IFERROR(SUM(TblDetailBudget[[#This Row],[2023 Cost (LCU)]])/FX_Rate, "")</f>
        <v>0</v>
      </c>
      <c r="AH76" s="63">
        <f>IFERROR(SUM(TblDetailBudget[[#This Row],[2024 Cost (LCU)]])/FX_Rate, "")</f>
        <v>0</v>
      </c>
      <c r="AI76" s="63">
        <f>IFERROR(SUM(TblDetailBudget[[#This Row],[2025 Cost (LCU)]])/FX_Rate, "")</f>
        <v>0</v>
      </c>
      <c r="AJ76" s="125">
        <f>SUM(TblDetailBudget[[#This Row],[2021 Cost (USD)]:[2025 Cost (USD)]])</f>
        <v>0</v>
      </c>
      <c r="AK76" s="180"/>
    </row>
    <row r="77" spans="2:37" ht="12.75" hidden="1" customHeight="1">
      <c r="B77" s="122" t="s">
        <v>71</v>
      </c>
      <c r="C7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1.1.3.3.5</v>
      </c>
      <c r="D77" s="62">
        <f>IF(TblDetailBudget[[#This Row],[Level]]="", "", COUNTIFS($B$8:TblDetailBudget[[#This Row],[Level]], Lvl1Hdr))</f>
        <v>1</v>
      </c>
      <c r="E77" s="62">
        <f>IF(TblDetailBudget[[#This Row],[Level]]="", "", COUNTIFS($B$8:TblDetailBudget[[#This Row],[Level]], Lvl2Hdr, $D$8:TblDetailBudget[[#This Row],[Lvl 1 Header]], TblDetailBudget[[#This Row],[Lvl 1 Header]]))</f>
        <v>1</v>
      </c>
      <c r="F7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7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7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5</v>
      </c>
      <c r="I77" s="101"/>
      <c r="J77" s="101"/>
      <c r="K77" s="88"/>
      <c r="L77" s="88"/>
      <c r="M77" s="62" t="str">
        <f>IF(TblDetailBudget[[#This Row],[Level]]=LvlBottomHdr, IFERROR(INDEX(TblUnitCost[Unit], MATCH(TblDetailBudget[[#This Row],[Row Title]], TblUnitCost[Resource], 0)), "Invalid Resource"), "")</f>
        <v>Invalid Resource</v>
      </c>
      <c r="N77" s="125" t="str">
        <f>IF(TblDetailBudget[[#This Row],[Level]]=LvlBottomHdr, IFERROR(INDEX(TblUnitCost[LCU], MATCH(TblDetailBudget[[#This Row],[Row Title]], TblUnitCost[Resource], 0)), "Invalid Resource"), "")</f>
        <v>Invalid Resource</v>
      </c>
      <c r="O77" s="128"/>
      <c r="P77" s="108"/>
      <c r="Q77" s="185"/>
      <c r="R77" s="129"/>
      <c r="S77" s="108"/>
      <c r="T77" s="108"/>
      <c r="U77" s="108"/>
      <c r="V77" s="108"/>
      <c r="W77" s="108"/>
      <c r="X77" s="125" t="str">
        <f>IF(TblDetailBudget[[#This Row],[Level]]=LvlBottomHdr, IF(SUM(TblDetailBudget[[#This Row],[2021 Quant]:[2025 Quant]])&gt;0, SUM(TblDetailBudget[[#This Row],[2021 Quant]:[2025 Quant]]), ""), "")</f>
        <v/>
      </c>
      <c r="Y77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7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7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7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7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77" s="140">
        <f>SUM(TblDetailBudget[[#This Row],[2021 Cost (LCU)]:[2025 Cost (LCU)]])</f>
        <v>0</v>
      </c>
      <c r="AE77" s="134">
        <f>IFERROR(SUM(TblDetailBudget[[#This Row],[2021 Cost (LCU)]])/FX_Rate, "")</f>
        <v>0</v>
      </c>
      <c r="AF77" s="63">
        <f>IFERROR(SUM(TblDetailBudget[[#This Row],[2022 Cost (LCU)]])/FX_Rate, "")</f>
        <v>0</v>
      </c>
      <c r="AG77" s="63">
        <f>IFERROR(SUM(TblDetailBudget[[#This Row],[2023 Cost (LCU)]])/FX_Rate, "")</f>
        <v>0</v>
      </c>
      <c r="AH77" s="63">
        <f>IFERROR(SUM(TblDetailBudget[[#This Row],[2024 Cost (LCU)]])/FX_Rate, "")</f>
        <v>0</v>
      </c>
      <c r="AI77" s="63">
        <f>IFERROR(SUM(TblDetailBudget[[#This Row],[2025 Cost (LCU)]])/FX_Rate, "")</f>
        <v>0</v>
      </c>
      <c r="AJ77" s="125">
        <f>SUM(TblDetailBudget[[#This Row],[2021 Cost (USD)]:[2025 Cost (USD)]])</f>
        <v>0</v>
      </c>
      <c r="AK77" s="180"/>
    </row>
    <row r="78" spans="2:37" ht="12.75" hidden="1" customHeight="1">
      <c r="B78" s="122" t="s">
        <v>71</v>
      </c>
      <c r="C7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1.1.3.3.6</v>
      </c>
      <c r="D78" s="62">
        <f>IF(TblDetailBudget[[#This Row],[Level]]="", "", COUNTIFS($B$8:TblDetailBudget[[#This Row],[Level]], Lvl1Hdr))</f>
        <v>1</v>
      </c>
      <c r="E78" s="62">
        <f>IF(TblDetailBudget[[#This Row],[Level]]="", "", COUNTIFS($B$8:TblDetailBudget[[#This Row],[Level]], Lvl2Hdr, $D$8:TblDetailBudget[[#This Row],[Lvl 1 Header]], TblDetailBudget[[#This Row],[Lvl 1 Header]]))</f>
        <v>1</v>
      </c>
      <c r="F7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7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7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6</v>
      </c>
      <c r="I78" s="101"/>
      <c r="J78" s="101"/>
      <c r="K78" s="88"/>
      <c r="L78" s="88"/>
      <c r="M78" s="62" t="str">
        <f>IF(TblDetailBudget[[#This Row],[Level]]=LvlBottomHdr, IFERROR(INDEX(TblUnitCost[Unit], MATCH(TblDetailBudget[[#This Row],[Row Title]], TblUnitCost[Resource], 0)), "Invalid Resource"), "")</f>
        <v>Invalid Resource</v>
      </c>
      <c r="N78" s="125" t="str">
        <f>IF(TblDetailBudget[[#This Row],[Level]]=LvlBottomHdr, IFERROR(INDEX(TblUnitCost[LCU], MATCH(TblDetailBudget[[#This Row],[Row Title]], TblUnitCost[Resource], 0)), "Invalid Resource"), "")</f>
        <v>Invalid Resource</v>
      </c>
      <c r="O78" s="128"/>
      <c r="P78" s="108"/>
      <c r="Q78" s="185"/>
      <c r="R78" s="129"/>
      <c r="S78" s="108"/>
      <c r="T78" s="108"/>
      <c r="U78" s="108"/>
      <c r="V78" s="108"/>
      <c r="W78" s="108"/>
      <c r="X78" s="125" t="str">
        <f>IF(TblDetailBudget[[#This Row],[Level]]=LvlBottomHdr, IF(SUM(TblDetailBudget[[#This Row],[2021 Quant]:[2025 Quant]])&gt;0, SUM(TblDetailBudget[[#This Row],[2021 Quant]:[2025 Quant]]), ""), "")</f>
        <v/>
      </c>
      <c r="Y78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7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7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7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7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78" s="140">
        <f>SUM(TblDetailBudget[[#This Row],[2021 Cost (LCU)]:[2025 Cost (LCU)]])</f>
        <v>0</v>
      </c>
      <c r="AE78" s="134">
        <f>IFERROR(SUM(TblDetailBudget[[#This Row],[2021 Cost (LCU)]])/FX_Rate, "")</f>
        <v>0</v>
      </c>
      <c r="AF78" s="63">
        <f>IFERROR(SUM(TblDetailBudget[[#This Row],[2022 Cost (LCU)]])/FX_Rate, "")</f>
        <v>0</v>
      </c>
      <c r="AG78" s="63">
        <f>IFERROR(SUM(TblDetailBudget[[#This Row],[2023 Cost (LCU)]])/FX_Rate, "")</f>
        <v>0</v>
      </c>
      <c r="AH78" s="63">
        <f>IFERROR(SUM(TblDetailBudget[[#This Row],[2024 Cost (LCU)]])/FX_Rate, "")</f>
        <v>0</v>
      </c>
      <c r="AI78" s="63">
        <f>IFERROR(SUM(TblDetailBudget[[#This Row],[2025 Cost (LCU)]])/FX_Rate, "")</f>
        <v>0</v>
      </c>
      <c r="AJ78" s="125">
        <f>SUM(TblDetailBudget[[#This Row],[2021 Cost (USD)]:[2025 Cost (USD)]])</f>
        <v>0</v>
      </c>
      <c r="AK78" s="180"/>
    </row>
    <row r="79" spans="2:37" ht="12.75" hidden="1" customHeight="1">
      <c r="B79" s="122" t="s">
        <v>71</v>
      </c>
      <c r="C7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1.1.3.3.7</v>
      </c>
      <c r="D79" s="62">
        <f>IF(TblDetailBudget[[#This Row],[Level]]="", "", COUNTIFS($B$8:TblDetailBudget[[#This Row],[Level]], Lvl1Hdr))</f>
        <v>1</v>
      </c>
      <c r="E79" s="62">
        <f>IF(TblDetailBudget[[#This Row],[Level]]="", "", COUNTIFS($B$8:TblDetailBudget[[#This Row],[Level]], Lvl2Hdr, $D$8:TblDetailBudget[[#This Row],[Lvl 1 Header]], TblDetailBudget[[#This Row],[Lvl 1 Header]]))</f>
        <v>1</v>
      </c>
      <c r="F7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7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7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7</v>
      </c>
      <c r="I79" s="101"/>
      <c r="J79" s="101"/>
      <c r="K79" s="88"/>
      <c r="L79" s="88"/>
      <c r="M79" s="62" t="str">
        <f>IF(TblDetailBudget[[#This Row],[Level]]=LvlBottomHdr, IFERROR(INDEX(TblUnitCost[Unit], MATCH(TblDetailBudget[[#This Row],[Row Title]], TblUnitCost[Resource], 0)), "Invalid Resource"), "")</f>
        <v>Invalid Resource</v>
      </c>
      <c r="N79" s="125" t="str">
        <f>IF(TblDetailBudget[[#This Row],[Level]]=LvlBottomHdr, IFERROR(INDEX(TblUnitCost[LCU], MATCH(TblDetailBudget[[#This Row],[Row Title]], TblUnitCost[Resource], 0)), "Invalid Resource"), "")</f>
        <v>Invalid Resource</v>
      </c>
      <c r="O79" s="128"/>
      <c r="P79" s="108"/>
      <c r="Q79" s="185"/>
      <c r="R79" s="129"/>
      <c r="S79" s="108"/>
      <c r="T79" s="108"/>
      <c r="U79" s="108"/>
      <c r="V79" s="108"/>
      <c r="W79" s="108"/>
      <c r="X79" s="125" t="str">
        <f>IF(TblDetailBudget[[#This Row],[Level]]=LvlBottomHdr, IF(SUM(TblDetailBudget[[#This Row],[2021 Quant]:[2025 Quant]])&gt;0, SUM(TblDetailBudget[[#This Row],[2021 Quant]:[2025 Quant]]), ""), "")</f>
        <v/>
      </c>
      <c r="Y7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7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7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7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7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79" s="140">
        <f>SUM(TblDetailBudget[[#This Row],[2021 Cost (LCU)]:[2025 Cost (LCU)]])</f>
        <v>0</v>
      </c>
      <c r="AE79" s="134">
        <f>IFERROR(SUM(TblDetailBudget[[#This Row],[2021 Cost (LCU)]])/FX_Rate, "")</f>
        <v>0</v>
      </c>
      <c r="AF79" s="63">
        <f>IFERROR(SUM(TblDetailBudget[[#This Row],[2022 Cost (LCU)]])/FX_Rate, "")</f>
        <v>0</v>
      </c>
      <c r="AG79" s="63">
        <f>IFERROR(SUM(TblDetailBudget[[#This Row],[2023 Cost (LCU)]])/FX_Rate, "")</f>
        <v>0</v>
      </c>
      <c r="AH79" s="63">
        <f>IFERROR(SUM(TblDetailBudget[[#This Row],[2024 Cost (LCU)]])/FX_Rate, "")</f>
        <v>0</v>
      </c>
      <c r="AI79" s="63">
        <f>IFERROR(SUM(TblDetailBudget[[#This Row],[2025 Cost (LCU)]])/FX_Rate, "")</f>
        <v>0</v>
      </c>
      <c r="AJ79" s="125">
        <f>SUM(TblDetailBudget[[#This Row],[2021 Cost (USD)]:[2025 Cost (USD)]])</f>
        <v>0</v>
      </c>
      <c r="AK79" s="180"/>
    </row>
    <row r="80" spans="2:37" ht="12.75" hidden="1" customHeight="1">
      <c r="B80" s="122" t="s">
        <v>71</v>
      </c>
      <c r="C8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1.1.3.3.8</v>
      </c>
      <c r="D80" s="62">
        <f>IF(TblDetailBudget[[#This Row],[Level]]="", "", COUNTIFS($B$8:TblDetailBudget[[#This Row],[Level]], Lvl1Hdr))</f>
        <v>1</v>
      </c>
      <c r="E80" s="62">
        <f>IF(TblDetailBudget[[#This Row],[Level]]="", "", COUNTIFS($B$8:TblDetailBudget[[#This Row],[Level]], Lvl2Hdr, $D$8:TblDetailBudget[[#This Row],[Lvl 1 Header]], TblDetailBudget[[#This Row],[Lvl 1 Header]]))</f>
        <v>1</v>
      </c>
      <c r="F8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8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8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8</v>
      </c>
      <c r="I80" s="101"/>
      <c r="J80" s="101"/>
      <c r="K80" s="88"/>
      <c r="L80" s="88"/>
      <c r="M80" s="62" t="str">
        <f>IF(TblDetailBudget[[#This Row],[Level]]=LvlBottomHdr, IFERROR(INDEX(TblUnitCost[Unit], MATCH(TblDetailBudget[[#This Row],[Row Title]], TblUnitCost[Resource], 0)), "Invalid Resource"), "")</f>
        <v>Invalid Resource</v>
      </c>
      <c r="N80" s="125" t="str">
        <f>IF(TblDetailBudget[[#This Row],[Level]]=LvlBottomHdr, IFERROR(INDEX(TblUnitCost[LCU], MATCH(TblDetailBudget[[#This Row],[Row Title]], TblUnitCost[Resource], 0)), "Invalid Resource"), "")</f>
        <v>Invalid Resource</v>
      </c>
      <c r="O80" s="128"/>
      <c r="P80" s="108"/>
      <c r="Q80" s="185"/>
      <c r="R80" s="129"/>
      <c r="S80" s="108"/>
      <c r="T80" s="108"/>
      <c r="U80" s="108"/>
      <c r="V80" s="108"/>
      <c r="W80" s="108"/>
      <c r="X80" s="125" t="str">
        <f>IF(TblDetailBudget[[#This Row],[Level]]=LvlBottomHdr, IF(SUM(TblDetailBudget[[#This Row],[2021 Quant]:[2025 Quant]])&gt;0, SUM(TblDetailBudget[[#This Row],[2021 Quant]:[2025 Quant]]), ""), "")</f>
        <v/>
      </c>
      <c r="Y80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8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8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8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8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80" s="140">
        <f>SUM(TblDetailBudget[[#This Row],[2021 Cost (LCU)]:[2025 Cost (LCU)]])</f>
        <v>0</v>
      </c>
      <c r="AE80" s="134">
        <f>IFERROR(SUM(TblDetailBudget[[#This Row],[2021 Cost (LCU)]])/FX_Rate, "")</f>
        <v>0</v>
      </c>
      <c r="AF80" s="63">
        <f>IFERROR(SUM(TblDetailBudget[[#This Row],[2022 Cost (LCU)]])/FX_Rate, "")</f>
        <v>0</v>
      </c>
      <c r="AG80" s="63">
        <f>IFERROR(SUM(TblDetailBudget[[#This Row],[2023 Cost (LCU)]])/FX_Rate, "")</f>
        <v>0</v>
      </c>
      <c r="AH80" s="63">
        <f>IFERROR(SUM(TblDetailBudget[[#This Row],[2024 Cost (LCU)]])/FX_Rate, "")</f>
        <v>0</v>
      </c>
      <c r="AI80" s="63">
        <f>IFERROR(SUM(TblDetailBudget[[#This Row],[2025 Cost (LCU)]])/FX_Rate, "")</f>
        <v>0</v>
      </c>
      <c r="AJ80" s="125">
        <f>SUM(TblDetailBudget[[#This Row],[2021 Cost (USD)]:[2025 Cost (USD)]])</f>
        <v>0</v>
      </c>
      <c r="AK80" s="180"/>
    </row>
    <row r="81" spans="2:37" ht="12.75" hidden="1" customHeight="1">
      <c r="B81" s="122" t="s">
        <v>71</v>
      </c>
      <c r="C8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1.1.3.3.9</v>
      </c>
      <c r="D81" s="62">
        <f>IF(TblDetailBudget[[#This Row],[Level]]="", "", COUNTIFS($B$8:TblDetailBudget[[#This Row],[Level]], Lvl1Hdr))</f>
        <v>1</v>
      </c>
      <c r="E81" s="62">
        <f>IF(TblDetailBudget[[#This Row],[Level]]="", "", COUNTIFS($B$8:TblDetailBudget[[#This Row],[Level]], Lvl2Hdr, $D$8:TblDetailBudget[[#This Row],[Lvl 1 Header]], TblDetailBudget[[#This Row],[Lvl 1 Header]]))</f>
        <v>1</v>
      </c>
      <c r="F8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8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8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9</v>
      </c>
      <c r="I81" s="101"/>
      <c r="J81" s="101"/>
      <c r="K81" s="88"/>
      <c r="L81" s="88"/>
      <c r="M81" s="62" t="str">
        <f>IF(TblDetailBudget[[#This Row],[Level]]=LvlBottomHdr, IFERROR(INDEX(TblUnitCost[Unit], MATCH(TblDetailBudget[[#This Row],[Row Title]], TblUnitCost[Resource], 0)), "Invalid Resource"), "")</f>
        <v>Invalid Resource</v>
      </c>
      <c r="N81" s="125" t="str">
        <f>IF(TblDetailBudget[[#This Row],[Level]]=LvlBottomHdr, IFERROR(INDEX(TblUnitCost[LCU], MATCH(TblDetailBudget[[#This Row],[Row Title]], TblUnitCost[Resource], 0)), "Invalid Resource"), "")</f>
        <v>Invalid Resource</v>
      </c>
      <c r="O81" s="128"/>
      <c r="P81" s="108"/>
      <c r="Q81" s="185"/>
      <c r="R81" s="129"/>
      <c r="S81" s="108"/>
      <c r="T81" s="108"/>
      <c r="U81" s="108"/>
      <c r="V81" s="108"/>
      <c r="W81" s="108"/>
      <c r="X81" s="125" t="str">
        <f>IF(TblDetailBudget[[#This Row],[Level]]=LvlBottomHdr, IF(SUM(TblDetailBudget[[#This Row],[2021 Quant]:[2025 Quant]])&gt;0, SUM(TblDetailBudget[[#This Row],[2021 Quant]:[2025 Quant]]), ""), "")</f>
        <v/>
      </c>
      <c r="Y81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8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8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8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8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81" s="140">
        <f>SUM(TblDetailBudget[[#This Row],[2021 Cost (LCU)]:[2025 Cost (LCU)]])</f>
        <v>0</v>
      </c>
      <c r="AE81" s="134">
        <f>IFERROR(SUM(TblDetailBudget[[#This Row],[2021 Cost (LCU)]])/FX_Rate, "")</f>
        <v>0</v>
      </c>
      <c r="AF81" s="63">
        <f>IFERROR(SUM(TblDetailBudget[[#This Row],[2022 Cost (LCU)]])/FX_Rate, "")</f>
        <v>0</v>
      </c>
      <c r="AG81" s="63">
        <f>IFERROR(SUM(TblDetailBudget[[#This Row],[2023 Cost (LCU)]])/FX_Rate, "")</f>
        <v>0</v>
      </c>
      <c r="AH81" s="63">
        <f>IFERROR(SUM(TblDetailBudget[[#This Row],[2024 Cost (LCU)]])/FX_Rate, "")</f>
        <v>0</v>
      </c>
      <c r="AI81" s="63">
        <f>IFERROR(SUM(TblDetailBudget[[#This Row],[2025 Cost (LCU)]])/FX_Rate, "")</f>
        <v>0</v>
      </c>
      <c r="AJ81" s="125">
        <f>SUM(TblDetailBudget[[#This Row],[2021 Cost (USD)]:[2025 Cost (USD)]])</f>
        <v>0</v>
      </c>
      <c r="AK81" s="180"/>
    </row>
    <row r="82" spans="2:37" ht="12.75" hidden="1" customHeight="1">
      <c r="B82" s="122" t="s">
        <v>71</v>
      </c>
      <c r="C8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1.1.3.3.10</v>
      </c>
      <c r="D82" s="62">
        <f>IF(TblDetailBudget[[#This Row],[Level]]="", "", COUNTIFS($B$8:TblDetailBudget[[#This Row],[Level]], Lvl1Hdr))</f>
        <v>1</v>
      </c>
      <c r="E82" s="62">
        <f>IF(TblDetailBudget[[#This Row],[Level]]="", "", COUNTIFS($B$8:TblDetailBudget[[#This Row],[Level]], Lvl2Hdr, $D$8:TblDetailBudget[[#This Row],[Lvl 1 Header]], TblDetailBudget[[#This Row],[Lvl 1 Header]]))</f>
        <v>1</v>
      </c>
      <c r="F8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8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8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10</v>
      </c>
      <c r="I82" s="101"/>
      <c r="J82" s="101"/>
      <c r="K82" s="88"/>
      <c r="L82" s="88"/>
      <c r="M82" s="62" t="str">
        <f>IF(TblDetailBudget[[#This Row],[Level]]=LvlBottomHdr, IFERROR(INDEX(TblUnitCost[Unit], MATCH(TblDetailBudget[[#This Row],[Row Title]], TblUnitCost[Resource], 0)), "Invalid Resource"), "")</f>
        <v>Invalid Resource</v>
      </c>
      <c r="N82" s="125" t="str">
        <f>IF(TblDetailBudget[[#This Row],[Level]]=LvlBottomHdr, IFERROR(INDEX(TblUnitCost[LCU], MATCH(TblDetailBudget[[#This Row],[Row Title]], TblUnitCost[Resource], 0)), "Invalid Resource"), "")</f>
        <v>Invalid Resource</v>
      </c>
      <c r="O82" s="128"/>
      <c r="P82" s="108"/>
      <c r="Q82" s="185"/>
      <c r="R82" s="129"/>
      <c r="S82" s="108"/>
      <c r="T82" s="108"/>
      <c r="U82" s="108"/>
      <c r="V82" s="108"/>
      <c r="W82" s="108"/>
      <c r="X82" s="125" t="str">
        <f>IF(TblDetailBudget[[#This Row],[Level]]=LvlBottomHdr, IF(SUM(TblDetailBudget[[#This Row],[2021 Quant]:[2025 Quant]])&gt;0, SUM(TblDetailBudget[[#This Row],[2021 Quant]:[2025 Quant]]), ""), "")</f>
        <v/>
      </c>
      <c r="Y82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8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8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8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8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82" s="140">
        <f>SUM(TblDetailBudget[[#This Row],[2021 Cost (LCU)]:[2025 Cost (LCU)]])</f>
        <v>0</v>
      </c>
      <c r="AE82" s="134">
        <f>IFERROR(SUM(TblDetailBudget[[#This Row],[2021 Cost (LCU)]])/FX_Rate, "")</f>
        <v>0</v>
      </c>
      <c r="AF82" s="63">
        <f>IFERROR(SUM(TblDetailBudget[[#This Row],[2022 Cost (LCU)]])/FX_Rate, "")</f>
        <v>0</v>
      </c>
      <c r="AG82" s="63">
        <f>IFERROR(SUM(TblDetailBudget[[#This Row],[2023 Cost (LCU)]])/FX_Rate, "")</f>
        <v>0</v>
      </c>
      <c r="AH82" s="63">
        <f>IFERROR(SUM(TblDetailBudget[[#This Row],[2024 Cost (LCU)]])/FX_Rate, "")</f>
        <v>0</v>
      </c>
      <c r="AI82" s="63">
        <f>IFERROR(SUM(TblDetailBudget[[#This Row],[2025 Cost (LCU)]])/FX_Rate, "")</f>
        <v>0</v>
      </c>
      <c r="AJ82" s="125">
        <f>SUM(TblDetailBudget[[#This Row],[2021 Cost (USD)]:[2025 Cost (USD)]])</f>
        <v>0</v>
      </c>
      <c r="AK82" s="180"/>
    </row>
    <row r="83" spans="2:37" ht="12.75" hidden="1" customHeight="1">
      <c r="B83" s="122" t="s">
        <v>71</v>
      </c>
      <c r="C8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1.1.3.3.11</v>
      </c>
      <c r="D83" s="62">
        <f>IF(TblDetailBudget[[#This Row],[Level]]="", "", COUNTIFS($B$8:TblDetailBudget[[#This Row],[Level]], Lvl1Hdr))</f>
        <v>1</v>
      </c>
      <c r="E83" s="62">
        <f>IF(TblDetailBudget[[#This Row],[Level]]="", "", COUNTIFS($B$8:TblDetailBudget[[#This Row],[Level]], Lvl2Hdr, $D$8:TblDetailBudget[[#This Row],[Lvl 1 Header]], TblDetailBudget[[#This Row],[Lvl 1 Header]]))</f>
        <v>1</v>
      </c>
      <c r="F8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8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8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11</v>
      </c>
      <c r="I83" s="101"/>
      <c r="J83" s="101"/>
      <c r="K83" s="88"/>
      <c r="L83" s="88"/>
      <c r="M83" s="62" t="str">
        <f>IF(TblDetailBudget[[#This Row],[Level]]=LvlBottomHdr, IFERROR(INDEX(TblUnitCost[Unit], MATCH(TblDetailBudget[[#This Row],[Row Title]], TblUnitCost[Resource], 0)), "Invalid Resource"), "")</f>
        <v>Invalid Resource</v>
      </c>
      <c r="N83" s="125" t="str">
        <f>IF(TblDetailBudget[[#This Row],[Level]]=LvlBottomHdr, IFERROR(INDEX(TblUnitCost[LCU], MATCH(TblDetailBudget[[#This Row],[Row Title]], TblUnitCost[Resource], 0)), "Invalid Resource"), "")</f>
        <v>Invalid Resource</v>
      </c>
      <c r="O83" s="128"/>
      <c r="P83" s="108"/>
      <c r="Q83" s="185"/>
      <c r="R83" s="129"/>
      <c r="S83" s="108"/>
      <c r="T83" s="108"/>
      <c r="U83" s="108"/>
      <c r="V83" s="108"/>
      <c r="W83" s="108"/>
      <c r="X83" s="125" t="str">
        <f>IF(TblDetailBudget[[#This Row],[Level]]=LvlBottomHdr, IF(SUM(TblDetailBudget[[#This Row],[2021 Quant]:[2025 Quant]])&gt;0, SUM(TblDetailBudget[[#This Row],[2021 Quant]:[2025 Quant]]), ""), "")</f>
        <v/>
      </c>
      <c r="Y83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8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8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8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8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83" s="140">
        <f>SUM(TblDetailBudget[[#This Row],[2021 Cost (LCU)]:[2025 Cost (LCU)]])</f>
        <v>0</v>
      </c>
      <c r="AE83" s="134">
        <f>IFERROR(SUM(TblDetailBudget[[#This Row],[2021 Cost (LCU)]])/FX_Rate, "")</f>
        <v>0</v>
      </c>
      <c r="AF83" s="63">
        <f>IFERROR(SUM(TblDetailBudget[[#This Row],[2022 Cost (LCU)]])/FX_Rate, "")</f>
        <v>0</v>
      </c>
      <c r="AG83" s="63">
        <f>IFERROR(SUM(TblDetailBudget[[#This Row],[2023 Cost (LCU)]])/FX_Rate, "")</f>
        <v>0</v>
      </c>
      <c r="AH83" s="63">
        <f>IFERROR(SUM(TblDetailBudget[[#This Row],[2024 Cost (LCU)]])/FX_Rate, "")</f>
        <v>0</v>
      </c>
      <c r="AI83" s="63">
        <f>IFERROR(SUM(TblDetailBudget[[#This Row],[2025 Cost (LCU)]])/FX_Rate, "")</f>
        <v>0</v>
      </c>
      <c r="AJ83" s="125">
        <f>SUM(TblDetailBudget[[#This Row],[2021 Cost (USD)]:[2025 Cost (USD)]])</f>
        <v>0</v>
      </c>
      <c r="AK83" s="180"/>
    </row>
    <row r="84" spans="2:37" ht="12.75" hidden="1" customHeight="1">
      <c r="B84" s="122" t="s">
        <v>70</v>
      </c>
      <c r="C8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1.1.3.4</v>
      </c>
      <c r="D84" s="62">
        <f>IF(TblDetailBudget[[#This Row],[Level]]="", "", COUNTIFS($B$8:TblDetailBudget[[#This Row],[Level]], Lvl1Hdr))</f>
        <v>1</v>
      </c>
      <c r="E84" s="62">
        <f>IF(TblDetailBudget[[#This Row],[Level]]="", "", COUNTIFS($B$8:TblDetailBudget[[#This Row],[Level]], Lvl2Hdr, $D$8:TblDetailBudget[[#This Row],[Lvl 1 Header]], TblDetailBudget[[#This Row],[Lvl 1 Header]]))</f>
        <v>1</v>
      </c>
      <c r="F8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8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8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84" s="101" t="s">
        <v>1828</v>
      </c>
      <c r="J84" s="101"/>
      <c r="K84" s="88"/>
      <c r="L84" s="88"/>
      <c r="M84" s="62" t="str">
        <f>IF(TblDetailBudget[[#This Row],[Level]]=LvlBottomHdr, IFERROR(INDEX(TblUnitCost[Unit], MATCH(TblDetailBudget[[#This Row],[Row Title]], TblUnitCost[Resource], 0)), "Invalid Resource"), "")</f>
        <v/>
      </c>
      <c r="N84" s="125" t="str">
        <f>IF(TblDetailBudget[[#This Row],[Level]]=LvlBottomHdr, IFERROR(INDEX(TblUnitCost[LCU], MATCH(TblDetailBudget[[#This Row],[Row Title]], TblUnitCost[Resource], 0)), "Invalid Resource"), "")</f>
        <v/>
      </c>
      <c r="O84" s="128"/>
      <c r="P84" s="108"/>
      <c r="Q84" s="185"/>
      <c r="R84" s="129"/>
      <c r="S84" s="108"/>
      <c r="T84" s="108"/>
      <c r="U84" s="108"/>
      <c r="V84" s="108"/>
      <c r="W84" s="108"/>
      <c r="X84" s="125" t="str">
        <f>IF(TblDetailBudget[[#This Row],[Level]]=LvlBottomHdr, IF(SUM(TblDetailBudget[[#This Row],[2021 Quant]:[2025 Quant]])&gt;0, SUM(TblDetailBudget[[#This Row],[2021 Quant]:[2025 Quant]]), ""), "")</f>
        <v/>
      </c>
      <c r="Y84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8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8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8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8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84" s="140">
        <f>SUM(TblDetailBudget[[#This Row],[2021 Cost (LCU)]:[2025 Cost (LCU)]])</f>
        <v>0</v>
      </c>
      <c r="AE84" s="134">
        <f>IFERROR(SUM(TblDetailBudget[[#This Row],[2021 Cost (LCU)]])/FX_Rate, "")</f>
        <v>0</v>
      </c>
      <c r="AF84" s="63">
        <f>IFERROR(SUM(TblDetailBudget[[#This Row],[2022 Cost (LCU)]])/FX_Rate, "")</f>
        <v>0</v>
      </c>
      <c r="AG84" s="63">
        <f>IFERROR(SUM(TblDetailBudget[[#This Row],[2023 Cost (LCU)]])/FX_Rate, "")</f>
        <v>0</v>
      </c>
      <c r="AH84" s="63">
        <f>IFERROR(SUM(TblDetailBudget[[#This Row],[2024 Cost (LCU)]])/FX_Rate, "")</f>
        <v>0</v>
      </c>
      <c r="AI84" s="63">
        <f>IFERROR(SUM(TblDetailBudget[[#This Row],[2025 Cost (LCU)]])/FX_Rate, "")</f>
        <v>0</v>
      </c>
      <c r="AJ84" s="125">
        <f>SUM(TblDetailBudget[[#This Row],[2021 Cost (USD)]:[2025 Cost (USD)]])</f>
        <v>0</v>
      </c>
      <c r="AK84" s="180"/>
    </row>
    <row r="85" spans="2:37" ht="12.75" hidden="1" customHeight="1">
      <c r="B85" s="122" t="s">
        <v>71</v>
      </c>
      <c r="C8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1.1.3.4.1</v>
      </c>
      <c r="D85" s="62">
        <f>IF(TblDetailBudget[[#This Row],[Level]]="", "", COUNTIFS($B$8:TblDetailBudget[[#This Row],[Level]], Lvl1Hdr))</f>
        <v>1</v>
      </c>
      <c r="E85" s="62">
        <f>IF(TblDetailBudget[[#This Row],[Level]]="", "", COUNTIFS($B$8:TblDetailBudget[[#This Row],[Level]], Lvl2Hdr, $D$8:TblDetailBudget[[#This Row],[Lvl 1 Header]], TblDetailBudget[[#This Row],[Lvl 1 Header]]))</f>
        <v>1</v>
      </c>
      <c r="F8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8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8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85" s="101"/>
      <c r="J85" s="101"/>
      <c r="K85" s="88"/>
      <c r="L85" s="88"/>
      <c r="M85" s="62" t="str">
        <f>IF(TblDetailBudget[[#This Row],[Level]]=LvlBottomHdr, IFERROR(INDEX(TblUnitCost[Unit], MATCH(TblDetailBudget[[#This Row],[Row Title]], TblUnitCost[Resource], 0)), "Invalid Resource"), "")</f>
        <v>Invalid Resource</v>
      </c>
      <c r="N85" s="125" t="str">
        <f>IF(TblDetailBudget[[#This Row],[Level]]=LvlBottomHdr, IFERROR(INDEX(TblUnitCost[LCU], MATCH(TblDetailBudget[[#This Row],[Row Title]], TblUnitCost[Resource], 0)), "Invalid Resource"), "")</f>
        <v>Invalid Resource</v>
      </c>
      <c r="O85" s="128"/>
      <c r="P85" s="108"/>
      <c r="Q85" s="185"/>
      <c r="R85" s="129"/>
      <c r="S85" s="108"/>
      <c r="T85" s="108"/>
      <c r="U85" s="108"/>
      <c r="V85" s="108"/>
      <c r="W85" s="108"/>
      <c r="X85" s="125" t="str">
        <f>IF(TblDetailBudget[[#This Row],[Level]]=LvlBottomHdr, IF(SUM(TblDetailBudget[[#This Row],[2021 Quant]:[2025 Quant]])&gt;0, SUM(TblDetailBudget[[#This Row],[2021 Quant]:[2025 Quant]]), ""), "")</f>
        <v/>
      </c>
      <c r="Y85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8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8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8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8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85" s="140">
        <f>SUM(TblDetailBudget[[#This Row],[2021 Cost (LCU)]:[2025 Cost (LCU)]])</f>
        <v>0</v>
      </c>
      <c r="AE85" s="134">
        <f>IFERROR(SUM(TblDetailBudget[[#This Row],[2021 Cost (LCU)]])/FX_Rate, "")</f>
        <v>0</v>
      </c>
      <c r="AF85" s="63">
        <f>IFERROR(SUM(TblDetailBudget[[#This Row],[2022 Cost (LCU)]])/FX_Rate, "")</f>
        <v>0</v>
      </c>
      <c r="AG85" s="63">
        <f>IFERROR(SUM(TblDetailBudget[[#This Row],[2023 Cost (LCU)]])/FX_Rate, "")</f>
        <v>0</v>
      </c>
      <c r="AH85" s="63">
        <f>IFERROR(SUM(TblDetailBudget[[#This Row],[2024 Cost (LCU)]])/FX_Rate, "")</f>
        <v>0</v>
      </c>
      <c r="AI85" s="63">
        <f>IFERROR(SUM(TblDetailBudget[[#This Row],[2025 Cost (LCU)]])/FX_Rate, "")</f>
        <v>0</v>
      </c>
      <c r="AJ85" s="125">
        <f>SUM(TblDetailBudget[[#This Row],[2021 Cost (USD)]:[2025 Cost (USD)]])</f>
        <v>0</v>
      </c>
      <c r="AK85" s="180"/>
    </row>
    <row r="86" spans="2:37" ht="12.75" hidden="1" customHeight="1">
      <c r="B86" s="122" t="s">
        <v>71</v>
      </c>
      <c r="C8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1.1.3.4.2</v>
      </c>
      <c r="D86" s="62">
        <f>IF(TblDetailBudget[[#This Row],[Level]]="", "", COUNTIFS($B$8:TblDetailBudget[[#This Row],[Level]], Lvl1Hdr))</f>
        <v>1</v>
      </c>
      <c r="E86" s="62">
        <f>IF(TblDetailBudget[[#This Row],[Level]]="", "", COUNTIFS($B$8:TblDetailBudget[[#This Row],[Level]], Lvl2Hdr, $D$8:TblDetailBudget[[#This Row],[Lvl 1 Header]], TblDetailBudget[[#This Row],[Lvl 1 Header]]))</f>
        <v>1</v>
      </c>
      <c r="F8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8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8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86" s="101"/>
      <c r="J86" s="101"/>
      <c r="K86" s="88"/>
      <c r="L86" s="88"/>
      <c r="M86" s="62" t="str">
        <f>IF(TblDetailBudget[[#This Row],[Level]]=LvlBottomHdr, IFERROR(INDEX(TblUnitCost[Unit], MATCH(TblDetailBudget[[#This Row],[Row Title]], TblUnitCost[Resource], 0)), "Invalid Resource"), "")</f>
        <v>Invalid Resource</v>
      </c>
      <c r="N86" s="125" t="str">
        <f>IF(TblDetailBudget[[#This Row],[Level]]=LvlBottomHdr, IFERROR(INDEX(TblUnitCost[LCU], MATCH(TblDetailBudget[[#This Row],[Row Title]], TblUnitCost[Resource], 0)), "Invalid Resource"), "")</f>
        <v>Invalid Resource</v>
      </c>
      <c r="O86" s="128"/>
      <c r="P86" s="108"/>
      <c r="Q86" s="185"/>
      <c r="R86" s="129"/>
      <c r="S86" s="108"/>
      <c r="T86" s="108"/>
      <c r="U86" s="108"/>
      <c r="V86" s="108"/>
      <c r="W86" s="108"/>
      <c r="X86" s="125" t="str">
        <f>IF(TblDetailBudget[[#This Row],[Level]]=LvlBottomHdr, IF(SUM(TblDetailBudget[[#This Row],[2021 Quant]:[2025 Quant]])&gt;0, SUM(TblDetailBudget[[#This Row],[2021 Quant]:[2025 Quant]]), ""), "")</f>
        <v/>
      </c>
      <c r="Y86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8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8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8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8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86" s="140">
        <f>SUM(TblDetailBudget[[#This Row],[2021 Cost (LCU)]:[2025 Cost (LCU)]])</f>
        <v>0</v>
      </c>
      <c r="AE86" s="134">
        <f>IFERROR(SUM(TblDetailBudget[[#This Row],[2021 Cost (LCU)]])/FX_Rate, "")</f>
        <v>0</v>
      </c>
      <c r="AF86" s="63">
        <f>IFERROR(SUM(TblDetailBudget[[#This Row],[2022 Cost (LCU)]])/FX_Rate, "")</f>
        <v>0</v>
      </c>
      <c r="AG86" s="63">
        <f>IFERROR(SUM(TblDetailBudget[[#This Row],[2023 Cost (LCU)]])/FX_Rate, "")</f>
        <v>0</v>
      </c>
      <c r="AH86" s="63">
        <f>IFERROR(SUM(TblDetailBudget[[#This Row],[2024 Cost (LCU)]])/FX_Rate, "")</f>
        <v>0</v>
      </c>
      <c r="AI86" s="63">
        <f>IFERROR(SUM(TblDetailBudget[[#This Row],[2025 Cost (LCU)]])/FX_Rate, "")</f>
        <v>0</v>
      </c>
      <c r="AJ86" s="125">
        <f>SUM(TblDetailBudget[[#This Row],[2021 Cost (USD)]:[2025 Cost (USD)]])</f>
        <v>0</v>
      </c>
      <c r="AK86" s="180"/>
    </row>
    <row r="87" spans="2:37" ht="12.75" hidden="1" customHeight="1">
      <c r="B87" s="122" t="s">
        <v>70</v>
      </c>
      <c r="C8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1.1.3.5</v>
      </c>
      <c r="D87" s="62">
        <f>IF(TblDetailBudget[[#This Row],[Level]]="", "", COUNTIFS($B$8:TblDetailBudget[[#This Row],[Level]], Lvl1Hdr))</f>
        <v>1</v>
      </c>
      <c r="E87" s="62">
        <f>IF(TblDetailBudget[[#This Row],[Level]]="", "", COUNTIFS($B$8:TblDetailBudget[[#This Row],[Level]], Lvl2Hdr, $D$8:TblDetailBudget[[#This Row],[Lvl 1 Header]], TblDetailBudget[[#This Row],[Lvl 1 Header]]))</f>
        <v>1</v>
      </c>
      <c r="F8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8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8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87" s="101" t="s">
        <v>168</v>
      </c>
      <c r="J87" s="101"/>
      <c r="K87" s="88"/>
      <c r="L87" s="88"/>
      <c r="M87" s="62" t="str">
        <f>IF(TblDetailBudget[[#This Row],[Level]]=LvlBottomHdr, IFERROR(INDEX(TblUnitCost[Unit], MATCH(TblDetailBudget[[#This Row],[Row Title]], TblUnitCost[Resource], 0)), "Invalid Resource"), "")</f>
        <v/>
      </c>
      <c r="N87" s="125" t="str">
        <f>IF(TblDetailBudget[[#This Row],[Level]]=LvlBottomHdr, IFERROR(INDEX(TblUnitCost[LCU], MATCH(TblDetailBudget[[#This Row],[Row Title]], TblUnitCost[Resource], 0)), "Invalid Resource"), "")</f>
        <v/>
      </c>
      <c r="O87" s="128"/>
      <c r="P87" s="108"/>
      <c r="Q87" s="185"/>
      <c r="R87" s="129"/>
      <c r="S87" s="108"/>
      <c r="T87" s="108"/>
      <c r="U87" s="108"/>
      <c r="V87" s="108"/>
      <c r="W87" s="108"/>
      <c r="X87" s="125" t="str">
        <f>IF(TblDetailBudget[[#This Row],[Level]]=LvlBottomHdr, IF(SUM(TblDetailBudget[[#This Row],[2021 Quant]:[2025 Quant]])&gt;0, SUM(TblDetailBudget[[#This Row],[2021 Quant]:[2025 Quant]]), ""), "")</f>
        <v/>
      </c>
      <c r="Y8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8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8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8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8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87" s="140">
        <f>SUM(TblDetailBudget[[#This Row],[2021 Cost (LCU)]:[2025 Cost (LCU)]])</f>
        <v>0</v>
      </c>
      <c r="AE87" s="134">
        <f>IFERROR(SUM(TblDetailBudget[[#This Row],[2021 Cost (LCU)]])/FX_Rate, "")</f>
        <v>0</v>
      </c>
      <c r="AF87" s="63">
        <f>IFERROR(SUM(TblDetailBudget[[#This Row],[2022 Cost (LCU)]])/FX_Rate, "")</f>
        <v>0</v>
      </c>
      <c r="AG87" s="63">
        <f>IFERROR(SUM(TblDetailBudget[[#This Row],[2023 Cost (LCU)]])/FX_Rate, "")</f>
        <v>0</v>
      </c>
      <c r="AH87" s="63">
        <f>IFERROR(SUM(TblDetailBudget[[#This Row],[2024 Cost (LCU)]])/FX_Rate, "")</f>
        <v>0</v>
      </c>
      <c r="AI87" s="63">
        <f>IFERROR(SUM(TblDetailBudget[[#This Row],[2025 Cost (LCU)]])/FX_Rate, "")</f>
        <v>0</v>
      </c>
      <c r="AJ87" s="125">
        <f>SUM(TblDetailBudget[[#This Row],[2021 Cost (USD)]:[2025 Cost (USD)]])</f>
        <v>0</v>
      </c>
      <c r="AK87" s="180"/>
    </row>
    <row r="88" spans="2:37" ht="12.75" hidden="1" customHeight="1">
      <c r="B88" s="122" t="s">
        <v>71</v>
      </c>
      <c r="C8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1.1.3.5.1</v>
      </c>
      <c r="D88" s="62">
        <f>IF(TblDetailBudget[[#This Row],[Level]]="", "", COUNTIFS($B$8:TblDetailBudget[[#This Row],[Level]], Lvl1Hdr))</f>
        <v>1</v>
      </c>
      <c r="E88" s="62">
        <f>IF(TblDetailBudget[[#This Row],[Level]]="", "", COUNTIFS($B$8:TblDetailBudget[[#This Row],[Level]], Lvl2Hdr, $D$8:TblDetailBudget[[#This Row],[Lvl 1 Header]], TblDetailBudget[[#This Row],[Lvl 1 Header]]))</f>
        <v>1</v>
      </c>
      <c r="F8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8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8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88" s="101"/>
      <c r="J88" s="101"/>
      <c r="K88" s="88"/>
      <c r="L88" s="88"/>
      <c r="M88" s="62" t="str">
        <f>IF(TblDetailBudget[[#This Row],[Level]]=LvlBottomHdr, IFERROR(INDEX(TblUnitCost[Unit], MATCH(TblDetailBudget[[#This Row],[Row Title]], TblUnitCost[Resource], 0)), "Invalid Resource"), "")</f>
        <v>Invalid Resource</v>
      </c>
      <c r="N88" s="125" t="str">
        <f>IF(TblDetailBudget[[#This Row],[Level]]=LvlBottomHdr, IFERROR(INDEX(TblUnitCost[LCU], MATCH(TblDetailBudget[[#This Row],[Row Title]], TblUnitCost[Resource], 0)), "Invalid Resource"), "")</f>
        <v>Invalid Resource</v>
      </c>
      <c r="O88" s="128"/>
      <c r="P88" s="108"/>
      <c r="Q88" s="185"/>
      <c r="R88" s="129"/>
      <c r="S88" s="108"/>
      <c r="T88" s="108"/>
      <c r="U88" s="108"/>
      <c r="V88" s="108"/>
      <c r="W88" s="108"/>
      <c r="X88" s="125" t="str">
        <f>IF(TblDetailBudget[[#This Row],[Level]]=LvlBottomHdr, IF(SUM(TblDetailBudget[[#This Row],[2021 Quant]:[2025 Quant]])&gt;0, SUM(TblDetailBudget[[#This Row],[2021 Quant]:[2025 Quant]]), ""), "")</f>
        <v/>
      </c>
      <c r="Y88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8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8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8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8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88" s="140">
        <f>SUM(TblDetailBudget[[#This Row],[2021 Cost (LCU)]:[2025 Cost (LCU)]])</f>
        <v>0</v>
      </c>
      <c r="AE88" s="134">
        <f>IFERROR(SUM(TblDetailBudget[[#This Row],[2021 Cost (LCU)]])/FX_Rate, "")</f>
        <v>0</v>
      </c>
      <c r="AF88" s="63">
        <f>IFERROR(SUM(TblDetailBudget[[#This Row],[2022 Cost (LCU)]])/FX_Rate, "")</f>
        <v>0</v>
      </c>
      <c r="AG88" s="63">
        <f>IFERROR(SUM(TblDetailBudget[[#This Row],[2023 Cost (LCU)]])/FX_Rate, "")</f>
        <v>0</v>
      </c>
      <c r="AH88" s="63">
        <f>IFERROR(SUM(TblDetailBudget[[#This Row],[2024 Cost (LCU)]])/FX_Rate, "")</f>
        <v>0</v>
      </c>
      <c r="AI88" s="63">
        <f>IFERROR(SUM(TblDetailBudget[[#This Row],[2025 Cost (LCU)]])/FX_Rate, "")</f>
        <v>0</v>
      </c>
      <c r="AJ88" s="125">
        <f>SUM(TblDetailBudget[[#This Row],[2021 Cost (USD)]:[2025 Cost (USD)]])</f>
        <v>0</v>
      </c>
      <c r="AK88" s="180"/>
    </row>
    <row r="89" spans="2:37" ht="12.75" hidden="1" customHeight="1">
      <c r="B89" s="122" t="s">
        <v>71</v>
      </c>
      <c r="C8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1.1.3.5.2</v>
      </c>
      <c r="D89" s="62">
        <f>IF(TblDetailBudget[[#This Row],[Level]]="", "", COUNTIFS($B$8:TblDetailBudget[[#This Row],[Level]], Lvl1Hdr))</f>
        <v>1</v>
      </c>
      <c r="E89" s="62">
        <f>IF(TblDetailBudget[[#This Row],[Level]]="", "", COUNTIFS($B$8:TblDetailBudget[[#This Row],[Level]], Lvl2Hdr, $D$8:TblDetailBudget[[#This Row],[Lvl 1 Header]], TblDetailBudget[[#This Row],[Lvl 1 Header]]))</f>
        <v>1</v>
      </c>
      <c r="F8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8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8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89" s="101"/>
      <c r="J89" s="101"/>
      <c r="K89" s="88"/>
      <c r="L89" s="88"/>
      <c r="M89" s="62" t="str">
        <f>IF(TblDetailBudget[[#This Row],[Level]]=LvlBottomHdr, IFERROR(INDEX(TblUnitCost[Unit], MATCH(TblDetailBudget[[#This Row],[Row Title]], TblUnitCost[Resource], 0)), "Invalid Resource"), "")</f>
        <v>Invalid Resource</v>
      </c>
      <c r="N89" s="125" t="str">
        <f>IF(TblDetailBudget[[#This Row],[Level]]=LvlBottomHdr, IFERROR(INDEX(TblUnitCost[LCU], MATCH(TblDetailBudget[[#This Row],[Row Title]], TblUnitCost[Resource], 0)), "Invalid Resource"), "")</f>
        <v>Invalid Resource</v>
      </c>
      <c r="O89" s="128"/>
      <c r="P89" s="108"/>
      <c r="Q89" s="185"/>
      <c r="R89" s="129"/>
      <c r="S89" s="108"/>
      <c r="T89" s="108"/>
      <c r="U89" s="108"/>
      <c r="V89" s="108"/>
      <c r="W89" s="108"/>
      <c r="X89" s="125" t="str">
        <f>IF(TblDetailBudget[[#This Row],[Level]]=LvlBottomHdr, IF(SUM(TblDetailBudget[[#This Row],[2021 Quant]:[2025 Quant]])&gt;0, SUM(TblDetailBudget[[#This Row],[2021 Quant]:[2025 Quant]]), ""), "")</f>
        <v/>
      </c>
      <c r="Y8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8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8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8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8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89" s="140">
        <f>SUM(TblDetailBudget[[#This Row],[2021 Cost (LCU)]:[2025 Cost (LCU)]])</f>
        <v>0</v>
      </c>
      <c r="AE89" s="134">
        <f>IFERROR(SUM(TblDetailBudget[[#This Row],[2021 Cost (LCU)]])/FX_Rate, "")</f>
        <v>0</v>
      </c>
      <c r="AF89" s="63">
        <f>IFERROR(SUM(TblDetailBudget[[#This Row],[2022 Cost (LCU)]])/FX_Rate, "")</f>
        <v>0</v>
      </c>
      <c r="AG89" s="63">
        <f>IFERROR(SUM(TblDetailBudget[[#This Row],[2023 Cost (LCU)]])/FX_Rate, "")</f>
        <v>0</v>
      </c>
      <c r="AH89" s="63">
        <f>IFERROR(SUM(TblDetailBudget[[#This Row],[2024 Cost (LCU)]])/FX_Rate, "")</f>
        <v>0</v>
      </c>
      <c r="AI89" s="63">
        <f>IFERROR(SUM(TblDetailBudget[[#This Row],[2025 Cost (LCU)]])/FX_Rate, "")</f>
        <v>0</v>
      </c>
      <c r="AJ89" s="125">
        <f>SUM(TblDetailBudget[[#This Row],[2021 Cost (USD)]:[2025 Cost (USD)]])</f>
        <v>0</v>
      </c>
      <c r="AK89" s="180"/>
    </row>
    <row r="90" spans="2:37" ht="12.75" hidden="1" customHeight="1">
      <c r="B90" s="122" t="s">
        <v>70</v>
      </c>
      <c r="C9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1.1.3.6</v>
      </c>
      <c r="D90" s="62">
        <f>IF(TblDetailBudget[[#This Row],[Level]]="", "", COUNTIFS($B$8:TblDetailBudget[[#This Row],[Level]], Lvl1Hdr))</f>
        <v>1</v>
      </c>
      <c r="E90" s="62">
        <f>IF(TblDetailBudget[[#This Row],[Level]]="", "", COUNTIFS($B$8:TblDetailBudget[[#This Row],[Level]], Lvl2Hdr, $D$8:TblDetailBudget[[#This Row],[Lvl 1 Header]], TblDetailBudget[[#This Row],[Lvl 1 Header]]))</f>
        <v>1</v>
      </c>
      <c r="F9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9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6</v>
      </c>
      <c r="H9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90" s="101" t="s">
        <v>169</v>
      </c>
      <c r="J90" s="101"/>
      <c r="K90" s="88"/>
      <c r="L90" s="88"/>
      <c r="M90" s="62" t="str">
        <f>IF(TblDetailBudget[[#This Row],[Level]]=LvlBottomHdr, IFERROR(INDEX(TblUnitCost[Unit], MATCH(TblDetailBudget[[#This Row],[Row Title]], TblUnitCost[Resource], 0)), "Invalid Resource"), "")</f>
        <v/>
      </c>
      <c r="N90" s="125" t="str">
        <f>IF(TblDetailBudget[[#This Row],[Level]]=LvlBottomHdr, IFERROR(INDEX(TblUnitCost[LCU], MATCH(TblDetailBudget[[#This Row],[Row Title]], TblUnitCost[Resource], 0)), "Invalid Resource"), "")</f>
        <v/>
      </c>
      <c r="O90" s="128"/>
      <c r="P90" s="108"/>
      <c r="Q90" s="185"/>
      <c r="R90" s="129"/>
      <c r="S90" s="108"/>
      <c r="T90" s="108"/>
      <c r="U90" s="108"/>
      <c r="V90" s="108"/>
      <c r="W90" s="108"/>
      <c r="X90" s="125" t="str">
        <f>IF(TblDetailBudget[[#This Row],[Level]]=LvlBottomHdr, IF(SUM(TblDetailBudget[[#This Row],[2021 Quant]:[2025 Quant]])&gt;0, SUM(TblDetailBudget[[#This Row],[2021 Quant]:[2025 Quant]]), ""), "")</f>
        <v/>
      </c>
      <c r="Y9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9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9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9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9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90" s="140">
        <f>SUM(TblDetailBudget[[#This Row],[2021 Cost (LCU)]:[2025 Cost (LCU)]])</f>
        <v>0</v>
      </c>
      <c r="AE90" s="134">
        <f>IFERROR(SUM(TblDetailBudget[[#This Row],[2021 Cost (LCU)]])/FX_Rate, "")</f>
        <v>0</v>
      </c>
      <c r="AF90" s="63">
        <f>IFERROR(SUM(TblDetailBudget[[#This Row],[2022 Cost (LCU)]])/FX_Rate, "")</f>
        <v>0</v>
      </c>
      <c r="AG90" s="63">
        <f>IFERROR(SUM(TblDetailBudget[[#This Row],[2023 Cost (LCU)]])/FX_Rate, "")</f>
        <v>0</v>
      </c>
      <c r="AH90" s="63">
        <f>IFERROR(SUM(TblDetailBudget[[#This Row],[2024 Cost (LCU)]])/FX_Rate, "")</f>
        <v>0</v>
      </c>
      <c r="AI90" s="63">
        <f>IFERROR(SUM(TblDetailBudget[[#This Row],[2025 Cost (LCU)]])/FX_Rate, "")</f>
        <v>0</v>
      </c>
      <c r="AJ90" s="125">
        <f>SUM(TblDetailBudget[[#This Row],[2021 Cost (USD)]:[2025 Cost (USD)]])</f>
        <v>0</v>
      </c>
      <c r="AK90" s="180"/>
    </row>
    <row r="91" spans="2:37" ht="12.75" hidden="1" customHeight="1">
      <c r="B91" s="122" t="s">
        <v>71</v>
      </c>
      <c r="C9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1.1.3.6.1</v>
      </c>
      <c r="D91" s="62">
        <f>IF(TblDetailBudget[[#This Row],[Level]]="", "", COUNTIFS($B$8:TblDetailBudget[[#This Row],[Level]], Lvl1Hdr))</f>
        <v>1</v>
      </c>
      <c r="E91" s="62">
        <f>IF(TblDetailBudget[[#This Row],[Level]]="", "", COUNTIFS($B$8:TblDetailBudget[[#This Row],[Level]], Lvl2Hdr, $D$8:TblDetailBudget[[#This Row],[Lvl 1 Header]], TblDetailBudget[[#This Row],[Lvl 1 Header]]))</f>
        <v>1</v>
      </c>
      <c r="F9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9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6</v>
      </c>
      <c r="H9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91" s="101"/>
      <c r="J91" s="101"/>
      <c r="K91" s="88"/>
      <c r="L91" s="88"/>
      <c r="M91" s="62" t="str">
        <f>IF(TblDetailBudget[[#This Row],[Level]]=LvlBottomHdr, IFERROR(INDEX(TblUnitCost[Unit], MATCH(TblDetailBudget[[#This Row],[Row Title]], TblUnitCost[Resource], 0)), "Invalid Resource"), "")</f>
        <v>Invalid Resource</v>
      </c>
      <c r="N91" s="125" t="str">
        <f>IF(TblDetailBudget[[#This Row],[Level]]=LvlBottomHdr, IFERROR(INDEX(TblUnitCost[LCU], MATCH(TblDetailBudget[[#This Row],[Row Title]], TblUnitCost[Resource], 0)), "Invalid Resource"), "")</f>
        <v>Invalid Resource</v>
      </c>
      <c r="O91" s="128"/>
      <c r="P91" s="108"/>
      <c r="Q91" s="185"/>
      <c r="R91" s="129"/>
      <c r="S91" s="108"/>
      <c r="T91" s="108"/>
      <c r="U91" s="108"/>
      <c r="V91" s="108"/>
      <c r="W91" s="108"/>
      <c r="X91" s="125" t="str">
        <f>IF(TblDetailBudget[[#This Row],[Level]]=LvlBottomHdr, IF(SUM(TblDetailBudget[[#This Row],[2021 Quant]:[2025 Quant]])&gt;0, SUM(TblDetailBudget[[#This Row],[2021 Quant]:[2025 Quant]]), ""), "")</f>
        <v/>
      </c>
      <c r="Y91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9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9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9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9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91" s="140">
        <f>SUM(TblDetailBudget[[#This Row],[2021 Cost (LCU)]:[2025 Cost (LCU)]])</f>
        <v>0</v>
      </c>
      <c r="AE91" s="134">
        <f>IFERROR(SUM(TblDetailBudget[[#This Row],[2021 Cost (LCU)]])/FX_Rate, "")</f>
        <v>0</v>
      </c>
      <c r="AF91" s="63">
        <f>IFERROR(SUM(TblDetailBudget[[#This Row],[2022 Cost (LCU)]])/FX_Rate, "")</f>
        <v>0</v>
      </c>
      <c r="AG91" s="63">
        <f>IFERROR(SUM(TblDetailBudget[[#This Row],[2023 Cost (LCU)]])/FX_Rate, "")</f>
        <v>0</v>
      </c>
      <c r="AH91" s="63">
        <f>IFERROR(SUM(TblDetailBudget[[#This Row],[2024 Cost (LCU)]])/FX_Rate, "")</f>
        <v>0</v>
      </c>
      <c r="AI91" s="63">
        <f>IFERROR(SUM(TblDetailBudget[[#This Row],[2025 Cost (LCU)]])/FX_Rate, "")</f>
        <v>0</v>
      </c>
      <c r="AJ91" s="125">
        <f>SUM(TblDetailBudget[[#This Row],[2021 Cost (USD)]:[2025 Cost (USD)]])</f>
        <v>0</v>
      </c>
      <c r="AK91" s="180"/>
    </row>
    <row r="92" spans="2:37" ht="12.75" hidden="1" customHeight="1">
      <c r="B92" s="122" t="s">
        <v>69</v>
      </c>
      <c r="C9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1.1.4</v>
      </c>
      <c r="D92" s="62">
        <f>IF(TblDetailBudget[[#This Row],[Level]]="", "", COUNTIFS($B$8:TblDetailBudget[[#This Row],[Level]], Lvl1Hdr))</f>
        <v>1</v>
      </c>
      <c r="E92" s="62">
        <f>IF(TblDetailBudget[[#This Row],[Level]]="", "", COUNTIFS($B$8:TblDetailBudget[[#This Row],[Level]], Lvl2Hdr, $D$8:TblDetailBudget[[#This Row],[Lvl 1 Header]], TblDetailBudget[[#This Row],[Lvl 1 Header]]))</f>
        <v>1</v>
      </c>
      <c r="F9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4</v>
      </c>
      <c r="G9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9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92" s="188" t="s">
        <v>170</v>
      </c>
      <c r="J92" s="101"/>
      <c r="K92" s="88"/>
      <c r="L92" s="88"/>
      <c r="M92" s="62" t="str">
        <f>IF(TblDetailBudget[[#This Row],[Level]]=LvlBottomHdr, IFERROR(INDEX(TblUnitCost[Unit], MATCH(TblDetailBudget[[#This Row],[Row Title]], TblUnitCost[Resource], 0)), "Invalid Resource"), "")</f>
        <v/>
      </c>
      <c r="N92" s="125" t="str">
        <f>IF(TblDetailBudget[[#This Row],[Level]]=LvlBottomHdr, IFERROR(INDEX(TblUnitCost[LCU], MATCH(TblDetailBudget[[#This Row],[Row Title]], TblUnitCost[Resource], 0)), "Invalid Resource"), "")</f>
        <v/>
      </c>
      <c r="O92" s="128"/>
      <c r="P92" s="108"/>
      <c r="Q92" s="185"/>
      <c r="R92" s="129"/>
      <c r="S92" s="108"/>
      <c r="T92" s="108"/>
      <c r="U92" s="108"/>
      <c r="V92" s="108"/>
      <c r="W92" s="108"/>
      <c r="X92" s="125" t="str">
        <f>IF(TblDetailBudget[[#This Row],[Level]]=LvlBottomHdr, IF(SUM(TblDetailBudget[[#This Row],[2021 Quant]:[2025 Quant]])&gt;0, SUM(TblDetailBudget[[#This Row],[2021 Quant]:[2025 Quant]]), ""), "")</f>
        <v/>
      </c>
      <c r="Y9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9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9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9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9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92" s="140">
        <f>SUM(TblDetailBudget[[#This Row],[2021 Cost (LCU)]:[2025 Cost (LCU)]])</f>
        <v>0</v>
      </c>
      <c r="AE92" s="134">
        <f>IFERROR(SUM(TblDetailBudget[[#This Row],[2021 Cost (LCU)]])/FX_Rate, "")</f>
        <v>0</v>
      </c>
      <c r="AF92" s="63">
        <f>IFERROR(SUM(TblDetailBudget[[#This Row],[2022 Cost (LCU)]])/FX_Rate, "")</f>
        <v>0</v>
      </c>
      <c r="AG92" s="63">
        <f>IFERROR(SUM(TblDetailBudget[[#This Row],[2023 Cost (LCU)]])/FX_Rate, "")</f>
        <v>0</v>
      </c>
      <c r="AH92" s="63">
        <f>IFERROR(SUM(TblDetailBudget[[#This Row],[2024 Cost (LCU)]])/FX_Rate, "")</f>
        <v>0</v>
      </c>
      <c r="AI92" s="63">
        <f>IFERROR(SUM(TblDetailBudget[[#This Row],[2025 Cost (LCU)]])/FX_Rate, "")</f>
        <v>0</v>
      </c>
      <c r="AJ92" s="125">
        <f>SUM(TblDetailBudget[[#This Row],[2021 Cost (USD)]:[2025 Cost (USD)]])</f>
        <v>0</v>
      </c>
      <c r="AK92" s="180"/>
    </row>
    <row r="93" spans="2:37" ht="12.75" hidden="1" customHeight="1">
      <c r="B93" s="122" t="s">
        <v>70</v>
      </c>
      <c r="C9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1.1.4.1</v>
      </c>
      <c r="D93" s="62">
        <f>IF(TblDetailBudget[[#This Row],[Level]]="", "", COUNTIFS($B$8:TblDetailBudget[[#This Row],[Level]], Lvl1Hdr))</f>
        <v>1</v>
      </c>
      <c r="E93" s="62">
        <f>IF(TblDetailBudget[[#This Row],[Level]]="", "", COUNTIFS($B$8:TblDetailBudget[[#This Row],[Level]], Lvl2Hdr, $D$8:TblDetailBudget[[#This Row],[Lvl 1 Header]], TblDetailBudget[[#This Row],[Lvl 1 Header]]))</f>
        <v>1</v>
      </c>
      <c r="F9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4</v>
      </c>
      <c r="G9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9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93" s="101"/>
      <c r="J93" s="101"/>
      <c r="K93" s="88"/>
      <c r="L93" s="88"/>
      <c r="M93" s="62" t="str">
        <f>IF(TblDetailBudget[[#This Row],[Level]]=LvlBottomHdr, IFERROR(INDEX(TblUnitCost[Unit], MATCH(TblDetailBudget[[#This Row],[Row Title]], TblUnitCost[Resource], 0)), "Invalid Resource"), "")</f>
        <v/>
      </c>
      <c r="N93" s="125" t="str">
        <f>IF(TblDetailBudget[[#This Row],[Level]]=LvlBottomHdr, IFERROR(INDEX(TblUnitCost[LCU], MATCH(TblDetailBudget[[#This Row],[Row Title]], TblUnitCost[Resource], 0)), "Invalid Resource"), "")</f>
        <v/>
      </c>
      <c r="O93" s="128"/>
      <c r="P93" s="108"/>
      <c r="Q93" s="185"/>
      <c r="R93" s="129"/>
      <c r="S93" s="108"/>
      <c r="T93" s="108"/>
      <c r="U93" s="108"/>
      <c r="V93" s="108"/>
      <c r="W93" s="108"/>
      <c r="X93" s="125" t="str">
        <f>IF(TblDetailBudget[[#This Row],[Level]]=LvlBottomHdr, IF(SUM(TblDetailBudget[[#This Row],[2021 Quant]:[2025 Quant]])&gt;0, SUM(TblDetailBudget[[#This Row],[2021 Quant]:[2025 Quant]]), ""), "")</f>
        <v/>
      </c>
      <c r="Y93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9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9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9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9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93" s="140">
        <f>SUM(TblDetailBudget[[#This Row],[2021 Cost (LCU)]:[2025 Cost (LCU)]])</f>
        <v>0</v>
      </c>
      <c r="AE93" s="134">
        <f>IFERROR(SUM(TblDetailBudget[[#This Row],[2021 Cost (LCU)]])/FX_Rate, "")</f>
        <v>0</v>
      </c>
      <c r="AF93" s="63">
        <f>IFERROR(SUM(TblDetailBudget[[#This Row],[2022 Cost (LCU)]])/FX_Rate, "")</f>
        <v>0</v>
      </c>
      <c r="AG93" s="63">
        <f>IFERROR(SUM(TblDetailBudget[[#This Row],[2023 Cost (LCU)]])/FX_Rate, "")</f>
        <v>0</v>
      </c>
      <c r="AH93" s="63">
        <f>IFERROR(SUM(TblDetailBudget[[#This Row],[2024 Cost (LCU)]])/FX_Rate, "")</f>
        <v>0</v>
      </c>
      <c r="AI93" s="63">
        <f>IFERROR(SUM(TblDetailBudget[[#This Row],[2025 Cost (LCU)]])/FX_Rate, "")</f>
        <v>0</v>
      </c>
      <c r="AJ93" s="125">
        <f>SUM(TblDetailBudget[[#This Row],[2021 Cost (USD)]:[2025 Cost (USD)]])</f>
        <v>0</v>
      </c>
      <c r="AK93" s="180"/>
    </row>
    <row r="94" spans="2:37" ht="12.75" hidden="1" customHeight="1">
      <c r="B94" s="122" t="s">
        <v>71</v>
      </c>
      <c r="C9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1.1.4.1.1</v>
      </c>
      <c r="D94" s="62">
        <f>IF(TblDetailBudget[[#This Row],[Level]]="", "", COUNTIFS($B$8:TblDetailBudget[[#This Row],[Level]], Lvl1Hdr))</f>
        <v>1</v>
      </c>
      <c r="E94" s="62">
        <f>IF(TblDetailBudget[[#This Row],[Level]]="", "", COUNTIFS($B$8:TblDetailBudget[[#This Row],[Level]], Lvl2Hdr, $D$8:TblDetailBudget[[#This Row],[Lvl 1 Header]], TblDetailBudget[[#This Row],[Lvl 1 Header]]))</f>
        <v>1</v>
      </c>
      <c r="F9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4</v>
      </c>
      <c r="G9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9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94" s="101"/>
      <c r="J94" s="101"/>
      <c r="K94" s="88"/>
      <c r="L94" s="88"/>
      <c r="M94" s="62" t="str">
        <f>IF(TblDetailBudget[[#This Row],[Level]]=LvlBottomHdr, IFERROR(INDEX(TblUnitCost[Unit], MATCH(TblDetailBudget[[#This Row],[Row Title]], TblUnitCost[Resource], 0)), "Invalid Resource"), "")</f>
        <v>Invalid Resource</v>
      </c>
      <c r="N94" s="125" t="str">
        <f>IF(TblDetailBudget[[#This Row],[Level]]=LvlBottomHdr, IFERROR(INDEX(TblUnitCost[LCU], MATCH(TblDetailBudget[[#This Row],[Row Title]], TblUnitCost[Resource], 0)), "Invalid Resource"), "")</f>
        <v>Invalid Resource</v>
      </c>
      <c r="O94" s="128"/>
      <c r="P94" s="108"/>
      <c r="Q94" s="185"/>
      <c r="R94" s="129"/>
      <c r="S94" s="108"/>
      <c r="T94" s="108"/>
      <c r="U94" s="108"/>
      <c r="V94" s="108"/>
      <c r="W94" s="108"/>
      <c r="X94" s="125" t="str">
        <f>IF(TblDetailBudget[[#This Row],[Level]]=LvlBottomHdr, IF(SUM(TblDetailBudget[[#This Row],[2021 Quant]:[2025 Quant]])&gt;0, SUM(TblDetailBudget[[#This Row],[2021 Quant]:[2025 Quant]]), ""), "")</f>
        <v/>
      </c>
      <c r="Y9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9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9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9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9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94" s="140">
        <f>SUM(TblDetailBudget[[#This Row],[2021 Cost (LCU)]:[2025 Cost (LCU)]])</f>
        <v>0</v>
      </c>
      <c r="AE94" s="134">
        <f>IFERROR(SUM(TblDetailBudget[[#This Row],[2021 Cost (LCU)]])/FX_Rate, "")</f>
        <v>0</v>
      </c>
      <c r="AF94" s="63">
        <f>IFERROR(SUM(TblDetailBudget[[#This Row],[2022 Cost (LCU)]])/FX_Rate, "")</f>
        <v>0</v>
      </c>
      <c r="AG94" s="63">
        <f>IFERROR(SUM(TblDetailBudget[[#This Row],[2023 Cost (LCU)]])/FX_Rate, "")</f>
        <v>0</v>
      </c>
      <c r="AH94" s="63">
        <f>IFERROR(SUM(TblDetailBudget[[#This Row],[2024 Cost (LCU)]])/FX_Rate, "")</f>
        <v>0</v>
      </c>
      <c r="AI94" s="63">
        <f>IFERROR(SUM(TblDetailBudget[[#This Row],[2025 Cost (LCU)]])/FX_Rate, "")</f>
        <v>0</v>
      </c>
      <c r="AJ94" s="125">
        <f>SUM(TblDetailBudget[[#This Row],[2021 Cost (USD)]:[2025 Cost (USD)]])</f>
        <v>0</v>
      </c>
      <c r="AK94" s="180"/>
    </row>
    <row r="95" spans="2:37" ht="12.75" customHeight="1">
      <c r="B95" s="122" t="s">
        <v>68</v>
      </c>
      <c r="C9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</v>
      </c>
      <c r="D95" s="62">
        <f>IF(TblDetailBudget[[#This Row],[Level]]="", "", COUNTIFS($B$8:TblDetailBudget[[#This Row],[Level]], Lvl1Hdr))</f>
        <v>1</v>
      </c>
      <c r="E95" s="62">
        <f>IF(TblDetailBudget[[#This Row],[Level]]="", "", COUNTIFS($B$8:TblDetailBudget[[#This Row],[Level]], Lvl2Hdr, $D$8:TblDetailBudget[[#This Row],[Lvl 1 Header]], TblDetailBudget[[#This Row],[Lvl 1 Header]]))</f>
        <v>2</v>
      </c>
      <c r="F9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9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9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95" s="188" t="s">
        <v>2403</v>
      </c>
      <c r="J95" s="101"/>
      <c r="K95" s="88"/>
      <c r="L95" s="88"/>
      <c r="M95" s="62" t="str">
        <f>IF(TblDetailBudget[[#This Row],[Level]]=LvlBottomHdr, IFERROR(INDEX(TblUnitCost[Unit], MATCH(TblDetailBudget[[#This Row],[Row Title]], TblUnitCost[Resource], 0)), "Invalid Resource"), "")</f>
        <v/>
      </c>
      <c r="N95" s="125" t="str">
        <f>IF(TblDetailBudget[[#This Row],[Level]]=LvlBottomHdr, IFERROR(INDEX(TblUnitCost[LCU], MATCH(TblDetailBudget[[#This Row],[Row Title]], TblUnitCost[Resource], 0)), "Invalid Resource"), "")</f>
        <v/>
      </c>
      <c r="O95" s="128"/>
      <c r="P95" s="108"/>
      <c r="Q95" s="185"/>
      <c r="R95" s="129"/>
      <c r="S95" s="108"/>
      <c r="T95" s="108"/>
      <c r="U95" s="108"/>
      <c r="V95" s="108"/>
      <c r="W95" s="108"/>
      <c r="X95" s="125" t="str">
        <f>IF(TblDetailBudget[[#This Row],[Level]]=LvlBottomHdr, IF(SUM(TblDetailBudget[[#This Row],[2021 Quant]:[2025 Quant]])&gt;0, SUM(TblDetailBudget[[#This Row],[2021 Quant]:[2025 Quant]]), ""), "")</f>
        <v/>
      </c>
      <c r="Y9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9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9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9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9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71050111380.677719</v>
      </c>
      <c r="AD95" s="140">
        <f>SUM(TblDetailBudget[[#This Row],[2021 Cost (LCU)]:[2025 Cost (LCU)]])</f>
        <v>71050111380.677719</v>
      </c>
      <c r="AE95" s="134">
        <f>IFERROR(SUM(TblDetailBudget[[#This Row],[2021 Cost (LCU)]])/FX_Rate, "")</f>
        <v>0</v>
      </c>
      <c r="AF95" s="63">
        <f>IFERROR(SUM(TblDetailBudget[[#This Row],[2022 Cost (LCU)]])/FX_Rate, "")</f>
        <v>0</v>
      </c>
      <c r="AG95" s="63">
        <f>IFERROR(SUM(TblDetailBudget[[#This Row],[2023 Cost (LCU)]])/FX_Rate, "")</f>
        <v>0</v>
      </c>
      <c r="AH95" s="63">
        <f>IFERROR(SUM(TblDetailBudget[[#This Row],[2024 Cost (LCU)]])/FX_Rate, "")</f>
        <v>0</v>
      </c>
      <c r="AI95" s="63">
        <f>IFERROR(SUM(TblDetailBudget[[#This Row],[2025 Cost (LCU)]])/FX_Rate, "")</f>
        <v>44406319.612923577</v>
      </c>
      <c r="AJ95" s="125">
        <f>SUM(TblDetailBudget[[#This Row],[2021 Cost (USD)]:[2025 Cost (USD)]])</f>
        <v>44406319.612923577</v>
      </c>
      <c r="AK95" s="180"/>
    </row>
    <row r="96" spans="2:37" ht="12.75" customHeight="1">
      <c r="B96" s="122" t="s">
        <v>69</v>
      </c>
      <c r="C9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1.2.1</v>
      </c>
      <c r="D96" s="62">
        <f>IF(TblDetailBudget[[#This Row],[Level]]="", "", COUNTIFS($B$8:TblDetailBudget[[#This Row],[Level]], Lvl1Hdr))</f>
        <v>1</v>
      </c>
      <c r="E96" s="62">
        <f>IF(TblDetailBudget[[#This Row],[Level]]="", "", COUNTIFS($B$8:TblDetailBudget[[#This Row],[Level]], Lvl2Hdr, $D$8:TblDetailBudget[[#This Row],[Lvl 1 Header]], TblDetailBudget[[#This Row],[Lvl 1 Header]]))</f>
        <v>2</v>
      </c>
      <c r="F9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9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9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96" s="188" t="s">
        <v>2404</v>
      </c>
      <c r="J96" s="101"/>
      <c r="K96" s="88"/>
      <c r="L96" s="88"/>
      <c r="M96" s="62" t="str">
        <f>IF(TblDetailBudget[[#This Row],[Level]]=LvlBottomHdr, IFERROR(INDEX(TblUnitCost[Unit], MATCH(TblDetailBudget[[#This Row],[Row Title]], TblUnitCost[Resource], 0)), "Invalid Resource"), "")</f>
        <v/>
      </c>
      <c r="N96" s="125" t="str">
        <f>IF(TblDetailBudget[[#This Row],[Level]]=LvlBottomHdr, IFERROR(INDEX(TblUnitCost[LCU], MATCH(TblDetailBudget[[#This Row],[Row Title]], TblUnitCost[Resource], 0)), "Invalid Resource"), "")</f>
        <v/>
      </c>
      <c r="O96" s="128"/>
      <c r="P96" s="108"/>
      <c r="Q96" s="185"/>
      <c r="R96" s="129"/>
      <c r="S96" s="108"/>
      <c r="T96" s="108"/>
      <c r="U96" s="108"/>
      <c r="V96" s="108"/>
      <c r="W96" s="108"/>
      <c r="X96" s="125" t="str">
        <f>IF(TblDetailBudget[[#This Row],[Level]]=LvlBottomHdr, IF(SUM(TblDetailBudget[[#This Row],[2021 Quant]:[2025 Quant]])&gt;0, SUM(TblDetailBudget[[#This Row],[2021 Quant]:[2025 Quant]]), ""), "")</f>
        <v/>
      </c>
      <c r="Y9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9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9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9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9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71050111380.677719</v>
      </c>
      <c r="AD96" s="140">
        <f>SUM(TblDetailBudget[[#This Row],[2021 Cost (LCU)]:[2025 Cost (LCU)]])</f>
        <v>71050111380.677719</v>
      </c>
      <c r="AE96" s="134">
        <f>IFERROR(SUM(TblDetailBudget[[#This Row],[2021 Cost (LCU)]])/FX_Rate, "")</f>
        <v>0</v>
      </c>
      <c r="AF96" s="63">
        <f>IFERROR(SUM(TblDetailBudget[[#This Row],[2022 Cost (LCU)]])/FX_Rate, "")</f>
        <v>0</v>
      </c>
      <c r="AG96" s="63">
        <f>IFERROR(SUM(TblDetailBudget[[#This Row],[2023 Cost (LCU)]])/FX_Rate, "")</f>
        <v>0</v>
      </c>
      <c r="AH96" s="63">
        <f>IFERROR(SUM(TblDetailBudget[[#This Row],[2024 Cost (LCU)]])/FX_Rate, "")</f>
        <v>0</v>
      </c>
      <c r="AI96" s="63">
        <f>IFERROR(SUM(TblDetailBudget[[#This Row],[2025 Cost (LCU)]])/FX_Rate, "")</f>
        <v>44406319.612923577</v>
      </c>
      <c r="AJ96" s="125">
        <f>SUM(TblDetailBudget[[#This Row],[2021 Cost (USD)]:[2025 Cost (USD)]])</f>
        <v>44406319.612923577</v>
      </c>
      <c r="AK96" s="180"/>
    </row>
    <row r="97" spans="2:37" ht="12.75" customHeight="1">
      <c r="B97" s="122" t="s">
        <v>70</v>
      </c>
      <c r="C9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1.2.1.1</v>
      </c>
      <c r="D97" s="62">
        <f>IF(TblDetailBudget[[#This Row],[Level]]="", "", COUNTIFS($B$8:TblDetailBudget[[#This Row],[Level]], Lvl1Hdr))</f>
        <v>1</v>
      </c>
      <c r="E97" s="62">
        <f>IF(TblDetailBudget[[#This Row],[Level]]="", "", COUNTIFS($B$8:TblDetailBudget[[#This Row],[Level]], Lvl2Hdr, $D$8:TblDetailBudget[[#This Row],[Lvl 1 Header]], TblDetailBudget[[#This Row],[Lvl 1 Header]]))</f>
        <v>2</v>
      </c>
      <c r="F9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9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9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97" s="101" t="s">
        <v>2405</v>
      </c>
      <c r="J97" s="101"/>
      <c r="K97" s="88"/>
      <c r="L97" s="88"/>
      <c r="M97" s="62" t="str">
        <f>IF(TblDetailBudget[[#This Row],[Level]]=LvlBottomHdr, IFERROR(INDEX(TblUnitCost[Unit], MATCH(TblDetailBudget[[#This Row],[Row Title]], TblUnitCost[Resource], 0)), "Invalid Resource"), "")</f>
        <v/>
      </c>
      <c r="N97" s="125" t="str">
        <f>IF(TblDetailBudget[[#This Row],[Level]]=LvlBottomHdr, IFERROR(INDEX(TblUnitCost[LCU], MATCH(TblDetailBudget[[#This Row],[Row Title]], TblUnitCost[Resource], 0)), "Invalid Resource"), "")</f>
        <v/>
      </c>
      <c r="O97" s="128"/>
      <c r="P97" s="108"/>
      <c r="Q97" s="185"/>
      <c r="R97" s="129"/>
      <c r="S97" s="108"/>
      <c r="T97" s="108"/>
      <c r="U97" s="108"/>
      <c r="V97" s="108"/>
      <c r="W97" s="108"/>
      <c r="X97" s="125" t="str">
        <f>IF(TblDetailBudget[[#This Row],[Level]]=LvlBottomHdr, IF(SUM(TblDetailBudget[[#This Row],[2021 Quant]:[2025 Quant]])&gt;0, SUM(TblDetailBudget[[#This Row],[2021 Quant]:[2025 Quant]]), ""), "")</f>
        <v/>
      </c>
      <c r="Y9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9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9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9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9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71050111380.677719</v>
      </c>
      <c r="AD97" s="140">
        <f>SUM(TblDetailBudget[[#This Row],[2021 Cost (LCU)]:[2025 Cost (LCU)]])</f>
        <v>71050111380.677719</v>
      </c>
      <c r="AE97" s="134">
        <f>IFERROR(SUM(TblDetailBudget[[#This Row],[2021 Cost (LCU)]])/FX_Rate, "")</f>
        <v>0</v>
      </c>
      <c r="AF97" s="63">
        <f>IFERROR(SUM(TblDetailBudget[[#This Row],[2022 Cost (LCU)]])/FX_Rate, "")</f>
        <v>0</v>
      </c>
      <c r="AG97" s="63">
        <f>IFERROR(SUM(TblDetailBudget[[#This Row],[2023 Cost (LCU)]])/FX_Rate, "")</f>
        <v>0</v>
      </c>
      <c r="AH97" s="63">
        <f>IFERROR(SUM(TblDetailBudget[[#This Row],[2024 Cost (LCU)]])/FX_Rate, "")</f>
        <v>0</v>
      </c>
      <c r="AI97" s="63">
        <f>IFERROR(SUM(TblDetailBudget[[#This Row],[2025 Cost (LCU)]])/FX_Rate, "")</f>
        <v>44406319.612923577</v>
      </c>
      <c r="AJ97" s="125">
        <f>SUM(TblDetailBudget[[#This Row],[2021 Cost (USD)]:[2025 Cost (USD)]])</f>
        <v>44406319.612923577</v>
      </c>
      <c r="AK97" s="180"/>
    </row>
    <row r="98" spans="2:37" ht="12.75" customHeight="1">
      <c r="B98" s="122" t="s">
        <v>71</v>
      </c>
      <c r="C9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1.2.1.1.1</v>
      </c>
      <c r="D98" s="62">
        <f>IF(TblDetailBudget[[#This Row],[Level]]="", "", COUNTIFS($B$8:TblDetailBudget[[#This Row],[Level]], Lvl1Hdr))</f>
        <v>1</v>
      </c>
      <c r="E98" s="62">
        <f>IF(TblDetailBudget[[#This Row],[Level]]="", "", COUNTIFS($B$8:TblDetailBudget[[#This Row],[Level]], Lvl2Hdr, $D$8:TblDetailBudget[[#This Row],[Lvl 1 Header]], TblDetailBudget[[#This Row],[Lvl 1 Header]]))</f>
        <v>2</v>
      </c>
      <c r="F9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9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9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98" s="96" t="s">
        <v>2417</v>
      </c>
      <c r="J98" s="101"/>
      <c r="K98" s="88"/>
      <c r="L98" s="88"/>
      <c r="M98" s="62" t="str">
        <f>IF(TblDetailBudget[[#This Row],[Level]]=LvlBottomHdr, IFERROR(INDEX(TblUnitCost[Unit], MATCH(TblDetailBudget[[#This Row],[Row Title]], TblUnitCost[Resource], 0)), "Invalid Resource"), "")</f>
        <v>per ITN</v>
      </c>
      <c r="N98" s="125">
        <f>IF(TblDetailBudget[[#This Row],[Level]]=LvlBottomHdr, IFERROR(INDEX(TblUnitCost[LCU], MATCH(TblDetailBudget[[#This Row],[Row Title]], TblUnitCost[Resource], 0)), "Invalid Resource"), "")</f>
        <v>5585</v>
      </c>
      <c r="O98" s="128">
        <f>'States and LGAs'!AZ6</f>
        <v>12721595.591884999</v>
      </c>
      <c r="P98" s="108">
        <v>1</v>
      </c>
      <c r="Q98" s="185">
        <v>1</v>
      </c>
      <c r="R98" s="129">
        <v>1</v>
      </c>
      <c r="S98" s="108"/>
      <c r="T98" s="108"/>
      <c r="U98" s="108"/>
      <c r="V98" s="108"/>
      <c r="W98" s="108">
        <v>1</v>
      </c>
      <c r="X98" s="125">
        <f>IF(TblDetailBudget[[#This Row],[Level]]=LvlBottomHdr, IF(SUM(TblDetailBudget[[#This Row],[2021 Quant]:[2025 Quant]])&gt;0, SUM(TblDetailBudget[[#This Row],[2021 Quant]:[2025 Quant]]), ""), "")</f>
        <v>1</v>
      </c>
      <c r="Y9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9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9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9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9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71050111380.677719</v>
      </c>
      <c r="AD98" s="140">
        <f>SUM(TblDetailBudget[[#This Row],[2021 Cost (LCU)]:[2025 Cost (LCU)]])</f>
        <v>71050111380.677719</v>
      </c>
      <c r="AE98" s="134">
        <f>IFERROR(SUM(TblDetailBudget[[#This Row],[2021 Cost (LCU)]])/FX_Rate, "")</f>
        <v>0</v>
      </c>
      <c r="AF98" s="63">
        <f>IFERROR(SUM(TblDetailBudget[[#This Row],[2022 Cost (LCU)]])/FX_Rate, "")</f>
        <v>0</v>
      </c>
      <c r="AG98" s="63">
        <f>IFERROR(SUM(TblDetailBudget[[#This Row],[2023 Cost (LCU)]])/FX_Rate, "")</f>
        <v>0</v>
      </c>
      <c r="AH98" s="63">
        <f>IFERROR(SUM(TblDetailBudget[[#This Row],[2024 Cost (LCU)]])/FX_Rate, "")</f>
        <v>0</v>
      </c>
      <c r="AI98" s="63">
        <f>IFERROR(SUM(TblDetailBudget[[#This Row],[2025 Cost (LCU)]])/FX_Rate, "")</f>
        <v>44406319.612923577</v>
      </c>
      <c r="AJ98" s="125">
        <f>SUM(TblDetailBudget[[#This Row],[2021 Cost (USD)]:[2025 Cost (USD)]])</f>
        <v>44406319.612923577</v>
      </c>
      <c r="AK98" s="180"/>
    </row>
    <row r="99" spans="2:37" ht="12.75" customHeight="1">
      <c r="B99" s="122" t="s">
        <v>70</v>
      </c>
      <c r="C9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1.2.1.2</v>
      </c>
      <c r="D99" s="62">
        <f>IF(TblDetailBudget[[#This Row],[Level]]="", "", COUNTIFS($B$8:TblDetailBudget[[#This Row],[Level]], Lvl1Hdr))</f>
        <v>1</v>
      </c>
      <c r="E99" s="62">
        <f>IF(TblDetailBudget[[#This Row],[Level]]="", "", COUNTIFS($B$8:TblDetailBudget[[#This Row],[Level]], Lvl2Hdr, $D$8:TblDetailBudget[[#This Row],[Lvl 1 Header]], TblDetailBudget[[#This Row],[Lvl 1 Header]]))</f>
        <v>2</v>
      </c>
      <c r="F9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9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9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99" s="101" t="s">
        <v>2406</v>
      </c>
      <c r="J99" s="101"/>
      <c r="K99" s="88"/>
      <c r="L99" s="88"/>
      <c r="M99" s="62" t="str">
        <f>IF(TblDetailBudget[[#This Row],[Level]]=LvlBottomHdr, IFERROR(INDEX(TblUnitCost[Unit], MATCH(TblDetailBudget[[#This Row],[Row Title]], TblUnitCost[Resource], 0)), "Invalid Resource"), "")</f>
        <v/>
      </c>
      <c r="N99" s="125" t="str">
        <f>IF(TblDetailBudget[[#This Row],[Level]]=LvlBottomHdr, IFERROR(INDEX(TblUnitCost[LCU], MATCH(TblDetailBudget[[#This Row],[Row Title]], TblUnitCost[Resource], 0)), "Invalid Resource"), "")</f>
        <v/>
      </c>
      <c r="O99" s="128"/>
      <c r="P99" s="108"/>
      <c r="Q99" s="185"/>
      <c r="R99" s="129"/>
      <c r="S99" s="108"/>
      <c r="T99" s="108"/>
      <c r="U99" s="108"/>
      <c r="V99" s="108"/>
      <c r="W99" s="108"/>
      <c r="X99" s="125" t="str">
        <f>IF(TblDetailBudget[[#This Row],[Level]]=LvlBottomHdr, IF(SUM(TblDetailBudget[[#This Row],[2021 Quant]:[2025 Quant]])&gt;0, SUM(TblDetailBudget[[#This Row],[2021 Quant]:[2025 Quant]]), ""), "")</f>
        <v/>
      </c>
      <c r="Y99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9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9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9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9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99" s="140">
        <f>SUM(TblDetailBudget[[#This Row],[2021 Cost (LCU)]:[2025 Cost (LCU)]])</f>
        <v>0</v>
      </c>
      <c r="AE99" s="134">
        <f>IFERROR(SUM(TblDetailBudget[[#This Row],[2021 Cost (LCU)]])/FX_Rate, "")</f>
        <v>0</v>
      </c>
      <c r="AF99" s="63">
        <f>IFERROR(SUM(TblDetailBudget[[#This Row],[2022 Cost (LCU)]])/FX_Rate, "")</f>
        <v>0</v>
      </c>
      <c r="AG99" s="63">
        <f>IFERROR(SUM(TblDetailBudget[[#This Row],[2023 Cost (LCU)]])/FX_Rate, "")</f>
        <v>0</v>
      </c>
      <c r="AH99" s="63">
        <f>IFERROR(SUM(TblDetailBudget[[#This Row],[2024 Cost (LCU)]])/FX_Rate, "")</f>
        <v>0</v>
      </c>
      <c r="AI99" s="63">
        <f>IFERROR(SUM(TblDetailBudget[[#This Row],[2025 Cost (LCU)]])/FX_Rate, "")</f>
        <v>0</v>
      </c>
      <c r="AJ99" s="125">
        <f>SUM(TblDetailBudget[[#This Row],[2021 Cost (USD)]:[2025 Cost (USD)]])</f>
        <v>0</v>
      </c>
      <c r="AK99" s="180"/>
    </row>
    <row r="100" spans="2:37" ht="12.75" customHeight="1">
      <c r="B100" s="122" t="s">
        <v>71</v>
      </c>
      <c r="C10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1.2.1.2.1</v>
      </c>
      <c r="D100" s="62">
        <f>IF(TblDetailBudget[[#This Row],[Level]]="", "", COUNTIFS($B$8:TblDetailBudget[[#This Row],[Level]], Lvl1Hdr))</f>
        <v>1</v>
      </c>
      <c r="E100" s="62">
        <f>IF(TblDetailBudget[[#This Row],[Level]]="", "", COUNTIFS($B$8:TblDetailBudget[[#This Row],[Level]], Lvl2Hdr, $D$8:TblDetailBudget[[#This Row],[Lvl 1 Header]], TblDetailBudget[[#This Row],[Lvl 1 Header]]))</f>
        <v>2</v>
      </c>
      <c r="F10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0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0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00" s="101" t="s">
        <v>2373</v>
      </c>
      <c r="J100" s="101"/>
      <c r="K100" s="88"/>
      <c r="L100" s="88"/>
      <c r="M100" s="62" t="str">
        <f>IF(TblDetailBudget[[#This Row],[Level]]=LvlBottomHdr, IFERROR(INDEX(TblUnitCost[Unit], MATCH(TblDetailBudget[[#This Row],[Row Title]], TblUnitCost[Resource], 0)), "Invalid Resource"), "")</f>
        <v>per ITN</v>
      </c>
      <c r="N100" s="125">
        <f>IF(TblDetailBudget[[#This Row],[Level]]=LvlBottomHdr, IFERROR(INDEX(TblUnitCost[LCU], MATCH(TblDetailBudget[[#This Row],[Row Title]], TblUnitCost[Resource], 0)), "Invalid Resource"), "")</f>
        <v>0</v>
      </c>
      <c r="O100" s="128"/>
      <c r="P100" s="108"/>
      <c r="Q100" s="185"/>
      <c r="R100" s="129"/>
      <c r="S100" s="108"/>
      <c r="T100" s="108"/>
      <c r="U100" s="108"/>
      <c r="V100" s="108"/>
      <c r="W100" s="108"/>
      <c r="X100" s="125" t="str">
        <f>IF(TblDetailBudget[[#This Row],[Level]]=LvlBottomHdr, IF(SUM(TblDetailBudget[[#This Row],[2021 Quant]:[2025 Quant]])&gt;0, SUM(TblDetailBudget[[#This Row],[2021 Quant]:[2025 Quant]]), ""), "")</f>
        <v/>
      </c>
      <c r="Y10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0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0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0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0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00" s="140">
        <f>SUM(TblDetailBudget[[#This Row],[2021 Cost (LCU)]:[2025 Cost (LCU)]])</f>
        <v>0</v>
      </c>
      <c r="AE100" s="134">
        <f>IFERROR(SUM(TblDetailBudget[[#This Row],[2021 Cost (LCU)]])/FX_Rate, "")</f>
        <v>0</v>
      </c>
      <c r="AF100" s="63">
        <f>IFERROR(SUM(TblDetailBudget[[#This Row],[2022 Cost (LCU)]])/FX_Rate, "")</f>
        <v>0</v>
      </c>
      <c r="AG100" s="63">
        <f>IFERROR(SUM(TblDetailBudget[[#This Row],[2023 Cost (LCU)]])/FX_Rate, "")</f>
        <v>0</v>
      </c>
      <c r="AH100" s="63">
        <f>IFERROR(SUM(TblDetailBudget[[#This Row],[2024 Cost (LCU)]])/FX_Rate, "")</f>
        <v>0</v>
      </c>
      <c r="AI100" s="63">
        <f>IFERROR(SUM(TblDetailBudget[[#This Row],[2025 Cost (LCU)]])/FX_Rate, "")</f>
        <v>0</v>
      </c>
      <c r="AJ100" s="125">
        <f>SUM(TblDetailBudget[[#This Row],[2021 Cost (USD)]:[2025 Cost (USD)]])</f>
        <v>0</v>
      </c>
      <c r="AK100" s="180"/>
    </row>
    <row r="101" spans="2:37" ht="12.75" hidden="1" customHeight="1">
      <c r="B101" s="122" t="s">
        <v>70</v>
      </c>
      <c r="C10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1.2.1.3</v>
      </c>
      <c r="D101" s="62">
        <f>IF(TblDetailBudget[[#This Row],[Level]]="", "", COUNTIFS($B$8:TblDetailBudget[[#This Row],[Level]], Lvl1Hdr))</f>
        <v>1</v>
      </c>
      <c r="E101" s="62">
        <f>IF(TblDetailBudget[[#This Row],[Level]]="", "", COUNTIFS($B$8:TblDetailBudget[[#This Row],[Level]], Lvl2Hdr, $D$8:TblDetailBudget[[#This Row],[Lvl 1 Header]], TblDetailBudget[[#This Row],[Lvl 1 Header]]))</f>
        <v>2</v>
      </c>
      <c r="F10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0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10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01" s="101"/>
      <c r="J101" s="101"/>
      <c r="K101" s="88"/>
      <c r="L101" s="88"/>
      <c r="M101" s="62" t="str">
        <f>IF(TblDetailBudget[[#This Row],[Level]]=LvlBottomHdr, IFERROR(INDEX(TblUnitCost[Unit], MATCH(TblDetailBudget[[#This Row],[Row Title]], TblUnitCost[Resource], 0)), "Invalid Resource"), "")</f>
        <v/>
      </c>
      <c r="N101" s="125" t="str">
        <f>IF(TblDetailBudget[[#This Row],[Level]]=LvlBottomHdr, IFERROR(INDEX(TblUnitCost[LCU], MATCH(TblDetailBudget[[#This Row],[Row Title]], TblUnitCost[Resource], 0)), "Invalid Resource"), "")</f>
        <v/>
      </c>
      <c r="O101" s="128"/>
      <c r="P101" s="108"/>
      <c r="Q101" s="185"/>
      <c r="R101" s="129"/>
      <c r="S101" s="108"/>
      <c r="T101" s="108"/>
      <c r="U101" s="108"/>
      <c r="V101" s="108"/>
      <c r="W101" s="108"/>
      <c r="X101" s="125" t="str">
        <f>IF(TblDetailBudget[[#This Row],[Level]]=LvlBottomHdr, IF(SUM(TblDetailBudget[[#This Row],[2021 Quant]:[2025 Quant]])&gt;0, SUM(TblDetailBudget[[#This Row],[2021 Quant]:[2025 Quant]]), ""), "")</f>
        <v/>
      </c>
      <c r="Y101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0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0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0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0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01" s="140">
        <f>SUM(TblDetailBudget[[#This Row],[2021 Cost (LCU)]:[2025 Cost (LCU)]])</f>
        <v>0</v>
      </c>
      <c r="AE101" s="134">
        <f>IFERROR(SUM(TblDetailBudget[[#This Row],[2021 Cost (LCU)]])/FX_Rate, "")</f>
        <v>0</v>
      </c>
      <c r="AF101" s="63">
        <f>IFERROR(SUM(TblDetailBudget[[#This Row],[2022 Cost (LCU)]])/FX_Rate, "")</f>
        <v>0</v>
      </c>
      <c r="AG101" s="63">
        <f>IFERROR(SUM(TblDetailBudget[[#This Row],[2023 Cost (LCU)]])/FX_Rate, "")</f>
        <v>0</v>
      </c>
      <c r="AH101" s="63">
        <f>IFERROR(SUM(TblDetailBudget[[#This Row],[2024 Cost (LCU)]])/FX_Rate, "")</f>
        <v>0</v>
      </c>
      <c r="AI101" s="63">
        <f>IFERROR(SUM(TblDetailBudget[[#This Row],[2025 Cost (LCU)]])/FX_Rate, "")</f>
        <v>0</v>
      </c>
      <c r="AJ101" s="125">
        <f>SUM(TblDetailBudget[[#This Row],[2021 Cost (USD)]:[2025 Cost (USD)]])</f>
        <v>0</v>
      </c>
      <c r="AK101" s="180"/>
    </row>
    <row r="102" spans="2:37" ht="12.75" hidden="1" customHeight="1">
      <c r="B102" s="122" t="s">
        <v>70</v>
      </c>
      <c r="C10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1.2.1.4</v>
      </c>
      <c r="D102" s="62">
        <f>IF(TblDetailBudget[[#This Row],[Level]]="", "", COUNTIFS($B$8:TblDetailBudget[[#This Row],[Level]], Lvl1Hdr))</f>
        <v>1</v>
      </c>
      <c r="E102" s="62">
        <f>IF(TblDetailBudget[[#This Row],[Level]]="", "", COUNTIFS($B$8:TblDetailBudget[[#This Row],[Level]], Lvl2Hdr, $D$8:TblDetailBudget[[#This Row],[Lvl 1 Header]], TblDetailBudget[[#This Row],[Lvl 1 Header]]))</f>
        <v>2</v>
      </c>
      <c r="F10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0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10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02" s="101"/>
      <c r="J102" s="101"/>
      <c r="K102" s="88"/>
      <c r="L102" s="88"/>
      <c r="M102" s="62" t="str">
        <f>IF(TblDetailBudget[[#This Row],[Level]]=LvlBottomHdr, IFERROR(INDEX(TblUnitCost[Unit], MATCH(TblDetailBudget[[#This Row],[Row Title]], TblUnitCost[Resource], 0)), "Invalid Resource"), "")</f>
        <v/>
      </c>
      <c r="N102" s="125" t="str">
        <f>IF(TblDetailBudget[[#This Row],[Level]]=LvlBottomHdr, IFERROR(INDEX(TblUnitCost[LCU], MATCH(TblDetailBudget[[#This Row],[Row Title]], TblUnitCost[Resource], 0)), "Invalid Resource"), "")</f>
        <v/>
      </c>
      <c r="O102" s="128"/>
      <c r="P102" s="108"/>
      <c r="Q102" s="185"/>
      <c r="R102" s="129"/>
      <c r="S102" s="108"/>
      <c r="T102" s="108"/>
      <c r="U102" s="108"/>
      <c r="V102" s="108"/>
      <c r="W102" s="108"/>
      <c r="X102" s="125" t="str">
        <f>IF(TblDetailBudget[[#This Row],[Level]]=LvlBottomHdr, IF(SUM(TblDetailBudget[[#This Row],[2021 Quant]:[2025 Quant]])&gt;0, SUM(TblDetailBudget[[#This Row],[2021 Quant]:[2025 Quant]]), ""), "")</f>
        <v/>
      </c>
      <c r="Y10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0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0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0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0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02" s="140">
        <f>SUM(TblDetailBudget[[#This Row],[2021 Cost (LCU)]:[2025 Cost (LCU)]])</f>
        <v>0</v>
      </c>
      <c r="AE102" s="134">
        <f>IFERROR(SUM(TblDetailBudget[[#This Row],[2021 Cost (LCU)]])/FX_Rate, "")</f>
        <v>0</v>
      </c>
      <c r="AF102" s="63">
        <f>IFERROR(SUM(TblDetailBudget[[#This Row],[2022 Cost (LCU)]])/FX_Rate, "")</f>
        <v>0</v>
      </c>
      <c r="AG102" s="63">
        <f>IFERROR(SUM(TblDetailBudget[[#This Row],[2023 Cost (LCU)]])/FX_Rate, "")</f>
        <v>0</v>
      </c>
      <c r="AH102" s="63">
        <f>IFERROR(SUM(TblDetailBudget[[#This Row],[2024 Cost (LCU)]])/FX_Rate, "")</f>
        <v>0</v>
      </c>
      <c r="AI102" s="63">
        <f>IFERROR(SUM(TblDetailBudget[[#This Row],[2025 Cost (LCU)]])/FX_Rate, "")</f>
        <v>0</v>
      </c>
      <c r="AJ102" s="125">
        <f>SUM(TblDetailBudget[[#This Row],[2021 Cost (USD)]:[2025 Cost (USD)]])</f>
        <v>0</v>
      </c>
      <c r="AK102" s="180"/>
    </row>
    <row r="103" spans="2:37" ht="12.75" hidden="1" customHeight="1">
      <c r="B103" s="122" t="s">
        <v>71</v>
      </c>
      <c r="C10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1.2.1.4.1</v>
      </c>
      <c r="D103" s="62">
        <f>IF(TblDetailBudget[[#This Row],[Level]]="", "", COUNTIFS($B$8:TblDetailBudget[[#This Row],[Level]], Lvl1Hdr))</f>
        <v>1</v>
      </c>
      <c r="E103" s="62">
        <f>IF(TblDetailBudget[[#This Row],[Level]]="", "", COUNTIFS($B$8:TblDetailBudget[[#This Row],[Level]], Lvl2Hdr, $D$8:TblDetailBudget[[#This Row],[Lvl 1 Header]], TblDetailBudget[[#This Row],[Lvl 1 Header]]))</f>
        <v>2</v>
      </c>
      <c r="F10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0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10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03" s="101"/>
      <c r="J103" s="101"/>
      <c r="K103" s="88"/>
      <c r="L103" s="88"/>
      <c r="M103" s="62" t="str">
        <f>IF(TblDetailBudget[[#This Row],[Level]]=LvlBottomHdr, IFERROR(INDEX(TblUnitCost[Unit], MATCH(TblDetailBudget[[#This Row],[Row Title]], TblUnitCost[Resource], 0)), "Invalid Resource"), "")</f>
        <v>Invalid Resource</v>
      </c>
      <c r="N103" s="125" t="str">
        <f>IF(TblDetailBudget[[#This Row],[Level]]=LvlBottomHdr, IFERROR(INDEX(TblUnitCost[LCU], MATCH(TblDetailBudget[[#This Row],[Row Title]], TblUnitCost[Resource], 0)), "Invalid Resource"), "")</f>
        <v>Invalid Resource</v>
      </c>
      <c r="O103" s="128"/>
      <c r="P103" s="108"/>
      <c r="Q103" s="185"/>
      <c r="R103" s="129"/>
      <c r="S103" s="108"/>
      <c r="T103" s="108"/>
      <c r="U103" s="108"/>
      <c r="V103" s="108"/>
      <c r="W103" s="108"/>
      <c r="X103" s="125" t="str">
        <f>IF(TblDetailBudget[[#This Row],[Level]]=LvlBottomHdr, IF(SUM(TblDetailBudget[[#This Row],[2021 Quant]:[2025 Quant]])&gt;0, SUM(TblDetailBudget[[#This Row],[2021 Quant]:[2025 Quant]]), ""), "")</f>
        <v/>
      </c>
      <c r="Y103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0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0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0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0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03" s="140">
        <f>SUM(TblDetailBudget[[#This Row],[2021 Cost (LCU)]:[2025 Cost (LCU)]])</f>
        <v>0</v>
      </c>
      <c r="AE103" s="134">
        <f>IFERROR(SUM(TblDetailBudget[[#This Row],[2021 Cost (LCU)]])/FX_Rate, "")</f>
        <v>0</v>
      </c>
      <c r="AF103" s="63">
        <f>IFERROR(SUM(TblDetailBudget[[#This Row],[2022 Cost (LCU)]])/FX_Rate, "")</f>
        <v>0</v>
      </c>
      <c r="AG103" s="63">
        <f>IFERROR(SUM(TblDetailBudget[[#This Row],[2023 Cost (LCU)]])/FX_Rate, "")</f>
        <v>0</v>
      </c>
      <c r="AH103" s="63">
        <f>IFERROR(SUM(TblDetailBudget[[#This Row],[2024 Cost (LCU)]])/FX_Rate, "")</f>
        <v>0</v>
      </c>
      <c r="AI103" s="63">
        <f>IFERROR(SUM(TblDetailBudget[[#This Row],[2025 Cost (LCU)]])/FX_Rate, "")</f>
        <v>0</v>
      </c>
      <c r="AJ103" s="125">
        <f>SUM(TblDetailBudget[[#This Row],[2021 Cost (USD)]:[2025 Cost (USD)]])</f>
        <v>0</v>
      </c>
      <c r="AK103" s="180"/>
    </row>
    <row r="104" spans="2:37" ht="12.75" hidden="1" customHeight="1">
      <c r="B104" s="122" t="s">
        <v>70</v>
      </c>
      <c r="C10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1.2.1.5</v>
      </c>
      <c r="D104" s="62">
        <f>IF(TblDetailBudget[[#This Row],[Level]]="", "", COUNTIFS($B$8:TblDetailBudget[[#This Row],[Level]], Lvl1Hdr))</f>
        <v>1</v>
      </c>
      <c r="E104" s="62">
        <f>IF(TblDetailBudget[[#This Row],[Level]]="", "", COUNTIFS($B$8:TblDetailBudget[[#This Row],[Level]], Lvl2Hdr, $D$8:TblDetailBudget[[#This Row],[Lvl 1 Header]], TblDetailBudget[[#This Row],[Lvl 1 Header]]))</f>
        <v>2</v>
      </c>
      <c r="F10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0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10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04" s="101"/>
      <c r="J104" s="101"/>
      <c r="K104" s="88"/>
      <c r="L104" s="88"/>
      <c r="M104" s="62" t="str">
        <f>IF(TblDetailBudget[[#This Row],[Level]]=LvlBottomHdr, IFERROR(INDEX(TblUnitCost[Unit], MATCH(TblDetailBudget[[#This Row],[Row Title]], TblUnitCost[Resource], 0)), "Invalid Resource"), "")</f>
        <v/>
      </c>
      <c r="N104" s="125" t="str">
        <f>IF(TblDetailBudget[[#This Row],[Level]]=LvlBottomHdr, IFERROR(INDEX(TblUnitCost[LCU], MATCH(TblDetailBudget[[#This Row],[Row Title]], TblUnitCost[Resource], 0)), "Invalid Resource"), "")</f>
        <v/>
      </c>
      <c r="O104" s="128"/>
      <c r="P104" s="108"/>
      <c r="Q104" s="185"/>
      <c r="R104" s="129"/>
      <c r="S104" s="108"/>
      <c r="T104" s="108"/>
      <c r="U104" s="108"/>
      <c r="V104" s="108"/>
      <c r="W104" s="108"/>
      <c r="X104" s="125" t="str">
        <f>IF(TblDetailBudget[[#This Row],[Level]]=LvlBottomHdr, IF(SUM(TblDetailBudget[[#This Row],[2021 Quant]:[2025 Quant]])&gt;0, SUM(TblDetailBudget[[#This Row],[2021 Quant]:[2025 Quant]]), ""), "")</f>
        <v/>
      </c>
      <c r="Y104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0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0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0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0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04" s="140">
        <f>SUM(TblDetailBudget[[#This Row],[2021 Cost (LCU)]:[2025 Cost (LCU)]])</f>
        <v>0</v>
      </c>
      <c r="AE104" s="134">
        <f>IFERROR(SUM(TblDetailBudget[[#This Row],[2021 Cost (LCU)]])/FX_Rate, "")</f>
        <v>0</v>
      </c>
      <c r="AF104" s="63">
        <f>IFERROR(SUM(TblDetailBudget[[#This Row],[2022 Cost (LCU)]])/FX_Rate, "")</f>
        <v>0</v>
      </c>
      <c r="AG104" s="63">
        <f>IFERROR(SUM(TblDetailBudget[[#This Row],[2023 Cost (LCU)]])/FX_Rate, "")</f>
        <v>0</v>
      </c>
      <c r="AH104" s="63">
        <f>IFERROR(SUM(TblDetailBudget[[#This Row],[2024 Cost (LCU)]])/FX_Rate, "")</f>
        <v>0</v>
      </c>
      <c r="AI104" s="63">
        <f>IFERROR(SUM(TblDetailBudget[[#This Row],[2025 Cost (LCU)]])/FX_Rate, "")</f>
        <v>0</v>
      </c>
      <c r="AJ104" s="125">
        <f>SUM(TblDetailBudget[[#This Row],[2021 Cost (USD)]:[2025 Cost (USD)]])</f>
        <v>0</v>
      </c>
      <c r="AK104" s="180"/>
    </row>
    <row r="105" spans="2:37" ht="12.75" hidden="1" customHeight="1">
      <c r="B105" s="122" t="s">
        <v>71</v>
      </c>
      <c r="C10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1.2.1.5.1</v>
      </c>
      <c r="D105" s="62">
        <f>IF(TblDetailBudget[[#This Row],[Level]]="", "", COUNTIFS($B$8:TblDetailBudget[[#This Row],[Level]], Lvl1Hdr))</f>
        <v>1</v>
      </c>
      <c r="E105" s="62">
        <f>IF(TblDetailBudget[[#This Row],[Level]]="", "", COUNTIFS($B$8:TblDetailBudget[[#This Row],[Level]], Lvl2Hdr, $D$8:TblDetailBudget[[#This Row],[Lvl 1 Header]], TblDetailBudget[[#This Row],[Lvl 1 Header]]))</f>
        <v>2</v>
      </c>
      <c r="F10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0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10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05" s="101"/>
      <c r="J105" s="101"/>
      <c r="K105" s="88"/>
      <c r="L105" s="88"/>
      <c r="M105" s="62" t="str">
        <f>IF(TblDetailBudget[[#This Row],[Level]]=LvlBottomHdr, IFERROR(INDEX(TblUnitCost[Unit], MATCH(TblDetailBudget[[#This Row],[Row Title]], TblUnitCost[Resource], 0)), "Invalid Resource"), "")</f>
        <v>Invalid Resource</v>
      </c>
      <c r="N105" s="125" t="str">
        <f>IF(TblDetailBudget[[#This Row],[Level]]=LvlBottomHdr, IFERROR(INDEX(TblUnitCost[LCU], MATCH(TblDetailBudget[[#This Row],[Row Title]], TblUnitCost[Resource], 0)), "Invalid Resource"), "")</f>
        <v>Invalid Resource</v>
      </c>
      <c r="O105" s="128"/>
      <c r="P105" s="108"/>
      <c r="Q105" s="185"/>
      <c r="R105" s="129"/>
      <c r="S105" s="108"/>
      <c r="T105" s="108"/>
      <c r="U105" s="108"/>
      <c r="V105" s="108"/>
      <c r="W105" s="108"/>
      <c r="X105" s="125" t="str">
        <f>IF(TblDetailBudget[[#This Row],[Level]]=LvlBottomHdr, IF(SUM(TblDetailBudget[[#This Row],[2021 Quant]:[2025 Quant]])&gt;0, SUM(TblDetailBudget[[#This Row],[2021 Quant]:[2025 Quant]]), ""), "")</f>
        <v/>
      </c>
      <c r="Y105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0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0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0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0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05" s="140">
        <f>SUM(TblDetailBudget[[#This Row],[2021 Cost (LCU)]:[2025 Cost (LCU)]])</f>
        <v>0</v>
      </c>
      <c r="AE105" s="134">
        <f>IFERROR(SUM(TblDetailBudget[[#This Row],[2021 Cost (LCU)]])/FX_Rate, "")</f>
        <v>0</v>
      </c>
      <c r="AF105" s="63">
        <f>IFERROR(SUM(TblDetailBudget[[#This Row],[2022 Cost (LCU)]])/FX_Rate, "")</f>
        <v>0</v>
      </c>
      <c r="AG105" s="63">
        <f>IFERROR(SUM(TblDetailBudget[[#This Row],[2023 Cost (LCU)]])/FX_Rate, "")</f>
        <v>0</v>
      </c>
      <c r="AH105" s="63">
        <f>IFERROR(SUM(TblDetailBudget[[#This Row],[2024 Cost (LCU)]])/FX_Rate, "")</f>
        <v>0</v>
      </c>
      <c r="AI105" s="63">
        <f>IFERROR(SUM(TblDetailBudget[[#This Row],[2025 Cost (LCU)]])/FX_Rate, "")</f>
        <v>0</v>
      </c>
      <c r="AJ105" s="125">
        <f>SUM(TblDetailBudget[[#This Row],[2021 Cost (USD)]:[2025 Cost (USD)]])</f>
        <v>0</v>
      </c>
      <c r="AK105" s="180"/>
    </row>
    <row r="106" spans="2:37" ht="12.75" hidden="1" customHeight="1">
      <c r="B106" s="122" t="s">
        <v>69</v>
      </c>
      <c r="C10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1.2.2</v>
      </c>
      <c r="D106" s="62">
        <f>IF(TblDetailBudget[[#This Row],[Level]]="", "", COUNTIFS($B$8:TblDetailBudget[[#This Row],[Level]], Lvl1Hdr))</f>
        <v>1</v>
      </c>
      <c r="E106" s="62">
        <f>IF(TblDetailBudget[[#This Row],[Level]]="", "", COUNTIFS($B$8:TblDetailBudget[[#This Row],[Level]], Lvl2Hdr, $D$8:TblDetailBudget[[#This Row],[Lvl 1 Header]], TblDetailBudget[[#This Row],[Lvl 1 Header]]))</f>
        <v>2</v>
      </c>
      <c r="F10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10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0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06" s="188" t="s">
        <v>171</v>
      </c>
      <c r="J106" s="101"/>
      <c r="K106" s="88"/>
      <c r="L106" s="88"/>
      <c r="M106" s="62" t="str">
        <f>IF(TblDetailBudget[[#This Row],[Level]]=LvlBottomHdr, IFERROR(INDEX(TblUnitCost[Unit], MATCH(TblDetailBudget[[#This Row],[Row Title]], TblUnitCost[Resource], 0)), "Invalid Resource"), "")</f>
        <v/>
      </c>
      <c r="N106" s="125" t="str">
        <f>IF(TblDetailBudget[[#This Row],[Level]]=LvlBottomHdr, IFERROR(INDEX(TblUnitCost[LCU], MATCH(TblDetailBudget[[#This Row],[Row Title]], TblUnitCost[Resource], 0)), "Invalid Resource"), "")</f>
        <v/>
      </c>
      <c r="O106" s="128"/>
      <c r="P106" s="108"/>
      <c r="Q106" s="185"/>
      <c r="R106" s="129"/>
      <c r="S106" s="108"/>
      <c r="T106" s="108"/>
      <c r="U106" s="108"/>
      <c r="V106" s="108"/>
      <c r="W106" s="108"/>
      <c r="X106" s="125" t="str">
        <f>IF(TblDetailBudget[[#This Row],[Level]]=LvlBottomHdr, IF(SUM(TblDetailBudget[[#This Row],[2021 Quant]:[2025 Quant]])&gt;0, SUM(TblDetailBudget[[#This Row],[2021 Quant]:[2025 Quant]]), ""), "")</f>
        <v/>
      </c>
      <c r="Y10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0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0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0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0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06" s="140">
        <f>SUM(TblDetailBudget[[#This Row],[2021 Cost (LCU)]:[2025 Cost (LCU)]])</f>
        <v>0</v>
      </c>
      <c r="AE106" s="134">
        <f>IFERROR(SUM(TblDetailBudget[[#This Row],[2021 Cost (LCU)]])/FX_Rate, "")</f>
        <v>0</v>
      </c>
      <c r="AF106" s="63">
        <f>IFERROR(SUM(TblDetailBudget[[#This Row],[2022 Cost (LCU)]])/FX_Rate, "")</f>
        <v>0</v>
      </c>
      <c r="AG106" s="63">
        <f>IFERROR(SUM(TblDetailBudget[[#This Row],[2023 Cost (LCU)]])/FX_Rate, "")</f>
        <v>0</v>
      </c>
      <c r="AH106" s="63">
        <f>IFERROR(SUM(TblDetailBudget[[#This Row],[2024 Cost (LCU)]])/FX_Rate, "")</f>
        <v>0</v>
      </c>
      <c r="AI106" s="63">
        <f>IFERROR(SUM(TblDetailBudget[[#This Row],[2025 Cost (LCU)]])/FX_Rate, "")</f>
        <v>0</v>
      </c>
      <c r="AJ106" s="125">
        <f>SUM(TblDetailBudget[[#This Row],[2021 Cost (USD)]:[2025 Cost (USD)]])</f>
        <v>0</v>
      </c>
      <c r="AK106" s="180"/>
    </row>
    <row r="107" spans="2:37" ht="12.75" hidden="1" customHeight="1">
      <c r="B107" s="122" t="s">
        <v>70</v>
      </c>
      <c r="C10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1.2.2.1</v>
      </c>
      <c r="D107" s="62">
        <f>IF(TblDetailBudget[[#This Row],[Level]]="", "", COUNTIFS($B$8:TblDetailBudget[[#This Row],[Level]], Lvl1Hdr))</f>
        <v>1</v>
      </c>
      <c r="E107" s="62">
        <f>IF(TblDetailBudget[[#This Row],[Level]]="", "", COUNTIFS($B$8:TblDetailBudget[[#This Row],[Level]], Lvl2Hdr, $D$8:TblDetailBudget[[#This Row],[Lvl 1 Header]], TblDetailBudget[[#This Row],[Lvl 1 Header]]))</f>
        <v>2</v>
      </c>
      <c r="F10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10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0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07" s="189" t="s">
        <v>173</v>
      </c>
      <c r="J107" s="101"/>
      <c r="K107" s="88"/>
      <c r="L107" s="88"/>
      <c r="M107" s="62" t="str">
        <f>IF(TblDetailBudget[[#This Row],[Level]]=LvlBottomHdr, IFERROR(INDEX(TblUnitCost[Unit], MATCH(TblDetailBudget[[#This Row],[Row Title]], TblUnitCost[Resource], 0)), "Invalid Resource"), "")</f>
        <v/>
      </c>
      <c r="N107" s="125" t="str">
        <f>IF(TblDetailBudget[[#This Row],[Level]]=LvlBottomHdr, IFERROR(INDEX(TblUnitCost[LCU], MATCH(TblDetailBudget[[#This Row],[Row Title]], TblUnitCost[Resource], 0)), "Invalid Resource"), "")</f>
        <v/>
      </c>
      <c r="O107" s="128"/>
      <c r="P107" s="108"/>
      <c r="Q107" s="185"/>
      <c r="R107" s="129"/>
      <c r="S107" s="108"/>
      <c r="T107" s="108"/>
      <c r="U107" s="108"/>
      <c r="V107" s="108"/>
      <c r="W107" s="108"/>
      <c r="X107" s="125" t="str">
        <f>IF(TblDetailBudget[[#This Row],[Level]]=LvlBottomHdr, IF(SUM(TblDetailBudget[[#This Row],[2021 Quant]:[2025 Quant]])&gt;0, SUM(TblDetailBudget[[#This Row],[2021 Quant]:[2025 Quant]]), ""), "")</f>
        <v/>
      </c>
      <c r="Y10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0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0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0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0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07" s="140">
        <f>SUM(TblDetailBudget[[#This Row],[2021 Cost (LCU)]:[2025 Cost (LCU)]])</f>
        <v>0</v>
      </c>
      <c r="AE107" s="134">
        <f>IFERROR(SUM(TblDetailBudget[[#This Row],[2021 Cost (LCU)]])/FX_Rate, "")</f>
        <v>0</v>
      </c>
      <c r="AF107" s="63">
        <f>IFERROR(SUM(TblDetailBudget[[#This Row],[2022 Cost (LCU)]])/FX_Rate, "")</f>
        <v>0</v>
      </c>
      <c r="AG107" s="63">
        <f>IFERROR(SUM(TblDetailBudget[[#This Row],[2023 Cost (LCU)]])/FX_Rate, "")</f>
        <v>0</v>
      </c>
      <c r="AH107" s="63">
        <f>IFERROR(SUM(TblDetailBudget[[#This Row],[2024 Cost (LCU)]])/FX_Rate, "")</f>
        <v>0</v>
      </c>
      <c r="AI107" s="63">
        <f>IFERROR(SUM(TblDetailBudget[[#This Row],[2025 Cost (LCU)]])/FX_Rate, "")</f>
        <v>0</v>
      </c>
      <c r="AJ107" s="125">
        <f>SUM(TblDetailBudget[[#This Row],[2021 Cost (USD)]:[2025 Cost (USD)]])</f>
        <v>0</v>
      </c>
      <c r="AK107" s="180"/>
    </row>
    <row r="108" spans="2:37" ht="12.75" hidden="1" customHeight="1">
      <c r="B108" s="122" t="s">
        <v>71</v>
      </c>
      <c r="C10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1.2.2.1.1</v>
      </c>
      <c r="D108" s="62">
        <f>IF(TblDetailBudget[[#This Row],[Level]]="", "", COUNTIFS($B$8:TblDetailBudget[[#This Row],[Level]], Lvl1Hdr))</f>
        <v>1</v>
      </c>
      <c r="E108" s="62">
        <f>IF(TblDetailBudget[[#This Row],[Level]]="", "", COUNTIFS($B$8:TblDetailBudget[[#This Row],[Level]], Lvl2Hdr, $D$8:TblDetailBudget[[#This Row],[Lvl 1 Header]], TblDetailBudget[[#This Row],[Lvl 1 Header]]))</f>
        <v>2</v>
      </c>
      <c r="F10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10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0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08" s="101" t="s">
        <v>144</v>
      </c>
      <c r="J108" s="101"/>
      <c r="K108" s="88"/>
      <c r="L108" s="88"/>
      <c r="M108" s="62" t="str">
        <f>IF(TblDetailBudget[[#This Row],[Level]]=LvlBottomHdr, IFERROR(INDEX(TblUnitCost[Unit], MATCH(TblDetailBudget[[#This Row],[Row Title]], TblUnitCost[Resource], 0)), "Invalid Resource"), "")</f>
        <v>Invalid Resource</v>
      </c>
      <c r="N108" s="125" t="str">
        <f>IF(TblDetailBudget[[#This Row],[Level]]=LvlBottomHdr, IFERROR(INDEX(TblUnitCost[LCU], MATCH(TblDetailBudget[[#This Row],[Row Title]], TblUnitCost[Resource], 0)), "Invalid Resource"), "")</f>
        <v>Invalid Resource</v>
      </c>
      <c r="O108" s="128"/>
      <c r="P108" s="108"/>
      <c r="Q108" s="185"/>
      <c r="R108" s="129"/>
      <c r="S108" s="108"/>
      <c r="T108" s="108"/>
      <c r="U108" s="108"/>
      <c r="V108" s="108"/>
      <c r="W108" s="108"/>
      <c r="X108" s="125" t="str">
        <f>IF(TblDetailBudget[[#This Row],[Level]]=LvlBottomHdr, IF(SUM(TblDetailBudget[[#This Row],[2021 Quant]:[2025 Quant]])&gt;0, SUM(TblDetailBudget[[#This Row],[2021 Quant]:[2025 Quant]]), ""), "")</f>
        <v/>
      </c>
      <c r="Y108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0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0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0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0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08" s="140">
        <f>SUM(TblDetailBudget[[#This Row],[2021 Cost (LCU)]:[2025 Cost (LCU)]])</f>
        <v>0</v>
      </c>
      <c r="AE108" s="134">
        <f>IFERROR(SUM(TblDetailBudget[[#This Row],[2021 Cost (LCU)]])/FX_Rate, "")</f>
        <v>0</v>
      </c>
      <c r="AF108" s="63">
        <f>IFERROR(SUM(TblDetailBudget[[#This Row],[2022 Cost (LCU)]])/FX_Rate, "")</f>
        <v>0</v>
      </c>
      <c r="AG108" s="63">
        <f>IFERROR(SUM(TblDetailBudget[[#This Row],[2023 Cost (LCU)]])/FX_Rate, "")</f>
        <v>0</v>
      </c>
      <c r="AH108" s="63">
        <f>IFERROR(SUM(TblDetailBudget[[#This Row],[2024 Cost (LCU)]])/FX_Rate, "")</f>
        <v>0</v>
      </c>
      <c r="AI108" s="63">
        <f>IFERROR(SUM(TblDetailBudget[[#This Row],[2025 Cost (LCU)]])/FX_Rate, "")</f>
        <v>0</v>
      </c>
      <c r="AJ108" s="125">
        <f>SUM(TblDetailBudget[[#This Row],[2021 Cost (USD)]:[2025 Cost (USD)]])</f>
        <v>0</v>
      </c>
      <c r="AK108" s="180"/>
    </row>
    <row r="109" spans="2:37" ht="12.75" hidden="1" customHeight="1">
      <c r="B109" s="122" t="s">
        <v>70</v>
      </c>
      <c r="C10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1.2.2.2</v>
      </c>
      <c r="D109" s="62">
        <f>IF(TblDetailBudget[[#This Row],[Level]]="", "", COUNTIFS($B$8:TblDetailBudget[[#This Row],[Level]], Lvl1Hdr))</f>
        <v>1</v>
      </c>
      <c r="E109" s="62">
        <f>IF(TblDetailBudget[[#This Row],[Level]]="", "", COUNTIFS($B$8:TblDetailBudget[[#This Row],[Level]], Lvl2Hdr, $D$8:TblDetailBudget[[#This Row],[Lvl 1 Header]], TblDetailBudget[[#This Row],[Lvl 1 Header]]))</f>
        <v>2</v>
      </c>
      <c r="F10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10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0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09" s="189" t="s">
        <v>172</v>
      </c>
      <c r="J109" s="101"/>
      <c r="K109" s="88"/>
      <c r="L109" s="88"/>
      <c r="M109" s="62" t="str">
        <f>IF(TblDetailBudget[[#This Row],[Level]]=LvlBottomHdr, IFERROR(INDEX(TblUnitCost[Unit], MATCH(TblDetailBudget[[#This Row],[Row Title]], TblUnitCost[Resource], 0)), "Invalid Resource"), "")</f>
        <v/>
      </c>
      <c r="N109" s="125" t="str">
        <f>IF(TblDetailBudget[[#This Row],[Level]]=LvlBottomHdr, IFERROR(INDEX(TblUnitCost[LCU], MATCH(TblDetailBudget[[#This Row],[Row Title]], TblUnitCost[Resource], 0)), "Invalid Resource"), "")</f>
        <v/>
      </c>
      <c r="O109" s="128"/>
      <c r="P109" s="108"/>
      <c r="Q109" s="185"/>
      <c r="R109" s="129"/>
      <c r="S109" s="108"/>
      <c r="T109" s="108"/>
      <c r="U109" s="108"/>
      <c r="V109" s="108"/>
      <c r="W109" s="108"/>
      <c r="X109" s="125" t="str">
        <f>IF(TblDetailBudget[[#This Row],[Level]]=LvlBottomHdr, IF(SUM(TblDetailBudget[[#This Row],[2021 Quant]:[2025 Quant]])&gt;0, SUM(TblDetailBudget[[#This Row],[2021 Quant]:[2025 Quant]]), ""), "")</f>
        <v/>
      </c>
      <c r="Y109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0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0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0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0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09" s="140">
        <f>SUM(TblDetailBudget[[#This Row],[2021 Cost (LCU)]:[2025 Cost (LCU)]])</f>
        <v>0</v>
      </c>
      <c r="AE109" s="134">
        <f>IFERROR(SUM(TblDetailBudget[[#This Row],[2021 Cost (LCU)]])/FX_Rate, "")</f>
        <v>0</v>
      </c>
      <c r="AF109" s="63">
        <f>IFERROR(SUM(TblDetailBudget[[#This Row],[2022 Cost (LCU)]])/FX_Rate, "")</f>
        <v>0</v>
      </c>
      <c r="AG109" s="63">
        <f>IFERROR(SUM(TblDetailBudget[[#This Row],[2023 Cost (LCU)]])/FX_Rate, "")</f>
        <v>0</v>
      </c>
      <c r="AH109" s="63">
        <f>IFERROR(SUM(TblDetailBudget[[#This Row],[2024 Cost (LCU)]])/FX_Rate, "")</f>
        <v>0</v>
      </c>
      <c r="AI109" s="63">
        <f>IFERROR(SUM(TblDetailBudget[[#This Row],[2025 Cost (LCU)]])/FX_Rate, "")</f>
        <v>0</v>
      </c>
      <c r="AJ109" s="125">
        <f>SUM(TblDetailBudget[[#This Row],[2021 Cost (USD)]:[2025 Cost (USD)]])</f>
        <v>0</v>
      </c>
      <c r="AK109" s="180"/>
    </row>
    <row r="110" spans="2:37" ht="12.75" hidden="1" customHeight="1">
      <c r="B110" s="122" t="s">
        <v>71</v>
      </c>
      <c r="C11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1.2.2.2.1</v>
      </c>
      <c r="D110" s="62">
        <f>IF(TblDetailBudget[[#This Row],[Level]]="", "", COUNTIFS($B$8:TblDetailBudget[[#This Row],[Level]], Lvl1Hdr))</f>
        <v>1</v>
      </c>
      <c r="E110" s="62">
        <f>IF(TblDetailBudget[[#This Row],[Level]]="", "", COUNTIFS($B$8:TblDetailBudget[[#This Row],[Level]], Lvl2Hdr, $D$8:TblDetailBudget[[#This Row],[Lvl 1 Header]], TblDetailBudget[[#This Row],[Lvl 1 Header]]))</f>
        <v>2</v>
      </c>
      <c r="F11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11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1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10" s="101" t="s">
        <v>144</v>
      </c>
      <c r="J110" s="101"/>
      <c r="K110" s="88"/>
      <c r="L110" s="88"/>
      <c r="M110" s="62" t="str">
        <f>IF(TblDetailBudget[[#This Row],[Level]]=LvlBottomHdr, IFERROR(INDEX(TblUnitCost[Unit], MATCH(TblDetailBudget[[#This Row],[Row Title]], TblUnitCost[Resource], 0)), "Invalid Resource"), "")</f>
        <v>Invalid Resource</v>
      </c>
      <c r="N110" s="125" t="str">
        <f>IF(TblDetailBudget[[#This Row],[Level]]=LvlBottomHdr, IFERROR(INDEX(TblUnitCost[LCU], MATCH(TblDetailBudget[[#This Row],[Row Title]], TblUnitCost[Resource], 0)), "Invalid Resource"), "")</f>
        <v>Invalid Resource</v>
      </c>
      <c r="O110" s="128"/>
      <c r="P110" s="108"/>
      <c r="Q110" s="185"/>
      <c r="R110" s="129"/>
      <c r="S110" s="108"/>
      <c r="T110" s="108"/>
      <c r="U110" s="108"/>
      <c r="V110" s="108"/>
      <c r="W110" s="108"/>
      <c r="X110" s="125" t="str">
        <f>IF(TblDetailBudget[[#This Row],[Level]]=LvlBottomHdr, IF(SUM(TblDetailBudget[[#This Row],[2021 Quant]:[2025 Quant]])&gt;0, SUM(TblDetailBudget[[#This Row],[2021 Quant]:[2025 Quant]]), ""), "")</f>
        <v/>
      </c>
      <c r="Y110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1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1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1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1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10" s="140">
        <f>SUM(TblDetailBudget[[#This Row],[2021 Cost (LCU)]:[2025 Cost (LCU)]])</f>
        <v>0</v>
      </c>
      <c r="AE110" s="134">
        <f>IFERROR(SUM(TblDetailBudget[[#This Row],[2021 Cost (LCU)]])/FX_Rate, "")</f>
        <v>0</v>
      </c>
      <c r="AF110" s="63">
        <f>IFERROR(SUM(TblDetailBudget[[#This Row],[2022 Cost (LCU)]])/FX_Rate, "")</f>
        <v>0</v>
      </c>
      <c r="AG110" s="63">
        <f>IFERROR(SUM(TblDetailBudget[[#This Row],[2023 Cost (LCU)]])/FX_Rate, "")</f>
        <v>0</v>
      </c>
      <c r="AH110" s="63">
        <f>IFERROR(SUM(TblDetailBudget[[#This Row],[2024 Cost (LCU)]])/FX_Rate, "")</f>
        <v>0</v>
      </c>
      <c r="AI110" s="63">
        <f>IFERROR(SUM(TblDetailBudget[[#This Row],[2025 Cost (LCU)]])/FX_Rate, "")</f>
        <v>0</v>
      </c>
      <c r="AJ110" s="125">
        <f>SUM(TblDetailBudget[[#This Row],[2021 Cost (USD)]:[2025 Cost (USD)]])</f>
        <v>0</v>
      </c>
      <c r="AK110" s="180"/>
    </row>
    <row r="111" spans="2:37" ht="12.75" hidden="1" customHeight="1">
      <c r="B111" s="122" t="s">
        <v>70</v>
      </c>
      <c r="C11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1.2.2.3</v>
      </c>
      <c r="D111" s="62">
        <f>IF(TblDetailBudget[[#This Row],[Level]]="", "", COUNTIFS($B$8:TblDetailBudget[[#This Row],[Level]], Lvl1Hdr))</f>
        <v>1</v>
      </c>
      <c r="E111" s="62">
        <f>IF(TblDetailBudget[[#This Row],[Level]]="", "", COUNTIFS($B$8:TblDetailBudget[[#This Row],[Level]], Lvl2Hdr, $D$8:TblDetailBudget[[#This Row],[Lvl 1 Header]], TblDetailBudget[[#This Row],[Lvl 1 Header]]))</f>
        <v>2</v>
      </c>
      <c r="F11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11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11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11" s="164"/>
      <c r="J111" s="101"/>
      <c r="K111" s="88"/>
      <c r="L111" s="88"/>
      <c r="M111" s="62" t="str">
        <f>IF(TblDetailBudget[[#This Row],[Level]]=LvlBottomHdr, IFERROR(INDEX(TblUnitCost[Unit], MATCH(TblDetailBudget[[#This Row],[Row Title]], TblUnitCost[Resource], 0)), "Invalid Resource"), "")</f>
        <v/>
      </c>
      <c r="N111" s="125" t="str">
        <f>IF(TblDetailBudget[[#This Row],[Level]]=LvlBottomHdr, IFERROR(INDEX(TblUnitCost[LCU], MATCH(TblDetailBudget[[#This Row],[Row Title]], TblUnitCost[Resource], 0)), "Invalid Resource"), "")</f>
        <v/>
      </c>
      <c r="O111" s="128"/>
      <c r="P111" s="108"/>
      <c r="Q111" s="185"/>
      <c r="R111" s="129"/>
      <c r="S111" s="108"/>
      <c r="T111" s="108"/>
      <c r="U111" s="108"/>
      <c r="V111" s="108"/>
      <c r="W111" s="108"/>
      <c r="X111" s="125" t="str">
        <f>IF(TblDetailBudget[[#This Row],[Level]]=LvlBottomHdr, IF(SUM(TblDetailBudget[[#This Row],[2021 Quant]:[2025 Quant]])&gt;0, SUM(TblDetailBudget[[#This Row],[2021 Quant]:[2025 Quant]]), ""), "")</f>
        <v/>
      </c>
      <c r="Y111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1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1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1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1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11" s="140">
        <f>SUM(TblDetailBudget[[#This Row],[2021 Cost (LCU)]:[2025 Cost (LCU)]])</f>
        <v>0</v>
      </c>
      <c r="AE111" s="134">
        <f>IFERROR(SUM(TblDetailBudget[[#This Row],[2021 Cost (LCU)]])/FX_Rate, "")</f>
        <v>0</v>
      </c>
      <c r="AF111" s="63">
        <f>IFERROR(SUM(TblDetailBudget[[#This Row],[2022 Cost (LCU)]])/FX_Rate, "")</f>
        <v>0</v>
      </c>
      <c r="AG111" s="63">
        <f>IFERROR(SUM(TblDetailBudget[[#This Row],[2023 Cost (LCU)]])/FX_Rate, "")</f>
        <v>0</v>
      </c>
      <c r="AH111" s="63">
        <f>IFERROR(SUM(TblDetailBudget[[#This Row],[2024 Cost (LCU)]])/FX_Rate, "")</f>
        <v>0</v>
      </c>
      <c r="AI111" s="63">
        <f>IFERROR(SUM(TblDetailBudget[[#This Row],[2025 Cost (LCU)]])/FX_Rate, "")</f>
        <v>0</v>
      </c>
      <c r="AJ111" s="125">
        <f>SUM(TblDetailBudget[[#This Row],[2021 Cost (USD)]:[2025 Cost (USD)]])</f>
        <v>0</v>
      </c>
      <c r="AK111" s="180"/>
    </row>
    <row r="112" spans="2:37" ht="12.75" hidden="1" customHeight="1">
      <c r="B112" s="122" t="s">
        <v>70</v>
      </c>
      <c r="C11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1.2.2.4</v>
      </c>
      <c r="D112" s="62">
        <f>IF(TblDetailBudget[[#This Row],[Level]]="", "", COUNTIFS($B$8:TblDetailBudget[[#This Row],[Level]], Lvl1Hdr))</f>
        <v>1</v>
      </c>
      <c r="E112" s="62">
        <f>IF(TblDetailBudget[[#This Row],[Level]]="", "", COUNTIFS($B$8:TblDetailBudget[[#This Row],[Level]], Lvl2Hdr, $D$8:TblDetailBudget[[#This Row],[Lvl 1 Header]], TblDetailBudget[[#This Row],[Lvl 1 Header]]))</f>
        <v>2</v>
      </c>
      <c r="F11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11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11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12" s="101"/>
      <c r="J112" s="101"/>
      <c r="K112" s="88"/>
      <c r="L112" s="88"/>
      <c r="M112" s="62" t="str">
        <f>IF(TblDetailBudget[[#This Row],[Level]]=LvlBottomHdr, IFERROR(INDEX(TblUnitCost[Unit], MATCH(TblDetailBudget[[#This Row],[Row Title]], TblUnitCost[Resource], 0)), "Invalid Resource"), "")</f>
        <v/>
      </c>
      <c r="N112" s="125" t="str">
        <f>IF(TblDetailBudget[[#This Row],[Level]]=LvlBottomHdr, IFERROR(INDEX(TblUnitCost[LCU], MATCH(TblDetailBudget[[#This Row],[Row Title]], TblUnitCost[Resource], 0)), "Invalid Resource"), "")</f>
        <v/>
      </c>
      <c r="O112" s="128"/>
      <c r="P112" s="108"/>
      <c r="Q112" s="185"/>
      <c r="R112" s="129"/>
      <c r="S112" s="108"/>
      <c r="T112" s="108"/>
      <c r="U112" s="108"/>
      <c r="V112" s="108"/>
      <c r="W112" s="108"/>
      <c r="X112" s="125" t="str">
        <f>IF(TblDetailBudget[[#This Row],[Level]]=LvlBottomHdr, IF(SUM(TblDetailBudget[[#This Row],[2021 Quant]:[2025 Quant]])&gt;0, SUM(TblDetailBudget[[#This Row],[2021 Quant]:[2025 Quant]]), ""), "")</f>
        <v/>
      </c>
      <c r="Y11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1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1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1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1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12" s="140">
        <f>SUM(TblDetailBudget[[#This Row],[2021 Cost (LCU)]:[2025 Cost (LCU)]])</f>
        <v>0</v>
      </c>
      <c r="AE112" s="134">
        <f>IFERROR(SUM(TblDetailBudget[[#This Row],[2021 Cost (LCU)]])/FX_Rate, "")</f>
        <v>0</v>
      </c>
      <c r="AF112" s="63">
        <f>IFERROR(SUM(TblDetailBudget[[#This Row],[2022 Cost (LCU)]])/FX_Rate, "")</f>
        <v>0</v>
      </c>
      <c r="AG112" s="63">
        <f>IFERROR(SUM(TblDetailBudget[[#This Row],[2023 Cost (LCU)]])/FX_Rate, "")</f>
        <v>0</v>
      </c>
      <c r="AH112" s="63">
        <f>IFERROR(SUM(TblDetailBudget[[#This Row],[2024 Cost (LCU)]])/FX_Rate, "")</f>
        <v>0</v>
      </c>
      <c r="AI112" s="63">
        <f>IFERROR(SUM(TblDetailBudget[[#This Row],[2025 Cost (LCU)]])/FX_Rate, "")</f>
        <v>0</v>
      </c>
      <c r="AJ112" s="125">
        <f>SUM(TblDetailBudget[[#This Row],[2021 Cost (USD)]:[2025 Cost (USD)]])</f>
        <v>0</v>
      </c>
      <c r="AK112" s="180"/>
    </row>
    <row r="113" spans="2:37" ht="12.75" hidden="1" customHeight="1">
      <c r="B113" s="122" t="s">
        <v>70</v>
      </c>
      <c r="C11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1.2.2.5</v>
      </c>
      <c r="D113" s="62">
        <f>IF(TblDetailBudget[[#This Row],[Level]]="", "", COUNTIFS($B$8:TblDetailBudget[[#This Row],[Level]], Lvl1Hdr))</f>
        <v>1</v>
      </c>
      <c r="E113" s="62">
        <f>IF(TblDetailBudget[[#This Row],[Level]]="", "", COUNTIFS($B$8:TblDetailBudget[[#This Row],[Level]], Lvl2Hdr, $D$8:TblDetailBudget[[#This Row],[Lvl 1 Header]], TblDetailBudget[[#This Row],[Lvl 1 Header]]))</f>
        <v>2</v>
      </c>
      <c r="F11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11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11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13" s="101"/>
      <c r="J113" s="101"/>
      <c r="K113" s="88"/>
      <c r="L113" s="88"/>
      <c r="M113" s="62" t="str">
        <f>IF(TblDetailBudget[[#This Row],[Level]]=LvlBottomHdr, IFERROR(INDEX(TblUnitCost[Unit], MATCH(TblDetailBudget[[#This Row],[Row Title]], TblUnitCost[Resource], 0)), "Invalid Resource"), "")</f>
        <v/>
      </c>
      <c r="N113" s="125" t="str">
        <f>IF(TblDetailBudget[[#This Row],[Level]]=LvlBottomHdr, IFERROR(INDEX(TblUnitCost[LCU], MATCH(TblDetailBudget[[#This Row],[Row Title]], TblUnitCost[Resource], 0)), "Invalid Resource"), "")</f>
        <v/>
      </c>
      <c r="O113" s="128"/>
      <c r="P113" s="108"/>
      <c r="Q113" s="185"/>
      <c r="R113" s="129"/>
      <c r="S113" s="108"/>
      <c r="T113" s="108"/>
      <c r="U113" s="108"/>
      <c r="V113" s="108"/>
      <c r="W113" s="108"/>
      <c r="X113" s="125" t="str">
        <f>IF(TblDetailBudget[[#This Row],[Level]]=LvlBottomHdr, IF(SUM(TblDetailBudget[[#This Row],[2021 Quant]:[2025 Quant]])&gt;0, SUM(TblDetailBudget[[#This Row],[2021 Quant]:[2025 Quant]]), ""), "")</f>
        <v/>
      </c>
      <c r="Y113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1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1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1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1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13" s="140">
        <f>SUM(TblDetailBudget[[#This Row],[2021 Cost (LCU)]:[2025 Cost (LCU)]])</f>
        <v>0</v>
      </c>
      <c r="AE113" s="134">
        <f>IFERROR(SUM(TblDetailBudget[[#This Row],[2021 Cost (LCU)]])/FX_Rate, "")</f>
        <v>0</v>
      </c>
      <c r="AF113" s="63">
        <f>IFERROR(SUM(TblDetailBudget[[#This Row],[2022 Cost (LCU)]])/FX_Rate, "")</f>
        <v>0</v>
      </c>
      <c r="AG113" s="63">
        <f>IFERROR(SUM(TblDetailBudget[[#This Row],[2023 Cost (LCU)]])/FX_Rate, "")</f>
        <v>0</v>
      </c>
      <c r="AH113" s="63">
        <f>IFERROR(SUM(TblDetailBudget[[#This Row],[2024 Cost (LCU)]])/FX_Rate, "")</f>
        <v>0</v>
      </c>
      <c r="AI113" s="63">
        <f>IFERROR(SUM(TblDetailBudget[[#This Row],[2025 Cost (LCU)]])/FX_Rate, "")</f>
        <v>0</v>
      </c>
      <c r="AJ113" s="125">
        <f>SUM(TblDetailBudget[[#This Row],[2021 Cost (USD)]:[2025 Cost (USD)]])</f>
        <v>0</v>
      </c>
      <c r="AK113" s="180"/>
    </row>
    <row r="114" spans="2:37" ht="12.75" hidden="1" customHeight="1">
      <c r="B114" s="122" t="s">
        <v>69</v>
      </c>
      <c r="C11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</v>
      </c>
      <c r="D114" s="62">
        <f>IF(TblDetailBudget[[#This Row],[Level]]="", "", COUNTIFS($B$8:TblDetailBudget[[#This Row],[Level]], Lvl1Hdr))</f>
        <v>1</v>
      </c>
      <c r="E114" s="62">
        <f>IF(TblDetailBudget[[#This Row],[Level]]="", "", COUNTIFS($B$8:TblDetailBudget[[#This Row],[Level]], Lvl2Hdr, $D$8:TblDetailBudget[[#This Row],[Lvl 1 Header]], TblDetailBudget[[#This Row],[Lvl 1 Header]]))</f>
        <v>2</v>
      </c>
      <c r="F11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1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1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14" s="101"/>
      <c r="J114" s="101"/>
      <c r="K114" s="88"/>
      <c r="L114" s="88"/>
      <c r="M114" s="62" t="str">
        <f>IF(TblDetailBudget[[#This Row],[Level]]=LvlBottomHdr, IFERROR(INDEX(TblUnitCost[Unit], MATCH(TblDetailBudget[[#This Row],[Row Title]], TblUnitCost[Resource], 0)), "Invalid Resource"), "")</f>
        <v/>
      </c>
      <c r="N114" s="125" t="str">
        <f>IF(TblDetailBudget[[#This Row],[Level]]=LvlBottomHdr, IFERROR(INDEX(TblUnitCost[LCU], MATCH(TblDetailBudget[[#This Row],[Row Title]], TblUnitCost[Resource], 0)), "Invalid Resource"), "")</f>
        <v/>
      </c>
      <c r="O114" s="128"/>
      <c r="P114" s="108"/>
      <c r="Q114" s="185"/>
      <c r="R114" s="129"/>
      <c r="S114" s="108"/>
      <c r="T114" s="108"/>
      <c r="U114" s="108"/>
      <c r="V114" s="108"/>
      <c r="W114" s="108"/>
      <c r="X114" s="125" t="str">
        <f>IF(TblDetailBudget[[#This Row],[Level]]=LvlBottomHdr, IF(SUM(TblDetailBudget[[#This Row],[2021 Quant]:[2025 Quant]])&gt;0, SUM(TblDetailBudget[[#This Row],[2021 Quant]:[2025 Quant]]), ""), "")</f>
        <v/>
      </c>
      <c r="Y114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1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1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1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1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14" s="140">
        <f>SUM(TblDetailBudget[[#This Row],[2021 Cost (LCU)]:[2025 Cost (LCU)]])</f>
        <v>0</v>
      </c>
      <c r="AE114" s="134">
        <f>IFERROR(SUM(TblDetailBudget[[#This Row],[2021 Cost (LCU)]])/FX_Rate, "")</f>
        <v>0</v>
      </c>
      <c r="AF114" s="63">
        <f>IFERROR(SUM(TblDetailBudget[[#This Row],[2022 Cost (LCU)]])/FX_Rate, "")</f>
        <v>0</v>
      </c>
      <c r="AG114" s="63">
        <f>IFERROR(SUM(TblDetailBudget[[#This Row],[2023 Cost (LCU)]])/FX_Rate, "")</f>
        <v>0</v>
      </c>
      <c r="AH114" s="63">
        <f>IFERROR(SUM(TblDetailBudget[[#This Row],[2024 Cost (LCU)]])/FX_Rate, "")</f>
        <v>0</v>
      </c>
      <c r="AI114" s="63">
        <f>IFERROR(SUM(TblDetailBudget[[#This Row],[2025 Cost (LCU)]])/FX_Rate, "")</f>
        <v>0</v>
      </c>
      <c r="AJ114" s="125">
        <f>SUM(TblDetailBudget[[#This Row],[2021 Cost (USD)]:[2025 Cost (USD)]])</f>
        <v>0</v>
      </c>
      <c r="AK114" s="180"/>
    </row>
    <row r="115" spans="2:37" ht="12.75" hidden="1" customHeight="1">
      <c r="B115" s="122" t="s">
        <v>70</v>
      </c>
      <c r="C11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1.2.3.1</v>
      </c>
      <c r="D115" s="62">
        <f>IF(TblDetailBudget[[#This Row],[Level]]="", "", COUNTIFS($B$8:TblDetailBudget[[#This Row],[Level]], Lvl1Hdr))</f>
        <v>1</v>
      </c>
      <c r="E115" s="62">
        <f>IF(TblDetailBudget[[#This Row],[Level]]="", "", COUNTIFS($B$8:TblDetailBudget[[#This Row],[Level]], Lvl2Hdr, $D$8:TblDetailBudget[[#This Row],[Lvl 1 Header]], TblDetailBudget[[#This Row],[Lvl 1 Header]]))</f>
        <v>2</v>
      </c>
      <c r="F11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1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1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15" s="101"/>
      <c r="J115" s="101"/>
      <c r="K115" s="88"/>
      <c r="L115" s="88"/>
      <c r="M115" s="62" t="str">
        <f>IF(TblDetailBudget[[#This Row],[Level]]=LvlBottomHdr, IFERROR(INDEX(TblUnitCost[Unit], MATCH(TblDetailBudget[[#This Row],[Row Title]], TblUnitCost[Resource], 0)), "Invalid Resource"), "")</f>
        <v/>
      </c>
      <c r="N115" s="125" t="str">
        <f>IF(TblDetailBudget[[#This Row],[Level]]=LvlBottomHdr, IFERROR(INDEX(TblUnitCost[LCU], MATCH(TblDetailBudget[[#This Row],[Row Title]], TblUnitCost[Resource], 0)), "Invalid Resource"), "")</f>
        <v/>
      </c>
      <c r="O115" s="128"/>
      <c r="P115" s="108"/>
      <c r="Q115" s="185"/>
      <c r="R115" s="129"/>
      <c r="S115" s="108"/>
      <c r="T115" s="108"/>
      <c r="U115" s="108"/>
      <c r="V115" s="108"/>
      <c r="W115" s="108"/>
      <c r="X115" s="125" t="str">
        <f>IF(TblDetailBudget[[#This Row],[Level]]=LvlBottomHdr, IF(SUM(TblDetailBudget[[#This Row],[2021 Quant]:[2025 Quant]])&gt;0, SUM(TblDetailBudget[[#This Row],[2021 Quant]:[2025 Quant]]), ""), "")</f>
        <v/>
      </c>
      <c r="Y11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1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1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1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1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15" s="140">
        <f>SUM(TblDetailBudget[[#This Row],[2021 Cost (LCU)]:[2025 Cost (LCU)]])</f>
        <v>0</v>
      </c>
      <c r="AE115" s="134">
        <f>IFERROR(SUM(TblDetailBudget[[#This Row],[2021 Cost (LCU)]])/FX_Rate, "")</f>
        <v>0</v>
      </c>
      <c r="AF115" s="63">
        <f>IFERROR(SUM(TblDetailBudget[[#This Row],[2022 Cost (LCU)]])/FX_Rate, "")</f>
        <v>0</v>
      </c>
      <c r="AG115" s="63">
        <f>IFERROR(SUM(TblDetailBudget[[#This Row],[2023 Cost (LCU)]])/FX_Rate, "")</f>
        <v>0</v>
      </c>
      <c r="AH115" s="63">
        <f>IFERROR(SUM(TblDetailBudget[[#This Row],[2024 Cost (LCU)]])/FX_Rate, "")</f>
        <v>0</v>
      </c>
      <c r="AI115" s="63">
        <f>IFERROR(SUM(TblDetailBudget[[#This Row],[2025 Cost (LCU)]])/FX_Rate, "")</f>
        <v>0</v>
      </c>
      <c r="AJ115" s="125">
        <f>SUM(TblDetailBudget[[#This Row],[2021 Cost (USD)]:[2025 Cost (USD)]])</f>
        <v>0</v>
      </c>
      <c r="AK115" s="180"/>
    </row>
    <row r="116" spans="2:37" ht="12.75" hidden="1" customHeight="1">
      <c r="B116" s="122" t="s">
        <v>70</v>
      </c>
      <c r="C11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1.2.3.2</v>
      </c>
      <c r="D116" s="62">
        <f>IF(TblDetailBudget[[#This Row],[Level]]="", "", COUNTIFS($B$8:TblDetailBudget[[#This Row],[Level]], Lvl1Hdr))</f>
        <v>1</v>
      </c>
      <c r="E116" s="62">
        <f>IF(TblDetailBudget[[#This Row],[Level]]="", "", COUNTIFS($B$8:TblDetailBudget[[#This Row],[Level]], Lvl2Hdr, $D$8:TblDetailBudget[[#This Row],[Lvl 1 Header]], TblDetailBudget[[#This Row],[Lvl 1 Header]]))</f>
        <v>2</v>
      </c>
      <c r="F11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1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1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16" s="101"/>
      <c r="J116" s="101"/>
      <c r="K116" s="88"/>
      <c r="L116" s="88"/>
      <c r="M116" s="62" t="str">
        <f>IF(TblDetailBudget[[#This Row],[Level]]=LvlBottomHdr, IFERROR(INDEX(TblUnitCost[Unit], MATCH(TblDetailBudget[[#This Row],[Row Title]], TblUnitCost[Resource], 0)), "Invalid Resource"), "")</f>
        <v/>
      </c>
      <c r="N116" s="125" t="str">
        <f>IF(TblDetailBudget[[#This Row],[Level]]=LvlBottomHdr, IFERROR(INDEX(TblUnitCost[LCU], MATCH(TblDetailBudget[[#This Row],[Row Title]], TblUnitCost[Resource], 0)), "Invalid Resource"), "")</f>
        <v/>
      </c>
      <c r="O116" s="128"/>
      <c r="P116" s="108"/>
      <c r="Q116" s="185"/>
      <c r="R116" s="129"/>
      <c r="S116" s="108"/>
      <c r="T116" s="108"/>
      <c r="U116" s="108"/>
      <c r="V116" s="108"/>
      <c r="W116" s="108"/>
      <c r="X116" s="125" t="str">
        <f>IF(TblDetailBudget[[#This Row],[Level]]=LvlBottomHdr, IF(SUM(TblDetailBudget[[#This Row],[2021 Quant]:[2025 Quant]])&gt;0, SUM(TblDetailBudget[[#This Row],[2021 Quant]:[2025 Quant]]), ""), "")</f>
        <v/>
      </c>
      <c r="Y11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1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1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1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1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16" s="140">
        <f>SUM(TblDetailBudget[[#This Row],[2021 Cost (LCU)]:[2025 Cost (LCU)]])</f>
        <v>0</v>
      </c>
      <c r="AE116" s="134">
        <f>IFERROR(SUM(TblDetailBudget[[#This Row],[2021 Cost (LCU)]])/FX_Rate, "")</f>
        <v>0</v>
      </c>
      <c r="AF116" s="63">
        <f>IFERROR(SUM(TblDetailBudget[[#This Row],[2022 Cost (LCU)]])/FX_Rate, "")</f>
        <v>0</v>
      </c>
      <c r="AG116" s="63">
        <f>IFERROR(SUM(TblDetailBudget[[#This Row],[2023 Cost (LCU)]])/FX_Rate, "")</f>
        <v>0</v>
      </c>
      <c r="AH116" s="63">
        <f>IFERROR(SUM(TblDetailBudget[[#This Row],[2024 Cost (LCU)]])/FX_Rate, "")</f>
        <v>0</v>
      </c>
      <c r="AI116" s="63">
        <f>IFERROR(SUM(TblDetailBudget[[#This Row],[2025 Cost (LCU)]])/FX_Rate, "")</f>
        <v>0</v>
      </c>
      <c r="AJ116" s="125">
        <f>SUM(TblDetailBudget[[#This Row],[2021 Cost (USD)]:[2025 Cost (USD)]])</f>
        <v>0</v>
      </c>
      <c r="AK116" s="180"/>
    </row>
    <row r="117" spans="2:37" ht="12.75" hidden="1" customHeight="1">
      <c r="B117" s="122" t="s">
        <v>71</v>
      </c>
      <c r="C11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1.2.3.2.1</v>
      </c>
      <c r="D117" s="62">
        <f>IF(TblDetailBudget[[#This Row],[Level]]="", "", COUNTIFS($B$8:TblDetailBudget[[#This Row],[Level]], Lvl1Hdr))</f>
        <v>1</v>
      </c>
      <c r="E117" s="62">
        <f>IF(TblDetailBudget[[#This Row],[Level]]="", "", COUNTIFS($B$8:TblDetailBudget[[#This Row],[Level]], Lvl2Hdr, $D$8:TblDetailBudget[[#This Row],[Lvl 1 Header]], TblDetailBudget[[#This Row],[Lvl 1 Header]]))</f>
        <v>2</v>
      </c>
      <c r="F11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1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1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17" s="101"/>
      <c r="J117" s="101"/>
      <c r="K117" s="88"/>
      <c r="L117" s="88"/>
      <c r="M117" s="62" t="str">
        <f>IF(TblDetailBudget[[#This Row],[Level]]=LvlBottomHdr, IFERROR(INDEX(TblUnitCost[Unit], MATCH(TblDetailBudget[[#This Row],[Row Title]], TblUnitCost[Resource], 0)), "Invalid Resource"), "")</f>
        <v>Invalid Resource</v>
      </c>
      <c r="N117" s="125" t="str">
        <f>IF(TblDetailBudget[[#This Row],[Level]]=LvlBottomHdr, IFERROR(INDEX(TblUnitCost[LCU], MATCH(TblDetailBudget[[#This Row],[Row Title]], TblUnitCost[Resource], 0)), "Invalid Resource"), "")</f>
        <v>Invalid Resource</v>
      </c>
      <c r="O117" s="128"/>
      <c r="P117" s="108"/>
      <c r="Q117" s="185"/>
      <c r="R117" s="129"/>
      <c r="S117" s="108"/>
      <c r="T117" s="108"/>
      <c r="U117" s="108"/>
      <c r="V117" s="108"/>
      <c r="W117" s="108"/>
      <c r="X117" s="125" t="str">
        <f>IF(TblDetailBudget[[#This Row],[Level]]=LvlBottomHdr, IF(SUM(TblDetailBudget[[#This Row],[2021 Quant]:[2025 Quant]])&gt;0, SUM(TblDetailBudget[[#This Row],[2021 Quant]:[2025 Quant]]), ""), "")</f>
        <v/>
      </c>
      <c r="Y117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1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1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1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1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17" s="140">
        <f>SUM(TblDetailBudget[[#This Row],[2021 Cost (LCU)]:[2025 Cost (LCU)]])</f>
        <v>0</v>
      </c>
      <c r="AE117" s="134">
        <f>IFERROR(SUM(TblDetailBudget[[#This Row],[2021 Cost (LCU)]])/FX_Rate, "")</f>
        <v>0</v>
      </c>
      <c r="AF117" s="63">
        <f>IFERROR(SUM(TblDetailBudget[[#This Row],[2022 Cost (LCU)]])/FX_Rate, "")</f>
        <v>0</v>
      </c>
      <c r="AG117" s="63">
        <f>IFERROR(SUM(TblDetailBudget[[#This Row],[2023 Cost (LCU)]])/FX_Rate, "")</f>
        <v>0</v>
      </c>
      <c r="AH117" s="63">
        <f>IFERROR(SUM(TblDetailBudget[[#This Row],[2024 Cost (LCU)]])/FX_Rate, "")</f>
        <v>0</v>
      </c>
      <c r="AI117" s="63">
        <f>IFERROR(SUM(TblDetailBudget[[#This Row],[2025 Cost (LCU)]])/FX_Rate, "")</f>
        <v>0</v>
      </c>
      <c r="AJ117" s="125">
        <f>SUM(TblDetailBudget[[#This Row],[2021 Cost (USD)]:[2025 Cost (USD)]])</f>
        <v>0</v>
      </c>
      <c r="AK117" s="180"/>
    </row>
    <row r="118" spans="2:37" ht="12.75" hidden="1" customHeight="1">
      <c r="B118" s="122" t="s">
        <v>71</v>
      </c>
      <c r="C11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1.2.3.2.2</v>
      </c>
      <c r="D118" s="62">
        <f>IF(TblDetailBudget[[#This Row],[Level]]="", "", COUNTIFS($B$8:TblDetailBudget[[#This Row],[Level]], Lvl1Hdr))</f>
        <v>1</v>
      </c>
      <c r="E118" s="62">
        <f>IF(TblDetailBudget[[#This Row],[Level]]="", "", COUNTIFS($B$8:TblDetailBudget[[#This Row],[Level]], Lvl2Hdr, $D$8:TblDetailBudget[[#This Row],[Lvl 1 Header]], TblDetailBudget[[#This Row],[Lvl 1 Header]]))</f>
        <v>2</v>
      </c>
      <c r="F11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1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1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118" s="101"/>
      <c r="J118" s="101"/>
      <c r="K118" s="88"/>
      <c r="L118" s="88"/>
      <c r="M118" s="62" t="str">
        <f>IF(TblDetailBudget[[#This Row],[Level]]=LvlBottomHdr, IFERROR(INDEX(TblUnitCost[Unit], MATCH(TblDetailBudget[[#This Row],[Row Title]], TblUnitCost[Resource], 0)), "Invalid Resource"), "")</f>
        <v>Invalid Resource</v>
      </c>
      <c r="N118" s="125" t="str">
        <f>IF(TblDetailBudget[[#This Row],[Level]]=LvlBottomHdr, IFERROR(INDEX(TblUnitCost[LCU], MATCH(TblDetailBudget[[#This Row],[Row Title]], TblUnitCost[Resource], 0)), "Invalid Resource"), "")</f>
        <v>Invalid Resource</v>
      </c>
      <c r="O118" s="128"/>
      <c r="P118" s="108"/>
      <c r="Q118" s="185"/>
      <c r="R118" s="129"/>
      <c r="S118" s="108"/>
      <c r="T118" s="108"/>
      <c r="U118" s="108"/>
      <c r="V118" s="108"/>
      <c r="W118" s="108"/>
      <c r="X118" s="125" t="str">
        <f>IF(TblDetailBudget[[#This Row],[Level]]=LvlBottomHdr, IF(SUM(TblDetailBudget[[#This Row],[2021 Quant]:[2025 Quant]])&gt;0, SUM(TblDetailBudget[[#This Row],[2021 Quant]:[2025 Quant]]), ""), "")</f>
        <v/>
      </c>
      <c r="Y118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1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1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1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1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18" s="140">
        <f>SUM(TblDetailBudget[[#This Row],[2021 Cost (LCU)]:[2025 Cost (LCU)]])</f>
        <v>0</v>
      </c>
      <c r="AE118" s="134">
        <f>IFERROR(SUM(TblDetailBudget[[#This Row],[2021 Cost (LCU)]])/FX_Rate, "")</f>
        <v>0</v>
      </c>
      <c r="AF118" s="63">
        <f>IFERROR(SUM(TblDetailBudget[[#This Row],[2022 Cost (LCU)]])/FX_Rate, "")</f>
        <v>0</v>
      </c>
      <c r="AG118" s="63">
        <f>IFERROR(SUM(TblDetailBudget[[#This Row],[2023 Cost (LCU)]])/FX_Rate, "")</f>
        <v>0</v>
      </c>
      <c r="AH118" s="63">
        <f>IFERROR(SUM(TblDetailBudget[[#This Row],[2024 Cost (LCU)]])/FX_Rate, "")</f>
        <v>0</v>
      </c>
      <c r="AI118" s="63">
        <f>IFERROR(SUM(TblDetailBudget[[#This Row],[2025 Cost (LCU)]])/FX_Rate, "")</f>
        <v>0</v>
      </c>
      <c r="AJ118" s="125">
        <f>SUM(TblDetailBudget[[#This Row],[2021 Cost (USD)]:[2025 Cost (USD)]])</f>
        <v>0</v>
      </c>
      <c r="AK118" s="180"/>
    </row>
    <row r="119" spans="2:37" ht="12.75" hidden="1" customHeight="1">
      <c r="B119" s="122" t="s">
        <v>71</v>
      </c>
      <c r="C11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1.2.3.2.3</v>
      </c>
      <c r="D119" s="62">
        <f>IF(TblDetailBudget[[#This Row],[Level]]="", "", COUNTIFS($B$8:TblDetailBudget[[#This Row],[Level]], Lvl1Hdr))</f>
        <v>1</v>
      </c>
      <c r="E119" s="62">
        <f>IF(TblDetailBudget[[#This Row],[Level]]="", "", COUNTIFS($B$8:TblDetailBudget[[#This Row],[Level]], Lvl2Hdr, $D$8:TblDetailBudget[[#This Row],[Lvl 1 Header]], TblDetailBudget[[#This Row],[Lvl 1 Header]]))</f>
        <v>2</v>
      </c>
      <c r="F11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1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1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3</v>
      </c>
      <c r="I119" s="101"/>
      <c r="J119" s="101"/>
      <c r="K119" s="88"/>
      <c r="L119" s="88"/>
      <c r="M119" s="62" t="str">
        <f>IF(TblDetailBudget[[#This Row],[Level]]=LvlBottomHdr, IFERROR(INDEX(TblUnitCost[Unit], MATCH(TblDetailBudget[[#This Row],[Row Title]], TblUnitCost[Resource], 0)), "Invalid Resource"), "")</f>
        <v>Invalid Resource</v>
      </c>
      <c r="N119" s="125" t="str">
        <f>IF(TblDetailBudget[[#This Row],[Level]]=LvlBottomHdr, IFERROR(INDEX(TblUnitCost[LCU], MATCH(TblDetailBudget[[#This Row],[Row Title]], TblUnitCost[Resource], 0)), "Invalid Resource"), "")</f>
        <v>Invalid Resource</v>
      </c>
      <c r="O119" s="128"/>
      <c r="P119" s="108"/>
      <c r="Q119" s="185"/>
      <c r="R119" s="129"/>
      <c r="S119" s="108"/>
      <c r="T119" s="108"/>
      <c r="U119" s="108"/>
      <c r="V119" s="108"/>
      <c r="W119" s="108"/>
      <c r="X119" s="125" t="str">
        <f>IF(TblDetailBudget[[#This Row],[Level]]=LvlBottomHdr, IF(SUM(TblDetailBudget[[#This Row],[2021 Quant]:[2025 Quant]])&gt;0, SUM(TblDetailBudget[[#This Row],[2021 Quant]:[2025 Quant]]), ""), "")</f>
        <v/>
      </c>
      <c r="Y11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1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1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1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1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19" s="140">
        <f>SUM(TblDetailBudget[[#This Row],[2021 Cost (LCU)]:[2025 Cost (LCU)]])</f>
        <v>0</v>
      </c>
      <c r="AE119" s="134">
        <f>IFERROR(SUM(TblDetailBudget[[#This Row],[2021 Cost (LCU)]])/FX_Rate, "")</f>
        <v>0</v>
      </c>
      <c r="AF119" s="63">
        <f>IFERROR(SUM(TblDetailBudget[[#This Row],[2022 Cost (LCU)]])/FX_Rate, "")</f>
        <v>0</v>
      </c>
      <c r="AG119" s="63">
        <f>IFERROR(SUM(TblDetailBudget[[#This Row],[2023 Cost (LCU)]])/FX_Rate, "")</f>
        <v>0</v>
      </c>
      <c r="AH119" s="63">
        <f>IFERROR(SUM(TblDetailBudget[[#This Row],[2024 Cost (LCU)]])/FX_Rate, "")</f>
        <v>0</v>
      </c>
      <c r="AI119" s="63">
        <f>IFERROR(SUM(TblDetailBudget[[#This Row],[2025 Cost (LCU)]])/FX_Rate, "")</f>
        <v>0</v>
      </c>
      <c r="AJ119" s="125">
        <f>SUM(TblDetailBudget[[#This Row],[2021 Cost (USD)]:[2025 Cost (USD)]])</f>
        <v>0</v>
      </c>
      <c r="AK119" s="180"/>
    </row>
    <row r="120" spans="2:37" ht="12.75" hidden="1" customHeight="1">
      <c r="B120" s="122" t="s">
        <v>71</v>
      </c>
      <c r="C12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1.2.3.2.4</v>
      </c>
      <c r="D120" s="62">
        <f>IF(TblDetailBudget[[#This Row],[Level]]="", "", COUNTIFS($B$8:TblDetailBudget[[#This Row],[Level]], Lvl1Hdr))</f>
        <v>1</v>
      </c>
      <c r="E120" s="62">
        <f>IF(TblDetailBudget[[#This Row],[Level]]="", "", COUNTIFS($B$8:TblDetailBudget[[#This Row],[Level]], Lvl2Hdr, $D$8:TblDetailBudget[[#This Row],[Lvl 1 Header]], TblDetailBudget[[#This Row],[Lvl 1 Header]]))</f>
        <v>2</v>
      </c>
      <c r="F12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2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2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4</v>
      </c>
      <c r="I120" s="101"/>
      <c r="J120" s="101"/>
      <c r="K120" s="88"/>
      <c r="L120" s="88"/>
      <c r="M120" s="62" t="str">
        <f>IF(TblDetailBudget[[#This Row],[Level]]=LvlBottomHdr, IFERROR(INDEX(TblUnitCost[Unit], MATCH(TblDetailBudget[[#This Row],[Row Title]], TblUnitCost[Resource], 0)), "Invalid Resource"), "")</f>
        <v>Invalid Resource</v>
      </c>
      <c r="N120" s="125" t="str">
        <f>IF(TblDetailBudget[[#This Row],[Level]]=LvlBottomHdr, IFERROR(INDEX(TblUnitCost[LCU], MATCH(TblDetailBudget[[#This Row],[Row Title]], TblUnitCost[Resource], 0)), "Invalid Resource"), "")</f>
        <v>Invalid Resource</v>
      </c>
      <c r="O120" s="128"/>
      <c r="P120" s="108"/>
      <c r="Q120" s="185"/>
      <c r="R120" s="129"/>
      <c r="S120" s="108"/>
      <c r="T120" s="108"/>
      <c r="U120" s="108"/>
      <c r="V120" s="108"/>
      <c r="W120" s="108"/>
      <c r="X120" s="125" t="str">
        <f>IF(TblDetailBudget[[#This Row],[Level]]=LvlBottomHdr, IF(SUM(TblDetailBudget[[#This Row],[2021 Quant]:[2025 Quant]])&gt;0, SUM(TblDetailBudget[[#This Row],[2021 Quant]:[2025 Quant]]), ""), "")</f>
        <v/>
      </c>
      <c r="Y120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2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2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2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2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20" s="140">
        <f>SUM(TblDetailBudget[[#This Row],[2021 Cost (LCU)]:[2025 Cost (LCU)]])</f>
        <v>0</v>
      </c>
      <c r="AE120" s="134">
        <f>IFERROR(SUM(TblDetailBudget[[#This Row],[2021 Cost (LCU)]])/FX_Rate, "")</f>
        <v>0</v>
      </c>
      <c r="AF120" s="63">
        <f>IFERROR(SUM(TblDetailBudget[[#This Row],[2022 Cost (LCU)]])/FX_Rate, "")</f>
        <v>0</v>
      </c>
      <c r="AG120" s="63">
        <f>IFERROR(SUM(TblDetailBudget[[#This Row],[2023 Cost (LCU)]])/FX_Rate, "")</f>
        <v>0</v>
      </c>
      <c r="AH120" s="63">
        <f>IFERROR(SUM(TblDetailBudget[[#This Row],[2024 Cost (LCU)]])/FX_Rate, "")</f>
        <v>0</v>
      </c>
      <c r="AI120" s="63">
        <f>IFERROR(SUM(TblDetailBudget[[#This Row],[2025 Cost (LCU)]])/FX_Rate, "")</f>
        <v>0</v>
      </c>
      <c r="AJ120" s="125">
        <f>SUM(TblDetailBudget[[#This Row],[2021 Cost (USD)]:[2025 Cost (USD)]])</f>
        <v>0</v>
      </c>
      <c r="AK120" s="180"/>
    </row>
    <row r="121" spans="2:37" ht="12.75" hidden="1" customHeight="1">
      <c r="B121" s="122" t="s">
        <v>71</v>
      </c>
      <c r="C12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1.2.3.2.5</v>
      </c>
      <c r="D121" s="62">
        <f>IF(TblDetailBudget[[#This Row],[Level]]="", "", COUNTIFS($B$8:TblDetailBudget[[#This Row],[Level]], Lvl1Hdr))</f>
        <v>1</v>
      </c>
      <c r="E121" s="62">
        <f>IF(TblDetailBudget[[#This Row],[Level]]="", "", COUNTIFS($B$8:TblDetailBudget[[#This Row],[Level]], Lvl2Hdr, $D$8:TblDetailBudget[[#This Row],[Lvl 1 Header]], TblDetailBudget[[#This Row],[Lvl 1 Header]]))</f>
        <v>2</v>
      </c>
      <c r="F12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2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2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5</v>
      </c>
      <c r="I121" s="101"/>
      <c r="J121" s="101"/>
      <c r="K121" s="88"/>
      <c r="L121" s="88"/>
      <c r="M121" s="62" t="str">
        <f>IF(TblDetailBudget[[#This Row],[Level]]=LvlBottomHdr, IFERROR(INDEX(TblUnitCost[Unit], MATCH(TblDetailBudget[[#This Row],[Row Title]], TblUnitCost[Resource], 0)), "Invalid Resource"), "")</f>
        <v>Invalid Resource</v>
      </c>
      <c r="N121" s="125" t="str">
        <f>IF(TblDetailBudget[[#This Row],[Level]]=LvlBottomHdr, IFERROR(INDEX(TblUnitCost[LCU], MATCH(TblDetailBudget[[#This Row],[Row Title]], TblUnitCost[Resource], 0)), "Invalid Resource"), "")</f>
        <v>Invalid Resource</v>
      </c>
      <c r="O121" s="128"/>
      <c r="P121" s="108"/>
      <c r="Q121" s="185"/>
      <c r="R121" s="129"/>
      <c r="S121" s="108"/>
      <c r="T121" s="108"/>
      <c r="U121" s="108"/>
      <c r="V121" s="108"/>
      <c r="W121" s="108"/>
      <c r="X121" s="125" t="str">
        <f>IF(TblDetailBudget[[#This Row],[Level]]=LvlBottomHdr, IF(SUM(TblDetailBudget[[#This Row],[2021 Quant]:[2025 Quant]])&gt;0, SUM(TblDetailBudget[[#This Row],[2021 Quant]:[2025 Quant]]), ""), "")</f>
        <v/>
      </c>
      <c r="Y121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2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2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2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2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21" s="140">
        <f>SUM(TblDetailBudget[[#This Row],[2021 Cost (LCU)]:[2025 Cost (LCU)]])</f>
        <v>0</v>
      </c>
      <c r="AE121" s="134">
        <f>IFERROR(SUM(TblDetailBudget[[#This Row],[2021 Cost (LCU)]])/FX_Rate, "")</f>
        <v>0</v>
      </c>
      <c r="AF121" s="63">
        <f>IFERROR(SUM(TblDetailBudget[[#This Row],[2022 Cost (LCU)]])/FX_Rate, "")</f>
        <v>0</v>
      </c>
      <c r="AG121" s="63">
        <f>IFERROR(SUM(TblDetailBudget[[#This Row],[2023 Cost (LCU)]])/FX_Rate, "")</f>
        <v>0</v>
      </c>
      <c r="AH121" s="63">
        <f>IFERROR(SUM(TblDetailBudget[[#This Row],[2024 Cost (LCU)]])/FX_Rate, "")</f>
        <v>0</v>
      </c>
      <c r="AI121" s="63">
        <f>IFERROR(SUM(TblDetailBudget[[#This Row],[2025 Cost (LCU)]])/FX_Rate, "")</f>
        <v>0</v>
      </c>
      <c r="AJ121" s="125">
        <f>SUM(TblDetailBudget[[#This Row],[2021 Cost (USD)]:[2025 Cost (USD)]])</f>
        <v>0</v>
      </c>
      <c r="AK121" s="180"/>
    </row>
    <row r="122" spans="2:37" ht="12.75" hidden="1" customHeight="1">
      <c r="B122" s="122" t="s">
        <v>71</v>
      </c>
      <c r="C12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1.2.3.2.6</v>
      </c>
      <c r="D122" s="62">
        <f>IF(TblDetailBudget[[#This Row],[Level]]="", "", COUNTIFS($B$8:TblDetailBudget[[#This Row],[Level]], Lvl1Hdr))</f>
        <v>1</v>
      </c>
      <c r="E122" s="62">
        <f>IF(TblDetailBudget[[#This Row],[Level]]="", "", COUNTIFS($B$8:TblDetailBudget[[#This Row],[Level]], Lvl2Hdr, $D$8:TblDetailBudget[[#This Row],[Lvl 1 Header]], TblDetailBudget[[#This Row],[Lvl 1 Header]]))</f>
        <v>2</v>
      </c>
      <c r="F12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2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2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6</v>
      </c>
      <c r="I122" s="101"/>
      <c r="J122" s="101"/>
      <c r="K122" s="88"/>
      <c r="L122" s="88"/>
      <c r="M122" s="62" t="str">
        <f>IF(TblDetailBudget[[#This Row],[Level]]=LvlBottomHdr, IFERROR(INDEX(TblUnitCost[Unit], MATCH(TblDetailBudget[[#This Row],[Row Title]], TblUnitCost[Resource], 0)), "Invalid Resource"), "")</f>
        <v>Invalid Resource</v>
      </c>
      <c r="N122" s="125" t="str">
        <f>IF(TblDetailBudget[[#This Row],[Level]]=LvlBottomHdr, IFERROR(INDEX(TblUnitCost[LCU], MATCH(TblDetailBudget[[#This Row],[Row Title]], TblUnitCost[Resource], 0)), "Invalid Resource"), "")</f>
        <v>Invalid Resource</v>
      </c>
      <c r="O122" s="128"/>
      <c r="P122" s="108"/>
      <c r="Q122" s="185"/>
      <c r="R122" s="129"/>
      <c r="S122" s="108"/>
      <c r="T122" s="108"/>
      <c r="U122" s="108"/>
      <c r="V122" s="108"/>
      <c r="W122" s="108"/>
      <c r="X122" s="125" t="str">
        <f>IF(TblDetailBudget[[#This Row],[Level]]=LvlBottomHdr, IF(SUM(TblDetailBudget[[#This Row],[2021 Quant]:[2025 Quant]])&gt;0, SUM(TblDetailBudget[[#This Row],[2021 Quant]:[2025 Quant]]), ""), "")</f>
        <v/>
      </c>
      <c r="Y122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2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2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2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2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22" s="140">
        <f>SUM(TblDetailBudget[[#This Row],[2021 Cost (LCU)]:[2025 Cost (LCU)]])</f>
        <v>0</v>
      </c>
      <c r="AE122" s="134">
        <f>IFERROR(SUM(TblDetailBudget[[#This Row],[2021 Cost (LCU)]])/FX_Rate, "")</f>
        <v>0</v>
      </c>
      <c r="AF122" s="63">
        <f>IFERROR(SUM(TblDetailBudget[[#This Row],[2022 Cost (LCU)]])/FX_Rate, "")</f>
        <v>0</v>
      </c>
      <c r="AG122" s="63">
        <f>IFERROR(SUM(TblDetailBudget[[#This Row],[2023 Cost (LCU)]])/FX_Rate, "")</f>
        <v>0</v>
      </c>
      <c r="AH122" s="63">
        <f>IFERROR(SUM(TblDetailBudget[[#This Row],[2024 Cost (LCU)]])/FX_Rate, "")</f>
        <v>0</v>
      </c>
      <c r="AI122" s="63">
        <f>IFERROR(SUM(TblDetailBudget[[#This Row],[2025 Cost (LCU)]])/FX_Rate, "")</f>
        <v>0</v>
      </c>
      <c r="AJ122" s="125">
        <f>SUM(TblDetailBudget[[#This Row],[2021 Cost (USD)]:[2025 Cost (USD)]])</f>
        <v>0</v>
      </c>
      <c r="AK122" s="180"/>
    </row>
    <row r="123" spans="2:37" ht="12.75" hidden="1" customHeight="1">
      <c r="B123" s="122" t="s">
        <v>71</v>
      </c>
      <c r="C12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1.2.3.2.7</v>
      </c>
      <c r="D123" s="62">
        <f>IF(TblDetailBudget[[#This Row],[Level]]="", "", COUNTIFS($B$8:TblDetailBudget[[#This Row],[Level]], Lvl1Hdr))</f>
        <v>1</v>
      </c>
      <c r="E123" s="62">
        <f>IF(TblDetailBudget[[#This Row],[Level]]="", "", COUNTIFS($B$8:TblDetailBudget[[#This Row],[Level]], Lvl2Hdr, $D$8:TblDetailBudget[[#This Row],[Lvl 1 Header]], TblDetailBudget[[#This Row],[Lvl 1 Header]]))</f>
        <v>2</v>
      </c>
      <c r="F12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2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2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7</v>
      </c>
      <c r="I123" s="101"/>
      <c r="J123" s="101"/>
      <c r="K123" s="88"/>
      <c r="L123" s="88"/>
      <c r="M123" s="62" t="str">
        <f>IF(TblDetailBudget[[#This Row],[Level]]=LvlBottomHdr, IFERROR(INDEX(TblUnitCost[Unit], MATCH(TblDetailBudget[[#This Row],[Row Title]], TblUnitCost[Resource], 0)), "Invalid Resource"), "")</f>
        <v>Invalid Resource</v>
      </c>
      <c r="N123" s="125" t="str">
        <f>IF(TblDetailBudget[[#This Row],[Level]]=LvlBottomHdr, IFERROR(INDEX(TblUnitCost[LCU], MATCH(TblDetailBudget[[#This Row],[Row Title]], TblUnitCost[Resource], 0)), "Invalid Resource"), "")</f>
        <v>Invalid Resource</v>
      </c>
      <c r="O123" s="128"/>
      <c r="P123" s="108"/>
      <c r="Q123" s="185"/>
      <c r="R123" s="129"/>
      <c r="S123" s="108"/>
      <c r="T123" s="108"/>
      <c r="U123" s="108"/>
      <c r="V123" s="108"/>
      <c r="W123" s="108"/>
      <c r="X123" s="125" t="str">
        <f>IF(TblDetailBudget[[#This Row],[Level]]=LvlBottomHdr, IF(SUM(TblDetailBudget[[#This Row],[2021 Quant]:[2025 Quant]])&gt;0, SUM(TblDetailBudget[[#This Row],[2021 Quant]:[2025 Quant]]), ""), "")</f>
        <v/>
      </c>
      <c r="Y123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2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2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2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2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23" s="140">
        <f>SUM(TblDetailBudget[[#This Row],[2021 Cost (LCU)]:[2025 Cost (LCU)]])</f>
        <v>0</v>
      </c>
      <c r="AE123" s="134">
        <f>IFERROR(SUM(TblDetailBudget[[#This Row],[2021 Cost (LCU)]])/FX_Rate, "")</f>
        <v>0</v>
      </c>
      <c r="AF123" s="63">
        <f>IFERROR(SUM(TblDetailBudget[[#This Row],[2022 Cost (LCU)]])/FX_Rate, "")</f>
        <v>0</v>
      </c>
      <c r="AG123" s="63">
        <f>IFERROR(SUM(TblDetailBudget[[#This Row],[2023 Cost (LCU)]])/FX_Rate, "")</f>
        <v>0</v>
      </c>
      <c r="AH123" s="63">
        <f>IFERROR(SUM(TblDetailBudget[[#This Row],[2024 Cost (LCU)]])/FX_Rate, "")</f>
        <v>0</v>
      </c>
      <c r="AI123" s="63">
        <f>IFERROR(SUM(TblDetailBudget[[#This Row],[2025 Cost (LCU)]])/FX_Rate, "")</f>
        <v>0</v>
      </c>
      <c r="AJ123" s="125">
        <f>SUM(TblDetailBudget[[#This Row],[2021 Cost (USD)]:[2025 Cost (USD)]])</f>
        <v>0</v>
      </c>
      <c r="AK123" s="180"/>
    </row>
    <row r="124" spans="2:37" ht="12.75" hidden="1" customHeight="1">
      <c r="B124" s="122" t="s">
        <v>71</v>
      </c>
      <c r="C12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1.2.3.2.8</v>
      </c>
      <c r="D124" s="62">
        <f>IF(TblDetailBudget[[#This Row],[Level]]="", "", COUNTIFS($B$8:TblDetailBudget[[#This Row],[Level]], Lvl1Hdr))</f>
        <v>1</v>
      </c>
      <c r="E124" s="62">
        <f>IF(TblDetailBudget[[#This Row],[Level]]="", "", COUNTIFS($B$8:TblDetailBudget[[#This Row],[Level]], Lvl2Hdr, $D$8:TblDetailBudget[[#This Row],[Lvl 1 Header]], TblDetailBudget[[#This Row],[Lvl 1 Header]]))</f>
        <v>2</v>
      </c>
      <c r="F12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2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2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8</v>
      </c>
      <c r="I124" s="101"/>
      <c r="J124" s="101"/>
      <c r="K124" s="88"/>
      <c r="L124" s="88"/>
      <c r="M124" s="62" t="str">
        <f>IF(TblDetailBudget[[#This Row],[Level]]=LvlBottomHdr, IFERROR(INDEX(TblUnitCost[Unit], MATCH(TblDetailBudget[[#This Row],[Row Title]], TblUnitCost[Resource], 0)), "Invalid Resource"), "")</f>
        <v>Invalid Resource</v>
      </c>
      <c r="N124" s="125" t="str">
        <f>IF(TblDetailBudget[[#This Row],[Level]]=LvlBottomHdr, IFERROR(INDEX(TblUnitCost[LCU], MATCH(TblDetailBudget[[#This Row],[Row Title]], TblUnitCost[Resource], 0)), "Invalid Resource"), "")</f>
        <v>Invalid Resource</v>
      </c>
      <c r="O124" s="128"/>
      <c r="P124" s="108"/>
      <c r="Q124" s="185"/>
      <c r="R124" s="129"/>
      <c r="S124" s="108"/>
      <c r="T124" s="108"/>
      <c r="U124" s="108"/>
      <c r="V124" s="108"/>
      <c r="W124" s="108"/>
      <c r="X124" s="125" t="str">
        <f>IF(TblDetailBudget[[#This Row],[Level]]=LvlBottomHdr, IF(SUM(TblDetailBudget[[#This Row],[2021 Quant]:[2025 Quant]])&gt;0, SUM(TblDetailBudget[[#This Row],[2021 Quant]:[2025 Quant]]), ""), "")</f>
        <v/>
      </c>
      <c r="Y12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2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2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2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2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24" s="140">
        <f>SUM(TblDetailBudget[[#This Row],[2021 Cost (LCU)]:[2025 Cost (LCU)]])</f>
        <v>0</v>
      </c>
      <c r="AE124" s="134">
        <f>IFERROR(SUM(TblDetailBudget[[#This Row],[2021 Cost (LCU)]])/FX_Rate, "")</f>
        <v>0</v>
      </c>
      <c r="AF124" s="63">
        <f>IFERROR(SUM(TblDetailBudget[[#This Row],[2022 Cost (LCU)]])/FX_Rate, "")</f>
        <v>0</v>
      </c>
      <c r="AG124" s="63">
        <f>IFERROR(SUM(TblDetailBudget[[#This Row],[2023 Cost (LCU)]])/FX_Rate, "")</f>
        <v>0</v>
      </c>
      <c r="AH124" s="63">
        <f>IFERROR(SUM(TblDetailBudget[[#This Row],[2024 Cost (LCU)]])/FX_Rate, "")</f>
        <v>0</v>
      </c>
      <c r="AI124" s="63">
        <f>IFERROR(SUM(TblDetailBudget[[#This Row],[2025 Cost (LCU)]])/FX_Rate, "")</f>
        <v>0</v>
      </c>
      <c r="AJ124" s="125">
        <f>SUM(TblDetailBudget[[#This Row],[2021 Cost (USD)]:[2025 Cost (USD)]])</f>
        <v>0</v>
      </c>
      <c r="AK124" s="180"/>
    </row>
    <row r="125" spans="2:37" ht="12.75" hidden="1" customHeight="1">
      <c r="B125" s="122" t="s">
        <v>70</v>
      </c>
      <c r="C12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1.2.3.3</v>
      </c>
      <c r="D125" s="62">
        <f>IF(TblDetailBudget[[#This Row],[Level]]="", "", COUNTIFS($B$8:TblDetailBudget[[#This Row],[Level]], Lvl1Hdr))</f>
        <v>1</v>
      </c>
      <c r="E125" s="62">
        <f>IF(TblDetailBudget[[#This Row],[Level]]="", "", COUNTIFS($B$8:TblDetailBudget[[#This Row],[Level]], Lvl2Hdr, $D$8:TblDetailBudget[[#This Row],[Lvl 1 Header]], TblDetailBudget[[#This Row],[Lvl 1 Header]]))</f>
        <v>2</v>
      </c>
      <c r="F12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2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12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25" s="101"/>
      <c r="J125" s="101"/>
      <c r="K125" s="88"/>
      <c r="L125" s="88"/>
      <c r="M125" s="62" t="str">
        <f>IF(TblDetailBudget[[#This Row],[Level]]=LvlBottomHdr, IFERROR(INDEX(TblUnitCost[Unit], MATCH(TblDetailBudget[[#This Row],[Row Title]], TblUnitCost[Resource], 0)), "Invalid Resource"), "")</f>
        <v/>
      </c>
      <c r="N125" s="125" t="str">
        <f>IF(TblDetailBudget[[#This Row],[Level]]=LvlBottomHdr, IFERROR(INDEX(TblUnitCost[LCU], MATCH(TblDetailBudget[[#This Row],[Row Title]], TblUnitCost[Resource], 0)), "Invalid Resource"), "")</f>
        <v/>
      </c>
      <c r="O125" s="128"/>
      <c r="P125" s="108"/>
      <c r="Q125" s="185"/>
      <c r="R125" s="129"/>
      <c r="S125" s="108"/>
      <c r="T125" s="108"/>
      <c r="U125" s="108"/>
      <c r="V125" s="108"/>
      <c r="W125" s="108"/>
      <c r="X125" s="125" t="str">
        <f>IF(TblDetailBudget[[#This Row],[Level]]=LvlBottomHdr, IF(SUM(TblDetailBudget[[#This Row],[2021 Quant]:[2025 Quant]])&gt;0, SUM(TblDetailBudget[[#This Row],[2021 Quant]:[2025 Quant]]), ""), "")</f>
        <v/>
      </c>
      <c r="Y12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2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2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2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2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25" s="140">
        <f>SUM(TblDetailBudget[[#This Row],[2021 Cost (LCU)]:[2025 Cost (LCU)]])</f>
        <v>0</v>
      </c>
      <c r="AE125" s="134">
        <f>IFERROR(SUM(TblDetailBudget[[#This Row],[2021 Cost (LCU)]])/FX_Rate, "")</f>
        <v>0</v>
      </c>
      <c r="AF125" s="63">
        <f>IFERROR(SUM(TblDetailBudget[[#This Row],[2022 Cost (LCU)]])/FX_Rate, "")</f>
        <v>0</v>
      </c>
      <c r="AG125" s="63">
        <f>IFERROR(SUM(TblDetailBudget[[#This Row],[2023 Cost (LCU)]])/FX_Rate, "")</f>
        <v>0</v>
      </c>
      <c r="AH125" s="63">
        <f>IFERROR(SUM(TblDetailBudget[[#This Row],[2024 Cost (LCU)]])/FX_Rate, "")</f>
        <v>0</v>
      </c>
      <c r="AI125" s="63">
        <f>IFERROR(SUM(TblDetailBudget[[#This Row],[2025 Cost (LCU)]])/FX_Rate, "")</f>
        <v>0</v>
      </c>
      <c r="AJ125" s="125">
        <f>SUM(TblDetailBudget[[#This Row],[2021 Cost (USD)]:[2025 Cost (USD)]])</f>
        <v>0</v>
      </c>
      <c r="AK125" s="180"/>
    </row>
    <row r="126" spans="2:37" ht="12.75" hidden="1" customHeight="1">
      <c r="B126" s="122" t="s">
        <v>71</v>
      </c>
      <c r="C12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1.2.3.3.1</v>
      </c>
      <c r="D126" s="62">
        <f>IF(TblDetailBudget[[#This Row],[Level]]="", "", COUNTIFS($B$8:TblDetailBudget[[#This Row],[Level]], Lvl1Hdr))</f>
        <v>1</v>
      </c>
      <c r="E126" s="62">
        <f>IF(TblDetailBudget[[#This Row],[Level]]="", "", COUNTIFS($B$8:TblDetailBudget[[#This Row],[Level]], Lvl2Hdr, $D$8:TblDetailBudget[[#This Row],[Lvl 1 Header]], TblDetailBudget[[#This Row],[Lvl 1 Header]]))</f>
        <v>2</v>
      </c>
      <c r="F12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2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12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26" s="101"/>
      <c r="J126" s="101"/>
      <c r="K126" s="88"/>
      <c r="L126" s="88"/>
      <c r="M126" s="62" t="str">
        <f>IF(TblDetailBudget[[#This Row],[Level]]=LvlBottomHdr, IFERROR(INDEX(TblUnitCost[Unit], MATCH(TblDetailBudget[[#This Row],[Row Title]], TblUnitCost[Resource], 0)), "Invalid Resource"), "")</f>
        <v>Invalid Resource</v>
      </c>
      <c r="N126" s="125" t="str">
        <f>IF(TblDetailBudget[[#This Row],[Level]]=LvlBottomHdr, IFERROR(INDEX(TblUnitCost[LCU], MATCH(TblDetailBudget[[#This Row],[Row Title]], TblUnitCost[Resource], 0)), "Invalid Resource"), "")</f>
        <v>Invalid Resource</v>
      </c>
      <c r="O126" s="128"/>
      <c r="P126" s="108"/>
      <c r="Q126" s="185"/>
      <c r="R126" s="129"/>
      <c r="S126" s="108"/>
      <c r="T126" s="108"/>
      <c r="U126" s="108"/>
      <c r="V126" s="108"/>
      <c r="W126" s="108"/>
      <c r="X126" s="125" t="str">
        <f>IF(TblDetailBudget[[#This Row],[Level]]=LvlBottomHdr, IF(SUM(TblDetailBudget[[#This Row],[2021 Quant]:[2025 Quant]])&gt;0, SUM(TblDetailBudget[[#This Row],[2021 Quant]:[2025 Quant]]), ""), "")</f>
        <v/>
      </c>
      <c r="Y126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2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2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2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2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26" s="140">
        <f>SUM(TblDetailBudget[[#This Row],[2021 Cost (LCU)]:[2025 Cost (LCU)]])</f>
        <v>0</v>
      </c>
      <c r="AE126" s="134">
        <f>IFERROR(SUM(TblDetailBudget[[#This Row],[2021 Cost (LCU)]])/FX_Rate, "")</f>
        <v>0</v>
      </c>
      <c r="AF126" s="63">
        <f>IFERROR(SUM(TblDetailBudget[[#This Row],[2022 Cost (LCU)]])/FX_Rate, "")</f>
        <v>0</v>
      </c>
      <c r="AG126" s="63">
        <f>IFERROR(SUM(TblDetailBudget[[#This Row],[2023 Cost (LCU)]])/FX_Rate, "")</f>
        <v>0</v>
      </c>
      <c r="AH126" s="63">
        <f>IFERROR(SUM(TblDetailBudget[[#This Row],[2024 Cost (LCU)]])/FX_Rate, "")</f>
        <v>0</v>
      </c>
      <c r="AI126" s="63">
        <f>IFERROR(SUM(TblDetailBudget[[#This Row],[2025 Cost (LCU)]])/FX_Rate, "")</f>
        <v>0</v>
      </c>
      <c r="AJ126" s="125">
        <f>SUM(TblDetailBudget[[#This Row],[2021 Cost (USD)]:[2025 Cost (USD)]])</f>
        <v>0</v>
      </c>
      <c r="AK126" s="180"/>
    </row>
    <row r="127" spans="2:37" ht="12.75" hidden="1" customHeight="1">
      <c r="B127" s="122" t="s">
        <v>71</v>
      </c>
      <c r="C12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1.2.3.3.2</v>
      </c>
      <c r="D127" s="62">
        <f>IF(TblDetailBudget[[#This Row],[Level]]="", "", COUNTIFS($B$8:TblDetailBudget[[#This Row],[Level]], Lvl1Hdr))</f>
        <v>1</v>
      </c>
      <c r="E127" s="62">
        <f>IF(TblDetailBudget[[#This Row],[Level]]="", "", COUNTIFS($B$8:TblDetailBudget[[#This Row],[Level]], Lvl2Hdr, $D$8:TblDetailBudget[[#This Row],[Lvl 1 Header]], TblDetailBudget[[#This Row],[Lvl 1 Header]]))</f>
        <v>2</v>
      </c>
      <c r="F12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2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12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127" s="101"/>
      <c r="J127" s="101"/>
      <c r="K127" s="88"/>
      <c r="L127" s="88"/>
      <c r="M127" s="62" t="str">
        <f>IF(TblDetailBudget[[#This Row],[Level]]=LvlBottomHdr, IFERROR(INDEX(TblUnitCost[Unit], MATCH(TblDetailBudget[[#This Row],[Row Title]], TblUnitCost[Resource], 0)), "Invalid Resource"), "")</f>
        <v>Invalid Resource</v>
      </c>
      <c r="N127" s="125" t="str">
        <f>IF(TblDetailBudget[[#This Row],[Level]]=LvlBottomHdr, IFERROR(INDEX(TblUnitCost[LCU], MATCH(TblDetailBudget[[#This Row],[Row Title]], TblUnitCost[Resource], 0)), "Invalid Resource"), "")</f>
        <v>Invalid Resource</v>
      </c>
      <c r="O127" s="128"/>
      <c r="P127" s="108"/>
      <c r="Q127" s="185"/>
      <c r="R127" s="129"/>
      <c r="S127" s="108"/>
      <c r="T127" s="108"/>
      <c r="U127" s="108"/>
      <c r="V127" s="108"/>
      <c r="W127" s="108"/>
      <c r="X127" s="125" t="str">
        <f>IF(TblDetailBudget[[#This Row],[Level]]=LvlBottomHdr, IF(SUM(TblDetailBudget[[#This Row],[2021 Quant]:[2025 Quant]])&gt;0, SUM(TblDetailBudget[[#This Row],[2021 Quant]:[2025 Quant]]), ""), "")</f>
        <v/>
      </c>
      <c r="Y127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2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2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2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2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27" s="140">
        <f>SUM(TblDetailBudget[[#This Row],[2021 Cost (LCU)]:[2025 Cost (LCU)]])</f>
        <v>0</v>
      </c>
      <c r="AE127" s="134">
        <f>IFERROR(SUM(TblDetailBudget[[#This Row],[2021 Cost (LCU)]])/FX_Rate, "")</f>
        <v>0</v>
      </c>
      <c r="AF127" s="63">
        <f>IFERROR(SUM(TblDetailBudget[[#This Row],[2022 Cost (LCU)]])/FX_Rate, "")</f>
        <v>0</v>
      </c>
      <c r="AG127" s="63">
        <f>IFERROR(SUM(TblDetailBudget[[#This Row],[2023 Cost (LCU)]])/FX_Rate, "")</f>
        <v>0</v>
      </c>
      <c r="AH127" s="63">
        <f>IFERROR(SUM(TblDetailBudget[[#This Row],[2024 Cost (LCU)]])/FX_Rate, "")</f>
        <v>0</v>
      </c>
      <c r="AI127" s="63">
        <f>IFERROR(SUM(TblDetailBudget[[#This Row],[2025 Cost (LCU)]])/FX_Rate, "")</f>
        <v>0</v>
      </c>
      <c r="AJ127" s="125">
        <f>SUM(TblDetailBudget[[#This Row],[2021 Cost (USD)]:[2025 Cost (USD)]])</f>
        <v>0</v>
      </c>
      <c r="AK127" s="180"/>
    </row>
    <row r="128" spans="2:37" ht="12.75" hidden="1" customHeight="1">
      <c r="B128" s="122" t="s">
        <v>71</v>
      </c>
      <c r="C12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1.2.3.3.3</v>
      </c>
      <c r="D128" s="62">
        <f>IF(TblDetailBudget[[#This Row],[Level]]="", "", COUNTIFS($B$8:TblDetailBudget[[#This Row],[Level]], Lvl1Hdr))</f>
        <v>1</v>
      </c>
      <c r="E128" s="62">
        <f>IF(TblDetailBudget[[#This Row],[Level]]="", "", COUNTIFS($B$8:TblDetailBudget[[#This Row],[Level]], Lvl2Hdr, $D$8:TblDetailBudget[[#This Row],[Lvl 1 Header]], TblDetailBudget[[#This Row],[Lvl 1 Header]]))</f>
        <v>2</v>
      </c>
      <c r="F12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2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12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3</v>
      </c>
      <c r="I128" s="101"/>
      <c r="J128" s="101"/>
      <c r="K128" s="88"/>
      <c r="L128" s="88"/>
      <c r="M128" s="62" t="str">
        <f>IF(TblDetailBudget[[#This Row],[Level]]=LvlBottomHdr, IFERROR(INDEX(TblUnitCost[Unit], MATCH(TblDetailBudget[[#This Row],[Row Title]], TblUnitCost[Resource], 0)), "Invalid Resource"), "")</f>
        <v>Invalid Resource</v>
      </c>
      <c r="N128" s="125" t="str">
        <f>IF(TblDetailBudget[[#This Row],[Level]]=LvlBottomHdr, IFERROR(INDEX(TblUnitCost[LCU], MATCH(TblDetailBudget[[#This Row],[Row Title]], TblUnitCost[Resource], 0)), "Invalid Resource"), "")</f>
        <v>Invalid Resource</v>
      </c>
      <c r="O128" s="128"/>
      <c r="P128" s="108"/>
      <c r="Q128" s="185"/>
      <c r="R128" s="129"/>
      <c r="S128" s="108"/>
      <c r="T128" s="108"/>
      <c r="U128" s="108"/>
      <c r="V128" s="108"/>
      <c r="W128" s="108"/>
      <c r="X128" s="125" t="str">
        <f>IF(TblDetailBudget[[#This Row],[Level]]=LvlBottomHdr, IF(SUM(TblDetailBudget[[#This Row],[2021 Quant]:[2025 Quant]])&gt;0, SUM(TblDetailBudget[[#This Row],[2021 Quant]:[2025 Quant]]), ""), "")</f>
        <v/>
      </c>
      <c r="Y128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2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2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2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2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28" s="140">
        <f>SUM(TblDetailBudget[[#This Row],[2021 Cost (LCU)]:[2025 Cost (LCU)]])</f>
        <v>0</v>
      </c>
      <c r="AE128" s="134">
        <f>IFERROR(SUM(TblDetailBudget[[#This Row],[2021 Cost (LCU)]])/FX_Rate, "")</f>
        <v>0</v>
      </c>
      <c r="AF128" s="63">
        <f>IFERROR(SUM(TblDetailBudget[[#This Row],[2022 Cost (LCU)]])/FX_Rate, "")</f>
        <v>0</v>
      </c>
      <c r="AG128" s="63">
        <f>IFERROR(SUM(TblDetailBudget[[#This Row],[2023 Cost (LCU)]])/FX_Rate, "")</f>
        <v>0</v>
      </c>
      <c r="AH128" s="63">
        <f>IFERROR(SUM(TblDetailBudget[[#This Row],[2024 Cost (LCU)]])/FX_Rate, "")</f>
        <v>0</v>
      </c>
      <c r="AI128" s="63">
        <f>IFERROR(SUM(TblDetailBudget[[#This Row],[2025 Cost (LCU)]])/FX_Rate, "")</f>
        <v>0</v>
      </c>
      <c r="AJ128" s="125">
        <f>SUM(TblDetailBudget[[#This Row],[2021 Cost (USD)]:[2025 Cost (USD)]])</f>
        <v>0</v>
      </c>
      <c r="AK128" s="180"/>
    </row>
    <row r="129" spans="2:37" ht="12.75" hidden="1" customHeight="1">
      <c r="B129" s="122" t="s">
        <v>71</v>
      </c>
      <c r="C12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1.2.3.3.4</v>
      </c>
      <c r="D129" s="62">
        <f>IF(TblDetailBudget[[#This Row],[Level]]="", "", COUNTIFS($B$8:TblDetailBudget[[#This Row],[Level]], Lvl1Hdr))</f>
        <v>1</v>
      </c>
      <c r="E129" s="62">
        <f>IF(TblDetailBudget[[#This Row],[Level]]="", "", COUNTIFS($B$8:TblDetailBudget[[#This Row],[Level]], Lvl2Hdr, $D$8:TblDetailBudget[[#This Row],[Lvl 1 Header]], TblDetailBudget[[#This Row],[Lvl 1 Header]]))</f>
        <v>2</v>
      </c>
      <c r="F12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2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12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4</v>
      </c>
      <c r="I129" s="101"/>
      <c r="J129" s="101"/>
      <c r="K129" s="88"/>
      <c r="L129" s="88"/>
      <c r="M129" s="62" t="str">
        <f>IF(TblDetailBudget[[#This Row],[Level]]=LvlBottomHdr, IFERROR(INDEX(TblUnitCost[Unit], MATCH(TblDetailBudget[[#This Row],[Row Title]], TblUnitCost[Resource], 0)), "Invalid Resource"), "")</f>
        <v>Invalid Resource</v>
      </c>
      <c r="N129" s="125" t="str">
        <f>IF(TblDetailBudget[[#This Row],[Level]]=LvlBottomHdr, IFERROR(INDEX(TblUnitCost[LCU], MATCH(TblDetailBudget[[#This Row],[Row Title]], TblUnitCost[Resource], 0)), "Invalid Resource"), "")</f>
        <v>Invalid Resource</v>
      </c>
      <c r="O129" s="128"/>
      <c r="P129" s="108"/>
      <c r="Q129" s="185"/>
      <c r="R129" s="129"/>
      <c r="S129" s="108"/>
      <c r="T129" s="108"/>
      <c r="U129" s="108"/>
      <c r="V129" s="108"/>
      <c r="W129" s="108"/>
      <c r="X129" s="125" t="str">
        <f>IF(TblDetailBudget[[#This Row],[Level]]=LvlBottomHdr, IF(SUM(TblDetailBudget[[#This Row],[2021 Quant]:[2025 Quant]])&gt;0, SUM(TblDetailBudget[[#This Row],[2021 Quant]:[2025 Quant]]), ""), "")</f>
        <v/>
      </c>
      <c r="Y12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2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2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2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2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29" s="140">
        <f>SUM(TblDetailBudget[[#This Row],[2021 Cost (LCU)]:[2025 Cost (LCU)]])</f>
        <v>0</v>
      </c>
      <c r="AE129" s="134">
        <f>IFERROR(SUM(TblDetailBudget[[#This Row],[2021 Cost (LCU)]])/FX_Rate, "")</f>
        <v>0</v>
      </c>
      <c r="AF129" s="63">
        <f>IFERROR(SUM(TblDetailBudget[[#This Row],[2022 Cost (LCU)]])/FX_Rate, "")</f>
        <v>0</v>
      </c>
      <c r="AG129" s="63">
        <f>IFERROR(SUM(TblDetailBudget[[#This Row],[2023 Cost (LCU)]])/FX_Rate, "")</f>
        <v>0</v>
      </c>
      <c r="AH129" s="63">
        <f>IFERROR(SUM(TblDetailBudget[[#This Row],[2024 Cost (LCU)]])/FX_Rate, "")</f>
        <v>0</v>
      </c>
      <c r="AI129" s="63">
        <f>IFERROR(SUM(TblDetailBudget[[#This Row],[2025 Cost (LCU)]])/FX_Rate, "")</f>
        <v>0</v>
      </c>
      <c r="AJ129" s="125">
        <f>SUM(TblDetailBudget[[#This Row],[2021 Cost (USD)]:[2025 Cost (USD)]])</f>
        <v>0</v>
      </c>
      <c r="AK129" s="180"/>
    </row>
    <row r="130" spans="2:37" ht="12.75" hidden="1" customHeight="1">
      <c r="B130" s="122" t="s">
        <v>70</v>
      </c>
      <c r="C13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1.2.3.4</v>
      </c>
      <c r="D130" s="62">
        <f>IF(TblDetailBudget[[#This Row],[Level]]="", "", COUNTIFS($B$8:TblDetailBudget[[#This Row],[Level]], Lvl1Hdr))</f>
        <v>1</v>
      </c>
      <c r="E130" s="62">
        <f>IF(TblDetailBudget[[#This Row],[Level]]="", "", COUNTIFS($B$8:TblDetailBudget[[#This Row],[Level]], Lvl2Hdr, $D$8:TblDetailBudget[[#This Row],[Lvl 1 Header]], TblDetailBudget[[#This Row],[Lvl 1 Header]]))</f>
        <v>2</v>
      </c>
      <c r="F13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3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13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30" s="101"/>
      <c r="J130" s="101"/>
      <c r="K130" s="88"/>
      <c r="L130" s="88"/>
      <c r="M130" s="62" t="str">
        <f>IF(TblDetailBudget[[#This Row],[Level]]=LvlBottomHdr, IFERROR(INDEX(TblUnitCost[Unit], MATCH(TblDetailBudget[[#This Row],[Row Title]], TblUnitCost[Resource], 0)), "Invalid Resource"), "")</f>
        <v/>
      </c>
      <c r="N130" s="125" t="str">
        <f>IF(TblDetailBudget[[#This Row],[Level]]=LvlBottomHdr, IFERROR(INDEX(TblUnitCost[LCU], MATCH(TblDetailBudget[[#This Row],[Row Title]], TblUnitCost[Resource], 0)), "Invalid Resource"), "")</f>
        <v/>
      </c>
      <c r="O130" s="128"/>
      <c r="P130" s="108"/>
      <c r="Q130" s="185"/>
      <c r="R130" s="129"/>
      <c r="S130" s="108"/>
      <c r="T130" s="108"/>
      <c r="U130" s="108"/>
      <c r="V130" s="108"/>
      <c r="W130" s="108"/>
      <c r="X130" s="125" t="str">
        <f>IF(TblDetailBudget[[#This Row],[Level]]=LvlBottomHdr, IF(SUM(TblDetailBudget[[#This Row],[2021 Quant]:[2025 Quant]])&gt;0, SUM(TblDetailBudget[[#This Row],[2021 Quant]:[2025 Quant]]), ""), "")</f>
        <v/>
      </c>
      <c r="Y13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3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3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3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3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30" s="140">
        <f>SUM(TblDetailBudget[[#This Row],[2021 Cost (LCU)]:[2025 Cost (LCU)]])</f>
        <v>0</v>
      </c>
      <c r="AE130" s="134">
        <f>IFERROR(SUM(TblDetailBudget[[#This Row],[2021 Cost (LCU)]])/FX_Rate, "")</f>
        <v>0</v>
      </c>
      <c r="AF130" s="63">
        <f>IFERROR(SUM(TblDetailBudget[[#This Row],[2022 Cost (LCU)]])/FX_Rate, "")</f>
        <v>0</v>
      </c>
      <c r="AG130" s="63">
        <f>IFERROR(SUM(TblDetailBudget[[#This Row],[2023 Cost (LCU)]])/FX_Rate, "")</f>
        <v>0</v>
      </c>
      <c r="AH130" s="63">
        <f>IFERROR(SUM(TblDetailBudget[[#This Row],[2024 Cost (LCU)]])/FX_Rate, "")</f>
        <v>0</v>
      </c>
      <c r="AI130" s="63">
        <f>IFERROR(SUM(TblDetailBudget[[#This Row],[2025 Cost (LCU)]])/FX_Rate, "")</f>
        <v>0</v>
      </c>
      <c r="AJ130" s="125">
        <f>SUM(TblDetailBudget[[#This Row],[2021 Cost (USD)]:[2025 Cost (USD)]])</f>
        <v>0</v>
      </c>
      <c r="AK130" s="180"/>
    </row>
    <row r="131" spans="2:37" ht="12.75" hidden="1" customHeight="1">
      <c r="B131" s="122" t="s">
        <v>71</v>
      </c>
      <c r="C13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1.2.3.4.1</v>
      </c>
      <c r="D131" s="62">
        <f>IF(TblDetailBudget[[#This Row],[Level]]="", "", COUNTIFS($B$8:TblDetailBudget[[#This Row],[Level]], Lvl1Hdr))</f>
        <v>1</v>
      </c>
      <c r="E131" s="62">
        <f>IF(TblDetailBudget[[#This Row],[Level]]="", "", COUNTIFS($B$8:TblDetailBudget[[#This Row],[Level]], Lvl2Hdr, $D$8:TblDetailBudget[[#This Row],[Lvl 1 Header]], TblDetailBudget[[#This Row],[Lvl 1 Header]]))</f>
        <v>2</v>
      </c>
      <c r="F13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3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13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31" s="101"/>
      <c r="J131" s="101"/>
      <c r="K131" s="88"/>
      <c r="L131" s="88"/>
      <c r="M131" s="62" t="str">
        <f>IF(TblDetailBudget[[#This Row],[Level]]=LvlBottomHdr, IFERROR(INDEX(TblUnitCost[Unit], MATCH(TblDetailBudget[[#This Row],[Row Title]], TblUnitCost[Resource], 0)), "Invalid Resource"), "")</f>
        <v>Invalid Resource</v>
      </c>
      <c r="N131" s="125" t="str">
        <f>IF(TblDetailBudget[[#This Row],[Level]]=LvlBottomHdr, IFERROR(INDEX(TblUnitCost[LCU], MATCH(TblDetailBudget[[#This Row],[Row Title]], TblUnitCost[Resource], 0)), "Invalid Resource"), "")</f>
        <v>Invalid Resource</v>
      </c>
      <c r="O131" s="128"/>
      <c r="P131" s="108"/>
      <c r="Q131" s="185"/>
      <c r="R131" s="129"/>
      <c r="S131" s="108"/>
      <c r="T131" s="108"/>
      <c r="U131" s="108"/>
      <c r="V131" s="108"/>
      <c r="W131" s="108"/>
      <c r="X131" s="125" t="str">
        <f>IF(TblDetailBudget[[#This Row],[Level]]=LvlBottomHdr, IF(SUM(TblDetailBudget[[#This Row],[2021 Quant]:[2025 Quant]])&gt;0, SUM(TblDetailBudget[[#This Row],[2021 Quant]:[2025 Quant]]), ""), "")</f>
        <v/>
      </c>
      <c r="Y131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3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3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3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3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31" s="140">
        <f>SUM(TblDetailBudget[[#This Row],[2021 Cost (LCU)]:[2025 Cost (LCU)]])</f>
        <v>0</v>
      </c>
      <c r="AE131" s="134">
        <f>IFERROR(SUM(TblDetailBudget[[#This Row],[2021 Cost (LCU)]])/FX_Rate, "")</f>
        <v>0</v>
      </c>
      <c r="AF131" s="63">
        <f>IFERROR(SUM(TblDetailBudget[[#This Row],[2022 Cost (LCU)]])/FX_Rate, "")</f>
        <v>0</v>
      </c>
      <c r="AG131" s="63">
        <f>IFERROR(SUM(TblDetailBudget[[#This Row],[2023 Cost (LCU)]])/FX_Rate, "")</f>
        <v>0</v>
      </c>
      <c r="AH131" s="63">
        <f>IFERROR(SUM(TblDetailBudget[[#This Row],[2024 Cost (LCU)]])/FX_Rate, "")</f>
        <v>0</v>
      </c>
      <c r="AI131" s="63">
        <f>IFERROR(SUM(TblDetailBudget[[#This Row],[2025 Cost (LCU)]])/FX_Rate, "")</f>
        <v>0</v>
      </c>
      <c r="AJ131" s="125">
        <f>SUM(TblDetailBudget[[#This Row],[2021 Cost (USD)]:[2025 Cost (USD)]])</f>
        <v>0</v>
      </c>
      <c r="AK131" s="180"/>
    </row>
    <row r="132" spans="2:37" ht="12.75" hidden="1" customHeight="1">
      <c r="B132" s="122" t="s">
        <v>71</v>
      </c>
      <c r="C13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1.2.3.4.2</v>
      </c>
      <c r="D132" s="62">
        <f>IF(TblDetailBudget[[#This Row],[Level]]="", "", COUNTIFS($B$8:TblDetailBudget[[#This Row],[Level]], Lvl1Hdr))</f>
        <v>1</v>
      </c>
      <c r="E132" s="62">
        <f>IF(TblDetailBudget[[#This Row],[Level]]="", "", COUNTIFS($B$8:TblDetailBudget[[#This Row],[Level]], Lvl2Hdr, $D$8:TblDetailBudget[[#This Row],[Lvl 1 Header]], TblDetailBudget[[#This Row],[Lvl 1 Header]]))</f>
        <v>2</v>
      </c>
      <c r="F13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3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13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132" s="101"/>
      <c r="J132" s="101"/>
      <c r="K132" s="88"/>
      <c r="L132" s="88"/>
      <c r="M132" s="62" t="str">
        <f>IF(TblDetailBudget[[#This Row],[Level]]=LvlBottomHdr, IFERROR(INDEX(TblUnitCost[Unit], MATCH(TblDetailBudget[[#This Row],[Row Title]], TblUnitCost[Resource], 0)), "Invalid Resource"), "")</f>
        <v>Invalid Resource</v>
      </c>
      <c r="N132" s="125" t="str">
        <f>IF(TblDetailBudget[[#This Row],[Level]]=LvlBottomHdr, IFERROR(INDEX(TblUnitCost[LCU], MATCH(TblDetailBudget[[#This Row],[Row Title]], TblUnitCost[Resource], 0)), "Invalid Resource"), "")</f>
        <v>Invalid Resource</v>
      </c>
      <c r="O132" s="128"/>
      <c r="P132" s="108"/>
      <c r="Q132" s="185"/>
      <c r="R132" s="129"/>
      <c r="S132" s="108"/>
      <c r="T132" s="108"/>
      <c r="U132" s="108"/>
      <c r="V132" s="108"/>
      <c r="W132" s="108"/>
      <c r="X132" s="125" t="str">
        <f>IF(TblDetailBudget[[#This Row],[Level]]=LvlBottomHdr, IF(SUM(TblDetailBudget[[#This Row],[2021 Quant]:[2025 Quant]])&gt;0, SUM(TblDetailBudget[[#This Row],[2021 Quant]:[2025 Quant]]), ""), "")</f>
        <v/>
      </c>
      <c r="Y132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3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3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3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3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32" s="140">
        <f>SUM(TblDetailBudget[[#This Row],[2021 Cost (LCU)]:[2025 Cost (LCU)]])</f>
        <v>0</v>
      </c>
      <c r="AE132" s="134">
        <f>IFERROR(SUM(TblDetailBudget[[#This Row],[2021 Cost (LCU)]])/FX_Rate, "")</f>
        <v>0</v>
      </c>
      <c r="AF132" s="63">
        <f>IFERROR(SUM(TblDetailBudget[[#This Row],[2022 Cost (LCU)]])/FX_Rate, "")</f>
        <v>0</v>
      </c>
      <c r="AG132" s="63">
        <f>IFERROR(SUM(TblDetailBudget[[#This Row],[2023 Cost (LCU)]])/FX_Rate, "")</f>
        <v>0</v>
      </c>
      <c r="AH132" s="63">
        <f>IFERROR(SUM(TblDetailBudget[[#This Row],[2024 Cost (LCU)]])/FX_Rate, "")</f>
        <v>0</v>
      </c>
      <c r="AI132" s="63">
        <f>IFERROR(SUM(TblDetailBudget[[#This Row],[2025 Cost (LCU)]])/FX_Rate, "")</f>
        <v>0</v>
      </c>
      <c r="AJ132" s="125">
        <f>SUM(TblDetailBudget[[#This Row],[2021 Cost (USD)]:[2025 Cost (USD)]])</f>
        <v>0</v>
      </c>
      <c r="AK132" s="180"/>
    </row>
    <row r="133" spans="2:37" ht="12.75" hidden="1" customHeight="1">
      <c r="B133" s="122" t="s">
        <v>71</v>
      </c>
      <c r="C13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1.2.3.4.3</v>
      </c>
      <c r="D133" s="62">
        <f>IF(TblDetailBudget[[#This Row],[Level]]="", "", COUNTIFS($B$8:TblDetailBudget[[#This Row],[Level]], Lvl1Hdr))</f>
        <v>1</v>
      </c>
      <c r="E133" s="62">
        <f>IF(TblDetailBudget[[#This Row],[Level]]="", "", COUNTIFS($B$8:TblDetailBudget[[#This Row],[Level]], Lvl2Hdr, $D$8:TblDetailBudget[[#This Row],[Lvl 1 Header]], TblDetailBudget[[#This Row],[Lvl 1 Header]]))</f>
        <v>2</v>
      </c>
      <c r="F13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3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13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3</v>
      </c>
      <c r="I133" s="101"/>
      <c r="J133" s="101"/>
      <c r="K133" s="88"/>
      <c r="L133" s="88"/>
      <c r="M133" s="62" t="str">
        <f>IF(TblDetailBudget[[#This Row],[Level]]=LvlBottomHdr, IFERROR(INDEX(TblUnitCost[Unit], MATCH(TblDetailBudget[[#This Row],[Row Title]], TblUnitCost[Resource], 0)), "Invalid Resource"), "")</f>
        <v>Invalid Resource</v>
      </c>
      <c r="N133" s="125" t="str">
        <f>IF(TblDetailBudget[[#This Row],[Level]]=LvlBottomHdr, IFERROR(INDEX(TblUnitCost[LCU], MATCH(TblDetailBudget[[#This Row],[Row Title]], TblUnitCost[Resource], 0)), "Invalid Resource"), "")</f>
        <v>Invalid Resource</v>
      </c>
      <c r="O133" s="128"/>
      <c r="P133" s="108"/>
      <c r="Q133" s="185"/>
      <c r="R133" s="129"/>
      <c r="S133" s="108"/>
      <c r="T133" s="108"/>
      <c r="U133" s="108"/>
      <c r="V133" s="108"/>
      <c r="W133" s="108"/>
      <c r="X133" s="125" t="str">
        <f>IF(TblDetailBudget[[#This Row],[Level]]=LvlBottomHdr, IF(SUM(TblDetailBudget[[#This Row],[2021 Quant]:[2025 Quant]])&gt;0, SUM(TblDetailBudget[[#This Row],[2021 Quant]:[2025 Quant]]), ""), "")</f>
        <v/>
      </c>
      <c r="Y133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3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3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3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3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33" s="140">
        <f>SUM(TblDetailBudget[[#This Row],[2021 Cost (LCU)]:[2025 Cost (LCU)]])</f>
        <v>0</v>
      </c>
      <c r="AE133" s="134">
        <f>IFERROR(SUM(TblDetailBudget[[#This Row],[2021 Cost (LCU)]])/FX_Rate, "")</f>
        <v>0</v>
      </c>
      <c r="AF133" s="63">
        <f>IFERROR(SUM(TblDetailBudget[[#This Row],[2022 Cost (LCU)]])/FX_Rate, "")</f>
        <v>0</v>
      </c>
      <c r="AG133" s="63">
        <f>IFERROR(SUM(TblDetailBudget[[#This Row],[2023 Cost (LCU)]])/FX_Rate, "")</f>
        <v>0</v>
      </c>
      <c r="AH133" s="63">
        <f>IFERROR(SUM(TblDetailBudget[[#This Row],[2024 Cost (LCU)]])/FX_Rate, "")</f>
        <v>0</v>
      </c>
      <c r="AI133" s="63">
        <f>IFERROR(SUM(TblDetailBudget[[#This Row],[2025 Cost (LCU)]])/FX_Rate, "")</f>
        <v>0</v>
      </c>
      <c r="AJ133" s="125">
        <f>SUM(TblDetailBudget[[#This Row],[2021 Cost (USD)]:[2025 Cost (USD)]])</f>
        <v>0</v>
      </c>
      <c r="AK133" s="180"/>
    </row>
    <row r="134" spans="2:37" ht="12.75" hidden="1" customHeight="1">
      <c r="B134" s="122" t="s">
        <v>70</v>
      </c>
      <c r="C13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1.2.3.5</v>
      </c>
      <c r="D134" s="62">
        <f>IF(TblDetailBudget[[#This Row],[Level]]="", "", COUNTIFS($B$8:TblDetailBudget[[#This Row],[Level]], Lvl1Hdr))</f>
        <v>1</v>
      </c>
      <c r="E134" s="62">
        <f>IF(TblDetailBudget[[#This Row],[Level]]="", "", COUNTIFS($B$8:TblDetailBudget[[#This Row],[Level]], Lvl2Hdr, $D$8:TblDetailBudget[[#This Row],[Lvl 1 Header]], TblDetailBudget[[#This Row],[Lvl 1 Header]]))</f>
        <v>2</v>
      </c>
      <c r="F13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3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13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34" s="101"/>
      <c r="J134" s="101"/>
      <c r="K134" s="88"/>
      <c r="L134" s="88"/>
      <c r="M134" s="62" t="str">
        <f>IF(TblDetailBudget[[#This Row],[Level]]=LvlBottomHdr, IFERROR(INDEX(TblUnitCost[Unit], MATCH(TblDetailBudget[[#This Row],[Row Title]], TblUnitCost[Resource], 0)), "Invalid Resource"), "")</f>
        <v/>
      </c>
      <c r="N134" s="125" t="str">
        <f>IF(TblDetailBudget[[#This Row],[Level]]=LvlBottomHdr, IFERROR(INDEX(TblUnitCost[LCU], MATCH(TblDetailBudget[[#This Row],[Row Title]], TblUnitCost[Resource], 0)), "Invalid Resource"), "")</f>
        <v/>
      </c>
      <c r="O134" s="128"/>
      <c r="P134" s="108"/>
      <c r="Q134" s="185"/>
      <c r="R134" s="129"/>
      <c r="S134" s="108"/>
      <c r="T134" s="108"/>
      <c r="U134" s="108"/>
      <c r="V134" s="108"/>
      <c r="W134" s="108"/>
      <c r="X134" s="125" t="str">
        <f>IF(TblDetailBudget[[#This Row],[Level]]=LvlBottomHdr, IF(SUM(TblDetailBudget[[#This Row],[2021 Quant]:[2025 Quant]])&gt;0, SUM(TblDetailBudget[[#This Row],[2021 Quant]:[2025 Quant]]), ""), "")</f>
        <v/>
      </c>
      <c r="Y134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3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3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3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3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34" s="140">
        <f>SUM(TblDetailBudget[[#This Row],[2021 Cost (LCU)]:[2025 Cost (LCU)]])</f>
        <v>0</v>
      </c>
      <c r="AE134" s="134">
        <f>IFERROR(SUM(TblDetailBudget[[#This Row],[2021 Cost (LCU)]])/FX_Rate, "")</f>
        <v>0</v>
      </c>
      <c r="AF134" s="63">
        <f>IFERROR(SUM(TblDetailBudget[[#This Row],[2022 Cost (LCU)]])/FX_Rate, "")</f>
        <v>0</v>
      </c>
      <c r="AG134" s="63">
        <f>IFERROR(SUM(TblDetailBudget[[#This Row],[2023 Cost (LCU)]])/FX_Rate, "")</f>
        <v>0</v>
      </c>
      <c r="AH134" s="63">
        <f>IFERROR(SUM(TblDetailBudget[[#This Row],[2024 Cost (LCU)]])/FX_Rate, "")</f>
        <v>0</v>
      </c>
      <c r="AI134" s="63">
        <f>IFERROR(SUM(TblDetailBudget[[#This Row],[2025 Cost (LCU)]])/FX_Rate, "")</f>
        <v>0</v>
      </c>
      <c r="AJ134" s="125">
        <f>SUM(TblDetailBudget[[#This Row],[2021 Cost (USD)]:[2025 Cost (USD)]])</f>
        <v>0</v>
      </c>
      <c r="AK134" s="180"/>
    </row>
    <row r="135" spans="2:37" ht="12.75" hidden="1" customHeight="1">
      <c r="B135" s="122" t="s">
        <v>71</v>
      </c>
      <c r="C13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1.2.3.5.1</v>
      </c>
      <c r="D135" s="62">
        <f>IF(TblDetailBudget[[#This Row],[Level]]="", "", COUNTIFS($B$8:TblDetailBudget[[#This Row],[Level]], Lvl1Hdr))</f>
        <v>1</v>
      </c>
      <c r="E135" s="62">
        <f>IF(TblDetailBudget[[#This Row],[Level]]="", "", COUNTIFS($B$8:TblDetailBudget[[#This Row],[Level]], Lvl2Hdr, $D$8:TblDetailBudget[[#This Row],[Lvl 1 Header]], TblDetailBudget[[#This Row],[Lvl 1 Header]]))</f>
        <v>2</v>
      </c>
      <c r="F13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3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13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35" s="101"/>
      <c r="J135" s="101"/>
      <c r="K135" s="88"/>
      <c r="L135" s="88"/>
      <c r="M135" s="62" t="str">
        <f>IF(TblDetailBudget[[#This Row],[Level]]=LvlBottomHdr, IFERROR(INDEX(TblUnitCost[Unit], MATCH(TblDetailBudget[[#This Row],[Row Title]], TblUnitCost[Resource], 0)), "Invalid Resource"), "")</f>
        <v>Invalid Resource</v>
      </c>
      <c r="N135" s="125" t="str">
        <f>IF(TblDetailBudget[[#This Row],[Level]]=LvlBottomHdr, IFERROR(INDEX(TblUnitCost[LCU], MATCH(TblDetailBudget[[#This Row],[Row Title]], TblUnitCost[Resource], 0)), "Invalid Resource"), "")</f>
        <v>Invalid Resource</v>
      </c>
      <c r="O135" s="128"/>
      <c r="P135" s="108"/>
      <c r="Q135" s="185"/>
      <c r="R135" s="129"/>
      <c r="S135" s="108"/>
      <c r="T135" s="108"/>
      <c r="U135" s="108"/>
      <c r="V135" s="108"/>
      <c r="W135" s="108"/>
      <c r="X135" s="125" t="str">
        <f>IF(TblDetailBudget[[#This Row],[Level]]=LvlBottomHdr, IF(SUM(TblDetailBudget[[#This Row],[2021 Quant]:[2025 Quant]])&gt;0, SUM(TblDetailBudget[[#This Row],[2021 Quant]:[2025 Quant]]), ""), "")</f>
        <v/>
      </c>
      <c r="Y135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3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3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3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3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35" s="140">
        <f>SUM(TblDetailBudget[[#This Row],[2021 Cost (LCU)]:[2025 Cost (LCU)]])</f>
        <v>0</v>
      </c>
      <c r="AE135" s="134">
        <f>IFERROR(SUM(TblDetailBudget[[#This Row],[2021 Cost (LCU)]])/FX_Rate, "")</f>
        <v>0</v>
      </c>
      <c r="AF135" s="63">
        <f>IFERROR(SUM(TblDetailBudget[[#This Row],[2022 Cost (LCU)]])/FX_Rate, "")</f>
        <v>0</v>
      </c>
      <c r="AG135" s="63">
        <f>IFERROR(SUM(TblDetailBudget[[#This Row],[2023 Cost (LCU)]])/FX_Rate, "")</f>
        <v>0</v>
      </c>
      <c r="AH135" s="63">
        <f>IFERROR(SUM(TblDetailBudget[[#This Row],[2024 Cost (LCU)]])/FX_Rate, "")</f>
        <v>0</v>
      </c>
      <c r="AI135" s="63">
        <f>IFERROR(SUM(TblDetailBudget[[#This Row],[2025 Cost (LCU)]])/FX_Rate, "")</f>
        <v>0</v>
      </c>
      <c r="AJ135" s="125">
        <f>SUM(TblDetailBudget[[#This Row],[2021 Cost (USD)]:[2025 Cost (USD)]])</f>
        <v>0</v>
      </c>
      <c r="AK135" s="180"/>
    </row>
    <row r="136" spans="2:37" ht="12.75" hidden="1" customHeight="1">
      <c r="B136" s="122" t="s">
        <v>71</v>
      </c>
      <c r="C13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1.2.3.5.2</v>
      </c>
      <c r="D136" s="62">
        <f>IF(TblDetailBudget[[#This Row],[Level]]="", "", COUNTIFS($B$8:TblDetailBudget[[#This Row],[Level]], Lvl1Hdr))</f>
        <v>1</v>
      </c>
      <c r="E136" s="62">
        <f>IF(TblDetailBudget[[#This Row],[Level]]="", "", COUNTIFS($B$8:TblDetailBudget[[#This Row],[Level]], Lvl2Hdr, $D$8:TblDetailBudget[[#This Row],[Lvl 1 Header]], TblDetailBudget[[#This Row],[Lvl 1 Header]]))</f>
        <v>2</v>
      </c>
      <c r="F13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3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13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136" s="101"/>
      <c r="J136" s="101"/>
      <c r="K136" s="88"/>
      <c r="L136" s="88"/>
      <c r="M136" s="62" t="str">
        <f>IF(TblDetailBudget[[#This Row],[Level]]=LvlBottomHdr, IFERROR(INDEX(TblUnitCost[Unit], MATCH(TblDetailBudget[[#This Row],[Row Title]], TblUnitCost[Resource], 0)), "Invalid Resource"), "")</f>
        <v>Invalid Resource</v>
      </c>
      <c r="N136" s="125" t="str">
        <f>IF(TblDetailBudget[[#This Row],[Level]]=LvlBottomHdr, IFERROR(INDEX(TblUnitCost[LCU], MATCH(TblDetailBudget[[#This Row],[Row Title]], TblUnitCost[Resource], 0)), "Invalid Resource"), "")</f>
        <v>Invalid Resource</v>
      </c>
      <c r="O136" s="128"/>
      <c r="P136" s="108"/>
      <c r="Q136" s="185"/>
      <c r="R136" s="129"/>
      <c r="S136" s="108"/>
      <c r="T136" s="108"/>
      <c r="U136" s="108"/>
      <c r="V136" s="108"/>
      <c r="W136" s="108"/>
      <c r="X136" s="125" t="str">
        <f>IF(TblDetailBudget[[#This Row],[Level]]=LvlBottomHdr, IF(SUM(TblDetailBudget[[#This Row],[2021 Quant]:[2025 Quant]])&gt;0, SUM(TblDetailBudget[[#This Row],[2021 Quant]:[2025 Quant]]), ""), "")</f>
        <v/>
      </c>
      <c r="Y136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3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3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3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3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36" s="140">
        <f>SUM(TblDetailBudget[[#This Row],[2021 Cost (LCU)]:[2025 Cost (LCU)]])</f>
        <v>0</v>
      </c>
      <c r="AE136" s="134">
        <f>IFERROR(SUM(TblDetailBudget[[#This Row],[2021 Cost (LCU)]])/FX_Rate, "")</f>
        <v>0</v>
      </c>
      <c r="AF136" s="63">
        <f>IFERROR(SUM(TblDetailBudget[[#This Row],[2022 Cost (LCU)]])/FX_Rate, "")</f>
        <v>0</v>
      </c>
      <c r="AG136" s="63">
        <f>IFERROR(SUM(TblDetailBudget[[#This Row],[2023 Cost (LCU)]])/FX_Rate, "")</f>
        <v>0</v>
      </c>
      <c r="AH136" s="63">
        <f>IFERROR(SUM(TblDetailBudget[[#This Row],[2024 Cost (LCU)]])/FX_Rate, "")</f>
        <v>0</v>
      </c>
      <c r="AI136" s="63">
        <f>IFERROR(SUM(TblDetailBudget[[#This Row],[2025 Cost (LCU)]])/FX_Rate, "")</f>
        <v>0</v>
      </c>
      <c r="AJ136" s="125">
        <f>SUM(TblDetailBudget[[#This Row],[2021 Cost (USD)]:[2025 Cost (USD)]])</f>
        <v>0</v>
      </c>
      <c r="AK136" s="180"/>
    </row>
    <row r="137" spans="2:37" ht="12.75" customHeight="1">
      <c r="B137" s="122" t="s">
        <v>68</v>
      </c>
      <c r="C13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1.3</v>
      </c>
      <c r="D137" s="62">
        <f>IF(TblDetailBudget[[#This Row],[Level]]="", "", COUNTIFS($B$8:TblDetailBudget[[#This Row],[Level]], Lvl1Hdr))</f>
        <v>1</v>
      </c>
      <c r="E137" s="62">
        <f>IF(TblDetailBudget[[#This Row],[Level]]="", "", COUNTIFS($B$8:TblDetailBudget[[#This Row],[Level]], Lvl2Hdr, $D$8:TblDetailBudget[[#This Row],[Lvl 1 Header]], TblDetailBudget[[#This Row],[Lvl 1 Header]]))</f>
        <v>3</v>
      </c>
      <c r="F13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13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3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37" s="188" t="s">
        <v>174</v>
      </c>
      <c r="J137" s="101"/>
      <c r="K137" s="88"/>
      <c r="L137" s="88"/>
      <c r="M137" s="62" t="str">
        <f>IF(TblDetailBudget[[#This Row],[Level]]=LvlBottomHdr, IFERROR(INDEX(TblUnitCost[Unit], MATCH(TblDetailBudget[[#This Row],[Row Title]], TblUnitCost[Resource], 0)), "Invalid Resource"), "")</f>
        <v/>
      </c>
      <c r="N137" s="125" t="str">
        <f>IF(TblDetailBudget[[#This Row],[Level]]=LvlBottomHdr, IFERROR(INDEX(TblUnitCost[LCU], MATCH(TblDetailBudget[[#This Row],[Row Title]], TblUnitCost[Resource], 0)), "Invalid Resource"), "")</f>
        <v/>
      </c>
      <c r="O137" s="128"/>
      <c r="P137" s="108"/>
      <c r="Q137" s="185"/>
      <c r="R137" s="129"/>
      <c r="S137" s="108"/>
      <c r="T137" s="108"/>
      <c r="U137" s="108"/>
      <c r="V137" s="108"/>
      <c r="W137" s="108"/>
      <c r="X137" s="125" t="str">
        <f>IF(TblDetailBudget[[#This Row],[Level]]=LvlBottomHdr, IF(SUM(TblDetailBudget[[#This Row],[2021 Quant]:[2025 Quant]])&gt;0, SUM(TblDetailBudget[[#This Row],[2021 Quant]:[2025 Quant]]), ""), "")</f>
        <v/>
      </c>
      <c r="Y13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3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3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3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3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37" s="140">
        <f>SUM(TblDetailBudget[[#This Row],[2021 Cost (LCU)]:[2025 Cost (LCU)]])</f>
        <v>0</v>
      </c>
      <c r="AE137" s="134">
        <f>IFERROR(SUM(TblDetailBudget[[#This Row],[2021 Cost (LCU)]])/FX_Rate, "")</f>
        <v>0</v>
      </c>
      <c r="AF137" s="63">
        <f>IFERROR(SUM(TblDetailBudget[[#This Row],[2022 Cost (LCU)]])/FX_Rate, "")</f>
        <v>0</v>
      </c>
      <c r="AG137" s="63">
        <f>IFERROR(SUM(TblDetailBudget[[#This Row],[2023 Cost (LCU)]])/FX_Rate, "")</f>
        <v>0</v>
      </c>
      <c r="AH137" s="63">
        <f>IFERROR(SUM(TblDetailBudget[[#This Row],[2024 Cost (LCU)]])/FX_Rate, "")</f>
        <v>0</v>
      </c>
      <c r="AI137" s="63">
        <f>IFERROR(SUM(TblDetailBudget[[#This Row],[2025 Cost (LCU)]])/FX_Rate, "")</f>
        <v>0</v>
      </c>
      <c r="AJ137" s="125">
        <f>SUM(TblDetailBudget[[#This Row],[2021 Cost (USD)]:[2025 Cost (USD)]])</f>
        <v>0</v>
      </c>
      <c r="AK137" s="180"/>
    </row>
    <row r="138" spans="2:37" ht="12.75" customHeight="1">
      <c r="B138" s="122" t="s">
        <v>69</v>
      </c>
      <c r="C13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1.3.1</v>
      </c>
      <c r="D138" s="62">
        <f>IF(TblDetailBudget[[#This Row],[Level]]="", "", COUNTIFS($B$8:TblDetailBudget[[#This Row],[Level]], Lvl1Hdr))</f>
        <v>1</v>
      </c>
      <c r="E138" s="62">
        <f>IF(TblDetailBudget[[#This Row],[Level]]="", "", COUNTIFS($B$8:TblDetailBudget[[#This Row],[Level]], Lvl2Hdr, $D$8:TblDetailBudget[[#This Row],[Lvl 1 Header]], TblDetailBudget[[#This Row],[Lvl 1 Header]]))</f>
        <v>3</v>
      </c>
      <c r="F13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3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3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38" s="188" t="s">
        <v>175</v>
      </c>
      <c r="J138" s="101"/>
      <c r="K138" s="88"/>
      <c r="L138" s="88"/>
      <c r="M138" s="62" t="str">
        <f>IF(TblDetailBudget[[#This Row],[Level]]=LvlBottomHdr, IFERROR(INDEX(TblUnitCost[Unit], MATCH(TblDetailBudget[[#This Row],[Row Title]], TblUnitCost[Resource], 0)), "Invalid Resource"), "")</f>
        <v/>
      </c>
      <c r="N138" s="125" t="str">
        <f>IF(TblDetailBudget[[#This Row],[Level]]=LvlBottomHdr, IFERROR(INDEX(TblUnitCost[LCU], MATCH(TblDetailBudget[[#This Row],[Row Title]], TblUnitCost[Resource], 0)), "Invalid Resource"), "")</f>
        <v/>
      </c>
      <c r="O138" s="128"/>
      <c r="P138" s="108"/>
      <c r="Q138" s="185"/>
      <c r="R138" s="129"/>
      <c r="S138" s="108"/>
      <c r="T138" s="108"/>
      <c r="U138" s="108"/>
      <c r="V138" s="108"/>
      <c r="W138" s="108"/>
      <c r="X138" s="125" t="str">
        <f>IF(TblDetailBudget[[#This Row],[Level]]=LvlBottomHdr, IF(SUM(TblDetailBudget[[#This Row],[2021 Quant]:[2025 Quant]])&gt;0, SUM(TblDetailBudget[[#This Row],[2021 Quant]:[2025 Quant]]), ""), "")</f>
        <v/>
      </c>
      <c r="Y13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3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3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3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3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38" s="140">
        <f>SUM(TblDetailBudget[[#This Row],[2021 Cost (LCU)]:[2025 Cost (LCU)]])</f>
        <v>0</v>
      </c>
      <c r="AE138" s="134">
        <f>IFERROR(SUM(TblDetailBudget[[#This Row],[2021 Cost (LCU)]])/FX_Rate, "")</f>
        <v>0</v>
      </c>
      <c r="AF138" s="63">
        <f>IFERROR(SUM(TblDetailBudget[[#This Row],[2022 Cost (LCU)]])/FX_Rate, "")</f>
        <v>0</v>
      </c>
      <c r="AG138" s="63">
        <f>IFERROR(SUM(TblDetailBudget[[#This Row],[2023 Cost (LCU)]])/FX_Rate, "")</f>
        <v>0</v>
      </c>
      <c r="AH138" s="63">
        <f>IFERROR(SUM(TblDetailBudget[[#This Row],[2024 Cost (LCU)]])/FX_Rate, "")</f>
        <v>0</v>
      </c>
      <c r="AI138" s="63">
        <f>IFERROR(SUM(TblDetailBudget[[#This Row],[2025 Cost (LCU)]])/FX_Rate, "")</f>
        <v>0</v>
      </c>
      <c r="AJ138" s="125">
        <f>SUM(TblDetailBudget[[#This Row],[2021 Cost (USD)]:[2025 Cost (USD)]])</f>
        <v>0</v>
      </c>
      <c r="AK138" s="180"/>
    </row>
    <row r="139" spans="2:37" ht="12.75" customHeight="1">
      <c r="B139" s="122" t="s">
        <v>70</v>
      </c>
      <c r="C13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1.3.1.1</v>
      </c>
      <c r="D139" s="62">
        <f>IF(TblDetailBudget[[#This Row],[Level]]="", "", COUNTIFS($B$8:TblDetailBudget[[#This Row],[Level]], Lvl1Hdr))</f>
        <v>1</v>
      </c>
      <c r="E139" s="62">
        <f>IF(TblDetailBudget[[#This Row],[Level]]="", "", COUNTIFS($B$8:TblDetailBudget[[#This Row],[Level]], Lvl2Hdr, $D$8:TblDetailBudget[[#This Row],[Lvl 1 Header]], TblDetailBudget[[#This Row],[Lvl 1 Header]]))</f>
        <v>3</v>
      </c>
      <c r="F13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3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3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39" s="101" t="s">
        <v>176</v>
      </c>
      <c r="J139" s="101"/>
      <c r="K139" s="88"/>
      <c r="L139" s="88"/>
      <c r="M139" s="62" t="str">
        <f>IF(TblDetailBudget[[#This Row],[Level]]=LvlBottomHdr, IFERROR(INDEX(TblUnitCost[Unit], MATCH(TblDetailBudget[[#This Row],[Row Title]], TblUnitCost[Resource], 0)), "Invalid Resource"), "")</f>
        <v/>
      </c>
      <c r="N139" s="125" t="str">
        <f>IF(TblDetailBudget[[#This Row],[Level]]=LvlBottomHdr, IFERROR(INDEX(TblUnitCost[LCU], MATCH(TblDetailBudget[[#This Row],[Row Title]], TblUnitCost[Resource], 0)), "Invalid Resource"), "")</f>
        <v/>
      </c>
      <c r="O139" s="128"/>
      <c r="P139" s="108"/>
      <c r="Q139" s="185"/>
      <c r="R139" s="129"/>
      <c r="S139" s="108"/>
      <c r="T139" s="108"/>
      <c r="U139" s="108"/>
      <c r="V139" s="108"/>
      <c r="W139" s="108"/>
      <c r="X139" s="125" t="str">
        <f>IF(TblDetailBudget[[#This Row],[Level]]=LvlBottomHdr, IF(SUM(TblDetailBudget[[#This Row],[2021 Quant]:[2025 Quant]])&gt;0, SUM(TblDetailBudget[[#This Row],[2021 Quant]:[2025 Quant]]), ""), "")</f>
        <v/>
      </c>
      <c r="Y139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3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3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3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3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39" s="140">
        <f>SUM(TblDetailBudget[[#This Row],[2021 Cost (LCU)]:[2025 Cost (LCU)]])</f>
        <v>0</v>
      </c>
      <c r="AE139" s="134">
        <f>IFERROR(SUM(TblDetailBudget[[#This Row],[2021 Cost (LCU)]])/FX_Rate, "")</f>
        <v>0</v>
      </c>
      <c r="AF139" s="63">
        <f>IFERROR(SUM(TblDetailBudget[[#This Row],[2022 Cost (LCU)]])/FX_Rate, "")</f>
        <v>0</v>
      </c>
      <c r="AG139" s="63">
        <f>IFERROR(SUM(TblDetailBudget[[#This Row],[2023 Cost (LCU)]])/FX_Rate, "")</f>
        <v>0</v>
      </c>
      <c r="AH139" s="63">
        <f>IFERROR(SUM(TblDetailBudget[[#This Row],[2024 Cost (LCU)]])/FX_Rate, "")</f>
        <v>0</v>
      </c>
      <c r="AI139" s="63">
        <f>IFERROR(SUM(TblDetailBudget[[#This Row],[2025 Cost (LCU)]])/FX_Rate, "")</f>
        <v>0</v>
      </c>
      <c r="AJ139" s="125">
        <f>SUM(TblDetailBudget[[#This Row],[2021 Cost (USD)]:[2025 Cost (USD)]])</f>
        <v>0</v>
      </c>
      <c r="AK139" s="180"/>
    </row>
    <row r="140" spans="2:37" ht="12.75" customHeight="1">
      <c r="B140" s="122" t="s">
        <v>71</v>
      </c>
      <c r="C14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1.3.1.1.1</v>
      </c>
      <c r="D140" s="62">
        <f>IF(TblDetailBudget[[#This Row],[Level]]="", "", COUNTIFS($B$8:TblDetailBudget[[#This Row],[Level]], Lvl1Hdr))</f>
        <v>1</v>
      </c>
      <c r="E140" s="62">
        <f>IF(TblDetailBudget[[#This Row],[Level]]="", "", COUNTIFS($B$8:TblDetailBudget[[#This Row],[Level]], Lvl2Hdr, $D$8:TblDetailBudget[[#This Row],[Lvl 1 Header]], TblDetailBudget[[#This Row],[Lvl 1 Header]]))</f>
        <v>3</v>
      </c>
      <c r="F14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4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4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40" s="101" t="s">
        <v>116</v>
      </c>
      <c r="J140" s="101"/>
      <c r="K140" s="88"/>
      <c r="L140" s="88"/>
      <c r="M140" s="62" t="str">
        <f>IF(TblDetailBudget[[#This Row],[Level]]=LvlBottomHdr, IFERROR(INDEX(TblUnitCost[Unit], MATCH(TblDetailBudget[[#This Row],[Row Title]], TblUnitCost[Resource], 0)), "Invalid Resource"), "")</f>
        <v>Invalid Resource</v>
      </c>
      <c r="N140" s="125" t="str">
        <f>IF(TblDetailBudget[[#This Row],[Level]]=LvlBottomHdr, IFERROR(INDEX(TblUnitCost[LCU], MATCH(TblDetailBudget[[#This Row],[Row Title]], TblUnitCost[Resource], 0)), "Invalid Resource"), "")</f>
        <v>Invalid Resource</v>
      </c>
      <c r="O140" s="128"/>
      <c r="P140" s="108"/>
      <c r="Q140" s="185"/>
      <c r="R140" s="129"/>
      <c r="S140" s="108"/>
      <c r="T140" s="108"/>
      <c r="U140" s="108"/>
      <c r="V140" s="108"/>
      <c r="W140" s="108"/>
      <c r="X140" s="125" t="str">
        <f>IF(TblDetailBudget[[#This Row],[Level]]=LvlBottomHdr, IF(SUM(TblDetailBudget[[#This Row],[2021 Quant]:[2025 Quant]])&gt;0, SUM(TblDetailBudget[[#This Row],[2021 Quant]:[2025 Quant]]), ""), "")</f>
        <v/>
      </c>
      <c r="Y140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4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4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4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4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40" s="140">
        <f>SUM(TblDetailBudget[[#This Row],[2021 Cost (LCU)]:[2025 Cost (LCU)]])</f>
        <v>0</v>
      </c>
      <c r="AE140" s="134">
        <f>IFERROR(SUM(TblDetailBudget[[#This Row],[2021 Cost (LCU)]])/FX_Rate, "")</f>
        <v>0</v>
      </c>
      <c r="AF140" s="63">
        <f>IFERROR(SUM(TblDetailBudget[[#This Row],[2022 Cost (LCU)]])/FX_Rate, "")</f>
        <v>0</v>
      </c>
      <c r="AG140" s="63">
        <f>IFERROR(SUM(TblDetailBudget[[#This Row],[2023 Cost (LCU)]])/FX_Rate, "")</f>
        <v>0</v>
      </c>
      <c r="AH140" s="63">
        <f>IFERROR(SUM(TblDetailBudget[[#This Row],[2024 Cost (LCU)]])/FX_Rate, "")</f>
        <v>0</v>
      </c>
      <c r="AI140" s="63">
        <f>IFERROR(SUM(TblDetailBudget[[#This Row],[2025 Cost (LCU)]])/FX_Rate, "")</f>
        <v>0</v>
      </c>
      <c r="AJ140" s="125">
        <f>SUM(TblDetailBudget[[#This Row],[2021 Cost (USD)]:[2025 Cost (USD)]])</f>
        <v>0</v>
      </c>
      <c r="AK140" s="180"/>
    </row>
    <row r="141" spans="2:37" ht="12.75" customHeight="1">
      <c r="B141" s="122" t="s">
        <v>70</v>
      </c>
      <c r="C14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1.3.1.2</v>
      </c>
      <c r="D141" s="62">
        <f>IF(TblDetailBudget[[#This Row],[Level]]="", "", COUNTIFS($B$8:TblDetailBudget[[#This Row],[Level]], Lvl1Hdr))</f>
        <v>1</v>
      </c>
      <c r="E141" s="62">
        <f>IF(TblDetailBudget[[#This Row],[Level]]="", "", COUNTIFS($B$8:TblDetailBudget[[#This Row],[Level]], Lvl2Hdr, $D$8:TblDetailBudget[[#This Row],[Lvl 1 Header]], TblDetailBudget[[#This Row],[Lvl 1 Header]]))</f>
        <v>3</v>
      </c>
      <c r="F14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4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4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41" s="101" t="s">
        <v>177</v>
      </c>
      <c r="J141" s="101"/>
      <c r="K141" s="88"/>
      <c r="L141" s="88"/>
      <c r="M141" s="62" t="str">
        <f>IF(TblDetailBudget[[#This Row],[Level]]=LvlBottomHdr, IFERROR(INDEX(TblUnitCost[Unit], MATCH(TblDetailBudget[[#This Row],[Row Title]], TblUnitCost[Resource], 0)), "Invalid Resource"), "")</f>
        <v/>
      </c>
      <c r="N141" s="125" t="str">
        <f>IF(TblDetailBudget[[#This Row],[Level]]=LvlBottomHdr, IFERROR(INDEX(TblUnitCost[LCU], MATCH(TblDetailBudget[[#This Row],[Row Title]], TblUnitCost[Resource], 0)), "Invalid Resource"), "")</f>
        <v/>
      </c>
      <c r="O141" s="128"/>
      <c r="P141" s="108"/>
      <c r="Q141" s="185"/>
      <c r="R141" s="129"/>
      <c r="S141" s="108"/>
      <c r="T141" s="108"/>
      <c r="U141" s="108"/>
      <c r="V141" s="108"/>
      <c r="W141" s="108"/>
      <c r="X141" s="125" t="str">
        <f>IF(TblDetailBudget[[#This Row],[Level]]=LvlBottomHdr, IF(SUM(TblDetailBudget[[#This Row],[2021 Quant]:[2025 Quant]])&gt;0, SUM(TblDetailBudget[[#This Row],[2021 Quant]:[2025 Quant]]), ""), "")</f>
        <v/>
      </c>
      <c r="Y141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4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4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4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4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41" s="140">
        <f>SUM(TblDetailBudget[[#This Row],[2021 Cost (LCU)]:[2025 Cost (LCU)]])</f>
        <v>0</v>
      </c>
      <c r="AE141" s="134">
        <f>IFERROR(SUM(TblDetailBudget[[#This Row],[2021 Cost (LCU)]])/FX_Rate, "")</f>
        <v>0</v>
      </c>
      <c r="AF141" s="63">
        <f>IFERROR(SUM(TblDetailBudget[[#This Row],[2022 Cost (LCU)]])/FX_Rate, "")</f>
        <v>0</v>
      </c>
      <c r="AG141" s="63">
        <f>IFERROR(SUM(TblDetailBudget[[#This Row],[2023 Cost (LCU)]])/FX_Rate, "")</f>
        <v>0</v>
      </c>
      <c r="AH141" s="63">
        <f>IFERROR(SUM(TblDetailBudget[[#This Row],[2024 Cost (LCU)]])/FX_Rate, "")</f>
        <v>0</v>
      </c>
      <c r="AI141" s="63">
        <f>IFERROR(SUM(TblDetailBudget[[#This Row],[2025 Cost (LCU)]])/FX_Rate, "")</f>
        <v>0</v>
      </c>
      <c r="AJ141" s="125">
        <f>SUM(TblDetailBudget[[#This Row],[2021 Cost (USD)]:[2025 Cost (USD)]])</f>
        <v>0</v>
      </c>
      <c r="AK141" s="180"/>
    </row>
    <row r="142" spans="2:37" ht="12.75" customHeight="1">
      <c r="B142" s="122" t="s">
        <v>71</v>
      </c>
      <c r="C14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1.3.1.2.1</v>
      </c>
      <c r="D142" s="62">
        <f>IF(TblDetailBudget[[#This Row],[Level]]="", "", COUNTIFS($B$8:TblDetailBudget[[#This Row],[Level]], Lvl1Hdr))</f>
        <v>1</v>
      </c>
      <c r="E142" s="62">
        <f>IF(TblDetailBudget[[#This Row],[Level]]="", "", COUNTIFS($B$8:TblDetailBudget[[#This Row],[Level]], Lvl2Hdr, $D$8:TblDetailBudget[[#This Row],[Lvl 1 Header]], TblDetailBudget[[#This Row],[Lvl 1 Header]]))</f>
        <v>3</v>
      </c>
      <c r="F14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4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4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42" s="101" t="s">
        <v>178</v>
      </c>
      <c r="J142" s="101"/>
      <c r="K142" s="88"/>
      <c r="L142" s="88"/>
      <c r="M142" s="62" t="str">
        <f>IF(TblDetailBudget[[#This Row],[Level]]=LvlBottomHdr, IFERROR(INDEX(TblUnitCost[Unit], MATCH(TblDetailBudget[[#This Row],[Row Title]], TblUnitCost[Resource], 0)), "Invalid Resource"), "")</f>
        <v>Invalid Resource</v>
      </c>
      <c r="N142" s="125" t="str">
        <f>IF(TblDetailBudget[[#This Row],[Level]]=LvlBottomHdr, IFERROR(INDEX(TblUnitCost[LCU], MATCH(TblDetailBudget[[#This Row],[Row Title]], TblUnitCost[Resource], 0)), "Invalid Resource"), "")</f>
        <v>Invalid Resource</v>
      </c>
      <c r="O142" s="128"/>
      <c r="P142" s="108"/>
      <c r="Q142" s="185"/>
      <c r="R142" s="129"/>
      <c r="S142" s="108"/>
      <c r="T142" s="108"/>
      <c r="U142" s="108"/>
      <c r="V142" s="108"/>
      <c r="W142" s="108"/>
      <c r="X142" s="125" t="str">
        <f>IF(TblDetailBudget[[#This Row],[Level]]=LvlBottomHdr, IF(SUM(TblDetailBudget[[#This Row],[2021 Quant]:[2025 Quant]])&gt;0, SUM(TblDetailBudget[[#This Row],[2021 Quant]:[2025 Quant]]), ""), "")</f>
        <v/>
      </c>
      <c r="Y142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4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4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4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4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42" s="140">
        <f>SUM(TblDetailBudget[[#This Row],[2021 Cost (LCU)]:[2025 Cost (LCU)]])</f>
        <v>0</v>
      </c>
      <c r="AE142" s="134">
        <f>IFERROR(SUM(TblDetailBudget[[#This Row],[2021 Cost (LCU)]])/FX_Rate, "")</f>
        <v>0</v>
      </c>
      <c r="AF142" s="63">
        <f>IFERROR(SUM(TblDetailBudget[[#This Row],[2022 Cost (LCU)]])/FX_Rate, "")</f>
        <v>0</v>
      </c>
      <c r="AG142" s="63">
        <f>IFERROR(SUM(TblDetailBudget[[#This Row],[2023 Cost (LCU)]])/FX_Rate, "")</f>
        <v>0</v>
      </c>
      <c r="AH142" s="63">
        <f>IFERROR(SUM(TblDetailBudget[[#This Row],[2024 Cost (LCU)]])/FX_Rate, "")</f>
        <v>0</v>
      </c>
      <c r="AI142" s="63">
        <f>IFERROR(SUM(TblDetailBudget[[#This Row],[2025 Cost (LCU)]])/FX_Rate, "")</f>
        <v>0</v>
      </c>
      <c r="AJ142" s="125">
        <f>SUM(TblDetailBudget[[#This Row],[2021 Cost (USD)]:[2025 Cost (USD)]])</f>
        <v>0</v>
      </c>
      <c r="AK142" s="180"/>
    </row>
    <row r="143" spans="2:37" ht="12.75" customHeight="1">
      <c r="B143" s="122" t="s">
        <v>69</v>
      </c>
      <c r="C14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1.3.2</v>
      </c>
      <c r="D143" s="62">
        <f>IF(TblDetailBudget[[#This Row],[Level]]="", "", COUNTIFS($B$8:TblDetailBudget[[#This Row],[Level]], Lvl1Hdr))</f>
        <v>1</v>
      </c>
      <c r="E143" s="62">
        <f>IF(TblDetailBudget[[#This Row],[Level]]="", "", COUNTIFS($B$8:TblDetailBudget[[#This Row],[Level]], Lvl2Hdr, $D$8:TblDetailBudget[[#This Row],[Lvl 1 Header]], TblDetailBudget[[#This Row],[Lvl 1 Header]]))</f>
        <v>3</v>
      </c>
      <c r="F14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14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4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43" s="188" t="s">
        <v>179</v>
      </c>
      <c r="J143" s="101"/>
      <c r="K143" s="88"/>
      <c r="L143" s="88"/>
      <c r="M143" s="62" t="str">
        <f>IF(TblDetailBudget[[#This Row],[Level]]=LvlBottomHdr, IFERROR(INDEX(TblUnitCost[Unit], MATCH(TblDetailBudget[[#This Row],[Row Title]], TblUnitCost[Resource], 0)), "Invalid Resource"), "")</f>
        <v/>
      </c>
      <c r="N143" s="125" t="str">
        <f>IF(TblDetailBudget[[#This Row],[Level]]=LvlBottomHdr, IFERROR(INDEX(TblUnitCost[LCU], MATCH(TblDetailBudget[[#This Row],[Row Title]], TblUnitCost[Resource], 0)), "Invalid Resource"), "")</f>
        <v/>
      </c>
      <c r="O143" s="128"/>
      <c r="P143" s="108"/>
      <c r="Q143" s="185"/>
      <c r="R143" s="129"/>
      <c r="S143" s="108"/>
      <c r="T143" s="108"/>
      <c r="U143" s="108"/>
      <c r="V143" s="108"/>
      <c r="W143" s="108"/>
      <c r="X143" s="125" t="str">
        <f>IF(TblDetailBudget[[#This Row],[Level]]=LvlBottomHdr, IF(SUM(TblDetailBudget[[#This Row],[2021 Quant]:[2025 Quant]])&gt;0, SUM(TblDetailBudget[[#This Row],[2021 Quant]:[2025 Quant]]), ""), "")</f>
        <v/>
      </c>
      <c r="Y143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4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4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4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4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43" s="140">
        <f>SUM(TblDetailBudget[[#This Row],[2021 Cost (LCU)]:[2025 Cost (LCU)]])</f>
        <v>0</v>
      </c>
      <c r="AE143" s="134">
        <f>IFERROR(SUM(TblDetailBudget[[#This Row],[2021 Cost (LCU)]])/FX_Rate, "")</f>
        <v>0</v>
      </c>
      <c r="AF143" s="63">
        <f>IFERROR(SUM(TblDetailBudget[[#This Row],[2022 Cost (LCU)]])/FX_Rate, "")</f>
        <v>0</v>
      </c>
      <c r="AG143" s="63">
        <f>IFERROR(SUM(TblDetailBudget[[#This Row],[2023 Cost (LCU)]])/FX_Rate, "")</f>
        <v>0</v>
      </c>
      <c r="AH143" s="63">
        <f>IFERROR(SUM(TblDetailBudget[[#This Row],[2024 Cost (LCU)]])/FX_Rate, "")</f>
        <v>0</v>
      </c>
      <c r="AI143" s="63">
        <f>IFERROR(SUM(TblDetailBudget[[#This Row],[2025 Cost (LCU)]])/FX_Rate, "")</f>
        <v>0</v>
      </c>
      <c r="AJ143" s="125">
        <f>SUM(TblDetailBudget[[#This Row],[2021 Cost (USD)]:[2025 Cost (USD)]])</f>
        <v>0</v>
      </c>
      <c r="AK143" s="180"/>
    </row>
    <row r="144" spans="2:37" ht="12.75" customHeight="1">
      <c r="B144" s="122" t="s">
        <v>70</v>
      </c>
      <c r="C14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1.3.2.1</v>
      </c>
      <c r="D144" s="62">
        <f>IF(TblDetailBudget[[#This Row],[Level]]="", "", COUNTIFS($B$8:TblDetailBudget[[#This Row],[Level]], Lvl1Hdr))</f>
        <v>1</v>
      </c>
      <c r="E144" s="62">
        <f>IF(TblDetailBudget[[#This Row],[Level]]="", "", COUNTIFS($B$8:TblDetailBudget[[#This Row],[Level]], Lvl2Hdr, $D$8:TblDetailBudget[[#This Row],[Lvl 1 Header]], TblDetailBudget[[#This Row],[Lvl 1 Header]]))</f>
        <v>3</v>
      </c>
      <c r="F14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14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4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44" s="101" t="s">
        <v>180</v>
      </c>
      <c r="J144" s="101"/>
      <c r="K144" s="88"/>
      <c r="L144" s="88"/>
      <c r="M144" s="62" t="str">
        <f>IF(TblDetailBudget[[#This Row],[Level]]=LvlBottomHdr, IFERROR(INDEX(TblUnitCost[Unit], MATCH(TblDetailBudget[[#This Row],[Row Title]], TblUnitCost[Resource], 0)), "Invalid Resource"), "")</f>
        <v/>
      </c>
      <c r="N144" s="125" t="str">
        <f>IF(TblDetailBudget[[#This Row],[Level]]=LvlBottomHdr, IFERROR(INDEX(TblUnitCost[LCU], MATCH(TblDetailBudget[[#This Row],[Row Title]], TblUnitCost[Resource], 0)), "Invalid Resource"), "")</f>
        <v/>
      </c>
      <c r="O144" s="128"/>
      <c r="P144" s="108"/>
      <c r="Q144" s="185"/>
      <c r="R144" s="129"/>
      <c r="S144" s="108"/>
      <c r="T144" s="108"/>
      <c r="U144" s="108"/>
      <c r="V144" s="108"/>
      <c r="W144" s="108"/>
      <c r="X144" s="125" t="str">
        <f>IF(TblDetailBudget[[#This Row],[Level]]=LvlBottomHdr, IF(SUM(TblDetailBudget[[#This Row],[2021 Quant]:[2025 Quant]])&gt;0, SUM(TblDetailBudget[[#This Row],[2021 Quant]:[2025 Quant]]), ""), "")</f>
        <v/>
      </c>
      <c r="Y144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4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4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4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4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44" s="140">
        <f>SUM(TblDetailBudget[[#This Row],[2021 Cost (LCU)]:[2025 Cost (LCU)]])</f>
        <v>0</v>
      </c>
      <c r="AE144" s="134">
        <f>IFERROR(SUM(TblDetailBudget[[#This Row],[2021 Cost (LCU)]])/FX_Rate, "")</f>
        <v>0</v>
      </c>
      <c r="AF144" s="63">
        <f>IFERROR(SUM(TblDetailBudget[[#This Row],[2022 Cost (LCU)]])/FX_Rate, "")</f>
        <v>0</v>
      </c>
      <c r="AG144" s="63">
        <f>IFERROR(SUM(TblDetailBudget[[#This Row],[2023 Cost (LCU)]])/FX_Rate, "")</f>
        <v>0</v>
      </c>
      <c r="AH144" s="63">
        <f>IFERROR(SUM(TblDetailBudget[[#This Row],[2024 Cost (LCU)]])/FX_Rate, "")</f>
        <v>0</v>
      </c>
      <c r="AI144" s="63">
        <f>IFERROR(SUM(TblDetailBudget[[#This Row],[2025 Cost (LCU)]])/FX_Rate, "")</f>
        <v>0</v>
      </c>
      <c r="AJ144" s="125">
        <f>SUM(TblDetailBudget[[#This Row],[2021 Cost (USD)]:[2025 Cost (USD)]])</f>
        <v>0</v>
      </c>
      <c r="AK144" s="180"/>
    </row>
    <row r="145" spans="2:37" ht="12.75" customHeight="1">
      <c r="B145" s="122" t="s">
        <v>71</v>
      </c>
      <c r="C14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1.3.2.1.1</v>
      </c>
      <c r="D145" s="62">
        <f>IF(TblDetailBudget[[#This Row],[Level]]="", "", COUNTIFS($B$8:TblDetailBudget[[#This Row],[Level]], Lvl1Hdr))</f>
        <v>1</v>
      </c>
      <c r="E145" s="62">
        <f>IF(TblDetailBudget[[#This Row],[Level]]="", "", COUNTIFS($B$8:TblDetailBudget[[#This Row],[Level]], Lvl2Hdr, $D$8:TblDetailBudget[[#This Row],[Lvl 1 Header]], TblDetailBudget[[#This Row],[Lvl 1 Header]]))</f>
        <v>3</v>
      </c>
      <c r="F14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14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4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45" s="101" t="s">
        <v>144</v>
      </c>
      <c r="J145" s="101"/>
      <c r="K145" s="88"/>
      <c r="L145" s="88"/>
      <c r="M145" s="62" t="str">
        <f>IF(TblDetailBudget[[#This Row],[Level]]=LvlBottomHdr, IFERROR(INDEX(TblUnitCost[Unit], MATCH(TblDetailBudget[[#This Row],[Row Title]], TblUnitCost[Resource], 0)), "Invalid Resource"), "")</f>
        <v>Invalid Resource</v>
      </c>
      <c r="N145" s="125" t="str">
        <f>IF(TblDetailBudget[[#This Row],[Level]]=LvlBottomHdr, IFERROR(INDEX(TblUnitCost[LCU], MATCH(TblDetailBudget[[#This Row],[Row Title]], TblUnitCost[Resource], 0)), "Invalid Resource"), "")</f>
        <v>Invalid Resource</v>
      </c>
      <c r="O145" s="128"/>
      <c r="P145" s="108"/>
      <c r="Q145" s="185"/>
      <c r="R145" s="129"/>
      <c r="S145" s="108"/>
      <c r="T145" s="108"/>
      <c r="U145" s="108"/>
      <c r="V145" s="108"/>
      <c r="W145" s="108"/>
      <c r="X145" s="125" t="str">
        <f>IF(TblDetailBudget[[#This Row],[Level]]=LvlBottomHdr, IF(SUM(TblDetailBudget[[#This Row],[2021 Quant]:[2025 Quant]])&gt;0, SUM(TblDetailBudget[[#This Row],[2021 Quant]:[2025 Quant]]), ""), "")</f>
        <v/>
      </c>
      <c r="Y145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4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4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4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4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45" s="140">
        <f>SUM(TblDetailBudget[[#This Row],[2021 Cost (LCU)]:[2025 Cost (LCU)]])</f>
        <v>0</v>
      </c>
      <c r="AE145" s="134">
        <f>IFERROR(SUM(TblDetailBudget[[#This Row],[2021 Cost (LCU)]])/FX_Rate, "")</f>
        <v>0</v>
      </c>
      <c r="AF145" s="63">
        <f>IFERROR(SUM(TblDetailBudget[[#This Row],[2022 Cost (LCU)]])/FX_Rate, "")</f>
        <v>0</v>
      </c>
      <c r="AG145" s="63">
        <f>IFERROR(SUM(TblDetailBudget[[#This Row],[2023 Cost (LCU)]])/FX_Rate, "")</f>
        <v>0</v>
      </c>
      <c r="AH145" s="63">
        <f>IFERROR(SUM(TblDetailBudget[[#This Row],[2024 Cost (LCU)]])/FX_Rate, "")</f>
        <v>0</v>
      </c>
      <c r="AI145" s="63">
        <f>IFERROR(SUM(TblDetailBudget[[#This Row],[2025 Cost (LCU)]])/FX_Rate, "")</f>
        <v>0</v>
      </c>
      <c r="AJ145" s="125">
        <f>SUM(TblDetailBudget[[#This Row],[2021 Cost (USD)]:[2025 Cost (USD)]])</f>
        <v>0</v>
      </c>
      <c r="AK145" s="180"/>
    </row>
    <row r="146" spans="2:37" ht="12.75" customHeight="1">
      <c r="B146" s="122" t="s">
        <v>69</v>
      </c>
      <c r="C14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1.3.3</v>
      </c>
      <c r="D146" s="62">
        <f>IF(TblDetailBudget[[#This Row],[Level]]="", "", COUNTIFS($B$8:TblDetailBudget[[#This Row],[Level]], Lvl1Hdr))</f>
        <v>1</v>
      </c>
      <c r="E146" s="62">
        <f>IF(TblDetailBudget[[#This Row],[Level]]="", "", COUNTIFS($B$8:TblDetailBudget[[#This Row],[Level]], Lvl2Hdr, $D$8:TblDetailBudget[[#This Row],[Lvl 1 Header]], TblDetailBudget[[#This Row],[Lvl 1 Header]]))</f>
        <v>3</v>
      </c>
      <c r="F14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4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4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46" s="188" t="s">
        <v>181</v>
      </c>
      <c r="J146" s="101"/>
      <c r="K146" s="88"/>
      <c r="L146" s="88"/>
      <c r="M146" s="62" t="str">
        <f>IF(TblDetailBudget[[#This Row],[Level]]=LvlBottomHdr, IFERROR(INDEX(TblUnitCost[Unit], MATCH(TblDetailBudget[[#This Row],[Row Title]], TblUnitCost[Resource], 0)), "Invalid Resource"), "")</f>
        <v/>
      </c>
      <c r="N146" s="125" t="str">
        <f>IF(TblDetailBudget[[#This Row],[Level]]=LvlBottomHdr, IFERROR(INDEX(TblUnitCost[LCU], MATCH(TblDetailBudget[[#This Row],[Row Title]], TblUnitCost[Resource], 0)), "Invalid Resource"), "")</f>
        <v/>
      </c>
      <c r="O146" s="128"/>
      <c r="P146" s="108"/>
      <c r="Q146" s="185"/>
      <c r="R146" s="129"/>
      <c r="S146" s="108"/>
      <c r="T146" s="108"/>
      <c r="U146" s="108"/>
      <c r="V146" s="108"/>
      <c r="W146" s="108"/>
      <c r="X146" s="125" t="str">
        <f>IF(TblDetailBudget[[#This Row],[Level]]=LvlBottomHdr, IF(SUM(TblDetailBudget[[#This Row],[2021 Quant]:[2025 Quant]])&gt;0, SUM(TblDetailBudget[[#This Row],[2021 Quant]:[2025 Quant]]), ""), "")</f>
        <v/>
      </c>
      <c r="Y14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4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4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4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4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46" s="140">
        <f>SUM(TblDetailBudget[[#This Row],[2021 Cost (LCU)]:[2025 Cost (LCU)]])</f>
        <v>0</v>
      </c>
      <c r="AE146" s="134">
        <f>IFERROR(SUM(TblDetailBudget[[#This Row],[2021 Cost (LCU)]])/FX_Rate, "")</f>
        <v>0</v>
      </c>
      <c r="AF146" s="63">
        <f>IFERROR(SUM(TblDetailBudget[[#This Row],[2022 Cost (LCU)]])/FX_Rate, "")</f>
        <v>0</v>
      </c>
      <c r="AG146" s="63">
        <f>IFERROR(SUM(TblDetailBudget[[#This Row],[2023 Cost (LCU)]])/FX_Rate, "")</f>
        <v>0</v>
      </c>
      <c r="AH146" s="63">
        <f>IFERROR(SUM(TblDetailBudget[[#This Row],[2024 Cost (LCU)]])/FX_Rate, "")</f>
        <v>0</v>
      </c>
      <c r="AI146" s="63">
        <f>IFERROR(SUM(TblDetailBudget[[#This Row],[2025 Cost (LCU)]])/FX_Rate, "")</f>
        <v>0</v>
      </c>
      <c r="AJ146" s="125">
        <f>SUM(TblDetailBudget[[#This Row],[2021 Cost (USD)]:[2025 Cost (USD)]])</f>
        <v>0</v>
      </c>
      <c r="AK146" s="180"/>
    </row>
    <row r="147" spans="2:37" ht="12.75" customHeight="1">
      <c r="B147" s="122" t="s">
        <v>70</v>
      </c>
      <c r="C14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1.3.3.1</v>
      </c>
      <c r="D147" s="62">
        <f>IF(TblDetailBudget[[#This Row],[Level]]="", "", COUNTIFS($B$8:TblDetailBudget[[#This Row],[Level]], Lvl1Hdr))</f>
        <v>1</v>
      </c>
      <c r="E147" s="62">
        <f>IF(TblDetailBudget[[#This Row],[Level]]="", "", COUNTIFS($B$8:TblDetailBudget[[#This Row],[Level]], Lvl2Hdr, $D$8:TblDetailBudget[[#This Row],[Lvl 1 Header]], TblDetailBudget[[#This Row],[Lvl 1 Header]]))</f>
        <v>3</v>
      </c>
      <c r="F14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4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4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47" s="101" t="s">
        <v>182</v>
      </c>
      <c r="J147" s="101"/>
      <c r="K147" s="88"/>
      <c r="L147" s="88"/>
      <c r="M147" s="62" t="str">
        <f>IF(TblDetailBudget[[#This Row],[Level]]=LvlBottomHdr, IFERROR(INDEX(TblUnitCost[Unit], MATCH(TblDetailBudget[[#This Row],[Row Title]], TblUnitCost[Resource], 0)), "Invalid Resource"), "")</f>
        <v/>
      </c>
      <c r="N147" s="125" t="str">
        <f>IF(TblDetailBudget[[#This Row],[Level]]=LvlBottomHdr, IFERROR(INDEX(TblUnitCost[LCU], MATCH(TblDetailBudget[[#This Row],[Row Title]], TblUnitCost[Resource], 0)), "Invalid Resource"), "")</f>
        <v/>
      </c>
      <c r="O147" s="128"/>
      <c r="P147" s="108"/>
      <c r="Q147" s="185"/>
      <c r="R147" s="129"/>
      <c r="S147" s="108"/>
      <c r="T147" s="108"/>
      <c r="U147" s="108"/>
      <c r="V147" s="108"/>
      <c r="W147" s="108"/>
      <c r="X147" s="125" t="str">
        <f>IF(TblDetailBudget[[#This Row],[Level]]=LvlBottomHdr, IF(SUM(TblDetailBudget[[#This Row],[2021 Quant]:[2025 Quant]])&gt;0, SUM(TblDetailBudget[[#This Row],[2021 Quant]:[2025 Quant]]), ""), "")</f>
        <v/>
      </c>
      <c r="Y14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4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4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4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4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47" s="140">
        <f>SUM(TblDetailBudget[[#This Row],[2021 Cost (LCU)]:[2025 Cost (LCU)]])</f>
        <v>0</v>
      </c>
      <c r="AE147" s="134">
        <f>IFERROR(SUM(TblDetailBudget[[#This Row],[2021 Cost (LCU)]])/FX_Rate, "")</f>
        <v>0</v>
      </c>
      <c r="AF147" s="63">
        <f>IFERROR(SUM(TblDetailBudget[[#This Row],[2022 Cost (LCU)]])/FX_Rate, "")</f>
        <v>0</v>
      </c>
      <c r="AG147" s="63">
        <f>IFERROR(SUM(TblDetailBudget[[#This Row],[2023 Cost (LCU)]])/FX_Rate, "")</f>
        <v>0</v>
      </c>
      <c r="AH147" s="63">
        <f>IFERROR(SUM(TblDetailBudget[[#This Row],[2024 Cost (LCU)]])/FX_Rate, "")</f>
        <v>0</v>
      </c>
      <c r="AI147" s="63">
        <f>IFERROR(SUM(TblDetailBudget[[#This Row],[2025 Cost (LCU)]])/FX_Rate, "")</f>
        <v>0</v>
      </c>
      <c r="AJ147" s="125">
        <f>SUM(TblDetailBudget[[#This Row],[2021 Cost (USD)]:[2025 Cost (USD)]])</f>
        <v>0</v>
      </c>
      <c r="AK147" s="180"/>
    </row>
    <row r="148" spans="2:37" ht="12.75" customHeight="1">
      <c r="B148" s="122" t="s">
        <v>71</v>
      </c>
      <c r="C14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1.3.3.1.1</v>
      </c>
      <c r="D148" s="62">
        <f>IF(TblDetailBudget[[#This Row],[Level]]="", "", COUNTIFS($B$8:TblDetailBudget[[#This Row],[Level]], Lvl1Hdr))</f>
        <v>1</v>
      </c>
      <c r="E148" s="62">
        <f>IF(TblDetailBudget[[#This Row],[Level]]="", "", COUNTIFS($B$8:TblDetailBudget[[#This Row],[Level]], Lvl2Hdr, $D$8:TblDetailBudget[[#This Row],[Lvl 1 Header]], TblDetailBudget[[#This Row],[Lvl 1 Header]]))</f>
        <v>3</v>
      </c>
      <c r="F14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4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4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48" s="101" t="s">
        <v>144</v>
      </c>
      <c r="J148" s="101"/>
      <c r="K148" s="88"/>
      <c r="L148" s="88"/>
      <c r="M148" s="62" t="str">
        <f>IF(TblDetailBudget[[#This Row],[Level]]=LvlBottomHdr, IFERROR(INDEX(TblUnitCost[Unit], MATCH(TblDetailBudget[[#This Row],[Row Title]], TblUnitCost[Resource], 0)), "Invalid Resource"), "")</f>
        <v>Invalid Resource</v>
      </c>
      <c r="N148" s="125" t="str">
        <f>IF(TblDetailBudget[[#This Row],[Level]]=LvlBottomHdr, IFERROR(INDEX(TblUnitCost[LCU], MATCH(TblDetailBudget[[#This Row],[Row Title]], TblUnitCost[Resource], 0)), "Invalid Resource"), "")</f>
        <v>Invalid Resource</v>
      </c>
      <c r="O148" s="128"/>
      <c r="P148" s="108"/>
      <c r="Q148" s="185"/>
      <c r="R148" s="129"/>
      <c r="S148" s="108"/>
      <c r="T148" s="108"/>
      <c r="U148" s="108"/>
      <c r="V148" s="108"/>
      <c r="W148" s="108"/>
      <c r="X148" s="125" t="str">
        <f>IF(TblDetailBudget[[#This Row],[Level]]=LvlBottomHdr, IF(SUM(TblDetailBudget[[#This Row],[2021 Quant]:[2025 Quant]])&gt;0, SUM(TblDetailBudget[[#This Row],[2021 Quant]:[2025 Quant]]), ""), "")</f>
        <v/>
      </c>
      <c r="Y148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4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4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4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4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48" s="140">
        <f>SUM(TblDetailBudget[[#This Row],[2021 Cost (LCU)]:[2025 Cost (LCU)]])</f>
        <v>0</v>
      </c>
      <c r="AE148" s="134">
        <f>IFERROR(SUM(TblDetailBudget[[#This Row],[2021 Cost (LCU)]])/FX_Rate, "")</f>
        <v>0</v>
      </c>
      <c r="AF148" s="63">
        <f>IFERROR(SUM(TblDetailBudget[[#This Row],[2022 Cost (LCU)]])/FX_Rate, "")</f>
        <v>0</v>
      </c>
      <c r="AG148" s="63">
        <f>IFERROR(SUM(TblDetailBudget[[#This Row],[2023 Cost (LCU)]])/FX_Rate, "")</f>
        <v>0</v>
      </c>
      <c r="AH148" s="63">
        <f>IFERROR(SUM(TblDetailBudget[[#This Row],[2024 Cost (LCU)]])/FX_Rate, "")</f>
        <v>0</v>
      </c>
      <c r="AI148" s="63">
        <f>IFERROR(SUM(TblDetailBudget[[#This Row],[2025 Cost (LCU)]])/FX_Rate, "")</f>
        <v>0</v>
      </c>
      <c r="AJ148" s="125">
        <f>SUM(TblDetailBudget[[#This Row],[2021 Cost (USD)]:[2025 Cost (USD)]])</f>
        <v>0</v>
      </c>
      <c r="AK148" s="180"/>
    </row>
    <row r="149" spans="2:37" ht="12.75" customHeight="1">
      <c r="B149" s="122" t="s">
        <v>70</v>
      </c>
      <c r="C14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1.3.3.2</v>
      </c>
      <c r="D149" s="62">
        <f>IF(TblDetailBudget[[#This Row],[Level]]="", "", COUNTIFS($B$8:TblDetailBudget[[#This Row],[Level]], Lvl1Hdr))</f>
        <v>1</v>
      </c>
      <c r="E149" s="62">
        <f>IF(TblDetailBudget[[#This Row],[Level]]="", "", COUNTIFS($B$8:TblDetailBudget[[#This Row],[Level]], Lvl2Hdr, $D$8:TblDetailBudget[[#This Row],[Lvl 1 Header]], TblDetailBudget[[#This Row],[Lvl 1 Header]]))</f>
        <v>3</v>
      </c>
      <c r="F14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4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4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49" s="101" t="s">
        <v>186</v>
      </c>
      <c r="J149" s="101"/>
      <c r="K149" s="88"/>
      <c r="L149" s="88"/>
      <c r="M149" s="62" t="str">
        <f>IF(TblDetailBudget[[#This Row],[Level]]=LvlBottomHdr, IFERROR(INDEX(TblUnitCost[Unit], MATCH(TblDetailBudget[[#This Row],[Row Title]], TblUnitCost[Resource], 0)), "Invalid Resource"), "")</f>
        <v/>
      </c>
      <c r="N149" s="125" t="str">
        <f>IF(TblDetailBudget[[#This Row],[Level]]=LvlBottomHdr, IFERROR(INDEX(TblUnitCost[LCU], MATCH(TblDetailBudget[[#This Row],[Row Title]], TblUnitCost[Resource], 0)), "Invalid Resource"), "")</f>
        <v/>
      </c>
      <c r="O149" s="128"/>
      <c r="P149" s="108"/>
      <c r="Q149" s="185"/>
      <c r="R149" s="129"/>
      <c r="S149" s="108"/>
      <c r="T149" s="108"/>
      <c r="U149" s="108"/>
      <c r="V149" s="108"/>
      <c r="W149" s="108"/>
      <c r="X149" s="125" t="str">
        <f>IF(TblDetailBudget[[#This Row],[Level]]=LvlBottomHdr, IF(SUM(TblDetailBudget[[#This Row],[2021 Quant]:[2025 Quant]])&gt;0, SUM(TblDetailBudget[[#This Row],[2021 Quant]:[2025 Quant]]), ""), "")</f>
        <v/>
      </c>
      <c r="Y149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4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4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4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4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49" s="140">
        <f>SUM(TblDetailBudget[[#This Row],[2021 Cost (LCU)]:[2025 Cost (LCU)]])</f>
        <v>0</v>
      </c>
      <c r="AE149" s="134">
        <f>IFERROR(SUM(TblDetailBudget[[#This Row],[2021 Cost (LCU)]])/FX_Rate, "")</f>
        <v>0</v>
      </c>
      <c r="AF149" s="63">
        <f>IFERROR(SUM(TblDetailBudget[[#This Row],[2022 Cost (LCU)]])/FX_Rate, "")</f>
        <v>0</v>
      </c>
      <c r="AG149" s="63">
        <f>IFERROR(SUM(TblDetailBudget[[#This Row],[2023 Cost (LCU)]])/FX_Rate, "")</f>
        <v>0</v>
      </c>
      <c r="AH149" s="63">
        <f>IFERROR(SUM(TblDetailBudget[[#This Row],[2024 Cost (LCU)]])/FX_Rate, "")</f>
        <v>0</v>
      </c>
      <c r="AI149" s="63">
        <f>IFERROR(SUM(TblDetailBudget[[#This Row],[2025 Cost (LCU)]])/FX_Rate, "")</f>
        <v>0</v>
      </c>
      <c r="AJ149" s="125">
        <f>SUM(TblDetailBudget[[#This Row],[2021 Cost (USD)]:[2025 Cost (USD)]])</f>
        <v>0</v>
      </c>
      <c r="AK149" s="180"/>
    </row>
    <row r="150" spans="2:37" ht="12.75" customHeight="1">
      <c r="B150" s="122" t="s">
        <v>71</v>
      </c>
      <c r="C15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1.3.3.2.1</v>
      </c>
      <c r="D150" s="62">
        <f>IF(TblDetailBudget[[#This Row],[Level]]="", "", COUNTIFS($B$8:TblDetailBudget[[#This Row],[Level]], Lvl1Hdr))</f>
        <v>1</v>
      </c>
      <c r="E150" s="62">
        <f>IF(TblDetailBudget[[#This Row],[Level]]="", "", COUNTIFS($B$8:TblDetailBudget[[#This Row],[Level]], Lvl2Hdr, $D$8:TblDetailBudget[[#This Row],[Lvl 1 Header]], TblDetailBudget[[#This Row],[Lvl 1 Header]]))</f>
        <v>3</v>
      </c>
      <c r="F15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5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5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50" s="101" t="s">
        <v>185</v>
      </c>
      <c r="J150" s="101"/>
      <c r="K150" s="88"/>
      <c r="L150" s="88"/>
      <c r="M150" s="62" t="str">
        <f>IF(TblDetailBudget[[#This Row],[Level]]=LvlBottomHdr, IFERROR(INDEX(TblUnitCost[Unit], MATCH(TblDetailBudget[[#This Row],[Row Title]], TblUnitCost[Resource], 0)), "Invalid Resource"), "")</f>
        <v>per person per day</v>
      </c>
      <c r="N150" s="125">
        <f>IF(TblDetailBudget[[#This Row],[Level]]=LvlBottomHdr, IFERROR(INDEX(TblUnitCost[LCU], MATCH(TblDetailBudget[[#This Row],[Row Title]], TblUnitCost[Resource], 0)), "Invalid Resource"), "")</f>
        <v>20000</v>
      </c>
      <c r="O150" s="128"/>
      <c r="P150" s="108"/>
      <c r="Q150" s="185"/>
      <c r="R150" s="129"/>
      <c r="S150" s="108"/>
      <c r="T150" s="108"/>
      <c r="U150" s="108"/>
      <c r="V150" s="108"/>
      <c r="W150" s="108"/>
      <c r="X150" s="125" t="str">
        <f>IF(TblDetailBudget[[#This Row],[Level]]=LvlBottomHdr, IF(SUM(TblDetailBudget[[#This Row],[2021 Quant]:[2025 Quant]])&gt;0, SUM(TblDetailBudget[[#This Row],[2021 Quant]:[2025 Quant]]), ""), "")</f>
        <v/>
      </c>
      <c r="Y15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5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5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5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5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50" s="140">
        <f>SUM(TblDetailBudget[[#This Row],[2021 Cost (LCU)]:[2025 Cost (LCU)]])</f>
        <v>0</v>
      </c>
      <c r="AE150" s="134">
        <f>IFERROR(SUM(TblDetailBudget[[#This Row],[2021 Cost (LCU)]])/FX_Rate, "")</f>
        <v>0</v>
      </c>
      <c r="AF150" s="63">
        <f>IFERROR(SUM(TblDetailBudget[[#This Row],[2022 Cost (LCU)]])/FX_Rate, "")</f>
        <v>0</v>
      </c>
      <c r="AG150" s="63">
        <f>IFERROR(SUM(TblDetailBudget[[#This Row],[2023 Cost (LCU)]])/FX_Rate, "")</f>
        <v>0</v>
      </c>
      <c r="AH150" s="63">
        <f>IFERROR(SUM(TblDetailBudget[[#This Row],[2024 Cost (LCU)]])/FX_Rate, "")</f>
        <v>0</v>
      </c>
      <c r="AI150" s="63">
        <f>IFERROR(SUM(TblDetailBudget[[#This Row],[2025 Cost (LCU)]])/FX_Rate, "")</f>
        <v>0</v>
      </c>
      <c r="AJ150" s="125">
        <f>SUM(TblDetailBudget[[#This Row],[2021 Cost (USD)]:[2025 Cost (USD)]])</f>
        <v>0</v>
      </c>
      <c r="AK150" s="180"/>
    </row>
    <row r="151" spans="2:37" ht="12.75" customHeight="1">
      <c r="B151" s="122" t="s">
        <v>68</v>
      </c>
      <c r="C15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1.4</v>
      </c>
      <c r="D151" s="62">
        <f>IF(TblDetailBudget[[#This Row],[Level]]="", "", COUNTIFS($B$8:TblDetailBudget[[#This Row],[Level]], Lvl1Hdr))</f>
        <v>1</v>
      </c>
      <c r="E151" s="62">
        <f>IF(TblDetailBudget[[#This Row],[Level]]="", "", COUNTIFS($B$8:TblDetailBudget[[#This Row],[Level]], Lvl2Hdr, $D$8:TblDetailBudget[[#This Row],[Lvl 1 Header]], TblDetailBudget[[#This Row],[Lvl 1 Header]]))</f>
        <v>4</v>
      </c>
      <c r="F15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15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5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51" s="188" t="s">
        <v>209</v>
      </c>
      <c r="J151" s="101"/>
      <c r="K151" s="88"/>
      <c r="L151" s="88"/>
      <c r="M151" s="62" t="str">
        <f>IF(TblDetailBudget[[#This Row],[Level]]=LvlBottomHdr, IFERROR(INDEX(TblUnitCost[Unit], MATCH(TblDetailBudget[[#This Row],[Row Title]], TblUnitCost[Resource], 0)), "Invalid Resource"), "")</f>
        <v/>
      </c>
      <c r="N151" s="125" t="str">
        <f>IF(TblDetailBudget[[#This Row],[Level]]=LvlBottomHdr, IFERROR(INDEX(TblUnitCost[LCU], MATCH(TblDetailBudget[[#This Row],[Row Title]], TblUnitCost[Resource], 0)), "Invalid Resource"), "")</f>
        <v/>
      </c>
      <c r="O151" s="128"/>
      <c r="P151" s="108"/>
      <c r="Q151" s="185"/>
      <c r="R151" s="129"/>
      <c r="S151" s="108"/>
      <c r="T151" s="108"/>
      <c r="U151" s="108"/>
      <c r="V151" s="108"/>
      <c r="W151" s="108"/>
      <c r="X151" s="125" t="str">
        <f>IF(TblDetailBudget[[#This Row],[Level]]=LvlBottomHdr, IF(SUM(TblDetailBudget[[#This Row],[2021 Quant]:[2025 Quant]])&gt;0, SUM(TblDetailBudget[[#This Row],[2021 Quant]:[2025 Quant]]), ""), "")</f>
        <v/>
      </c>
      <c r="Y151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5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5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5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5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51" s="140">
        <f>SUM(TblDetailBudget[[#This Row],[2021 Cost (LCU)]:[2025 Cost (LCU)]])</f>
        <v>0</v>
      </c>
      <c r="AE151" s="134">
        <f>IFERROR(SUM(TblDetailBudget[[#This Row],[2021 Cost (LCU)]])/FX_Rate, "")</f>
        <v>0</v>
      </c>
      <c r="AF151" s="63">
        <f>IFERROR(SUM(TblDetailBudget[[#This Row],[2022 Cost (LCU)]])/FX_Rate, "")</f>
        <v>0</v>
      </c>
      <c r="AG151" s="63">
        <f>IFERROR(SUM(TblDetailBudget[[#This Row],[2023 Cost (LCU)]])/FX_Rate, "")</f>
        <v>0</v>
      </c>
      <c r="AH151" s="63">
        <f>IFERROR(SUM(TblDetailBudget[[#This Row],[2024 Cost (LCU)]])/FX_Rate, "")</f>
        <v>0</v>
      </c>
      <c r="AI151" s="63">
        <f>IFERROR(SUM(TblDetailBudget[[#This Row],[2025 Cost (LCU)]])/FX_Rate, "")</f>
        <v>0</v>
      </c>
      <c r="AJ151" s="125">
        <f>SUM(TblDetailBudget[[#This Row],[2021 Cost (USD)]:[2025 Cost (USD)]])</f>
        <v>0</v>
      </c>
      <c r="AK151" s="180"/>
    </row>
    <row r="152" spans="2:37" ht="12.75" customHeight="1">
      <c r="B152" s="122" t="s">
        <v>69</v>
      </c>
      <c r="C15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1.4.1</v>
      </c>
      <c r="D152" s="62">
        <f>IF(TblDetailBudget[[#This Row],[Level]]="", "", COUNTIFS($B$8:TblDetailBudget[[#This Row],[Level]], Lvl1Hdr))</f>
        <v>1</v>
      </c>
      <c r="E152" s="62">
        <f>IF(TblDetailBudget[[#This Row],[Level]]="", "", COUNTIFS($B$8:TblDetailBudget[[#This Row],[Level]], Lvl2Hdr, $D$8:TblDetailBudget[[#This Row],[Lvl 1 Header]], TblDetailBudget[[#This Row],[Lvl 1 Header]]))</f>
        <v>4</v>
      </c>
      <c r="F15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5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5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52" s="188" t="s">
        <v>2519</v>
      </c>
      <c r="J152" s="101"/>
      <c r="K152" s="88"/>
      <c r="L152" s="88"/>
      <c r="M152" s="62" t="str">
        <f>IF(TblDetailBudget[[#This Row],[Level]]=LvlBottomHdr, IFERROR(INDEX(TblUnitCost[Unit], MATCH(TblDetailBudget[[#This Row],[Row Title]], TblUnitCost[Resource], 0)), "Invalid Resource"), "")</f>
        <v/>
      </c>
      <c r="N152" s="125" t="str">
        <f>IF(TblDetailBudget[[#This Row],[Level]]=LvlBottomHdr, IFERROR(INDEX(TblUnitCost[LCU], MATCH(TblDetailBudget[[#This Row],[Row Title]], TblUnitCost[Resource], 0)), "Invalid Resource"), "")</f>
        <v/>
      </c>
      <c r="O152" s="128"/>
      <c r="P152" s="108"/>
      <c r="Q152" s="185"/>
      <c r="R152" s="129"/>
      <c r="S152" s="108"/>
      <c r="T152" s="108"/>
      <c r="U152" s="108"/>
      <c r="V152" s="108"/>
      <c r="W152" s="108"/>
      <c r="X152" s="125" t="str">
        <f>IF(TblDetailBudget[[#This Row],[Level]]=LvlBottomHdr, IF(SUM(TblDetailBudget[[#This Row],[2021 Quant]:[2025 Quant]])&gt;0, SUM(TblDetailBudget[[#This Row],[2021 Quant]:[2025 Quant]]), ""), "")</f>
        <v/>
      </c>
      <c r="Y15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5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5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5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5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52" s="140">
        <f>SUM(TblDetailBudget[[#This Row],[2021 Cost (LCU)]:[2025 Cost (LCU)]])</f>
        <v>0</v>
      </c>
      <c r="AE152" s="134">
        <f>IFERROR(SUM(TblDetailBudget[[#This Row],[2021 Cost (LCU)]])/FX_Rate, "")</f>
        <v>0</v>
      </c>
      <c r="AF152" s="63">
        <f>IFERROR(SUM(TblDetailBudget[[#This Row],[2022 Cost (LCU)]])/FX_Rate, "")</f>
        <v>0</v>
      </c>
      <c r="AG152" s="63">
        <f>IFERROR(SUM(TblDetailBudget[[#This Row],[2023 Cost (LCU)]])/FX_Rate, "")</f>
        <v>0</v>
      </c>
      <c r="AH152" s="63">
        <f>IFERROR(SUM(TblDetailBudget[[#This Row],[2024 Cost (LCU)]])/FX_Rate, "")</f>
        <v>0</v>
      </c>
      <c r="AI152" s="63">
        <f>IFERROR(SUM(TblDetailBudget[[#This Row],[2025 Cost (LCU)]])/FX_Rate, "")</f>
        <v>0</v>
      </c>
      <c r="AJ152" s="125">
        <f>SUM(TblDetailBudget[[#This Row],[2021 Cost (USD)]:[2025 Cost (USD)]])</f>
        <v>0</v>
      </c>
      <c r="AK152" s="180"/>
    </row>
    <row r="153" spans="2:37" ht="12.75" customHeight="1">
      <c r="B153" s="122" t="s">
        <v>70</v>
      </c>
      <c r="C15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1.4.1.1</v>
      </c>
      <c r="D153" s="62">
        <f>IF(TblDetailBudget[[#This Row],[Level]]="", "", COUNTIFS($B$8:TblDetailBudget[[#This Row],[Level]], Lvl1Hdr))</f>
        <v>1</v>
      </c>
      <c r="E153" s="62">
        <f>IF(TblDetailBudget[[#This Row],[Level]]="", "", COUNTIFS($B$8:TblDetailBudget[[#This Row],[Level]], Lvl2Hdr, $D$8:TblDetailBudget[[#This Row],[Lvl 1 Header]], TblDetailBudget[[#This Row],[Lvl 1 Header]]))</f>
        <v>4</v>
      </c>
      <c r="F15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5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5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53" s="101" t="s">
        <v>2520</v>
      </c>
      <c r="J153" s="101"/>
      <c r="K153" s="88"/>
      <c r="L153" s="88"/>
      <c r="M153" s="62" t="str">
        <f>IF(TblDetailBudget[[#This Row],[Level]]=LvlBottomHdr, IFERROR(INDEX(TblUnitCost[Unit], MATCH(TblDetailBudget[[#This Row],[Row Title]], TblUnitCost[Resource], 0)), "Invalid Resource"), "")</f>
        <v/>
      </c>
      <c r="N153" s="125" t="str">
        <f>IF(TblDetailBudget[[#This Row],[Level]]=LvlBottomHdr, IFERROR(INDEX(TblUnitCost[LCU], MATCH(TblDetailBudget[[#This Row],[Row Title]], TblUnitCost[Resource], 0)), "Invalid Resource"), "")</f>
        <v/>
      </c>
      <c r="O153" s="128"/>
      <c r="P153" s="108"/>
      <c r="Q153" s="185"/>
      <c r="R153" s="129"/>
      <c r="S153" s="108"/>
      <c r="T153" s="108"/>
      <c r="U153" s="108"/>
      <c r="V153" s="108"/>
      <c r="W153" s="108"/>
      <c r="X153" s="125" t="str">
        <f>IF(TblDetailBudget[[#This Row],[Level]]=LvlBottomHdr, IF(SUM(TblDetailBudget[[#This Row],[2021 Quant]:[2025 Quant]])&gt;0, SUM(TblDetailBudget[[#This Row],[2021 Quant]:[2025 Quant]]), ""), "")</f>
        <v/>
      </c>
      <c r="Y153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5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5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5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5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53" s="140">
        <f>SUM(TblDetailBudget[[#This Row],[2021 Cost (LCU)]:[2025 Cost (LCU)]])</f>
        <v>0</v>
      </c>
      <c r="AE153" s="134">
        <f>IFERROR(SUM(TblDetailBudget[[#This Row],[2021 Cost (LCU)]])/FX_Rate, "")</f>
        <v>0</v>
      </c>
      <c r="AF153" s="63">
        <f>IFERROR(SUM(TblDetailBudget[[#This Row],[2022 Cost (LCU)]])/FX_Rate, "")</f>
        <v>0</v>
      </c>
      <c r="AG153" s="63">
        <f>IFERROR(SUM(TblDetailBudget[[#This Row],[2023 Cost (LCU)]])/FX_Rate, "")</f>
        <v>0</v>
      </c>
      <c r="AH153" s="63">
        <f>IFERROR(SUM(TblDetailBudget[[#This Row],[2024 Cost (LCU)]])/FX_Rate, "")</f>
        <v>0</v>
      </c>
      <c r="AI153" s="63">
        <f>IFERROR(SUM(TblDetailBudget[[#This Row],[2025 Cost (LCU)]])/FX_Rate, "")</f>
        <v>0</v>
      </c>
      <c r="AJ153" s="125">
        <f>SUM(TblDetailBudget[[#This Row],[2021 Cost (USD)]:[2025 Cost (USD)]])</f>
        <v>0</v>
      </c>
      <c r="AK153" s="180"/>
    </row>
    <row r="154" spans="2:37" ht="12.75" customHeight="1">
      <c r="B154" s="122" t="s">
        <v>71</v>
      </c>
      <c r="C15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1.4.1.1.1</v>
      </c>
      <c r="D154" s="62">
        <f>IF(TblDetailBudget[[#This Row],[Level]]="", "", COUNTIFS($B$8:TblDetailBudget[[#This Row],[Level]], Lvl1Hdr))</f>
        <v>1</v>
      </c>
      <c r="E154" s="62">
        <f>IF(TblDetailBudget[[#This Row],[Level]]="", "", COUNTIFS($B$8:TblDetailBudget[[#This Row],[Level]], Lvl2Hdr, $D$8:TblDetailBudget[[#This Row],[Lvl 1 Header]], TblDetailBudget[[#This Row],[Lvl 1 Header]]))</f>
        <v>4</v>
      </c>
      <c r="F15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5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5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54" s="96" t="s">
        <v>2377</v>
      </c>
      <c r="J154" s="101"/>
      <c r="K154" s="88"/>
      <c r="L154" s="88"/>
      <c r="M154" s="62" t="str">
        <f>IF(TblDetailBudget[[#This Row],[Level]]=LvlBottomHdr, IFERROR(INDEX(TblUnitCost[Unit], MATCH(TblDetailBudget[[#This Row],[Row Title]], TblUnitCost[Resource], 0)), "Invalid Resource"), "")</f>
        <v>per ward</v>
      </c>
      <c r="N154" s="125">
        <f>IF(TblDetailBudget[[#This Row],[Level]]=LvlBottomHdr, IFERROR(INDEX(TblUnitCost[LCU], MATCH(TblDetailBudget[[#This Row],[Row Title]], TblUnitCost[Resource], 0)), "Invalid Resource"), "")</f>
        <v>0</v>
      </c>
      <c r="O154" s="128"/>
      <c r="P154" s="108"/>
      <c r="Q154" s="185"/>
      <c r="R154" s="129"/>
      <c r="S154" s="108"/>
      <c r="T154" s="108"/>
      <c r="U154" s="108"/>
      <c r="V154" s="108"/>
      <c r="W154" s="108"/>
      <c r="X154" s="125" t="str">
        <f>IF(TblDetailBudget[[#This Row],[Level]]=LvlBottomHdr, IF(SUM(TblDetailBudget[[#This Row],[2021 Quant]:[2025 Quant]])&gt;0, SUM(TblDetailBudget[[#This Row],[2021 Quant]:[2025 Quant]]), ""), "")</f>
        <v/>
      </c>
      <c r="Y154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5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5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5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5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54" s="140">
        <f>SUM(TblDetailBudget[[#This Row],[2021 Cost (LCU)]:[2025 Cost (LCU)]])</f>
        <v>0</v>
      </c>
      <c r="AE154" s="134">
        <f>IFERROR(SUM(TblDetailBudget[[#This Row],[2021 Cost (LCU)]])/FX_Rate, "")</f>
        <v>0</v>
      </c>
      <c r="AF154" s="63">
        <f>IFERROR(SUM(TblDetailBudget[[#This Row],[2022 Cost (LCU)]])/FX_Rate, "")</f>
        <v>0</v>
      </c>
      <c r="AG154" s="63">
        <f>IFERROR(SUM(TblDetailBudget[[#This Row],[2023 Cost (LCU)]])/FX_Rate, "")</f>
        <v>0</v>
      </c>
      <c r="AH154" s="63">
        <f>IFERROR(SUM(TblDetailBudget[[#This Row],[2024 Cost (LCU)]])/FX_Rate, "")</f>
        <v>0</v>
      </c>
      <c r="AI154" s="63">
        <f>IFERROR(SUM(TblDetailBudget[[#This Row],[2025 Cost (LCU)]])/FX_Rate, "")</f>
        <v>0</v>
      </c>
      <c r="AJ154" s="125">
        <f>SUM(TblDetailBudget[[#This Row],[2021 Cost (USD)]:[2025 Cost (USD)]])</f>
        <v>0</v>
      </c>
      <c r="AK154" s="180"/>
    </row>
    <row r="155" spans="2:37" ht="12.75" customHeight="1">
      <c r="B155" s="122" t="s">
        <v>70</v>
      </c>
      <c r="C15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1.4.1.2</v>
      </c>
      <c r="D155" s="62">
        <f>IF(TblDetailBudget[[#This Row],[Level]]="", "", COUNTIFS($B$8:TblDetailBudget[[#This Row],[Level]], Lvl1Hdr))</f>
        <v>1</v>
      </c>
      <c r="E155" s="62">
        <f>IF(TblDetailBudget[[#This Row],[Level]]="", "", COUNTIFS($B$8:TblDetailBudget[[#This Row],[Level]], Lvl2Hdr, $D$8:TblDetailBudget[[#This Row],[Lvl 1 Header]], TblDetailBudget[[#This Row],[Lvl 1 Header]]))</f>
        <v>4</v>
      </c>
      <c r="F15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5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5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55" s="101" t="s">
        <v>2521</v>
      </c>
      <c r="J155" s="101"/>
      <c r="K155" s="88"/>
      <c r="L155" s="88"/>
      <c r="M155" s="62" t="str">
        <f>IF(TblDetailBudget[[#This Row],[Level]]=LvlBottomHdr, IFERROR(INDEX(TblUnitCost[Unit], MATCH(TblDetailBudget[[#This Row],[Row Title]], TblUnitCost[Resource], 0)), "Invalid Resource"), "")</f>
        <v/>
      </c>
      <c r="N155" s="125" t="str">
        <f>IF(TblDetailBudget[[#This Row],[Level]]=LvlBottomHdr, IFERROR(INDEX(TblUnitCost[LCU], MATCH(TblDetailBudget[[#This Row],[Row Title]], TblUnitCost[Resource], 0)), "Invalid Resource"), "")</f>
        <v/>
      </c>
      <c r="O155" s="128"/>
      <c r="P155" s="108"/>
      <c r="Q155" s="185"/>
      <c r="R155" s="129"/>
      <c r="S155" s="108"/>
      <c r="T155" s="108"/>
      <c r="U155" s="108"/>
      <c r="V155" s="108"/>
      <c r="W155" s="108"/>
      <c r="X155" s="125" t="str">
        <f>IF(TblDetailBudget[[#This Row],[Level]]=LvlBottomHdr, IF(SUM(TblDetailBudget[[#This Row],[2021 Quant]:[2025 Quant]])&gt;0, SUM(TblDetailBudget[[#This Row],[2021 Quant]:[2025 Quant]]), ""), "")</f>
        <v/>
      </c>
      <c r="Y15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5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5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5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5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55" s="140">
        <f>SUM(TblDetailBudget[[#This Row],[2021 Cost (LCU)]:[2025 Cost (LCU)]])</f>
        <v>0</v>
      </c>
      <c r="AE155" s="134">
        <f>IFERROR(SUM(TblDetailBudget[[#This Row],[2021 Cost (LCU)]])/FX_Rate, "")</f>
        <v>0</v>
      </c>
      <c r="AF155" s="63">
        <f>IFERROR(SUM(TblDetailBudget[[#This Row],[2022 Cost (LCU)]])/FX_Rate, "")</f>
        <v>0</v>
      </c>
      <c r="AG155" s="63">
        <f>IFERROR(SUM(TblDetailBudget[[#This Row],[2023 Cost (LCU)]])/FX_Rate, "")</f>
        <v>0</v>
      </c>
      <c r="AH155" s="63">
        <f>IFERROR(SUM(TblDetailBudget[[#This Row],[2024 Cost (LCU)]])/FX_Rate, "")</f>
        <v>0</v>
      </c>
      <c r="AI155" s="63">
        <f>IFERROR(SUM(TblDetailBudget[[#This Row],[2025 Cost (LCU)]])/FX_Rate, "")</f>
        <v>0</v>
      </c>
      <c r="AJ155" s="125">
        <f>SUM(TblDetailBudget[[#This Row],[2021 Cost (USD)]:[2025 Cost (USD)]])</f>
        <v>0</v>
      </c>
      <c r="AK155" s="180"/>
    </row>
    <row r="156" spans="2:37" ht="12.75" customHeight="1">
      <c r="B156" s="122" t="s">
        <v>71</v>
      </c>
      <c r="C15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1.4.1.2.1</v>
      </c>
      <c r="D156" s="62">
        <f>IF(TblDetailBudget[[#This Row],[Level]]="", "", COUNTIFS($B$8:TblDetailBudget[[#This Row],[Level]], Lvl1Hdr))</f>
        <v>1</v>
      </c>
      <c r="E156" s="62">
        <f>IF(TblDetailBudget[[#This Row],[Level]]="", "", COUNTIFS($B$8:TblDetailBudget[[#This Row],[Level]], Lvl2Hdr, $D$8:TblDetailBudget[[#This Row],[Lvl 1 Header]], TblDetailBudget[[#This Row],[Lvl 1 Header]]))</f>
        <v>4</v>
      </c>
      <c r="F15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5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5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56" s="96" t="s">
        <v>2379</v>
      </c>
      <c r="J156" s="101"/>
      <c r="K156" s="88"/>
      <c r="L156" s="88"/>
      <c r="M156" s="62" t="str">
        <f>IF(TblDetailBudget[[#This Row],[Level]]=LvlBottomHdr, IFERROR(INDEX(TblUnitCost[Unit], MATCH(TblDetailBudget[[#This Row],[Row Title]], TblUnitCost[Resource], 0)), "Invalid Resource"), "")</f>
        <v>per ward</v>
      </c>
      <c r="N156" s="125">
        <f>IF(TblDetailBudget[[#This Row],[Level]]=LvlBottomHdr, IFERROR(INDEX(TblUnitCost[LCU], MATCH(TblDetailBudget[[#This Row],[Row Title]], TblUnitCost[Resource], 0)), "Invalid Resource"), "")</f>
        <v>0</v>
      </c>
      <c r="O156" s="128"/>
      <c r="P156" s="108"/>
      <c r="Q156" s="185"/>
      <c r="R156" s="129"/>
      <c r="S156" s="108"/>
      <c r="T156" s="108"/>
      <c r="U156" s="108"/>
      <c r="V156" s="108"/>
      <c r="W156" s="108"/>
      <c r="X156" s="125" t="str">
        <f>IF(TblDetailBudget[[#This Row],[Level]]=LvlBottomHdr, IF(SUM(TblDetailBudget[[#This Row],[2021 Quant]:[2025 Quant]])&gt;0, SUM(TblDetailBudget[[#This Row],[2021 Quant]:[2025 Quant]]), ""), "")</f>
        <v/>
      </c>
      <c r="Y15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5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5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5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5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56" s="140">
        <f>SUM(TblDetailBudget[[#This Row],[2021 Cost (LCU)]:[2025 Cost (LCU)]])</f>
        <v>0</v>
      </c>
      <c r="AE156" s="134">
        <f>IFERROR(SUM(TblDetailBudget[[#This Row],[2021 Cost (LCU)]])/FX_Rate, "")</f>
        <v>0</v>
      </c>
      <c r="AF156" s="63">
        <f>IFERROR(SUM(TblDetailBudget[[#This Row],[2022 Cost (LCU)]])/FX_Rate, "")</f>
        <v>0</v>
      </c>
      <c r="AG156" s="63">
        <f>IFERROR(SUM(TblDetailBudget[[#This Row],[2023 Cost (LCU)]])/FX_Rate, "")</f>
        <v>0</v>
      </c>
      <c r="AH156" s="63">
        <f>IFERROR(SUM(TblDetailBudget[[#This Row],[2024 Cost (LCU)]])/FX_Rate, "")</f>
        <v>0</v>
      </c>
      <c r="AI156" s="63">
        <f>IFERROR(SUM(TblDetailBudget[[#This Row],[2025 Cost (LCU)]])/FX_Rate, "")</f>
        <v>0</v>
      </c>
      <c r="AJ156" s="125">
        <f>SUM(TblDetailBudget[[#This Row],[2021 Cost (USD)]:[2025 Cost (USD)]])</f>
        <v>0</v>
      </c>
      <c r="AK156" s="180"/>
    </row>
    <row r="157" spans="2:37" ht="12.75" customHeight="1">
      <c r="B157" s="122" t="s">
        <v>68</v>
      </c>
      <c r="C15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1.5</v>
      </c>
      <c r="D157" s="62">
        <f>IF(TblDetailBudget[[#This Row],[Level]]="", "", COUNTIFS($B$8:TblDetailBudget[[#This Row],[Level]], Lvl1Hdr))</f>
        <v>1</v>
      </c>
      <c r="E157" s="62">
        <f>IF(TblDetailBudget[[#This Row],[Level]]="", "", COUNTIFS($B$8:TblDetailBudget[[#This Row],[Level]], Lvl2Hdr, $D$8:TblDetailBudget[[#This Row],[Lvl 1 Header]], TblDetailBudget[[#This Row],[Lvl 1 Header]]))</f>
        <v>5</v>
      </c>
      <c r="F15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15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5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57" s="188" t="s">
        <v>2522</v>
      </c>
      <c r="J157" s="101"/>
      <c r="K157" s="88"/>
      <c r="L157" s="88"/>
      <c r="M157" s="62" t="str">
        <f>IF(TblDetailBudget[[#This Row],[Level]]=LvlBottomHdr, IFERROR(INDEX(TblUnitCost[Unit], MATCH(TblDetailBudget[[#This Row],[Row Title]], TblUnitCost[Resource], 0)), "Invalid Resource"), "")</f>
        <v/>
      </c>
      <c r="N157" s="125" t="str">
        <f>IF(TblDetailBudget[[#This Row],[Level]]=LvlBottomHdr, IFERROR(INDEX(TblUnitCost[LCU], MATCH(TblDetailBudget[[#This Row],[Row Title]], TblUnitCost[Resource], 0)), "Invalid Resource"), "")</f>
        <v/>
      </c>
      <c r="O157" s="128"/>
      <c r="P157" s="108"/>
      <c r="Q157" s="185"/>
      <c r="R157" s="129"/>
      <c r="S157" s="108"/>
      <c r="T157" s="108"/>
      <c r="U157" s="108"/>
      <c r="V157" s="108"/>
      <c r="W157" s="108"/>
      <c r="X157" s="125" t="str">
        <f>IF(TblDetailBudget[[#This Row],[Level]]=LvlBottomHdr, IF(SUM(TblDetailBudget[[#This Row],[2021 Quant]:[2025 Quant]])&gt;0, SUM(TblDetailBudget[[#This Row],[2021 Quant]:[2025 Quant]]), ""), "")</f>
        <v/>
      </c>
      <c r="Y15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5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5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5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5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57" s="140">
        <f>SUM(TblDetailBudget[[#This Row],[2021 Cost (LCU)]:[2025 Cost (LCU)]])</f>
        <v>0</v>
      </c>
      <c r="AE157" s="134">
        <f>IFERROR(SUM(TblDetailBudget[[#This Row],[2021 Cost (LCU)]])/FX_Rate, "")</f>
        <v>0</v>
      </c>
      <c r="AF157" s="63">
        <f>IFERROR(SUM(TblDetailBudget[[#This Row],[2022 Cost (LCU)]])/FX_Rate, "")</f>
        <v>0</v>
      </c>
      <c r="AG157" s="63">
        <f>IFERROR(SUM(TblDetailBudget[[#This Row],[2023 Cost (LCU)]])/FX_Rate, "")</f>
        <v>0</v>
      </c>
      <c r="AH157" s="63">
        <f>IFERROR(SUM(TblDetailBudget[[#This Row],[2024 Cost (LCU)]])/FX_Rate, "")</f>
        <v>0</v>
      </c>
      <c r="AI157" s="63">
        <f>IFERROR(SUM(TblDetailBudget[[#This Row],[2025 Cost (LCU)]])/FX_Rate, "")</f>
        <v>0</v>
      </c>
      <c r="AJ157" s="125">
        <f>SUM(TblDetailBudget[[#This Row],[2021 Cost (USD)]:[2025 Cost (USD)]])</f>
        <v>0</v>
      </c>
      <c r="AK157" s="180"/>
    </row>
    <row r="158" spans="2:37" ht="12.75" customHeight="1">
      <c r="B158" s="122" t="s">
        <v>69</v>
      </c>
      <c r="C15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1.5.1</v>
      </c>
      <c r="D158" s="62">
        <f>IF(TblDetailBudget[[#This Row],[Level]]="", "", COUNTIFS($B$8:TblDetailBudget[[#This Row],[Level]], Lvl1Hdr))</f>
        <v>1</v>
      </c>
      <c r="E158" s="62">
        <f>IF(TblDetailBudget[[#This Row],[Level]]="", "", COUNTIFS($B$8:TblDetailBudget[[#This Row],[Level]], Lvl2Hdr, $D$8:TblDetailBudget[[#This Row],[Lvl 1 Header]], TblDetailBudget[[#This Row],[Lvl 1 Header]]))</f>
        <v>5</v>
      </c>
      <c r="F15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5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5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58" s="188" t="s">
        <v>2523</v>
      </c>
      <c r="J158" s="101"/>
      <c r="K158" s="88"/>
      <c r="L158" s="88"/>
      <c r="M158" s="62" t="str">
        <f>IF(TblDetailBudget[[#This Row],[Level]]=LvlBottomHdr, IFERROR(INDEX(TblUnitCost[Unit], MATCH(TblDetailBudget[[#This Row],[Row Title]], TblUnitCost[Resource], 0)), "Invalid Resource"), "")</f>
        <v/>
      </c>
      <c r="N158" s="125" t="str">
        <f>IF(TblDetailBudget[[#This Row],[Level]]=LvlBottomHdr, IFERROR(INDEX(TblUnitCost[LCU], MATCH(TblDetailBudget[[#This Row],[Row Title]], TblUnitCost[Resource], 0)), "Invalid Resource"), "")</f>
        <v/>
      </c>
      <c r="O158" s="128"/>
      <c r="P158" s="108"/>
      <c r="Q158" s="185"/>
      <c r="R158" s="129"/>
      <c r="S158" s="108"/>
      <c r="T158" s="108"/>
      <c r="U158" s="108"/>
      <c r="V158" s="108"/>
      <c r="W158" s="108"/>
      <c r="X158" s="125" t="str">
        <f>IF(TblDetailBudget[[#This Row],[Level]]=LvlBottomHdr, IF(SUM(TblDetailBudget[[#This Row],[2021 Quant]:[2025 Quant]])&gt;0, SUM(TblDetailBudget[[#This Row],[2021 Quant]:[2025 Quant]]), ""), "")</f>
        <v/>
      </c>
      <c r="Y15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5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5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5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5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58" s="140">
        <f>SUM(TblDetailBudget[[#This Row],[2021 Cost (LCU)]:[2025 Cost (LCU)]])</f>
        <v>0</v>
      </c>
      <c r="AE158" s="134">
        <f>IFERROR(SUM(TblDetailBudget[[#This Row],[2021 Cost (LCU)]])/FX_Rate, "")</f>
        <v>0</v>
      </c>
      <c r="AF158" s="63">
        <f>IFERROR(SUM(TblDetailBudget[[#This Row],[2022 Cost (LCU)]])/FX_Rate, "")</f>
        <v>0</v>
      </c>
      <c r="AG158" s="63">
        <f>IFERROR(SUM(TblDetailBudget[[#This Row],[2023 Cost (LCU)]])/FX_Rate, "")</f>
        <v>0</v>
      </c>
      <c r="AH158" s="63">
        <f>IFERROR(SUM(TblDetailBudget[[#This Row],[2024 Cost (LCU)]])/FX_Rate, "")</f>
        <v>0</v>
      </c>
      <c r="AI158" s="63">
        <f>IFERROR(SUM(TblDetailBudget[[#This Row],[2025 Cost (LCU)]])/FX_Rate, "")</f>
        <v>0</v>
      </c>
      <c r="AJ158" s="125">
        <f>SUM(TblDetailBudget[[#This Row],[2021 Cost (USD)]:[2025 Cost (USD)]])</f>
        <v>0</v>
      </c>
      <c r="AK158" s="180"/>
    </row>
    <row r="159" spans="2:37" ht="12.75" customHeight="1">
      <c r="B159" s="122" t="s">
        <v>70</v>
      </c>
      <c r="C15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1.5.1.1</v>
      </c>
      <c r="D159" s="62">
        <f>IF(TblDetailBudget[[#This Row],[Level]]="", "", COUNTIFS($B$8:TblDetailBudget[[#This Row],[Level]], Lvl1Hdr))</f>
        <v>1</v>
      </c>
      <c r="E159" s="62">
        <f>IF(TblDetailBudget[[#This Row],[Level]]="", "", COUNTIFS($B$8:TblDetailBudget[[#This Row],[Level]], Lvl2Hdr, $D$8:TblDetailBudget[[#This Row],[Lvl 1 Header]], TblDetailBudget[[#This Row],[Lvl 1 Header]]))</f>
        <v>5</v>
      </c>
      <c r="F15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5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5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59" s="101" t="s">
        <v>2524</v>
      </c>
      <c r="J159" s="101"/>
      <c r="K159" s="88"/>
      <c r="L159" s="88"/>
      <c r="M159" s="62" t="str">
        <f>IF(TblDetailBudget[[#This Row],[Level]]=LvlBottomHdr, IFERROR(INDEX(TblUnitCost[Unit], MATCH(TblDetailBudget[[#This Row],[Row Title]], TblUnitCost[Resource], 0)), "Invalid Resource"), "")</f>
        <v/>
      </c>
      <c r="N159" s="125" t="str">
        <f>IF(TblDetailBudget[[#This Row],[Level]]=LvlBottomHdr, IFERROR(INDEX(TblUnitCost[LCU], MATCH(TblDetailBudget[[#This Row],[Row Title]], TblUnitCost[Resource], 0)), "Invalid Resource"), "")</f>
        <v/>
      </c>
      <c r="O159" s="128"/>
      <c r="P159" s="108"/>
      <c r="Q159" s="185"/>
      <c r="R159" s="129"/>
      <c r="S159" s="108"/>
      <c r="T159" s="108"/>
      <c r="U159" s="108"/>
      <c r="V159" s="108"/>
      <c r="W159" s="108"/>
      <c r="X159" s="125" t="str">
        <f>IF(TblDetailBudget[[#This Row],[Level]]=LvlBottomHdr, IF(SUM(TblDetailBudget[[#This Row],[2021 Quant]:[2025 Quant]])&gt;0, SUM(TblDetailBudget[[#This Row],[2021 Quant]:[2025 Quant]]), ""), "")</f>
        <v/>
      </c>
      <c r="Y159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5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5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5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5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59" s="140">
        <f>SUM(TblDetailBudget[[#This Row],[2021 Cost (LCU)]:[2025 Cost (LCU)]])</f>
        <v>0</v>
      </c>
      <c r="AE159" s="134">
        <f>IFERROR(SUM(TblDetailBudget[[#This Row],[2021 Cost (LCU)]])/FX_Rate, "")</f>
        <v>0</v>
      </c>
      <c r="AF159" s="63">
        <f>IFERROR(SUM(TblDetailBudget[[#This Row],[2022 Cost (LCU)]])/FX_Rate, "")</f>
        <v>0</v>
      </c>
      <c r="AG159" s="63">
        <f>IFERROR(SUM(TblDetailBudget[[#This Row],[2023 Cost (LCU)]])/FX_Rate, "")</f>
        <v>0</v>
      </c>
      <c r="AH159" s="63">
        <f>IFERROR(SUM(TblDetailBudget[[#This Row],[2024 Cost (LCU)]])/FX_Rate, "")</f>
        <v>0</v>
      </c>
      <c r="AI159" s="63">
        <f>IFERROR(SUM(TblDetailBudget[[#This Row],[2025 Cost (LCU)]])/FX_Rate, "")</f>
        <v>0</v>
      </c>
      <c r="AJ159" s="125">
        <f>SUM(TblDetailBudget[[#This Row],[2021 Cost (USD)]:[2025 Cost (USD)]])</f>
        <v>0</v>
      </c>
      <c r="AK159" s="180"/>
    </row>
    <row r="160" spans="2:37" ht="12.75" customHeight="1">
      <c r="B160" s="122" t="s">
        <v>71</v>
      </c>
      <c r="C16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1.5.1.1.1</v>
      </c>
      <c r="D160" s="62">
        <f>IF(TblDetailBudget[[#This Row],[Level]]="", "", COUNTIFS($B$8:TblDetailBudget[[#This Row],[Level]], Lvl1Hdr))</f>
        <v>1</v>
      </c>
      <c r="E160" s="62">
        <f>IF(TblDetailBudget[[#This Row],[Level]]="", "", COUNTIFS($B$8:TblDetailBudget[[#This Row],[Level]], Lvl2Hdr, $D$8:TblDetailBudget[[#This Row],[Lvl 1 Header]], TblDetailBudget[[#This Row],[Lvl 1 Header]]))</f>
        <v>5</v>
      </c>
      <c r="F16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6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6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60" s="96" t="s">
        <v>2377</v>
      </c>
      <c r="J160" s="101"/>
      <c r="K160" s="88"/>
      <c r="L160" s="88"/>
      <c r="M160" s="62" t="str">
        <f>IF(TblDetailBudget[[#This Row],[Level]]=LvlBottomHdr, IFERROR(INDEX(TblUnitCost[Unit], MATCH(TblDetailBudget[[#This Row],[Row Title]], TblUnitCost[Resource], 0)), "Invalid Resource"), "")</f>
        <v>per ward</v>
      </c>
      <c r="N160" s="125">
        <f>IF(TblDetailBudget[[#This Row],[Level]]=LvlBottomHdr, IFERROR(INDEX(TblUnitCost[LCU], MATCH(TblDetailBudget[[#This Row],[Row Title]], TblUnitCost[Resource], 0)), "Invalid Resource"), "")</f>
        <v>0</v>
      </c>
      <c r="O160" s="128"/>
      <c r="P160" s="108"/>
      <c r="Q160" s="185"/>
      <c r="R160" s="129"/>
      <c r="S160" s="108"/>
      <c r="T160" s="108"/>
      <c r="U160" s="108"/>
      <c r="V160" s="108"/>
      <c r="W160" s="108"/>
      <c r="X160" s="125" t="str">
        <f>IF(TblDetailBudget[[#This Row],[Level]]=LvlBottomHdr, IF(SUM(TblDetailBudget[[#This Row],[2021 Quant]:[2025 Quant]])&gt;0, SUM(TblDetailBudget[[#This Row],[2021 Quant]:[2025 Quant]]), ""), "")</f>
        <v/>
      </c>
      <c r="Y16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6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6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6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6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60" s="140">
        <f>SUM(TblDetailBudget[[#This Row],[2021 Cost (LCU)]:[2025 Cost (LCU)]])</f>
        <v>0</v>
      </c>
      <c r="AE160" s="134">
        <f>IFERROR(SUM(TblDetailBudget[[#This Row],[2021 Cost (LCU)]])/FX_Rate, "")</f>
        <v>0</v>
      </c>
      <c r="AF160" s="63">
        <f>IFERROR(SUM(TblDetailBudget[[#This Row],[2022 Cost (LCU)]])/FX_Rate, "")</f>
        <v>0</v>
      </c>
      <c r="AG160" s="63">
        <f>IFERROR(SUM(TblDetailBudget[[#This Row],[2023 Cost (LCU)]])/FX_Rate, "")</f>
        <v>0</v>
      </c>
      <c r="AH160" s="63">
        <f>IFERROR(SUM(TblDetailBudget[[#This Row],[2024 Cost (LCU)]])/FX_Rate, "")</f>
        <v>0</v>
      </c>
      <c r="AI160" s="63">
        <f>IFERROR(SUM(TblDetailBudget[[#This Row],[2025 Cost (LCU)]])/FX_Rate, "")</f>
        <v>0</v>
      </c>
      <c r="AJ160" s="125">
        <f>SUM(TblDetailBudget[[#This Row],[2021 Cost (USD)]:[2025 Cost (USD)]])</f>
        <v>0</v>
      </c>
      <c r="AK160" s="180"/>
    </row>
    <row r="161" spans="2:37" ht="12.75" customHeight="1">
      <c r="B161" s="122" t="s">
        <v>70</v>
      </c>
      <c r="C16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1.5.1.2</v>
      </c>
      <c r="D161" s="62">
        <f>IF(TblDetailBudget[[#This Row],[Level]]="", "", COUNTIFS($B$8:TblDetailBudget[[#This Row],[Level]], Lvl1Hdr))</f>
        <v>1</v>
      </c>
      <c r="E161" s="62">
        <f>IF(TblDetailBudget[[#This Row],[Level]]="", "", COUNTIFS($B$8:TblDetailBudget[[#This Row],[Level]], Lvl2Hdr, $D$8:TblDetailBudget[[#This Row],[Lvl 1 Header]], TblDetailBudget[[#This Row],[Lvl 1 Header]]))</f>
        <v>5</v>
      </c>
      <c r="F16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6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6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61" s="101" t="s">
        <v>2525</v>
      </c>
      <c r="J161" s="101"/>
      <c r="K161" s="88"/>
      <c r="L161" s="88"/>
      <c r="M161" s="62" t="str">
        <f>IF(TblDetailBudget[[#This Row],[Level]]=LvlBottomHdr, IFERROR(INDEX(TblUnitCost[Unit], MATCH(TblDetailBudget[[#This Row],[Row Title]], TblUnitCost[Resource], 0)), "Invalid Resource"), "")</f>
        <v/>
      </c>
      <c r="N161" s="125" t="str">
        <f>IF(TblDetailBudget[[#This Row],[Level]]=LvlBottomHdr, IFERROR(INDEX(TblUnitCost[LCU], MATCH(TblDetailBudget[[#This Row],[Row Title]], TblUnitCost[Resource], 0)), "Invalid Resource"), "")</f>
        <v/>
      </c>
      <c r="O161" s="128"/>
      <c r="P161" s="108"/>
      <c r="Q161" s="185"/>
      <c r="R161" s="129"/>
      <c r="S161" s="108"/>
      <c r="T161" s="108"/>
      <c r="U161" s="108"/>
      <c r="V161" s="108"/>
      <c r="W161" s="108"/>
      <c r="X161" s="125" t="str">
        <f>IF(TblDetailBudget[[#This Row],[Level]]=LvlBottomHdr, IF(SUM(TblDetailBudget[[#This Row],[2021 Quant]:[2025 Quant]])&gt;0, SUM(TblDetailBudget[[#This Row],[2021 Quant]:[2025 Quant]]), ""), "")</f>
        <v/>
      </c>
      <c r="Y161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6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6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6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6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61" s="140">
        <f>SUM(TblDetailBudget[[#This Row],[2021 Cost (LCU)]:[2025 Cost (LCU)]])</f>
        <v>0</v>
      </c>
      <c r="AE161" s="134">
        <f>IFERROR(SUM(TblDetailBudget[[#This Row],[2021 Cost (LCU)]])/FX_Rate, "")</f>
        <v>0</v>
      </c>
      <c r="AF161" s="63">
        <f>IFERROR(SUM(TblDetailBudget[[#This Row],[2022 Cost (LCU)]])/FX_Rate, "")</f>
        <v>0</v>
      </c>
      <c r="AG161" s="63">
        <f>IFERROR(SUM(TblDetailBudget[[#This Row],[2023 Cost (LCU)]])/FX_Rate, "")</f>
        <v>0</v>
      </c>
      <c r="AH161" s="63">
        <f>IFERROR(SUM(TblDetailBudget[[#This Row],[2024 Cost (LCU)]])/FX_Rate, "")</f>
        <v>0</v>
      </c>
      <c r="AI161" s="63">
        <f>IFERROR(SUM(TblDetailBudget[[#This Row],[2025 Cost (LCU)]])/FX_Rate, "")</f>
        <v>0</v>
      </c>
      <c r="AJ161" s="125">
        <f>SUM(TblDetailBudget[[#This Row],[2021 Cost (USD)]:[2025 Cost (USD)]])</f>
        <v>0</v>
      </c>
      <c r="AK161" s="180"/>
    </row>
    <row r="162" spans="2:37" ht="12.75" customHeight="1">
      <c r="B162" s="122" t="s">
        <v>71</v>
      </c>
      <c r="C16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1.5.1.2.1</v>
      </c>
      <c r="D162" s="62">
        <f>IF(TblDetailBudget[[#This Row],[Level]]="", "", COUNTIFS($B$8:TblDetailBudget[[#This Row],[Level]], Lvl1Hdr))</f>
        <v>1</v>
      </c>
      <c r="E162" s="62">
        <f>IF(TblDetailBudget[[#This Row],[Level]]="", "", COUNTIFS($B$8:TblDetailBudget[[#This Row],[Level]], Lvl2Hdr, $D$8:TblDetailBudget[[#This Row],[Lvl 1 Header]], TblDetailBudget[[#This Row],[Lvl 1 Header]]))</f>
        <v>5</v>
      </c>
      <c r="F16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6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6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62" s="96" t="s">
        <v>2379</v>
      </c>
      <c r="J162" s="101"/>
      <c r="K162" s="88"/>
      <c r="L162" s="88"/>
      <c r="M162" s="62" t="str">
        <f>IF(TblDetailBudget[[#This Row],[Level]]=LvlBottomHdr, IFERROR(INDEX(TblUnitCost[Unit], MATCH(TblDetailBudget[[#This Row],[Row Title]], TblUnitCost[Resource], 0)), "Invalid Resource"), "")</f>
        <v>per ward</v>
      </c>
      <c r="N162" s="125">
        <f>IF(TblDetailBudget[[#This Row],[Level]]=LvlBottomHdr, IFERROR(INDEX(TblUnitCost[LCU], MATCH(TblDetailBudget[[#This Row],[Row Title]], TblUnitCost[Resource], 0)), "Invalid Resource"), "")</f>
        <v>0</v>
      </c>
      <c r="O162" s="128"/>
      <c r="P162" s="108"/>
      <c r="Q162" s="185"/>
      <c r="R162" s="129"/>
      <c r="S162" s="108"/>
      <c r="T162" s="108"/>
      <c r="U162" s="108"/>
      <c r="V162" s="108"/>
      <c r="W162" s="108"/>
      <c r="X162" s="125" t="str">
        <f>IF(TblDetailBudget[[#This Row],[Level]]=LvlBottomHdr, IF(SUM(TblDetailBudget[[#This Row],[2021 Quant]:[2025 Quant]])&gt;0, SUM(TblDetailBudget[[#This Row],[2021 Quant]:[2025 Quant]]), ""), "")</f>
        <v/>
      </c>
      <c r="Y16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6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6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6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6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62" s="140">
        <f>SUM(TblDetailBudget[[#This Row],[2021 Cost (LCU)]:[2025 Cost (LCU)]])</f>
        <v>0</v>
      </c>
      <c r="AE162" s="134">
        <f>IFERROR(SUM(TblDetailBudget[[#This Row],[2021 Cost (LCU)]])/FX_Rate, "")</f>
        <v>0</v>
      </c>
      <c r="AF162" s="63">
        <f>IFERROR(SUM(TblDetailBudget[[#This Row],[2022 Cost (LCU)]])/FX_Rate, "")</f>
        <v>0</v>
      </c>
      <c r="AG162" s="63">
        <f>IFERROR(SUM(TblDetailBudget[[#This Row],[2023 Cost (LCU)]])/FX_Rate, "")</f>
        <v>0</v>
      </c>
      <c r="AH162" s="63">
        <f>IFERROR(SUM(TblDetailBudget[[#This Row],[2024 Cost (LCU)]])/FX_Rate, "")</f>
        <v>0</v>
      </c>
      <c r="AI162" s="63">
        <f>IFERROR(SUM(TblDetailBudget[[#This Row],[2025 Cost (LCU)]])/FX_Rate, "")</f>
        <v>0</v>
      </c>
      <c r="AJ162" s="125">
        <f>SUM(TblDetailBudget[[#This Row],[2021 Cost (USD)]:[2025 Cost (USD)]])</f>
        <v>0</v>
      </c>
      <c r="AK162" s="180"/>
    </row>
    <row r="163" spans="2:37" ht="12.75" customHeight="1">
      <c r="B163" s="122" t="s">
        <v>68</v>
      </c>
      <c r="C16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1.6</v>
      </c>
      <c r="D163" s="62">
        <f>IF(TblDetailBudget[[#This Row],[Level]]="", "", COUNTIFS($B$8:TblDetailBudget[[#This Row],[Level]], Lvl1Hdr))</f>
        <v>1</v>
      </c>
      <c r="E163" s="62">
        <f>IF(TblDetailBudget[[#This Row],[Level]]="", "", COUNTIFS($B$8:TblDetailBudget[[#This Row],[Level]], Lvl2Hdr, $D$8:TblDetailBudget[[#This Row],[Lvl 1 Header]], TblDetailBudget[[#This Row],[Lvl 1 Header]]))</f>
        <v>6</v>
      </c>
      <c r="F16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16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6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63" s="188" t="s">
        <v>2527</v>
      </c>
      <c r="J163" s="101"/>
      <c r="K163" s="88"/>
      <c r="L163" s="88"/>
      <c r="M163" s="62" t="str">
        <f>IF(TblDetailBudget[[#This Row],[Level]]=LvlBottomHdr, IFERROR(INDEX(TblUnitCost[Unit], MATCH(TblDetailBudget[[#This Row],[Row Title]], TblUnitCost[Resource], 0)), "Invalid Resource"), "")</f>
        <v/>
      </c>
      <c r="N163" s="125" t="str">
        <f>IF(TblDetailBudget[[#This Row],[Level]]=LvlBottomHdr, IFERROR(INDEX(TblUnitCost[LCU], MATCH(TblDetailBudget[[#This Row],[Row Title]], TblUnitCost[Resource], 0)), "Invalid Resource"), "")</f>
        <v/>
      </c>
      <c r="O163" s="128"/>
      <c r="P163" s="108"/>
      <c r="Q163" s="185"/>
      <c r="R163" s="129"/>
      <c r="S163" s="108"/>
      <c r="T163" s="108"/>
      <c r="U163" s="108"/>
      <c r="V163" s="108"/>
      <c r="W163" s="108"/>
      <c r="X163" s="125" t="str">
        <f>IF(TblDetailBudget[[#This Row],[Level]]=LvlBottomHdr, IF(SUM(TblDetailBudget[[#This Row],[2021 Quant]:[2025 Quant]])&gt;0, SUM(TblDetailBudget[[#This Row],[2021 Quant]:[2025 Quant]]), ""), "")</f>
        <v/>
      </c>
      <c r="Y163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6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6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6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6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4928560000</v>
      </c>
      <c r="AD163" s="140">
        <f>SUM(TblDetailBudget[[#This Row],[2021 Cost (LCU)]:[2025 Cost (LCU)]])</f>
        <v>4928560000</v>
      </c>
      <c r="AE163" s="134">
        <f>IFERROR(SUM(TblDetailBudget[[#This Row],[2021 Cost (LCU)]])/FX_Rate, "")</f>
        <v>0</v>
      </c>
      <c r="AF163" s="63">
        <f>IFERROR(SUM(TblDetailBudget[[#This Row],[2022 Cost (LCU)]])/FX_Rate, "")</f>
        <v>0</v>
      </c>
      <c r="AG163" s="63">
        <f>IFERROR(SUM(TblDetailBudget[[#This Row],[2023 Cost (LCU)]])/FX_Rate, "")</f>
        <v>0</v>
      </c>
      <c r="AH163" s="63">
        <f>IFERROR(SUM(TblDetailBudget[[#This Row],[2024 Cost (LCU)]])/FX_Rate, "")</f>
        <v>0</v>
      </c>
      <c r="AI163" s="63">
        <f>IFERROR(SUM(TblDetailBudget[[#This Row],[2025 Cost (LCU)]])/FX_Rate, "")</f>
        <v>3080350</v>
      </c>
      <c r="AJ163" s="125">
        <f>SUM(TblDetailBudget[[#This Row],[2021 Cost (USD)]:[2025 Cost (USD)]])</f>
        <v>3080350</v>
      </c>
      <c r="AK163" s="180"/>
    </row>
    <row r="164" spans="2:37" ht="12.75" customHeight="1">
      <c r="B164" s="122" t="s">
        <v>69</v>
      </c>
      <c r="C16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1.6.1</v>
      </c>
      <c r="D164" s="62">
        <f>IF(TblDetailBudget[[#This Row],[Level]]="", "", COUNTIFS($B$8:TblDetailBudget[[#This Row],[Level]], Lvl1Hdr))</f>
        <v>1</v>
      </c>
      <c r="E164" s="62">
        <f>IF(TblDetailBudget[[#This Row],[Level]]="", "", COUNTIFS($B$8:TblDetailBudget[[#This Row],[Level]], Lvl2Hdr, $D$8:TblDetailBudget[[#This Row],[Lvl 1 Header]], TblDetailBudget[[#This Row],[Lvl 1 Header]]))</f>
        <v>6</v>
      </c>
      <c r="F16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6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6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64" s="188" t="s">
        <v>2529</v>
      </c>
      <c r="J164" s="101"/>
      <c r="K164" s="88"/>
      <c r="L164" s="88"/>
      <c r="M164" s="62" t="str">
        <f>IF(TblDetailBudget[[#This Row],[Level]]=LvlBottomHdr, IFERROR(INDEX(TblUnitCost[Unit], MATCH(TblDetailBudget[[#This Row],[Row Title]], TblUnitCost[Resource], 0)), "Invalid Resource"), "")</f>
        <v/>
      </c>
      <c r="N164" s="125" t="str">
        <f>IF(TblDetailBudget[[#This Row],[Level]]=LvlBottomHdr, IFERROR(INDEX(TblUnitCost[LCU], MATCH(TblDetailBudget[[#This Row],[Row Title]], TblUnitCost[Resource], 0)), "Invalid Resource"), "")</f>
        <v/>
      </c>
      <c r="O164" s="128"/>
      <c r="P164" s="108"/>
      <c r="Q164" s="185"/>
      <c r="R164" s="129"/>
      <c r="S164" s="108"/>
      <c r="T164" s="108"/>
      <c r="U164" s="108"/>
      <c r="V164" s="108"/>
      <c r="W164" s="108"/>
      <c r="X164" s="125" t="str">
        <f>IF(TblDetailBudget[[#This Row],[Level]]=LvlBottomHdr, IF(SUM(TblDetailBudget[[#This Row],[2021 Quant]:[2025 Quant]])&gt;0, SUM(TblDetailBudget[[#This Row],[2021 Quant]:[2025 Quant]]), ""), "")</f>
        <v/>
      </c>
      <c r="Y164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6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6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6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6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4928560000</v>
      </c>
      <c r="AD164" s="140">
        <f>SUM(TblDetailBudget[[#This Row],[2021 Cost (LCU)]:[2025 Cost (LCU)]])</f>
        <v>4928560000</v>
      </c>
      <c r="AE164" s="134">
        <f>IFERROR(SUM(TblDetailBudget[[#This Row],[2021 Cost (LCU)]])/FX_Rate, "")</f>
        <v>0</v>
      </c>
      <c r="AF164" s="63">
        <f>IFERROR(SUM(TblDetailBudget[[#This Row],[2022 Cost (LCU)]])/FX_Rate, "")</f>
        <v>0</v>
      </c>
      <c r="AG164" s="63">
        <f>IFERROR(SUM(TblDetailBudget[[#This Row],[2023 Cost (LCU)]])/FX_Rate, "")</f>
        <v>0</v>
      </c>
      <c r="AH164" s="63">
        <f>IFERROR(SUM(TblDetailBudget[[#This Row],[2024 Cost (LCU)]])/FX_Rate, "")</f>
        <v>0</v>
      </c>
      <c r="AI164" s="63">
        <f>IFERROR(SUM(TblDetailBudget[[#This Row],[2025 Cost (LCU)]])/FX_Rate, "")</f>
        <v>3080350</v>
      </c>
      <c r="AJ164" s="125">
        <f>SUM(TblDetailBudget[[#This Row],[2021 Cost (USD)]:[2025 Cost (USD)]])</f>
        <v>3080350</v>
      </c>
      <c r="AK164" s="180"/>
    </row>
    <row r="165" spans="2:37" ht="12.75" customHeight="1">
      <c r="B165" s="122" t="s">
        <v>70</v>
      </c>
      <c r="C16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1.6.1.1</v>
      </c>
      <c r="D165" s="62">
        <f>IF(TblDetailBudget[[#This Row],[Level]]="", "", COUNTIFS($B$8:TblDetailBudget[[#This Row],[Level]], Lvl1Hdr))</f>
        <v>1</v>
      </c>
      <c r="E165" s="62">
        <f>IF(TblDetailBudget[[#This Row],[Level]]="", "", COUNTIFS($B$8:TblDetailBudget[[#This Row],[Level]], Lvl2Hdr, $D$8:TblDetailBudget[[#This Row],[Lvl 1 Header]], TblDetailBudget[[#This Row],[Lvl 1 Header]]))</f>
        <v>6</v>
      </c>
      <c r="F16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6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6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65" s="101" t="s">
        <v>2530</v>
      </c>
      <c r="J165" s="101"/>
      <c r="K165" s="88"/>
      <c r="L165" s="88"/>
      <c r="M165" s="62" t="str">
        <f>IF(TblDetailBudget[[#This Row],[Level]]=LvlBottomHdr, IFERROR(INDEX(TblUnitCost[Unit], MATCH(TblDetailBudget[[#This Row],[Row Title]], TblUnitCost[Resource], 0)), "Invalid Resource"), "")</f>
        <v/>
      </c>
      <c r="N165" s="125" t="str">
        <f>IF(TblDetailBudget[[#This Row],[Level]]=LvlBottomHdr, IFERROR(INDEX(TblUnitCost[LCU], MATCH(TblDetailBudget[[#This Row],[Row Title]], TblUnitCost[Resource], 0)), "Invalid Resource"), "")</f>
        <v/>
      </c>
      <c r="O165" s="128"/>
      <c r="P165" s="108"/>
      <c r="Q165" s="185"/>
      <c r="R165" s="129"/>
      <c r="S165" s="108"/>
      <c r="T165" s="108"/>
      <c r="U165" s="108"/>
      <c r="V165" s="108"/>
      <c r="W165" s="108"/>
      <c r="X165" s="125" t="str">
        <f>IF(TblDetailBudget[[#This Row],[Level]]=LvlBottomHdr, IF(SUM(TblDetailBudget[[#This Row],[2021 Quant]:[2025 Quant]])&gt;0, SUM(TblDetailBudget[[#This Row],[2021 Quant]:[2025 Quant]]), ""), "")</f>
        <v/>
      </c>
      <c r="Y16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6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6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6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6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2464280000</v>
      </c>
      <c r="AD165" s="140">
        <f>SUM(TblDetailBudget[[#This Row],[2021 Cost (LCU)]:[2025 Cost (LCU)]])</f>
        <v>2464280000</v>
      </c>
      <c r="AE165" s="134">
        <f>IFERROR(SUM(TblDetailBudget[[#This Row],[2021 Cost (LCU)]])/FX_Rate, "")</f>
        <v>0</v>
      </c>
      <c r="AF165" s="63">
        <f>IFERROR(SUM(TblDetailBudget[[#This Row],[2022 Cost (LCU)]])/FX_Rate, "")</f>
        <v>0</v>
      </c>
      <c r="AG165" s="63">
        <f>IFERROR(SUM(TblDetailBudget[[#This Row],[2023 Cost (LCU)]])/FX_Rate, "")</f>
        <v>0</v>
      </c>
      <c r="AH165" s="63">
        <f>IFERROR(SUM(TblDetailBudget[[#This Row],[2024 Cost (LCU)]])/FX_Rate, "")</f>
        <v>0</v>
      </c>
      <c r="AI165" s="63">
        <f>IFERROR(SUM(TblDetailBudget[[#This Row],[2025 Cost (LCU)]])/FX_Rate, "")</f>
        <v>1540175</v>
      </c>
      <c r="AJ165" s="125">
        <f>SUM(TblDetailBudget[[#This Row],[2021 Cost (USD)]:[2025 Cost (USD)]])</f>
        <v>1540175</v>
      </c>
      <c r="AK165" s="180"/>
    </row>
    <row r="166" spans="2:37" ht="12.75" customHeight="1">
      <c r="B166" s="122" t="s">
        <v>71</v>
      </c>
      <c r="C16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1.6.1.1.1</v>
      </c>
      <c r="D166" s="62">
        <f>IF(TblDetailBudget[[#This Row],[Level]]="", "", COUNTIFS($B$8:TblDetailBudget[[#This Row],[Level]], Lvl1Hdr))</f>
        <v>1</v>
      </c>
      <c r="E166" s="62">
        <f>IF(TblDetailBudget[[#This Row],[Level]]="", "", COUNTIFS($B$8:TblDetailBudget[[#This Row],[Level]], Lvl2Hdr, $D$8:TblDetailBudget[[#This Row],[Lvl 1 Header]], TblDetailBudget[[#This Row],[Lvl 1 Header]]))</f>
        <v>6</v>
      </c>
      <c r="F16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6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6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66" s="96" t="s">
        <v>185</v>
      </c>
      <c r="J166" s="101"/>
      <c r="K166" s="88"/>
      <c r="L166" s="88"/>
      <c r="M166" s="62" t="str">
        <f>IF(TblDetailBudget[[#This Row],[Level]]=LvlBottomHdr, IFERROR(INDEX(TblUnitCost[Unit], MATCH(TblDetailBudget[[#This Row],[Row Title]], TblUnitCost[Resource], 0)), "Invalid Resource"), "")</f>
        <v>per person per day</v>
      </c>
      <c r="N166" s="125">
        <f>IF(TblDetailBudget[[#This Row],[Level]]=LvlBottomHdr, IFERROR(INDEX(TblUnitCost[LCU], MATCH(TblDetailBudget[[#This Row],[Row Title]], TblUnitCost[Resource], 0)), "Invalid Resource"), "")</f>
        <v>20000</v>
      </c>
      <c r="O166" s="128">
        <f>'States and LGAs'!AO6</f>
        <v>8801</v>
      </c>
      <c r="P166" s="108">
        <v>2</v>
      </c>
      <c r="Q166" s="185">
        <v>1</v>
      </c>
      <c r="R166" s="129">
        <v>4</v>
      </c>
      <c r="S166" s="108"/>
      <c r="T166" s="108"/>
      <c r="U166" s="108"/>
      <c r="V166" s="108"/>
      <c r="W166" s="108">
        <v>1</v>
      </c>
      <c r="X166" s="125">
        <f>IF(TblDetailBudget[[#This Row],[Level]]=LvlBottomHdr, IF(SUM(TblDetailBudget[[#This Row],[2021 Quant]:[2025 Quant]])&gt;0, SUM(TblDetailBudget[[#This Row],[2021 Quant]:[2025 Quant]]), ""), "")</f>
        <v>1</v>
      </c>
      <c r="Y16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6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6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6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6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1408160000</v>
      </c>
      <c r="AD166" s="140">
        <f>SUM(TblDetailBudget[[#This Row],[2021 Cost (LCU)]:[2025 Cost (LCU)]])</f>
        <v>1408160000</v>
      </c>
      <c r="AE166" s="134">
        <f>IFERROR(SUM(TblDetailBudget[[#This Row],[2021 Cost (LCU)]])/FX_Rate, "")</f>
        <v>0</v>
      </c>
      <c r="AF166" s="63">
        <f>IFERROR(SUM(TblDetailBudget[[#This Row],[2022 Cost (LCU)]])/FX_Rate, "")</f>
        <v>0</v>
      </c>
      <c r="AG166" s="63">
        <f>IFERROR(SUM(TblDetailBudget[[#This Row],[2023 Cost (LCU)]])/FX_Rate, "")</f>
        <v>0</v>
      </c>
      <c r="AH166" s="63">
        <f>IFERROR(SUM(TblDetailBudget[[#This Row],[2024 Cost (LCU)]])/FX_Rate, "")</f>
        <v>0</v>
      </c>
      <c r="AI166" s="63">
        <f>IFERROR(SUM(TblDetailBudget[[#This Row],[2025 Cost (LCU)]])/FX_Rate, "")</f>
        <v>880100</v>
      </c>
      <c r="AJ166" s="125">
        <f>SUM(TblDetailBudget[[#This Row],[2021 Cost (USD)]:[2025 Cost (USD)]])</f>
        <v>880100</v>
      </c>
      <c r="AK166" s="180"/>
    </row>
    <row r="167" spans="2:37" ht="12.75" customHeight="1">
      <c r="B167" s="122" t="s">
        <v>71</v>
      </c>
      <c r="C16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1.6.1.1.2</v>
      </c>
      <c r="D167" s="62">
        <f>IF(TblDetailBudget[[#This Row],[Level]]="", "", COUNTIFS($B$8:TblDetailBudget[[#This Row],[Level]], Lvl1Hdr))</f>
        <v>1</v>
      </c>
      <c r="E167" s="62">
        <f>IF(TblDetailBudget[[#This Row],[Level]]="", "", COUNTIFS($B$8:TblDetailBudget[[#This Row],[Level]], Lvl2Hdr, $D$8:TblDetailBudget[[#This Row],[Lvl 1 Header]], TblDetailBudget[[#This Row],[Lvl 1 Header]]))</f>
        <v>6</v>
      </c>
      <c r="F16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6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6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167" s="96" t="s">
        <v>1877</v>
      </c>
      <c r="J167" s="101"/>
      <c r="K167" s="88"/>
      <c r="L167" s="88"/>
      <c r="M167" s="62" t="str">
        <f>IF(TblDetailBudget[[#This Row],[Level]]=LvlBottomHdr, IFERROR(INDEX(TblUnitCost[Unit], MATCH(TblDetailBudget[[#This Row],[Row Title]], TblUnitCost[Resource], 0)), "Invalid Resource"), "")</f>
        <v>per person</v>
      </c>
      <c r="N167" s="125">
        <f>IF(TblDetailBudget[[#This Row],[Level]]=LvlBottomHdr, IFERROR(INDEX(TblUnitCost[LCU], MATCH(TblDetailBudget[[#This Row],[Row Title]], TblUnitCost[Resource], 0)), "Invalid Resource"), "")</f>
        <v>15000</v>
      </c>
      <c r="O167" s="128">
        <f>'States and LGAs'!AO6</f>
        <v>8801</v>
      </c>
      <c r="P167" s="108">
        <v>2</v>
      </c>
      <c r="Q167" s="185">
        <v>1</v>
      </c>
      <c r="R167" s="129">
        <v>4</v>
      </c>
      <c r="S167" s="108"/>
      <c r="T167" s="108"/>
      <c r="U167" s="108"/>
      <c r="V167" s="108"/>
      <c r="W167" s="108">
        <v>1</v>
      </c>
      <c r="X167" s="125">
        <f>IF(TblDetailBudget[[#This Row],[Level]]=LvlBottomHdr, IF(SUM(TblDetailBudget[[#This Row],[2021 Quant]:[2025 Quant]])&gt;0, SUM(TblDetailBudget[[#This Row],[2021 Quant]:[2025 Quant]]), ""), "")</f>
        <v>1</v>
      </c>
      <c r="Y16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6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6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6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6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1056120000</v>
      </c>
      <c r="AD167" s="140">
        <f>SUM(TblDetailBudget[[#This Row],[2021 Cost (LCU)]:[2025 Cost (LCU)]])</f>
        <v>1056120000</v>
      </c>
      <c r="AE167" s="134">
        <f>IFERROR(SUM(TblDetailBudget[[#This Row],[2021 Cost (LCU)]])/FX_Rate, "")</f>
        <v>0</v>
      </c>
      <c r="AF167" s="63">
        <f>IFERROR(SUM(TblDetailBudget[[#This Row],[2022 Cost (LCU)]])/FX_Rate, "")</f>
        <v>0</v>
      </c>
      <c r="AG167" s="63">
        <f>IFERROR(SUM(TblDetailBudget[[#This Row],[2023 Cost (LCU)]])/FX_Rate, "")</f>
        <v>0</v>
      </c>
      <c r="AH167" s="63">
        <f>IFERROR(SUM(TblDetailBudget[[#This Row],[2024 Cost (LCU)]])/FX_Rate, "")</f>
        <v>0</v>
      </c>
      <c r="AI167" s="63">
        <f>IFERROR(SUM(TblDetailBudget[[#This Row],[2025 Cost (LCU)]])/FX_Rate, "")</f>
        <v>660075</v>
      </c>
      <c r="AJ167" s="125">
        <f>SUM(TblDetailBudget[[#This Row],[2021 Cost (USD)]:[2025 Cost (USD)]])</f>
        <v>660075</v>
      </c>
      <c r="AK167" s="180"/>
    </row>
    <row r="168" spans="2:37" ht="12.75" customHeight="1">
      <c r="B168" s="122" t="s">
        <v>70</v>
      </c>
      <c r="C16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1.6.1.2</v>
      </c>
      <c r="D168" s="62">
        <f>IF(TblDetailBudget[[#This Row],[Level]]="", "", COUNTIFS($B$8:TblDetailBudget[[#This Row],[Level]], Lvl1Hdr))</f>
        <v>1</v>
      </c>
      <c r="E168" s="62">
        <f>IF(TblDetailBudget[[#This Row],[Level]]="", "", COUNTIFS($B$8:TblDetailBudget[[#This Row],[Level]], Lvl2Hdr, $D$8:TblDetailBudget[[#This Row],[Lvl 1 Header]], TblDetailBudget[[#This Row],[Lvl 1 Header]]))</f>
        <v>6</v>
      </c>
      <c r="F16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6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6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68" s="101" t="s">
        <v>2528</v>
      </c>
      <c r="J168" s="101"/>
      <c r="K168" s="88"/>
      <c r="L168" s="88"/>
      <c r="M168" s="62" t="str">
        <f>IF(TblDetailBudget[[#This Row],[Level]]=LvlBottomHdr, IFERROR(INDEX(TblUnitCost[Unit], MATCH(TblDetailBudget[[#This Row],[Row Title]], TblUnitCost[Resource], 0)), "Invalid Resource"), "")</f>
        <v/>
      </c>
      <c r="N168" s="125" t="str">
        <f>IF(TblDetailBudget[[#This Row],[Level]]=LvlBottomHdr, IFERROR(INDEX(TblUnitCost[LCU], MATCH(TblDetailBudget[[#This Row],[Row Title]], TblUnitCost[Resource], 0)), "Invalid Resource"), "")</f>
        <v/>
      </c>
      <c r="O168" s="128"/>
      <c r="P168" s="108"/>
      <c r="Q168" s="185"/>
      <c r="R168" s="129"/>
      <c r="S168" s="108"/>
      <c r="T168" s="108"/>
      <c r="U168" s="108"/>
      <c r="V168" s="108"/>
      <c r="W168" s="108"/>
      <c r="X168" s="125" t="str">
        <f>IF(TblDetailBudget[[#This Row],[Level]]=LvlBottomHdr, IF(SUM(TblDetailBudget[[#This Row],[2021 Quant]:[2025 Quant]])&gt;0, SUM(TblDetailBudget[[#This Row],[2021 Quant]:[2025 Quant]]), ""), "")</f>
        <v/>
      </c>
      <c r="Y16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6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6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6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6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2464280000</v>
      </c>
      <c r="AD168" s="140">
        <f>SUM(TblDetailBudget[[#This Row],[2021 Cost (LCU)]:[2025 Cost (LCU)]])</f>
        <v>2464280000</v>
      </c>
      <c r="AE168" s="134">
        <f>IFERROR(SUM(TblDetailBudget[[#This Row],[2021 Cost (LCU)]])/FX_Rate, "")</f>
        <v>0</v>
      </c>
      <c r="AF168" s="63">
        <f>IFERROR(SUM(TblDetailBudget[[#This Row],[2022 Cost (LCU)]])/FX_Rate, "")</f>
        <v>0</v>
      </c>
      <c r="AG168" s="63">
        <f>IFERROR(SUM(TblDetailBudget[[#This Row],[2023 Cost (LCU)]])/FX_Rate, "")</f>
        <v>0</v>
      </c>
      <c r="AH168" s="63">
        <f>IFERROR(SUM(TblDetailBudget[[#This Row],[2024 Cost (LCU)]])/FX_Rate, "")</f>
        <v>0</v>
      </c>
      <c r="AI168" s="63">
        <f>IFERROR(SUM(TblDetailBudget[[#This Row],[2025 Cost (LCU)]])/FX_Rate, "")</f>
        <v>1540175</v>
      </c>
      <c r="AJ168" s="125">
        <f>SUM(TblDetailBudget[[#This Row],[2021 Cost (USD)]:[2025 Cost (USD)]])</f>
        <v>1540175</v>
      </c>
      <c r="AK168" s="180"/>
    </row>
    <row r="169" spans="2:37" ht="12.75" customHeight="1">
      <c r="B169" s="122" t="s">
        <v>71</v>
      </c>
      <c r="C16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1.6.1.2.1</v>
      </c>
      <c r="D169" s="62">
        <f>IF(TblDetailBudget[[#This Row],[Level]]="", "", COUNTIFS($B$8:TblDetailBudget[[#This Row],[Level]], Lvl1Hdr))</f>
        <v>1</v>
      </c>
      <c r="E169" s="62">
        <f>IF(TblDetailBudget[[#This Row],[Level]]="", "", COUNTIFS($B$8:TblDetailBudget[[#This Row],[Level]], Lvl2Hdr, $D$8:TblDetailBudget[[#This Row],[Lvl 1 Header]], TblDetailBudget[[#This Row],[Lvl 1 Header]]))</f>
        <v>6</v>
      </c>
      <c r="F16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6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6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69" s="96" t="s">
        <v>185</v>
      </c>
      <c r="J169" s="101"/>
      <c r="K169" s="88"/>
      <c r="L169" s="88"/>
      <c r="M169" s="62" t="str">
        <f>IF(TblDetailBudget[[#This Row],[Level]]=LvlBottomHdr, IFERROR(INDEX(TblUnitCost[Unit], MATCH(TblDetailBudget[[#This Row],[Row Title]], TblUnitCost[Resource], 0)), "Invalid Resource"), "")</f>
        <v>per person per day</v>
      </c>
      <c r="N169" s="125">
        <f>IF(TblDetailBudget[[#This Row],[Level]]=LvlBottomHdr, IFERROR(INDEX(TblUnitCost[LCU], MATCH(TblDetailBudget[[#This Row],[Row Title]], TblUnitCost[Resource], 0)), "Invalid Resource"), "")</f>
        <v>20000</v>
      </c>
      <c r="O169" s="128">
        <f>'States and LGAs'!AQ6</f>
        <v>8801</v>
      </c>
      <c r="P169" s="108">
        <v>2</v>
      </c>
      <c r="Q169" s="185">
        <v>1</v>
      </c>
      <c r="R169" s="129">
        <v>4</v>
      </c>
      <c r="S169" s="108"/>
      <c r="T169" s="108"/>
      <c r="U169" s="108"/>
      <c r="V169" s="108"/>
      <c r="W169" s="108">
        <v>1</v>
      </c>
      <c r="X169" s="125">
        <f>IF(TblDetailBudget[[#This Row],[Level]]=LvlBottomHdr, IF(SUM(TblDetailBudget[[#This Row],[2021 Quant]:[2025 Quant]])&gt;0, SUM(TblDetailBudget[[#This Row],[2021 Quant]:[2025 Quant]]), ""), "")</f>
        <v>1</v>
      </c>
      <c r="Y169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6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6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6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6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1408160000</v>
      </c>
      <c r="AD169" s="140">
        <f>SUM(TblDetailBudget[[#This Row],[2021 Cost (LCU)]:[2025 Cost (LCU)]])</f>
        <v>1408160000</v>
      </c>
      <c r="AE169" s="134">
        <f>IFERROR(SUM(TblDetailBudget[[#This Row],[2021 Cost (LCU)]])/FX_Rate, "")</f>
        <v>0</v>
      </c>
      <c r="AF169" s="63">
        <f>IFERROR(SUM(TblDetailBudget[[#This Row],[2022 Cost (LCU)]])/FX_Rate, "")</f>
        <v>0</v>
      </c>
      <c r="AG169" s="63">
        <f>IFERROR(SUM(TblDetailBudget[[#This Row],[2023 Cost (LCU)]])/FX_Rate, "")</f>
        <v>0</v>
      </c>
      <c r="AH169" s="63">
        <f>IFERROR(SUM(TblDetailBudget[[#This Row],[2024 Cost (LCU)]])/FX_Rate, "")</f>
        <v>0</v>
      </c>
      <c r="AI169" s="63">
        <f>IFERROR(SUM(TblDetailBudget[[#This Row],[2025 Cost (LCU)]])/FX_Rate, "")</f>
        <v>880100</v>
      </c>
      <c r="AJ169" s="125">
        <f>SUM(TblDetailBudget[[#This Row],[2021 Cost (USD)]:[2025 Cost (USD)]])</f>
        <v>880100</v>
      </c>
      <c r="AK169" s="180"/>
    </row>
    <row r="170" spans="2:37" ht="12.75" customHeight="1">
      <c r="B170" s="122" t="s">
        <v>71</v>
      </c>
      <c r="C17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1.6.1.2.2</v>
      </c>
      <c r="D170" s="62">
        <f>IF(TblDetailBudget[[#This Row],[Level]]="", "", COUNTIFS($B$8:TblDetailBudget[[#This Row],[Level]], Lvl1Hdr))</f>
        <v>1</v>
      </c>
      <c r="E170" s="62">
        <f>IF(TblDetailBudget[[#This Row],[Level]]="", "", COUNTIFS($B$8:TblDetailBudget[[#This Row],[Level]], Lvl2Hdr, $D$8:TblDetailBudget[[#This Row],[Lvl 1 Header]], TblDetailBudget[[#This Row],[Lvl 1 Header]]))</f>
        <v>6</v>
      </c>
      <c r="F17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7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7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170" s="96" t="s">
        <v>1877</v>
      </c>
      <c r="J170" s="101"/>
      <c r="K170" s="88"/>
      <c r="L170" s="88"/>
      <c r="M170" s="62" t="str">
        <f>IF(TblDetailBudget[[#This Row],[Level]]=LvlBottomHdr, IFERROR(INDEX(TblUnitCost[Unit], MATCH(TblDetailBudget[[#This Row],[Row Title]], TblUnitCost[Resource], 0)), "Invalid Resource"), "")</f>
        <v>per person</v>
      </c>
      <c r="N170" s="125">
        <f>IF(TblDetailBudget[[#This Row],[Level]]=LvlBottomHdr, IFERROR(INDEX(TblUnitCost[LCU], MATCH(TblDetailBudget[[#This Row],[Row Title]], TblUnitCost[Resource], 0)), "Invalid Resource"), "")</f>
        <v>15000</v>
      </c>
      <c r="O170" s="128">
        <f>'States and LGAs'!AO6</f>
        <v>8801</v>
      </c>
      <c r="P170" s="108">
        <v>2</v>
      </c>
      <c r="Q170" s="185">
        <v>1</v>
      </c>
      <c r="R170" s="129">
        <v>4</v>
      </c>
      <c r="S170" s="108"/>
      <c r="T170" s="108"/>
      <c r="U170" s="108"/>
      <c r="V170" s="108"/>
      <c r="W170" s="108">
        <v>1</v>
      </c>
      <c r="X170" s="125">
        <f>IF(TblDetailBudget[[#This Row],[Level]]=LvlBottomHdr, IF(SUM(TblDetailBudget[[#This Row],[2021 Quant]:[2025 Quant]])&gt;0, SUM(TblDetailBudget[[#This Row],[2021 Quant]:[2025 Quant]]), ""), "")</f>
        <v>1</v>
      </c>
      <c r="Y17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7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7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7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7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1056120000</v>
      </c>
      <c r="AD170" s="140">
        <f>SUM(TblDetailBudget[[#This Row],[2021 Cost (LCU)]:[2025 Cost (LCU)]])</f>
        <v>1056120000</v>
      </c>
      <c r="AE170" s="134">
        <f>IFERROR(SUM(TblDetailBudget[[#This Row],[2021 Cost (LCU)]])/FX_Rate, "")</f>
        <v>0</v>
      </c>
      <c r="AF170" s="63">
        <f>IFERROR(SUM(TblDetailBudget[[#This Row],[2022 Cost (LCU)]])/FX_Rate, "")</f>
        <v>0</v>
      </c>
      <c r="AG170" s="63">
        <f>IFERROR(SUM(TblDetailBudget[[#This Row],[2023 Cost (LCU)]])/FX_Rate, "")</f>
        <v>0</v>
      </c>
      <c r="AH170" s="63">
        <f>IFERROR(SUM(TblDetailBudget[[#This Row],[2024 Cost (LCU)]])/FX_Rate, "")</f>
        <v>0</v>
      </c>
      <c r="AI170" s="63">
        <f>IFERROR(SUM(TblDetailBudget[[#This Row],[2025 Cost (LCU)]])/FX_Rate, "")</f>
        <v>660075</v>
      </c>
      <c r="AJ170" s="125">
        <f>SUM(TblDetailBudget[[#This Row],[2021 Cost (USD)]:[2025 Cost (USD)]])</f>
        <v>660075</v>
      </c>
      <c r="AK170" s="180"/>
    </row>
    <row r="171" spans="2:37" ht="12.75" customHeight="1">
      <c r="B171" s="122" t="s">
        <v>67</v>
      </c>
      <c r="C17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</v>
      </c>
      <c r="D171" s="62">
        <f>IF(TblDetailBudget[[#This Row],[Level]]="", "", COUNTIFS($B$8:TblDetailBudget[[#This Row],[Level]], Lvl1Hdr))</f>
        <v>2</v>
      </c>
      <c r="E171" s="62">
        <f>IF(TblDetailBudget[[#This Row],[Level]]="", "", COUNTIFS($B$8:TblDetailBudget[[#This Row],[Level]], Lvl2Hdr, $D$8:TblDetailBudget[[#This Row],[Lvl 1 Header]], TblDetailBudget[[#This Row],[Lvl 1 Header]]))</f>
        <v>0</v>
      </c>
      <c r="F17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17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7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71" s="101" t="s">
        <v>159</v>
      </c>
      <c r="J171" s="101"/>
      <c r="K171" s="88"/>
      <c r="L171" s="88"/>
      <c r="M171" s="62" t="str">
        <f>IF(TblDetailBudget[[#This Row],[Level]]=LvlBottomHdr, IFERROR(INDEX(TblUnitCost[Unit], MATCH(TblDetailBudget[[#This Row],[Row Title]], TblUnitCost[Resource], 0)), "Invalid Resource"), "")</f>
        <v/>
      </c>
      <c r="N171" s="125" t="str">
        <f>IF(TblDetailBudget[[#This Row],[Level]]=LvlBottomHdr, IFERROR(INDEX(TblUnitCost[LCU], MATCH(TblDetailBudget[[#This Row],[Row Title]], TblUnitCost[Resource], 0)), "Invalid Resource"), "")</f>
        <v/>
      </c>
      <c r="O171" s="128"/>
      <c r="P171" s="108"/>
      <c r="Q171" s="185"/>
      <c r="R171" s="129"/>
      <c r="S171" s="108"/>
      <c r="T171" s="108"/>
      <c r="U171" s="108"/>
      <c r="V171" s="108"/>
      <c r="W171" s="108"/>
      <c r="X171" s="125" t="str">
        <f>IF(TblDetailBudget[[#This Row],[Level]]=LvlBottomHdr, IF(SUM(TblDetailBudget[[#This Row],[2021 Quant]:[2025 Quant]])&gt;0, SUM(TblDetailBudget[[#This Row],[2021 Quant]:[2025 Quant]]), ""), "")</f>
        <v/>
      </c>
      <c r="Y171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7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7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7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7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169936543770.69656</v>
      </c>
      <c r="AD171" s="140">
        <f>SUM(TblDetailBudget[[#This Row],[2021 Cost (LCU)]:[2025 Cost (LCU)]])</f>
        <v>169936543770.69656</v>
      </c>
      <c r="AE171" s="134">
        <f>IFERROR(SUM(TblDetailBudget[[#This Row],[2021 Cost (LCU)]])/FX_Rate, "")</f>
        <v>0</v>
      </c>
      <c r="AF171" s="63">
        <f>IFERROR(SUM(TblDetailBudget[[#This Row],[2022 Cost (LCU)]])/FX_Rate, "")</f>
        <v>0</v>
      </c>
      <c r="AG171" s="63">
        <f>IFERROR(SUM(TblDetailBudget[[#This Row],[2023 Cost (LCU)]])/FX_Rate, "")</f>
        <v>0</v>
      </c>
      <c r="AH171" s="63">
        <f>IFERROR(SUM(TblDetailBudget[[#This Row],[2024 Cost (LCU)]])/FX_Rate, "")</f>
        <v>0</v>
      </c>
      <c r="AI171" s="63">
        <f>IFERROR(SUM(TblDetailBudget[[#This Row],[2025 Cost (LCU)]])/FX_Rate, "")</f>
        <v>106210339.85668536</v>
      </c>
      <c r="AJ171" s="125">
        <f>SUM(TblDetailBudget[[#This Row],[2021 Cost (USD)]:[2025 Cost (USD)]])</f>
        <v>106210339.85668536</v>
      </c>
      <c r="AK171" s="180"/>
    </row>
    <row r="172" spans="2:37" ht="12.75" customHeight="1">
      <c r="B172" s="122" t="s">
        <v>68</v>
      </c>
      <c r="C17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2.1</v>
      </c>
      <c r="D172" s="62">
        <f>IF(TblDetailBudget[[#This Row],[Level]]="", "", COUNTIFS($B$8:TblDetailBudget[[#This Row],[Level]], Lvl1Hdr))</f>
        <v>2</v>
      </c>
      <c r="E172" s="62">
        <f>IF(TblDetailBudget[[#This Row],[Level]]="", "", COUNTIFS($B$8:TblDetailBudget[[#This Row],[Level]], Lvl2Hdr, $D$8:TblDetailBudget[[#This Row],[Lvl 1 Header]], TblDetailBudget[[#This Row],[Lvl 1 Header]]))</f>
        <v>1</v>
      </c>
      <c r="F17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17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7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72" s="188" t="s">
        <v>1829</v>
      </c>
      <c r="J172" s="101"/>
      <c r="K172" s="88"/>
      <c r="L172" s="88"/>
      <c r="M172" s="62" t="str">
        <f>IF(TblDetailBudget[[#This Row],[Level]]=LvlBottomHdr, IFERROR(INDEX(TblUnitCost[Unit], MATCH(TblDetailBudget[[#This Row],[Row Title]], TblUnitCost[Resource], 0)), "Invalid Resource"), "")</f>
        <v/>
      </c>
      <c r="N172" s="125" t="str">
        <f>IF(TblDetailBudget[[#This Row],[Level]]=LvlBottomHdr, IFERROR(INDEX(TblUnitCost[LCU], MATCH(TblDetailBudget[[#This Row],[Row Title]], TblUnitCost[Resource], 0)), "Invalid Resource"), "")</f>
        <v/>
      </c>
      <c r="O172" s="128"/>
      <c r="P172" s="108"/>
      <c r="Q172" s="185"/>
      <c r="R172" s="129"/>
      <c r="S172" s="108"/>
      <c r="T172" s="108"/>
      <c r="U172" s="108"/>
      <c r="V172" s="108"/>
      <c r="W172" s="108"/>
      <c r="X172" s="125" t="str">
        <f>IF(TblDetailBudget[[#This Row],[Level]]=LvlBottomHdr, IF(SUM(TblDetailBudget[[#This Row],[2021 Quant]:[2025 Quant]])&gt;0, SUM(TblDetailBudget[[#This Row],[2021 Quant]:[2025 Quant]]), ""), "")</f>
        <v/>
      </c>
      <c r="Y17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7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7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7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7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71018534864.030289</v>
      </c>
      <c r="AD172" s="140">
        <f>SUM(TblDetailBudget[[#This Row],[2021 Cost (LCU)]:[2025 Cost (LCU)]])</f>
        <v>71018534864.030289</v>
      </c>
      <c r="AE172" s="134">
        <f>IFERROR(SUM(TblDetailBudget[[#This Row],[2021 Cost (LCU)]])/FX_Rate, "")</f>
        <v>0</v>
      </c>
      <c r="AF172" s="63">
        <f>IFERROR(SUM(TblDetailBudget[[#This Row],[2022 Cost (LCU)]])/FX_Rate, "")</f>
        <v>0</v>
      </c>
      <c r="AG172" s="63">
        <f>IFERROR(SUM(TblDetailBudget[[#This Row],[2023 Cost (LCU)]])/FX_Rate, "")</f>
        <v>0</v>
      </c>
      <c r="AH172" s="63">
        <f>IFERROR(SUM(TblDetailBudget[[#This Row],[2024 Cost (LCU)]])/FX_Rate, "")</f>
        <v>0</v>
      </c>
      <c r="AI172" s="63">
        <f>IFERROR(SUM(TblDetailBudget[[#This Row],[2025 Cost (LCU)]])/FX_Rate, "")</f>
        <v>44386584.290018931</v>
      </c>
      <c r="AJ172" s="125">
        <f>SUM(TblDetailBudget[[#This Row],[2021 Cost (USD)]:[2025 Cost (USD)]])</f>
        <v>44386584.290018931</v>
      </c>
      <c r="AK172" s="180"/>
    </row>
    <row r="173" spans="2:37" ht="12.75" customHeight="1">
      <c r="B173" s="122" t="s">
        <v>69</v>
      </c>
      <c r="C17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2.1.1</v>
      </c>
      <c r="D173" s="62">
        <f>IF(TblDetailBudget[[#This Row],[Level]]="", "", COUNTIFS($B$8:TblDetailBudget[[#This Row],[Level]], Lvl1Hdr))</f>
        <v>2</v>
      </c>
      <c r="E173" s="62">
        <f>IF(TblDetailBudget[[#This Row],[Level]]="", "", COUNTIFS($B$8:TblDetailBudget[[#This Row],[Level]], Lvl2Hdr, $D$8:TblDetailBudget[[#This Row],[Lvl 1 Header]], TblDetailBudget[[#This Row],[Lvl 1 Header]]))</f>
        <v>1</v>
      </c>
      <c r="F17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7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7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73" s="188" t="s">
        <v>1830</v>
      </c>
      <c r="J173" s="101"/>
      <c r="K173" s="88"/>
      <c r="L173" s="88"/>
      <c r="M173" s="62" t="str">
        <f>IF(TblDetailBudget[[#This Row],[Level]]=LvlBottomHdr, IFERROR(INDEX(TblUnitCost[Unit], MATCH(TblDetailBudget[[#This Row],[Row Title]], TblUnitCost[Resource], 0)), "Invalid Resource"), "")</f>
        <v/>
      </c>
      <c r="N173" s="125" t="str">
        <f>IF(TblDetailBudget[[#This Row],[Level]]=LvlBottomHdr, IFERROR(INDEX(TblUnitCost[LCU], MATCH(TblDetailBudget[[#This Row],[Row Title]], TblUnitCost[Resource], 0)), "Invalid Resource"), "")</f>
        <v/>
      </c>
      <c r="O173" s="128"/>
      <c r="P173" s="108"/>
      <c r="Q173" s="185"/>
      <c r="R173" s="129"/>
      <c r="S173" s="108"/>
      <c r="T173" s="108"/>
      <c r="U173" s="108"/>
      <c r="V173" s="108"/>
      <c r="W173" s="108"/>
      <c r="X173" s="125" t="str">
        <f>IF(TblDetailBudget[[#This Row],[Level]]=LvlBottomHdr, IF(SUM(TblDetailBudget[[#This Row],[2021 Quant]:[2025 Quant]])&gt;0, SUM(TblDetailBudget[[#This Row],[2021 Quant]:[2025 Quant]]), ""), "")</f>
        <v/>
      </c>
      <c r="Y173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7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7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7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7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71018534864.030289</v>
      </c>
      <c r="AD173" s="140">
        <f>SUM(TblDetailBudget[[#This Row],[2021 Cost (LCU)]:[2025 Cost (LCU)]])</f>
        <v>71018534864.030289</v>
      </c>
      <c r="AE173" s="134">
        <f>IFERROR(SUM(TblDetailBudget[[#This Row],[2021 Cost (LCU)]])/FX_Rate, "")</f>
        <v>0</v>
      </c>
      <c r="AF173" s="63">
        <f>IFERROR(SUM(TblDetailBudget[[#This Row],[2022 Cost (LCU)]])/FX_Rate, "")</f>
        <v>0</v>
      </c>
      <c r="AG173" s="63">
        <f>IFERROR(SUM(TblDetailBudget[[#This Row],[2023 Cost (LCU)]])/FX_Rate, "")</f>
        <v>0</v>
      </c>
      <c r="AH173" s="63">
        <f>IFERROR(SUM(TblDetailBudget[[#This Row],[2024 Cost (LCU)]])/FX_Rate, "")</f>
        <v>0</v>
      </c>
      <c r="AI173" s="63">
        <f>IFERROR(SUM(TblDetailBudget[[#This Row],[2025 Cost (LCU)]])/FX_Rate, "")</f>
        <v>44386584.290018931</v>
      </c>
      <c r="AJ173" s="125">
        <f>SUM(TblDetailBudget[[#This Row],[2021 Cost (USD)]:[2025 Cost (USD)]])</f>
        <v>44386584.290018931</v>
      </c>
      <c r="AK173" s="180"/>
    </row>
    <row r="174" spans="2:37" ht="12.75" customHeight="1">
      <c r="B174" s="122" t="s">
        <v>70</v>
      </c>
      <c r="C17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2.1.1.1</v>
      </c>
      <c r="D174" s="62">
        <f>IF(TblDetailBudget[[#This Row],[Level]]="", "", COUNTIFS($B$8:TblDetailBudget[[#This Row],[Level]], Lvl1Hdr))</f>
        <v>2</v>
      </c>
      <c r="E174" s="62">
        <f>IF(TblDetailBudget[[#This Row],[Level]]="", "", COUNTIFS($B$8:TblDetailBudget[[#This Row],[Level]], Lvl2Hdr, $D$8:TblDetailBudget[[#This Row],[Lvl 1 Header]], TblDetailBudget[[#This Row],[Lvl 1 Header]]))</f>
        <v>1</v>
      </c>
      <c r="F17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7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7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74" s="101" t="s">
        <v>1831</v>
      </c>
      <c r="J174" s="101"/>
      <c r="K174" s="88"/>
      <c r="L174" s="88"/>
      <c r="M174" s="62" t="str">
        <f>IF(TblDetailBudget[[#This Row],[Level]]=LvlBottomHdr, IFERROR(INDEX(TblUnitCost[Unit], MATCH(TblDetailBudget[[#This Row],[Row Title]], TblUnitCost[Resource], 0)), "Invalid Resource"), "")</f>
        <v/>
      </c>
      <c r="N174" s="125" t="str">
        <f>IF(TblDetailBudget[[#This Row],[Level]]=LvlBottomHdr, IFERROR(INDEX(TblUnitCost[LCU], MATCH(TblDetailBudget[[#This Row],[Row Title]], TblUnitCost[Resource], 0)), "Invalid Resource"), "")</f>
        <v/>
      </c>
      <c r="O174" s="128"/>
      <c r="P174" s="108"/>
      <c r="Q174" s="185"/>
      <c r="R174" s="129"/>
      <c r="S174" s="108"/>
      <c r="T174" s="108"/>
      <c r="U174" s="108"/>
      <c r="V174" s="108"/>
      <c r="W174" s="108"/>
      <c r="X174" s="125" t="str">
        <f>IF(TblDetailBudget[[#This Row],[Level]]=LvlBottomHdr, IF(SUM(TblDetailBudget[[#This Row],[2021 Quant]:[2025 Quant]])&gt;0, SUM(TblDetailBudget[[#This Row],[2021 Quant]:[2025 Quant]]), ""), "")</f>
        <v/>
      </c>
      <c r="Y174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7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7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7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7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24993403830.96883</v>
      </c>
      <c r="AD174" s="140">
        <f>SUM(TblDetailBudget[[#This Row],[2021 Cost (LCU)]:[2025 Cost (LCU)]])</f>
        <v>24993403830.96883</v>
      </c>
      <c r="AE174" s="134">
        <f>IFERROR(SUM(TblDetailBudget[[#This Row],[2021 Cost (LCU)]])/FX_Rate, "")</f>
        <v>0</v>
      </c>
      <c r="AF174" s="63">
        <f>IFERROR(SUM(TblDetailBudget[[#This Row],[2022 Cost (LCU)]])/FX_Rate, "")</f>
        <v>0</v>
      </c>
      <c r="AG174" s="63">
        <f>IFERROR(SUM(TblDetailBudget[[#This Row],[2023 Cost (LCU)]])/FX_Rate, "")</f>
        <v>0</v>
      </c>
      <c r="AH174" s="63">
        <f>IFERROR(SUM(TblDetailBudget[[#This Row],[2024 Cost (LCU)]])/FX_Rate, "")</f>
        <v>0</v>
      </c>
      <c r="AI174" s="63">
        <f>IFERROR(SUM(TblDetailBudget[[#This Row],[2025 Cost (LCU)]])/FX_Rate, "")</f>
        <v>15620877.394355519</v>
      </c>
      <c r="AJ174" s="125">
        <f>SUM(TblDetailBudget[[#This Row],[2021 Cost (USD)]:[2025 Cost (USD)]])</f>
        <v>15620877.394355519</v>
      </c>
      <c r="AK174" s="180"/>
    </row>
    <row r="175" spans="2:37" ht="12.75" customHeight="1">
      <c r="B175" s="122" t="s">
        <v>71</v>
      </c>
      <c r="C17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2.1.1.1.1</v>
      </c>
      <c r="D175" s="62">
        <f>IF(TblDetailBudget[[#This Row],[Level]]="", "", COUNTIFS($B$8:TblDetailBudget[[#This Row],[Level]], Lvl1Hdr))</f>
        <v>2</v>
      </c>
      <c r="E175" s="62">
        <f>IF(TblDetailBudget[[#This Row],[Level]]="", "", COUNTIFS($B$8:TblDetailBudget[[#This Row],[Level]], Lvl2Hdr, $D$8:TblDetailBudget[[#This Row],[Lvl 1 Header]], TblDetailBudget[[#This Row],[Lvl 1 Header]]))</f>
        <v>1</v>
      </c>
      <c r="F17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7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7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75" s="101" t="s">
        <v>2381</v>
      </c>
      <c r="J175" s="101"/>
      <c r="K175" s="88"/>
      <c r="L175" s="88"/>
      <c r="M175" s="62" t="str">
        <f>IF(TblDetailBudget[[#This Row],[Level]]=LvlBottomHdr, IFERROR(INDEX(TblUnitCost[Unit], MATCH(TblDetailBudget[[#This Row],[Row Title]], TblUnitCost[Resource], 0)), "Invalid Resource"), "")</f>
        <v>per SPAQ</v>
      </c>
      <c r="N175" s="125">
        <f>IF(TblDetailBudget[[#This Row],[Level]]=LvlBottomHdr, IFERROR(INDEX(TblUnitCost[LCU], MATCH(TblDetailBudget[[#This Row],[Row Title]], TblUnitCost[Resource], 0)), "Invalid Resource"), "")</f>
        <v>390</v>
      </c>
      <c r="O175" s="128">
        <f>'States and LGAs'!BC6</f>
        <v>11104066.863073897</v>
      </c>
      <c r="P175" s="108">
        <v>1</v>
      </c>
      <c r="Q175" s="185">
        <v>1</v>
      </c>
      <c r="R175" s="129">
        <v>1</v>
      </c>
      <c r="S175" s="108"/>
      <c r="T175" s="108"/>
      <c r="U175" s="108"/>
      <c r="V175" s="108"/>
      <c r="W175" s="108">
        <v>1</v>
      </c>
      <c r="X175" s="125">
        <f>IF(TblDetailBudget[[#This Row],[Level]]=LvlBottomHdr, IF(SUM(TblDetailBudget[[#This Row],[2021 Quant]:[2025 Quant]])&gt;0, SUM(TblDetailBudget[[#This Row],[2021 Quant]:[2025 Quant]]), ""), "")</f>
        <v>1</v>
      </c>
      <c r="Y17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7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7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7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7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4330586076.5988197</v>
      </c>
      <c r="AD175" s="140">
        <f>SUM(TblDetailBudget[[#This Row],[2021 Cost (LCU)]:[2025 Cost (LCU)]])</f>
        <v>4330586076.5988197</v>
      </c>
      <c r="AE175" s="134">
        <f>IFERROR(SUM(TblDetailBudget[[#This Row],[2021 Cost (LCU)]])/FX_Rate, "")</f>
        <v>0</v>
      </c>
      <c r="AF175" s="63">
        <f>IFERROR(SUM(TblDetailBudget[[#This Row],[2022 Cost (LCU)]])/FX_Rate, "")</f>
        <v>0</v>
      </c>
      <c r="AG175" s="63">
        <f>IFERROR(SUM(TblDetailBudget[[#This Row],[2023 Cost (LCU)]])/FX_Rate, "")</f>
        <v>0</v>
      </c>
      <c r="AH175" s="63">
        <f>IFERROR(SUM(TblDetailBudget[[#This Row],[2024 Cost (LCU)]])/FX_Rate, "")</f>
        <v>0</v>
      </c>
      <c r="AI175" s="63">
        <f>IFERROR(SUM(TblDetailBudget[[#This Row],[2025 Cost (LCU)]])/FX_Rate, "")</f>
        <v>2706616.2978742626</v>
      </c>
      <c r="AJ175" s="125">
        <f>SUM(TblDetailBudget[[#This Row],[2021 Cost (USD)]:[2025 Cost (USD)]])</f>
        <v>2706616.2978742626</v>
      </c>
      <c r="AK175" s="180"/>
    </row>
    <row r="176" spans="2:37" ht="12.75" customHeight="1">
      <c r="B176" s="122" t="s">
        <v>71</v>
      </c>
      <c r="C17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2.1.1.1.2</v>
      </c>
      <c r="D176" s="62">
        <f>IF(TblDetailBudget[[#This Row],[Level]]="", "", COUNTIFS($B$8:TblDetailBudget[[#This Row],[Level]], Lvl1Hdr))</f>
        <v>2</v>
      </c>
      <c r="E176" s="62">
        <f>IF(TblDetailBudget[[#This Row],[Level]]="", "", COUNTIFS($B$8:TblDetailBudget[[#This Row],[Level]], Lvl2Hdr, $D$8:TblDetailBudget[[#This Row],[Lvl 1 Header]], TblDetailBudget[[#This Row],[Lvl 1 Header]]))</f>
        <v>1</v>
      </c>
      <c r="F17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7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7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176" s="101" t="s">
        <v>2382</v>
      </c>
      <c r="J176" s="101"/>
      <c r="K176" s="88"/>
      <c r="L176" s="88"/>
      <c r="M176" s="62" t="str">
        <f>IF(TblDetailBudget[[#This Row],[Level]]=LvlBottomHdr, IFERROR(INDEX(TblUnitCost[Unit], MATCH(TblDetailBudget[[#This Row],[Row Title]], TblUnitCost[Resource], 0)), "Invalid Resource"), "")</f>
        <v>per SPAQ</v>
      </c>
      <c r="N176" s="125">
        <f>IF(TblDetailBudget[[#This Row],[Level]]=LvlBottomHdr, IFERROR(INDEX(TblUnitCost[LCU], MATCH(TblDetailBudget[[#This Row],[Row Title]], TblUnitCost[Resource], 0)), "Invalid Resource"), "")</f>
        <v>435</v>
      </c>
      <c r="O176" s="128">
        <f>'States and LGAs'!BE6</f>
        <v>47500730.469816118</v>
      </c>
      <c r="P176" s="108">
        <v>1</v>
      </c>
      <c r="Q176" s="185">
        <v>1</v>
      </c>
      <c r="R176" s="129">
        <v>1</v>
      </c>
      <c r="S176" s="108"/>
      <c r="T176" s="108"/>
      <c r="U176" s="108"/>
      <c r="V176" s="108"/>
      <c r="W176" s="108">
        <v>1</v>
      </c>
      <c r="X176" s="125">
        <f>IF(TblDetailBudget[[#This Row],[Level]]=LvlBottomHdr, IF(SUM(TblDetailBudget[[#This Row],[2021 Quant]:[2025 Quant]])&gt;0, SUM(TblDetailBudget[[#This Row],[2021 Quant]:[2025 Quant]]), ""), "")</f>
        <v>1</v>
      </c>
      <c r="Y17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7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7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7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7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20662817754.37001</v>
      </c>
      <c r="AD176" s="140">
        <f>SUM(TblDetailBudget[[#This Row],[2021 Cost (LCU)]:[2025 Cost (LCU)]])</f>
        <v>20662817754.37001</v>
      </c>
      <c r="AE176" s="134">
        <f>IFERROR(SUM(TblDetailBudget[[#This Row],[2021 Cost (LCU)]])/FX_Rate, "")</f>
        <v>0</v>
      </c>
      <c r="AF176" s="63">
        <f>IFERROR(SUM(TblDetailBudget[[#This Row],[2022 Cost (LCU)]])/FX_Rate, "")</f>
        <v>0</v>
      </c>
      <c r="AG176" s="63">
        <f>IFERROR(SUM(TblDetailBudget[[#This Row],[2023 Cost (LCU)]])/FX_Rate, "")</f>
        <v>0</v>
      </c>
      <c r="AH176" s="63">
        <f>IFERROR(SUM(TblDetailBudget[[#This Row],[2024 Cost (LCU)]])/FX_Rate, "")</f>
        <v>0</v>
      </c>
      <c r="AI176" s="63">
        <f>IFERROR(SUM(TblDetailBudget[[#This Row],[2025 Cost (LCU)]])/FX_Rate, "")</f>
        <v>12914261.096481256</v>
      </c>
      <c r="AJ176" s="125">
        <f>SUM(TblDetailBudget[[#This Row],[2021 Cost (USD)]:[2025 Cost (USD)]])</f>
        <v>12914261.096481256</v>
      </c>
      <c r="AK176" s="180"/>
    </row>
    <row r="177" spans="2:37" ht="12.75" customHeight="1">
      <c r="B177" s="122" t="s">
        <v>70</v>
      </c>
      <c r="C17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2.1.1.2</v>
      </c>
      <c r="D177" s="62">
        <f>IF(TblDetailBudget[[#This Row],[Level]]="", "", COUNTIFS($B$8:TblDetailBudget[[#This Row],[Level]], Lvl1Hdr))</f>
        <v>2</v>
      </c>
      <c r="E177" s="62">
        <f>IF(TblDetailBudget[[#This Row],[Level]]="", "", COUNTIFS($B$8:TblDetailBudget[[#This Row],[Level]], Lvl2Hdr, $D$8:TblDetailBudget[[#This Row],[Lvl 1 Header]], TblDetailBudget[[#This Row],[Lvl 1 Header]]))</f>
        <v>1</v>
      </c>
      <c r="F17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7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7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77" s="101" t="s">
        <v>2512</v>
      </c>
      <c r="J177" s="101"/>
      <c r="K177" s="88"/>
      <c r="L177" s="88"/>
      <c r="M177" s="62" t="str">
        <f>IF(TblDetailBudget[[#This Row],[Level]]=LvlBottomHdr, IFERROR(INDEX(TblUnitCost[Unit], MATCH(TblDetailBudget[[#This Row],[Row Title]], TblUnitCost[Resource], 0)), "Invalid Resource"), "")</f>
        <v/>
      </c>
      <c r="N177" s="125" t="str">
        <f>IF(TblDetailBudget[[#This Row],[Level]]=LvlBottomHdr, IFERROR(INDEX(TblUnitCost[LCU], MATCH(TblDetailBudget[[#This Row],[Row Title]], TblUnitCost[Resource], 0)), "Invalid Resource"), "")</f>
        <v/>
      </c>
      <c r="O177" s="128"/>
      <c r="P177" s="108"/>
      <c r="Q177" s="185"/>
      <c r="R177" s="129"/>
      <c r="S177" s="108"/>
      <c r="T177" s="108"/>
      <c r="U177" s="108"/>
      <c r="V177" s="108"/>
      <c r="W177" s="108"/>
      <c r="X177" s="125" t="str">
        <f>IF(TblDetailBudget[[#This Row],[Level]]=LvlBottomHdr, IF(SUM(TblDetailBudget[[#This Row],[2021 Quant]:[2025 Quant]])&gt;0, SUM(TblDetailBudget[[#This Row],[2021 Quant]:[2025 Quant]]), ""), "")</f>
        <v/>
      </c>
      <c r="Y17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7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7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7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7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46025131033.061455</v>
      </c>
      <c r="AD177" s="140">
        <f>SUM(TblDetailBudget[[#This Row],[2021 Cost (LCU)]:[2025 Cost (LCU)]])</f>
        <v>46025131033.061455</v>
      </c>
      <c r="AE177" s="134">
        <f>IFERROR(SUM(TblDetailBudget[[#This Row],[2021 Cost (LCU)]])/FX_Rate, "")</f>
        <v>0</v>
      </c>
      <c r="AF177" s="63">
        <f>IFERROR(SUM(TblDetailBudget[[#This Row],[2022 Cost (LCU)]])/FX_Rate, "")</f>
        <v>0</v>
      </c>
      <c r="AG177" s="63">
        <f>IFERROR(SUM(TblDetailBudget[[#This Row],[2023 Cost (LCU)]])/FX_Rate, "")</f>
        <v>0</v>
      </c>
      <c r="AH177" s="63">
        <f>IFERROR(SUM(TblDetailBudget[[#This Row],[2024 Cost (LCU)]])/FX_Rate, "")</f>
        <v>0</v>
      </c>
      <c r="AI177" s="63">
        <f>IFERROR(SUM(TblDetailBudget[[#This Row],[2025 Cost (LCU)]])/FX_Rate, "")</f>
        <v>28765706.89566341</v>
      </c>
      <c r="AJ177" s="125">
        <f>SUM(TblDetailBudget[[#This Row],[2021 Cost (USD)]:[2025 Cost (USD)]])</f>
        <v>28765706.89566341</v>
      </c>
      <c r="AK177" s="180"/>
    </row>
    <row r="178" spans="2:37" ht="12.75" customHeight="1">
      <c r="B178" s="122" t="s">
        <v>71</v>
      </c>
      <c r="C17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2.1.1.2.1</v>
      </c>
      <c r="D178" s="62">
        <f>IF(TblDetailBudget[[#This Row],[Level]]="", "", COUNTIFS($B$8:TblDetailBudget[[#This Row],[Level]], Lvl1Hdr))</f>
        <v>2</v>
      </c>
      <c r="E178" s="62">
        <f>IF(TblDetailBudget[[#This Row],[Level]]="", "", COUNTIFS($B$8:TblDetailBudget[[#This Row],[Level]], Lvl2Hdr, $D$8:TblDetailBudget[[#This Row],[Lvl 1 Header]], TblDetailBudget[[#This Row],[Lvl 1 Header]]))</f>
        <v>1</v>
      </c>
      <c r="F17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7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7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78" s="96" t="s">
        <v>2526</v>
      </c>
      <c r="J178" s="101"/>
      <c r="K178" s="88"/>
      <c r="L178" s="88"/>
      <c r="M178" s="62" t="str">
        <f>IF(TblDetailBudget[[#This Row],[Level]]=LvlBottomHdr, IFERROR(INDEX(TblUnitCost[Unit], MATCH(TblDetailBudget[[#This Row],[Row Title]], TblUnitCost[Resource], 0)), "Invalid Resource"), "")</f>
        <v>per child</v>
      </c>
      <c r="N178" s="125">
        <f>IF(TblDetailBudget[[#This Row],[Level]]=LvlBottomHdr, IFERROR(INDEX(TblUnitCost[LCU], MATCH(TblDetailBudget[[#This Row],[Row Title]], TblUnitCost[Resource], 0)), "Invalid Resource"), "")</f>
        <v>2128</v>
      </c>
      <c r="O178" s="128">
        <f>'States and LGAs'!AF6</f>
        <v>21628351.049370985</v>
      </c>
      <c r="P178" s="108">
        <v>1</v>
      </c>
      <c r="Q178" s="185">
        <v>1</v>
      </c>
      <c r="R178" s="129">
        <v>1</v>
      </c>
      <c r="S178" s="108"/>
      <c r="T178" s="108"/>
      <c r="U178" s="108"/>
      <c r="V178" s="108"/>
      <c r="W178" s="108">
        <v>1</v>
      </c>
      <c r="X178" s="125">
        <f>IF(TblDetailBudget[[#This Row],[Level]]=LvlBottomHdr, IF(SUM(TblDetailBudget[[#This Row],[2021 Quant]:[2025 Quant]])&gt;0, SUM(TblDetailBudget[[#This Row],[2021 Quant]:[2025 Quant]]), ""), "")</f>
        <v>1</v>
      </c>
      <c r="Y17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7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7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7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7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46025131033.061455</v>
      </c>
      <c r="AD178" s="140">
        <f>SUM(TblDetailBudget[[#This Row],[2021 Cost (LCU)]:[2025 Cost (LCU)]])</f>
        <v>46025131033.061455</v>
      </c>
      <c r="AE178" s="134">
        <f>IFERROR(SUM(TblDetailBudget[[#This Row],[2021 Cost (LCU)]])/FX_Rate, "")</f>
        <v>0</v>
      </c>
      <c r="AF178" s="63">
        <f>IFERROR(SUM(TblDetailBudget[[#This Row],[2022 Cost (LCU)]])/FX_Rate, "")</f>
        <v>0</v>
      </c>
      <c r="AG178" s="63">
        <f>IFERROR(SUM(TblDetailBudget[[#This Row],[2023 Cost (LCU)]])/FX_Rate, "")</f>
        <v>0</v>
      </c>
      <c r="AH178" s="63">
        <f>IFERROR(SUM(TblDetailBudget[[#This Row],[2024 Cost (LCU)]])/FX_Rate, "")</f>
        <v>0</v>
      </c>
      <c r="AI178" s="63">
        <f>IFERROR(SUM(TblDetailBudget[[#This Row],[2025 Cost (LCU)]])/FX_Rate, "")</f>
        <v>28765706.89566341</v>
      </c>
      <c r="AJ178" s="125">
        <f>SUM(TblDetailBudget[[#This Row],[2021 Cost (USD)]:[2025 Cost (USD)]])</f>
        <v>28765706.89566341</v>
      </c>
      <c r="AK178" s="180"/>
    </row>
    <row r="179" spans="2:37" ht="12.75" hidden="1" customHeight="1">
      <c r="B179" s="122" t="s">
        <v>71</v>
      </c>
      <c r="C17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2.1.1.2.2</v>
      </c>
      <c r="D179" s="62">
        <f>IF(TblDetailBudget[[#This Row],[Level]]="", "", COUNTIFS($B$8:TblDetailBudget[[#This Row],[Level]], Lvl1Hdr))</f>
        <v>2</v>
      </c>
      <c r="E179" s="62">
        <f>IF(TblDetailBudget[[#This Row],[Level]]="", "", COUNTIFS($B$8:TblDetailBudget[[#This Row],[Level]], Lvl2Hdr, $D$8:TblDetailBudget[[#This Row],[Lvl 1 Header]], TblDetailBudget[[#This Row],[Lvl 1 Header]]))</f>
        <v>1</v>
      </c>
      <c r="F17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7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7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179" s="101"/>
      <c r="J179" s="101"/>
      <c r="K179" s="88"/>
      <c r="L179" s="88"/>
      <c r="M179" s="62" t="str">
        <f>IF(TblDetailBudget[[#This Row],[Level]]=LvlBottomHdr, IFERROR(INDEX(TblUnitCost[Unit], MATCH(TblDetailBudget[[#This Row],[Row Title]], TblUnitCost[Resource], 0)), "Invalid Resource"), "")</f>
        <v>Invalid Resource</v>
      </c>
      <c r="N179" s="125" t="str">
        <f>IF(TblDetailBudget[[#This Row],[Level]]=LvlBottomHdr, IFERROR(INDEX(TblUnitCost[LCU], MATCH(TblDetailBudget[[#This Row],[Row Title]], TblUnitCost[Resource], 0)), "Invalid Resource"), "")</f>
        <v>Invalid Resource</v>
      </c>
      <c r="O179" s="128"/>
      <c r="P179" s="108"/>
      <c r="Q179" s="185"/>
      <c r="R179" s="129"/>
      <c r="S179" s="108"/>
      <c r="T179" s="108"/>
      <c r="U179" s="108"/>
      <c r="V179" s="108"/>
      <c r="W179" s="108"/>
      <c r="X179" s="125" t="str">
        <f>IF(TblDetailBudget[[#This Row],[Level]]=LvlBottomHdr, IF(SUM(TblDetailBudget[[#This Row],[2021 Quant]:[2025 Quant]])&gt;0, SUM(TblDetailBudget[[#This Row],[2021 Quant]:[2025 Quant]]), ""), "")</f>
        <v/>
      </c>
      <c r="Y17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7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7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7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7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79" s="140">
        <f>SUM(TblDetailBudget[[#This Row],[2021 Cost (LCU)]:[2025 Cost (LCU)]])</f>
        <v>0</v>
      </c>
      <c r="AE179" s="134">
        <f>IFERROR(SUM(TblDetailBudget[[#This Row],[2021 Cost (LCU)]])/FX_Rate, "")</f>
        <v>0</v>
      </c>
      <c r="AF179" s="63">
        <f>IFERROR(SUM(TblDetailBudget[[#This Row],[2022 Cost (LCU)]])/FX_Rate, "")</f>
        <v>0</v>
      </c>
      <c r="AG179" s="63">
        <f>IFERROR(SUM(TblDetailBudget[[#This Row],[2023 Cost (LCU)]])/FX_Rate, "")</f>
        <v>0</v>
      </c>
      <c r="AH179" s="63">
        <f>IFERROR(SUM(TblDetailBudget[[#This Row],[2024 Cost (LCU)]])/FX_Rate, "")</f>
        <v>0</v>
      </c>
      <c r="AI179" s="63">
        <f>IFERROR(SUM(TblDetailBudget[[#This Row],[2025 Cost (LCU)]])/FX_Rate, "")</f>
        <v>0</v>
      </c>
      <c r="AJ179" s="125">
        <f>SUM(TblDetailBudget[[#This Row],[2021 Cost (USD)]:[2025 Cost (USD)]])</f>
        <v>0</v>
      </c>
      <c r="AK179" s="180"/>
    </row>
    <row r="180" spans="2:37" ht="12.75" hidden="1" customHeight="1">
      <c r="B180" s="122" t="s">
        <v>70</v>
      </c>
      <c r="C18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2.1.1.3</v>
      </c>
      <c r="D180" s="62">
        <f>IF(TblDetailBudget[[#This Row],[Level]]="", "", COUNTIFS($B$8:TblDetailBudget[[#This Row],[Level]], Lvl1Hdr))</f>
        <v>2</v>
      </c>
      <c r="E180" s="62">
        <f>IF(TblDetailBudget[[#This Row],[Level]]="", "", COUNTIFS($B$8:TblDetailBudget[[#This Row],[Level]], Lvl2Hdr, $D$8:TblDetailBudget[[#This Row],[Lvl 1 Header]], TblDetailBudget[[#This Row],[Lvl 1 Header]]))</f>
        <v>1</v>
      </c>
      <c r="F18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8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18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80" s="101"/>
      <c r="J180" s="101"/>
      <c r="K180" s="88"/>
      <c r="L180" s="88"/>
      <c r="M180" s="62" t="str">
        <f>IF(TblDetailBudget[[#This Row],[Level]]=LvlBottomHdr, IFERROR(INDEX(TblUnitCost[Unit], MATCH(TblDetailBudget[[#This Row],[Row Title]], TblUnitCost[Resource], 0)), "Invalid Resource"), "")</f>
        <v/>
      </c>
      <c r="N180" s="125" t="str">
        <f>IF(TblDetailBudget[[#This Row],[Level]]=LvlBottomHdr, IFERROR(INDEX(TblUnitCost[LCU], MATCH(TblDetailBudget[[#This Row],[Row Title]], TblUnitCost[Resource], 0)), "Invalid Resource"), "")</f>
        <v/>
      </c>
      <c r="O180" s="128"/>
      <c r="P180" s="108"/>
      <c r="Q180" s="185"/>
      <c r="R180" s="129"/>
      <c r="S180" s="108"/>
      <c r="T180" s="108"/>
      <c r="U180" s="108"/>
      <c r="V180" s="108"/>
      <c r="W180" s="108"/>
      <c r="X180" s="125" t="str">
        <f>IF(TblDetailBudget[[#This Row],[Level]]=LvlBottomHdr, IF(SUM(TblDetailBudget[[#This Row],[2021 Quant]:[2025 Quant]])&gt;0, SUM(TblDetailBudget[[#This Row],[2021 Quant]:[2025 Quant]]), ""), "")</f>
        <v/>
      </c>
      <c r="Y18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8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8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8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8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80" s="140">
        <f>SUM(TblDetailBudget[[#This Row],[2021 Cost (LCU)]:[2025 Cost (LCU)]])</f>
        <v>0</v>
      </c>
      <c r="AE180" s="134">
        <f>IFERROR(SUM(TblDetailBudget[[#This Row],[2021 Cost (LCU)]])/FX_Rate, "")</f>
        <v>0</v>
      </c>
      <c r="AF180" s="63">
        <f>IFERROR(SUM(TblDetailBudget[[#This Row],[2022 Cost (LCU)]])/FX_Rate, "")</f>
        <v>0</v>
      </c>
      <c r="AG180" s="63">
        <f>IFERROR(SUM(TblDetailBudget[[#This Row],[2023 Cost (LCU)]])/FX_Rate, "")</f>
        <v>0</v>
      </c>
      <c r="AH180" s="63">
        <f>IFERROR(SUM(TblDetailBudget[[#This Row],[2024 Cost (LCU)]])/FX_Rate, "")</f>
        <v>0</v>
      </c>
      <c r="AI180" s="63">
        <f>IFERROR(SUM(TblDetailBudget[[#This Row],[2025 Cost (LCU)]])/FX_Rate, "")</f>
        <v>0</v>
      </c>
      <c r="AJ180" s="125">
        <f>SUM(TblDetailBudget[[#This Row],[2021 Cost (USD)]:[2025 Cost (USD)]])</f>
        <v>0</v>
      </c>
      <c r="AK180" s="180"/>
    </row>
    <row r="181" spans="2:37" ht="12.75" hidden="1" customHeight="1">
      <c r="B181" s="122" t="s">
        <v>71</v>
      </c>
      <c r="C18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2.1.1.3.1</v>
      </c>
      <c r="D181" s="62">
        <f>IF(TblDetailBudget[[#This Row],[Level]]="", "", COUNTIFS($B$8:TblDetailBudget[[#This Row],[Level]], Lvl1Hdr))</f>
        <v>2</v>
      </c>
      <c r="E181" s="62">
        <f>IF(TblDetailBudget[[#This Row],[Level]]="", "", COUNTIFS($B$8:TblDetailBudget[[#This Row],[Level]], Lvl2Hdr, $D$8:TblDetailBudget[[#This Row],[Lvl 1 Header]], TblDetailBudget[[#This Row],[Lvl 1 Header]]))</f>
        <v>1</v>
      </c>
      <c r="F18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8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18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81" s="101"/>
      <c r="J181" s="101"/>
      <c r="K181" s="88"/>
      <c r="L181" s="88"/>
      <c r="M181" s="62" t="str">
        <f>IF(TblDetailBudget[[#This Row],[Level]]=LvlBottomHdr, IFERROR(INDEX(TblUnitCost[Unit], MATCH(TblDetailBudget[[#This Row],[Row Title]], TblUnitCost[Resource], 0)), "Invalid Resource"), "")</f>
        <v>Invalid Resource</v>
      </c>
      <c r="N181" s="125" t="str">
        <f>IF(TblDetailBudget[[#This Row],[Level]]=LvlBottomHdr, IFERROR(INDEX(TblUnitCost[LCU], MATCH(TblDetailBudget[[#This Row],[Row Title]], TblUnitCost[Resource], 0)), "Invalid Resource"), "")</f>
        <v>Invalid Resource</v>
      </c>
      <c r="O181" s="128"/>
      <c r="P181" s="108"/>
      <c r="Q181" s="185"/>
      <c r="R181" s="129"/>
      <c r="S181" s="108"/>
      <c r="T181" s="108"/>
      <c r="U181" s="108"/>
      <c r="V181" s="108"/>
      <c r="W181" s="108"/>
      <c r="X181" s="125" t="str">
        <f>IF(TblDetailBudget[[#This Row],[Level]]=LvlBottomHdr, IF(SUM(TblDetailBudget[[#This Row],[2021 Quant]:[2025 Quant]])&gt;0, SUM(TblDetailBudget[[#This Row],[2021 Quant]:[2025 Quant]]), ""), "")</f>
        <v/>
      </c>
      <c r="Y181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8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8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8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8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81" s="140">
        <f>SUM(TblDetailBudget[[#This Row],[2021 Cost (LCU)]:[2025 Cost (LCU)]])</f>
        <v>0</v>
      </c>
      <c r="AE181" s="134">
        <f>IFERROR(SUM(TblDetailBudget[[#This Row],[2021 Cost (LCU)]])/FX_Rate, "")</f>
        <v>0</v>
      </c>
      <c r="AF181" s="63">
        <f>IFERROR(SUM(TblDetailBudget[[#This Row],[2022 Cost (LCU)]])/FX_Rate, "")</f>
        <v>0</v>
      </c>
      <c r="AG181" s="63">
        <f>IFERROR(SUM(TblDetailBudget[[#This Row],[2023 Cost (LCU)]])/FX_Rate, "")</f>
        <v>0</v>
      </c>
      <c r="AH181" s="63">
        <f>IFERROR(SUM(TblDetailBudget[[#This Row],[2024 Cost (LCU)]])/FX_Rate, "")</f>
        <v>0</v>
      </c>
      <c r="AI181" s="63">
        <f>IFERROR(SUM(TblDetailBudget[[#This Row],[2025 Cost (LCU)]])/FX_Rate, "")</f>
        <v>0</v>
      </c>
      <c r="AJ181" s="125">
        <f>SUM(TblDetailBudget[[#This Row],[2021 Cost (USD)]:[2025 Cost (USD)]])</f>
        <v>0</v>
      </c>
      <c r="AK181" s="180"/>
    </row>
    <row r="182" spans="2:37" ht="12.75" hidden="1" customHeight="1">
      <c r="B182" s="122" t="s">
        <v>71</v>
      </c>
      <c r="C18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2.1.1.3.2</v>
      </c>
      <c r="D182" s="62">
        <f>IF(TblDetailBudget[[#This Row],[Level]]="", "", COUNTIFS($B$8:TblDetailBudget[[#This Row],[Level]], Lvl1Hdr))</f>
        <v>2</v>
      </c>
      <c r="E182" s="62">
        <f>IF(TblDetailBudget[[#This Row],[Level]]="", "", COUNTIFS($B$8:TblDetailBudget[[#This Row],[Level]], Lvl2Hdr, $D$8:TblDetailBudget[[#This Row],[Lvl 1 Header]], TblDetailBudget[[#This Row],[Lvl 1 Header]]))</f>
        <v>1</v>
      </c>
      <c r="F18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8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18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182" s="101"/>
      <c r="J182" s="101"/>
      <c r="K182" s="88"/>
      <c r="L182" s="88"/>
      <c r="M182" s="62" t="str">
        <f>IF(TblDetailBudget[[#This Row],[Level]]=LvlBottomHdr, IFERROR(INDEX(TblUnitCost[Unit], MATCH(TblDetailBudget[[#This Row],[Row Title]], TblUnitCost[Resource], 0)), "Invalid Resource"), "")</f>
        <v>Invalid Resource</v>
      </c>
      <c r="N182" s="125" t="str">
        <f>IF(TblDetailBudget[[#This Row],[Level]]=LvlBottomHdr, IFERROR(INDEX(TblUnitCost[LCU], MATCH(TblDetailBudget[[#This Row],[Row Title]], TblUnitCost[Resource], 0)), "Invalid Resource"), "")</f>
        <v>Invalid Resource</v>
      </c>
      <c r="O182" s="128"/>
      <c r="P182" s="108"/>
      <c r="Q182" s="185"/>
      <c r="R182" s="129"/>
      <c r="S182" s="108"/>
      <c r="T182" s="108"/>
      <c r="U182" s="108"/>
      <c r="V182" s="108"/>
      <c r="W182" s="108"/>
      <c r="X182" s="125" t="str">
        <f>IF(TblDetailBudget[[#This Row],[Level]]=LvlBottomHdr, IF(SUM(TblDetailBudget[[#This Row],[2021 Quant]:[2025 Quant]])&gt;0, SUM(TblDetailBudget[[#This Row],[2021 Quant]:[2025 Quant]]), ""), "")</f>
        <v/>
      </c>
      <c r="Y182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8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8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8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8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82" s="140">
        <f>SUM(TblDetailBudget[[#This Row],[2021 Cost (LCU)]:[2025 Cost (LCU)]])</f>
        <v>0</v>
      </c>
      <c r="AE182" s="134">
        <f>IFERROR(SUM(TblDetailBudget[[#This Row],[2021 Cost (LCU)]])/FX_Rate, "")</f>
        <v>0</v>
      </c>
      <c r="AF182" s="63">
        <f>IFERROR(SUM(TblDetailBudget[[#This Row],[2022 Cost (LCU)]])/FX_Rate, "")</f>
        <v>0</v>
      </c>
      <c r="AG182" s="63">
        <f>IFERROR(SUM(TblDetailBudget[[#This Row],[2023 Cost (LCU)]])/FX_Rate, "")</f>
        <v>0</v>
      </c>
      <c r="AH182" s="63">
        <f>IFERROR(SUM(TblDetailBudget[[#This Row],[2024 Cost (LCU)]])/FX_Rate, "")</f>
        <v>0</v>
      </c>
      <c r="AI182" s="63">
        <f>IFERROR(SUM(TblDetailBudget[[#This Row],[2025 Cost (LCU)]])/FX_Rate, "")</f>
        <v>0</v>
      </c>
      <c r="AJ182" s="125">
        <f>SUM(TblDetailBudget[[#This Row],[2021 Cost (USD)]:[2025 Cost (USD)]])</f>
        <v>0</v>
      </c>
      <c r="AK182" s="180"/>
    </row>
    <row r="183" spans="2:37" ht="12.75" hidden="1" customHeight="1">
      <c r="B183" s="122" t="s">
        <v>71</v>
      </c>
      <c r="C18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2.1.1.3.3</v>
      </c>
      <c r="D183" s="62">
        <f>IF(TblDetailBudget[[#This Row],[Level]]="", "", COUNTIFS($B$8:TblDetailBudget[[#This Row],[Level]], Lvl1Hdr))</f>
        <v>2</v>
      </c>
      <c r="E183" s="62">
        <f>IF(TblDetailBudget[[#This Row],[Level]]="", "", COUNTIFS($B$8:TblDetailBudget[[#This Row],[Level]], Lvl2Hdr, $D$8:TblDetailBudget[[#This Row],[Lvl 1 Header]], TblDetailBudget[[#This Row],[Lvl 1 Header]]))</f>
        <v>1</v>
      </c>
      <c r="F18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8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18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3</v>
      </c>
      <c r="I183" s="101"/>
      <c r="J183" s="101"/>
      <c r="K183" s="88"/>
      <c r="L183" s="88"/>
      <c r="M183" s="62" t="str">
        <f>IF(TblDetailBudget[[#This Row],[Level]]=LvlBottomHdr, IFERROR(INDEX(TblUnitCost[Unit], MATCH(TblDetailBudget[[#This Row],[Row Title]], TblUnitCost[Resource], 0)), "Invalid Resource"), "")</f>
        <v>Invalid Resource</v>
      </c>
      <c r="N183" s="125" t="str">
        <f>IF(TblDetailBudget[[#This Row],[Level]]=LvlBottomHdr, IFERROR(INDEX(TblUnitCost[LCU], MATCH(TblDetailBudget[[#This Row],[Row Title]], TblUnitCost[Resource], 0)), "Invalid Resource"), "")</f>
        <v>Invalid Resource</v>
      </c>
      <c r="O183" s="128"/>
      <c r="P183" s="108"/>
      <c r="Q183" s="185"/>
      <c r="R183" s="129"/>
      <c r="S183" s="108"/>
      <c r="T183" s="108"/>
      <c r="U183" s="108"/>
      <c r="V183" s="108"/>
      <c r="W183" s="108"/>
      <c r="X183" s="125" t="str">
        <f>IF(TblDetailBudget[[#This Row],[Level]]=LvlBottomHdr, IF(SUM(TblDetailBudget[[#This Row],[2021 Quant]:[2025 Quant]])&gt;0, SUM(TblDetailBudget[[#This Row],[2021 Quant]:[2025 Quant]]), ""), "")</f>
        <v/>
      </c>
      <c r="Y183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8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8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8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8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83" s="140">
        <f>SUM(TblDetailBudget[[#This Row],[2021 Cost (LCU)]:[2025 Cost (LCU)]])</f>
        <v>0</v>
      </c>
      <c r="AE183" s="134">
        <f>IFERROR(SUM(TblDetailBudget[[#This Row],[2021 Cost (LCU)]])/FX_Rate, "")</f>
        <v>0</v>
      </c>
      <c r="AF183" s="63">
        <f>IFERROR(SUM(TblDetailBudget[[#This Row],[2022 Cost (LCU)]])/FX_Rate, "")</f>
        <v>0</v>
      </c>
      <c r="AG183" s="63">
        <f>IFERROR(SUM(TblDetailBudget[[#This Row],[2023 Cost (LCU)]])/FX_Rate, "")</f>
        <v>0</v>
      </c>
      <c r="AH183" s="63">
        <f>IFERROR(SUM(TblDetailBudget[[#This Row],[2024 Cost (LCU)]])/FX_Rate, "")</f>
        <v>0</v>
      </c>
      <c r="AI183" s="63">
        <f>IFERROR(SUM(TblDetailBudget[[#This Row],[2025 Cost (LCU)]])/FX_Rate, "")</f>
        <v>0</v>
      </c>
      <c r="AJ183" s="125">
        <f>SUM(TblDetailBudget[[#This Row],[2021 Cost (USD)]:[2025 Cost (USD)]])</f>
        <v>0</v>
      </c>
      <c r="AK183" s="180"/>
    </row>
    <row r="184" spans="2:37" ht="12.75" hidden="1" customHeight="1">
      <c r="B184" s="122" t="s">
        <v>70</v>
      </c>
      <c r="C18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2.1.1.4</v>
      </c>
      <c r="D184" s="62">
        <f>IF(TblDetailBudget[[#This Row],[Level]]="", "", COUNTIFS($B$8:TblDetailBudget[[#This Row],[Level]], Lvl1Hdr))</f>
        <v>2</v>
      </c>
      <c r="E184" s="62">
        <f>IF(TblDetailBudget[[#This Row],[Level]]="", "", COUNTIFS($B$8:TblDetailBudget[[#This Row],[Level]], Lvl2Hdr, $D$8:TblDetailBudget[[#This Row],[Lvl 1 Header]], TblDetailBudget[[#This Row],[Lvl 1 Header]]))</f>
        <v>1</v>
      </c>
      <c r="F18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8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18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84" s="101"/>
      <c r="J184" s="101"/>
      <c r="K184" s="88"/>
      <c r="L184" s="88"/>
      <c r="M184" s="62" t="str">
        <f>IF(TblDetailBudget[[#This Row],[Level]]=LvlBottomHdr, IFERROR(INDEX(TblUnitCost[Unit], MATCH(TblDetailBudget[[#This Row],[Row Title]], TblUnitCost[Resource], 0)), "Invalid Resource"), "")</f>
        <v/>
      </c>
      <c r="N184" s="125" t="str">
        <f>IF(TblDetailBudget[[#This Row],[Level]]=LvlBottomHdr, IFERROR(INDEX(TblUnitCost[LCU], MATCH(TblDetailBudget[[#This Row],[Row Title]], TblUnitCost[Resource], 0)), "Invalid Resource"), "")</f>
        <v/>
      </c>
      <c r="O184" s="128"/>
      <c r="P184" s="108"/>
      <c r="Q184" s="185"/>
      <c r="R184" s="129"/>
      <c r="S184" s="108"/>
      <c r="T184" s="108"/>
      <c r="U184" s="108"/>
      <c r="V184" s="108"/>
      <c r="W184" s="108"/>
      <c r="X184" s="125" t="str">
        <f>IF(TblDetailBudget[[#This Row],[Level]]=LvlBottomHdr, IF(SUM(TblDetailBudget[[#This Row],[2021 Quant]:[2025 Quant]])&gt;0, SUM(TblDetailBudget[[#This Row],[2021 Quant]:[2025 Quant]]), ""), "")</f>
        <v/>
      </c>
      <c r="Y184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8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8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8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8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84" s="140">
        <f>SUM(TblDetailBudget[[#This Row],[2021 Cost (LCU)]:[2025 Cost (LCU)]])</f>
        <v>0</v>
      </c>
      <c r="AE184" s="134">
        <f>IFERROR(SUM(TblDetailBudget[[#This Row],[2021 Cost (LCU)]])/FX_Rate, "")</f>
        <v>0</v>
      </c>
      <c r="AF184" s="63">
        <f>IFERROR(SUM(TblDetailBudget[[#This Row],[2022 Cost (LCU)]])/FX_Rate, "")</f>
        <v>0</v>
      </c>
      <c r="AG184" s="63">
        <f>IFERROR(SUM(TblDetailBudget[[#This Row],[2023 Cost (LCU)]])/FX_Rate, "")</f>
        <v>0</v>
      </c>
      <c r="AH184" s="63">
        <f>IFERROR(SUM(TblDetailBudget[[#This Row],[2024 Cost (LCU)]])/FX_Rate, "")</f>
        <v>0</v>
      </c>
      <c r="AI184" s="63">
        <f>IFERROR(SUM(TblDetailBudget[[#This Row],[2025 Cost (LCU)]])/FX_Rate, "")</f>
        <v>0</v>
      </c>
      <c r="AJ184" s="125">
        <f>SUM(TblDetailBudget[[#This Row],[2021 Cost (USD)]:[2025 Cost (USD)]])</f>
        <v>0</v>
      </c>
      <c r="AK184" s="180"/>
    </row>
    <row r="185" spans="2:37" ht="12.75" hidden="1" customHeight="1">
      <c r="B185" s="122" t="s">
        <v>70</v>
      </c>
      <c r="C18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2.1.1.5</v>
      </c>
      <c r="D185" s="62">
        <f>IF(TblDetailBudget[[#This Row],[Level]]="", "", COUNTIFS($B$8:TblDetailBudget[[#This Row],[Level]], Lvl1Hdr))</f>
        <v>2</v>
      </c>
      <c r="E185" s="62">
        <f>IF(TblDetailBudget[[#This Row],[Level]]="", "", COUNTIFS($B$8:TblDetailBudget[[#This Row],[Level]], Lvl2Hdr, $D$8:TblDetailBudget[[#This Row],[Lvl 1 Header]], TblDetailBudget[[#This Row],[Lvl 1 Header]]))</f>
        <v>1</v>
      </c>
      <c r="F18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8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18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85" s="101"/>
      <c r="J185" s="101"/>
      <c r="K185" s="88"/>
      <c r="L185" s="88"/>
      <c r="M185" s="62" t="str">
        <f>IF(TblDetailBudget[[#This Row],[Level]]=LvlBottomHdr, IFERROR(INDEX(TblUnitCost[Unit], MATCH(TblDetailBudget[[#This Row],[Row Title]], TblUnitCost[Resource], 0)), "Invalid Resource"), "")</f>
        <v/>
      </c>
      <c r="N185" s="125" t="str">
        <f>IF(TblDetailBudget[[#This Row],[Level]]=LvlBottomHdr, IFERROR(INDEX(TblUnitCost[LCU], MATCH(TblDetailBudget[[#This Row],[Row Title]], TblUnitCost[Resource], 0)), "Invalid Resource"), "")</f>
        <v/>
      </c>
      <c r="O185" s="128"/>
      <c r="P185" s="108"/>
      <c r="Q185" s="185"/>
      <c r="R185" s="129"/>
      <c r="S185" s="108"/>
      <c r="T185" s="108"/>
      <c r="U185" s="108"/>
      <c r="V185" s="108"/>
      <c r="W185" s="108"/>
      <c r="X185" s="125" t="str">
        <f>IF(TblDetailBudget[[#This Row],[Level]]=LvlBottomHdr, IF(SUM(TblDetailBudget[[#This Row],[2021 Quant]:[2025 Quant]])&gt;0, SUM(TblDetailBudget[[#This Row],[2021 Quant]:[2025 Quant]]), ""), "")</f>
        <v/>
      </c>
      <c r="Y18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8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8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8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8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85" s="140">
        <f>SUM(TblDetailBudget[[#This Row],[2021 Cost (LCU)]:[2025 Cost (LCU)]])</f>
        <v>0</v>
      </c>
      <c r="AE185" s="134">
        <f>IFERROR(SUM(TblDetailBudget[[#This Row],[2021 Cost (LCU)]])/FX_Rate, "")</f>
        <v>0</v>
      </c>
      <c r="AF185" s="63">
        <f>IFERROR(SUM(TblDetailBudget[[#This Row],[2022 Cost (LCU)]])/FX_Rate, "")</f>
        <v>0</v>
      </c>
      <c r="AG185" s="63">
        <f>IFERROR(SUM(TblDetailBudget[[#This Row],[2023 Cost (LCU)]])/FX_Rate, "")</f>
        <v>0</v>
      </c>
      <c r="AH185" s="63">
        <f>IFERROR(SUM(TblDetailBudget[[#This Row],[2024 Cost (LCU)]])/FX_Rate, "")</f>
        <v>0</v>
      </c>
      <c r="AI185" s="63">
        <f>IFERROR(SUM(TblDetailBudget[[#This Row],[2025 Cost (LCU)]])/FX_Rate, "")</f>
        <v>0</v>
      </c>
      <c r="AJ185" s="125">
        <f>SUM(TblDetailBudget[[#This Row],[2021 Cost (USD)]:[2025 Cost (USD)]])</f>
        <v>0</v>
      </c>
      <c r="AK185" s="180"/>
    </row>
    <row r="186" spans="2:37" ht="12.75" hidden="1" customHeight="1">
      <c r="B186" s="122" t="s">
        <v>71</v>
      </c>
      <c r="C18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2.1.1.5.1</v>
      </c>
      <c r="D186" s="62">
        <f>IF(TblDetailBudget[[#This Row],[Level]]="", "", COUNTIFS($B$8:TblDetailBudget[[#This Row],[Level]], Lvl1Hdr))</f>
        <v>2</v>
      </c>
      <c r="E186" s="62">
        <f>IF(TblDetailBudget[[#This Row],[Level]]="", "", COUNTIFS($B$8:TblDetailBudget[[#This Row],[Level]], Lvl2Hdr, $D$8:TblDetailBudget[[#This Row],[Lvl 1 Header]], TblDetailBudget[[#This Row],[Lvl 1 Header]]))</f>
        <v>1</v>
      </c>
      <c r="F18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8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18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86" s="101"/>
      <c r="J186" s="101"/>
      <c r="K186" s="88"/>
      <c r="L186" s="88"/>
      <c r="M186" s="62" t="str">
        <f>IF(TblDetailBudget[[#This Row],[Level]]=LvlBottomHdr, IFERROR(INDEX(TblUnitCost[Unit], MATCH(TblDetailBudget[[#This Row],[Row Title]], TblUnitCost[Resource], 0)), "Invalid Resource"), "")</f>
        <v>Invalid Resource</v>
      </c>
      <c r="N186" s="125" t="str">
        <f>IF(TblDetailBudget[[#This Row],[Level]]=LvlBottomHdr, IFERROR(INDEX(TblUnitCost[LCU], MATCH(TblDetailBudget[[#This Row],[Row Title]], TblUnitCost[Resource], 0)), "Invalid Resource"), "")</f>
        <v>Invalid Resource</v>
      </c>
      <c r="O186" s="128"/>
      <c r="P186" s="108"/>
      <c r="Q186" s="185"/>
      <c r="R186" s="129"/>
      <c r="S186" s="108"/>
      <c r="T186" s="108"/>
      <c r="U186" s="108"/>
      <c r="V186" s="108"/>
      <c r="W186" s="108"/>
      <c r="X186" s="125" t="str">
        <f>IF(TblDetailBudget[[#This Row],[Level]]=LvlBottomHdr, IF(SUM(TblDetailBudget[[#This Row],[2021 Quant]:[2025 Quant]])&gt;0, SUM(TblDetailBudget[[#This Row],[2021 Quant]:[2025 Quant]]), ""), "")</f>
        <v/>
      </c>
      <c r="Y186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8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8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8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8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86" s="140">
        <f>SUM(TblDetailBudget[[#This Row],[2021 Cost (LCU)]:[2025 Cost (LCU)]])</f>
        <v>0</v>
      </c>
      <c r="AE186" s="134">
        <f>IFERROR(SUM(TblDetailBudget[[#This Row],[2021 Cost (LCU)]])/FX_Rate, "")</f>
        <v>0</v>
      </c>
      <c r="AF186" s="63">
        <f>IFERROR(SUM(TblDetailBudget[[#This Row],[2022 Cost (LCU)]])/FX_Rate, "")</f>
        <v>0</v>
      </c>
      <c r="AG186" s="63">
        <f>IFERROR(SUM(TblDetailBudget[[#This Row],[2023 Cost (LCU)]])/FX_Rate, "")</f>
        <v>0</v>
      </c>
      <c r="AH186" s="63">
        <f>IFERROR(SUM(TblDetailBudget[[#This Row],[2024 Cost (LCU)]])/FX_Rate, "")</f>
        <v>0</v>
      </c>
      <c r="AI186" s="63">
        <f>IFERROR(SUM(TblDetailBudget[[#This Row],[2025 Cost (LCU)]])/FX_Rate, "")</f>
        <v>0</v>
      </c>
      <c r="AJ186" s="125">
        <f>SUM(TblDetailBudget[[#This Row],[2021 Cost (USD)]:[2025 Cost (USD)]])</f>
        <v>0</v>
      </c>
      <c r="AK186" s="180"/>
    </row>
    <row r="187" spans="2:37" ht="12.75" customHeight="1">
      <c r="B187" s="122" t="s">
        <v>68</v>
      </c>
      <c r="C18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2.2</v>
      </c>
      <c r="D187" s="62">
        <f>IF(TblDetailBudget[[#This Row],[Level]]="", "", COUNTIFS($B$8:TblDetailBudget[[#This Row],[Level]], Lvl1Hdr))</f>
        <v>2</v>
      </c>
      <c r="E187" s="62">
        <f>IF(TblDetailBudget[[#This Row],[Level]]="", "", COUNTIFS($B$8:TblDetailBudget[[#This Row],[Level]], Lvl2Hdr, $D$8:TblDetailBudget[[#This Row],[Lvl 1 Header]], TblDetailBudget[[#This Row],[Lvl 1 Header]]))</f>
        <v>2</v>
      </c>
      <c r="F18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18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8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87" s="188" t="s">
        <v>1850</v>
      </c>
      <c r="J187" s="101"/>
      <c r="K187" s="88"/>
      <c r="L187" s="88"/>
      <c r="M187" s="62" t="str">
        <f>IF(TblDetailBudget[[#This Row],[Level]]=LvlBottomHdr, IFERROR(INDEX(TblUnitCost[Unit], MATCH(TblDetailBudget[[#This Row],[Row Title]], TblUnitCost[Resource], 0)), "Invalid Resource"), "")</f>
        <v/>
      </c>
      <c r="N187" s="125" t="str">
        <f>IF(TblDetailBudget[[#This Row],[Level]]=LvlBottomHdr, IFERROR(INDEX(TblUnitCost[LCU], MATCH(TblDetailBudget[[#This Row],[Row Title]], TblUnitCost[Resource], 0)), "Invalid Resource"), "")</f>
        <v/>
      </c>
      <c r="O187" s="128"/>
      <c r="P187" s="108"/>
      <c r="Q187" s="185"/>
      <c r="R187" s="129"/>
      <c r="S187" s="108"/>
      <c r="T187" s="108"/>
      <c r="U187" s="108"/>
      <c r="V187" s="108"/>
      <c r="W187" s="108"/>
      <c r="X187" s="125" t="str">
        <f>IF(TblDetailBudget[[#This Row],[Level]]=LvlBottomHdr, IF(SUM(TblDetailBudget[[#This Row],[2021 Quant]:[2025 Quant]])&gt;0, SUM(TblDetailBudget[[#This Row],[2021 Quant]:[2025 Quant]]), ""), "")</f>
        <v/>
      </c>
      <c r="Y18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8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8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8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8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80183832488.666275</v>
      </c>
      <c r="AD187" s="140">
        <f>SUM(TblDetailBudget[[#This Row],[2021 Cost (LCU)]:[2025 Cost (LCU)]])</f>
        <v>80183832488.666275</v>
      </c>
      <c r="AE187" s="134">
        <f>IFERROR(SUM(TblDetailBudget[[#This Row],[2021 Cost (LCU)]])/FX_Rate, "")</f>
        <v>0</v>
      </c>
      <c r="AF187" s="63">
        <f>IFERROR(SUM(TblDetailBudget[[#This Row],[2022 Cost (LCU)]])/FX_Rate, "")</f>
        <v>0</v>
      </c>
      <c r="AG187" s="63">
        <f>IFERROR(SUM(TblDetailBudget[[#This Row],[2023 Cost (LCU)]])/FX_Rate, "")</f>
        <v>0</v>
      </c>
      <c r="AH187" s="63">
        <f>IFERROR(SUM(TblDetailBudget[[#This Row],[2024 Cost (LCU)]])/FX_Rate, "")</f>
        <v>0</v>
      </c>
      <c r="AI187" s="63">
        <f>IFERROR(SUM(TblDetailBudget[[#This Row],[2025 Cost (LCU)]])/FX_Rate, "")</f>
        <v>50114895.30541642</v>
      </c>
      <c r="AJ187" s="125">
        <f>SUM(TblDetailBudget[[#This Row],[2021 Cost (USD)]:[2025 Cost (USD)]])</f>
        <v>50114895.30541642</v>
      </c>
      <c r="AK187" s="180"/>
    </row>
    <row r="188" spans="2:37" ht="12.75" customHeight="1">
      <c r="B188" s="122" t="s">
        <v>69</v>
      </c>
      <c r="C18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2.2.1</v>
      </c>
      <c r="D188" s="62">
        <f>IF(TblDetailBudget[[#This Row],[Level]]="", "", COUNTIFS($B$8:TblDetailBudget[[#This Row],[Level]], Lvl1Hdr))</f>
        <v>2</v>
      </c>
      <c r="E188" s="62">
        <f>IF(TblDetailBudget[[#This Row],[Level]]="", "", COUNTIFS($B$8:TblDetailBudget[[#This Row],[Level]], Lvl2Hdr, $D$8:TblDetailBudget[[#This Row],[Lvl 1 Header]], TblDetailBudget[[#This Row],[Lvl 1 Header]]))</f>
        <v>2</v>
      </c>
      <c r="F18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8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8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88" s="188" t="s">
        <v>1851</v>
      </c>
      <c r="J188" s="101"/>
      <c r="K188" s="88"/>
      <c r="L188" s="88"/>
      <c r="M188" s="62" t="str">
        <f>IF(TblDetailBudget[[#This Row],[Level]]=LvlBottomHdr, IFERROR(INDEX(TblUnitCost[Unit], MATCH(TblDetailBudget[[#This Row],[Row Title]], TblUnitCost[Resource], 0)), "Invalid Resource"), "")</f>
        <v/>
      </c>
      <c r="N188" s="125" t="str">
        <f>IF(TblDetailBudget[[#This Row],[Level]]=LvlBottomHdr, IFERROR(INDEX(TblUnitCost[LCU], MATCH(TblDetailBudget[[#This Row],[Row Title]], TblUnitCost[Resource], 0)), "Invalid Resource"), "")</f>
        <v/>
      </c>
      <c r="O188" s="128"/>
      <c r="P188" s="108"/>
      <c r="Q188" s="185"/>
      <c r="R188" s="129"/>
      <c r="S188" s="108"/>
      <c r="T188" s="108"/>
      <c r="U188" s="108"/>
      <c r="V188" s="108"/>
      <c r="W188" s="108"/>
      <c r="X188" s="125" t="str">
        <f>IF(TblDetailBudget[[#This Row],[Level]]=LvlBottomHdr, IF(SUM(TblDetailBudget[[#This Row],[2021 Quant]:[2025 Quant]])&gt;0, SUM(TblDetailBudget[[#This Row],[2021 Quant]:[2025 Quant]]), ""), "")</f>
        <v/>
      </c>
      <c r="Y18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8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8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8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8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80183832488.666275</v>
      </c>
      <c r="AD188" s="140">
        <f>SUM(TblDetailBudget[[#This Row],[2021 Cost (LCU)]:[2025 Cost (LCU)]])</f>
        <v>80183832488.666275</v>
      </c>
      <c r="AE188" s="134">
        <f>IFERROR(SUM(TblDetailBudget[[#This Row],[2021 Cost (LCU)]])/FX_Rate, "")</f>
        <v>0</v>
      </c>
      <c r="AF188" s="63">
        <f>IFERROR(SUM(TblDetailBudget[[#This Row],[2022 Cost (LCU)]])/FX_Rate, "")</f>
        <v>0</v>
      </c>
      <c r="AG188" s="63">
        <f>IFERROR(SUM(TblDetailBudget[[#This Row],[2023 Cost (LCU)]])/FX_Rate, "")</f>
        <v>0</v>
      </c>
      <c r="AH188" s="63">
        <f>IFERROR(SUM(TblDetailBudget[[#This Row],[2024 Cost (LCU)]])/FX_Rate, "")</f>
        <v>0</v>
      </c>
      <c r="AI188" s="63">
        <f>IFERROR(SUM(TblDetailBudget[[#This Row],[2025 Cost (LCU)]])/FX_Rate, "")</f>
        <v>50114895.30541642</v>
      </c>
      <c r="AJ188" s="125">
        <f>SUM(TblDetailBudget[[#This Row],[2021 Cost (USD)]:[2025 Cost (USD)]])</f>
        <v>50114895.30541642</v>
      </c>
      <c r="AK188" s="180"/>
    </row>
    <row r="189" spans="2:37" ht="12.75" customHeight="1">
      <c r="B189" s="122" t="s">
        <v>70</v>
      </c>
      <c r="C18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2.2.1.1</v>
      </c>
      <c r="D189" s="62">
        <f>IF(TblDetailBudget[[#This Row],[Level]]="", "", COUNTIFS($B$8:TblDetailBudget[[#This Row],[Level]], Lvl1Hdr))</f>
        <v>2</v>
      </c>
      <c r="E189" s="62">
        <f>IF(TblDetailBudget[[#This Row],[Level]]="", "", COUNTIFS($B$8:TblDetailBudget[[#This Row],[Level]], Lvl2Hdr, $D$8:TblDetailBudget[[#This Row],[Lvl 1 Header]], TblDetailBudget[[#This Row],[Lvl 1 Header]]))</f>
        <v>2</v>
      </c>
      <c r="F18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8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8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89" s="101" t="s">
        <v>1852</v>
      </c>
      <c r="J189" s="101"/>
      <c r="K189" s="88"/>
      <c r="L189" s="88"/>
      <c r="M189" s="62" t="str">
        <f>IF(TblDetailBudget[[#This Row],[Level]]=LvlBottomHdr, IFERROR(INDEX(TblUnitCost[Unit], MATCH(TblDetailBudget[[#This Row],[Row Title]], TblUnitCost[Resource], 0)), "Invalid Resource"), "")</f>
        <v/>
      </c>
      <c r="N189" s="125" t="str">
        <f>IF(TblDetailBudget[[#This Row],[Level]]=LvlBottomHdr, IFERROR(INDEX(TblUnitCost[LCU], MATCH(TblDetailBudget[[#This Row],[Row Title]], TblUnitCost[Resource], 0)), "Invalid Resource"), "")</f>
        <v/>
      </c>
      <c r="O189" s="128"/>
      <c r="P189" s="108"/>
      <c r="Q189" s="185"/>
      <c r="R189" s="129"/>
      <c r="S189" s="108"/>
      <c r="T189" s="108"/>
      <c r="U189" s="108"/>
      <c r="V189" s="108"/>
      <c r="W189" s="108"/>
      <c r="X189" s="125" t="str">
        <f>IF(TblDetailBudget[[#This Row],[Level]]=LvlBottomHdr, IF(SUM(TblDetailBudget[[#This Row],[2021 Quant]:[2025 Quant]])&gt;0, SUM(TblDetailBudget[[#This Row],[2021 Quant]:[2025 Quant]]), ""), "")</f>
        <v/>
      </c>
      <c r="Y189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8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8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8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8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77498869683.252869</v>
      </c>
      <c r="AD189" s="140">
        <f>SUM(TblDetailBudget[[#This Row],[2021 Cost (LCU)]:[2025 Cost (LCU)]])</f>
        <v>77498869683.252869</v>
      </c>
      <c r="AE189" s="134">
        <f>IFERROR(SUM(TblDetailBudget[[#This Row],[2021 Cost (LCU)]])/FX_Rate, "")</f>
        <v>0</v>
      </c>
      <c r="AF189" s="63">
        <f>IFERROR(SUM(TblDetailBudget[[#This Row],[2022 Cost (LCU)]])/FX_Rate, "")</f>
        <v>0</v>
      </c>
      <c r="AG189" s="63">
        <f>IFERROR(SUM(TblDetailBudget[[#This Row],[2023 Cost (LCU)]])/FX_Rate, "")</f>
        <v>0</v>
      </c>
      <c r="AH189" s="63">
        <f>IFERROR(SUM(TblDetailBudget[[#This Row],[2024 Cost (LCU)]])/FX_Rate, "")</f>
        <v>0</v>
      </c>
      <c r="AI189" s="63">
        <f>IFERROR(SUM(TblDetailBudget[[#This Row],[2025 Cost (LCU)]])/FX_Rate, "")</f>
        <v>48436793.552033044</v>
      </c>
      <c r="AJ189" s="125">
        <f>SUM(TblDetailBudget[[#This Row],[2021 Cost (USD)]:[2025 Cost (USD)]])</f>
        <v>48436793.552033044</v>
      </c>
      <c r="AK189" s="180"/>
    </row>
    <row r="190" spans="2:37" ht="12.75" customHeight="1">
      <c r="B190" s="122" t="s">
        <v>71</v>
      </c>
      <c r="C19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2.2.1.1.1</v>
      </c>
      <c r="D190" s="62">
        <f>IF(TblDetailBudget[[#This Row],[Level]]="", "", COUNTIFS($B$8:TblDetailBudget[[#This Row],[Level]], Lvl1Hdr))</f>
        <v>2</v>
      </c>
      <c r="E190" s="62">
        <f>IF(TblDetailBudget[[#This Row],[Level]]="", "", COUNTIFS($B$8:TblDetailBudget[[#This Row],[Level]], Lvl2Hdr, $D$8:TblDetailBudget[[#This Row],[Lvl 1 Header]], TblDetailBudget[[#This Row],[Lvl 1 Header]]))</f>
        <v>2</v>
      </c>
      <c r="F19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9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9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90" s="96" t="s">
        <v>2665</v>
      </c>
      <c r="J190" s="101"/>
      <c r="K190" s="88"/>
      <c r="L190" s="88"/>
      <c r="M190" s="62" t="str">
        <f>IF(TblDetailBudget[[#This Row],[Level]]=LvlBottomHdr, IFERROR(INDEX(TblUnitCost[Unit], MATCH(TblDetailBudget[[#This Row],[Row Title]], TblUnitCost[Resource], 0)), "Invalid Resource"), "")</f>
        <v>per SP</v>
      </c>
      <c r="N190" s="125">
        <f>IF(TblDetailBudget[[#This Row],[Level]]=LvlBottomHdr, IFERROR(INDEX(TblUnitCost[LCU], MATCH(TblDetailBudget[[#This Row],[Row Title]], TblUnitCost[Resource], 0)), "Invalid Resource"), "")</f>
        <v>327</v>
      </c>
      <c r="O190" s="128">
        <f>'States and LGAs'!BK6</f>
        <v>236999601.4778375</v>
      </c>
      <c r="P190" s="108">
        <v>1</v>
      </c>
      <c r="Q190" s="185">
        <v>1</v>
      </c>
      <c r="R190" s="129">
        <v>1</v>
      </c>
      <c r="S190" s="108"/>
      <c r="T190" s="108"/>
      <c r="U190" s="108"/>
      <c r="V190" s="108"/>
      <c r="W190" s="108">
        <v>1</v>
      </c>
      <c r="X190" s="125">
        <f>IF(TblDetailBudget[[#This Row],[Level]]=LvlBottomHdr, IF(SUM(TblDetailBudget[[#This Row],[2021 Quant]:[2025 Quant]])&gt;0, SUM(TblDetailBudget[[#This Row],[2021 Quant]:[2025 Quant]]), ""), "")</f>
        <v>1</v>
      </c>
      <c r="Y19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9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9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9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9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77498869683.252869</v>
      </c>
      <c r="AD190" s="140">
        <f>SUM(TblDetailBudget[[#This Row],[2021 Cost (LCU)]:[2025 Cost (LCU)]])</f>
        <v>77498869683.252869</v>
      </c>
      <c r="AE190" s="134">
        <f>IFERROR(SUM(TblDetailBudget[[#This Row],[2021 Cost (LCU)]])/FX_Rate, "")</f>
        <v>0</v>
      </c>
      <c r="AF190" s="63">
        <f>IFERROR(SUM(TblDetailBudget[[#This Row],[2022 Cost (LCU)]])/FX_Rate, "")</f>
        <v>0</v>
      </c>
      <c r="AG190" s="63">
        <f>IFERROR(SUM(TblDetailBudget[[#This Row],[2023 Cost (LCU)]])/FX_Rate, "")</f>
        <v>0</v>
      </c>
      <c r="AH190" s="63">
        <f>IFERROR(SUM(TblDetailBudget[[#This Row],[2024 Cost (LCU)]])/FX_Rate, "")</f>
        <v>0</v>
      </c>
      <c r="AI190" s="63">
        <f>IFERROR(SUM(TblDetailBudget[[#This Row],[2025 Cost (LCU)]])/FX_Rate, "")</f>
        <v>48436793.552033044</v>
      </c>
      <c r="AJ190" s="125">
        <f>SUM(TblDetailBudget[[#This Row],[2021 Cost (USD)]:[2025 Cost (USD)]])</f>
        <v>48436793.552033044</v>
      </c>
      <c r="AK190" s="180"/>
    </row>
    <row r="191" spans="2:37" ht="12.75" customHeight="1">
      <c r="B191" s="122" t="s">
        <v>70</v>
      </c>
      <c r="C19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2.2.1.2</v>
      </c>
      <c r="D191" s="62">
        <f>IF(TblDetailBudget[[#This Row],[Level]]="", "", COUNTIFS($B$8:TblDetailBudget[[#This Row],[Level]], Lvl1Hdr))</f>
        <v>2</v>
      </c>
      <c r="E191" s="62">
        <f>IF(TblDetailBudget[[#This Row],[Level]]="", "", COUNTIFS($B$8:TblDetailBudget[[#This Row],[Level]], Lvl2Hdr, $D$8:TblDetailBudget[[#This Row],[Lvl 1 Header]], TblDetailBudget[[#This Row],[Lvl 1 Header]]))</f>
        <v>2</v>
      </c>
      <c r="F19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9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9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91" s="101" t="s">
        <v>1853</v>
      </c>
      <c r="J191" s="101"/>
      <c r="K191" s="88"/>
      <c r="L191" s="88"/>
      <c r="M191" s="62" t="str">
        <f>IF(TblDetailBudget[[#This Row],[Level]]=LvlBottomHdr, IFERROR(INDEX(TblUnitCost[Unit], MATCH(TblDetailBudget[[#This Row],[Row Title]], TblUnitCost[Resource], 0)), "Invalid Resource"), "")</f>
        <v/>
      </c>
      <c r="N191" s="125" t="str">
        <f>IF(TblDetailBudget[[#This Row],[Level]]=LvlBottomHdr, IFERROR(INDEX(TblUnitCost[LCU], MATCH(TblDetailBudget[[#This Row],[Row Title]], TblUnitCost[Resource], 0)), "Invalid Resource"), "")</f>
        <v/>
      </c>
      <c r="O191" s="128"/>
      <c r="P191" s="108"/>
      <c r="Q191" s="185"/>
      <c r="R191" s="129"/>
      <c r="S191" s="108"/>
      <c r="T191" s="108"/>
      <c r="U191" s="108"/>
      <c r="V191" s="108"/>
      <c r="W191" s="108"/>
      <c r="X191" s="125" t="str">
        <f>IF(TblDetailBudget[[#This Row],[Level]]=LvlBottomHdr, IF(SUM(TblDetailBudget[[#This Row],[2021 Quant]:[2025 Quant]])&gt;0, SUM(TblDetailBudget[[#This Row],[2021 Quant]:[2025 Quant]]), ""), "")</f>
        <v/>
      </c>
      <c r="Y191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9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9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9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9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2684962805.4134097</v>
      </c>
      <c r="AD191" s="140">
        <f>SUM(TblDetailBudget[[#This Row],[2021 Cost (LCU)]:[2025 Cost (LCU)]])</f>
        <v>2684962805.4134097</v>
      </c>
      <c r="AE191" s="134">
        <f>IFERROR(SUM(TblDetailBudget[[#This Row],[2021 Cost (LCU)]])/FX_Rate, "")</f>
        <v>0</v>
      </c>
      <c r="AF191" s="63">
        <f>IFERROR(SUM(TblDetailBudget[[#This Row],[2022 Cost (LCU)]])/FX_Rate, "")</f>
        <v>0</v>
      </c>
      <c r="AG191" s="63">
        <f>IFERROR(SUM(TblDetailBudget[[#This Row],[2023 Cost (LCU)]])/FX_Rate, "")</f>
        <v>0</v>
      </c>
      <c r="AH191" s="63">
        <f>IFERROR(SUM(TblDetailBudget[[#This Row],[2024 Cost (LCU)]])/FX_Rate, "")</f>
        <v>0</v>
      </c>
      <c r="AI191" s="63">
        <f>IFERROR(SUM(TblDetailBudget[[#This Row],[2025 Cost (LCU)]])/FX_Rate, "")</f>
        <v>1678101.7533833811</v>
      </c>
      <c r="AJ191" s="125">
        <f>SUM(TblDetailBudget[[#This Row],[2021 Cost (USD)]:[2025 Cost (USD)]])</f>
        <v>1678101.7533833811</v>
      </c>
      <c r="AK191" s="180"/>
    </row>
    <row r="192" spans="2:37" ht="12.75" customHeight="1">
      <c r="B192" s="122" t="s">
        <v>71</v>
      </c>
      <c r="C19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2.2.1.2.1</v>
      </c>
      <c r="D192" s="62">
        <f>IF(TblDetailBudget[[#This Row],[Level]]="", "", COUNTIFS($B$8:TblDetailBudget[[#This Row],[Level]], Lvl1Hdr))</f>
        <v>2</v>
      </c>
      <c r="E192" s="62">
        <f>IF(TblDetailBudget[[#This Row],[Level]]="", "", COUNTIFS($B$8:TblDetailBudget[[#This Row],[Level]], Lvl2Hdr, $D$8:TblDetailBudget[[#This Row],[Lvl 1 Header]], TblDetailBudget[[#This Row],[Lvl 1 Header]]))</f>
        <v>2</v>
      </c>
      <c r="F19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9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9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92" s="96" t="s">
        <v>2664</v>
      </c>
      <c r="J192" s="101"/>
      <c r="K192" s="88"/>
      <c r="L192" s="88"/>
      <c r="M192" s="62" t="str">
        <f>IF(TblDetailBudget[[#This Row],[Level]]=LvlBottomHdr, IFERROR(INDEX(TblUnitCost[Unit], MATCH(TblDetailBudget[[#This Row],[Row Title]], TblUnitCost[Resource], 0)), "Invalid Resource"), "")</f>
        <v>per child</v>
      </c>
      <c r="N192" s="125">
        <f>IF(TblDetailBudget[[#This Row],[Level]]=LvlBottomHdr, IFERROR(INDEX(TblUnitCost[LCU], MATCH(TblDetailBudget[[#This Row],[Row Title]], TblUnitCost[Resource], 0)), "Invalid Resource"), "")</f>
        <v>130</v>
      </c>
      <c r="O192" s="128">
        <f>'States and LGAs'!AM6</f>
        <v>20653560.041641612</v>
      </c>
      <c r="P192" s="108">
        <v>1</v>
      </c>
      <c r="Q192" s="185">
        <v>1</v>
      </c>
      <c r="R192" s="129">
        <v>1</v>
      </c>
      <c r="S192" s="108"/>
      <c r="T192" s="108"/>
      <c r="U192" s="108"/>
      <c r="V192" s="108"/>
      <c r="W192" s="108">
        <v>1</v>
      </c>
      <c r="X192" s="125">
        <f>IF(TblDetailBudget[[#This Row],[Level]]=LvlBottomHdr, IF(SUM(TblDetailBudget[[#This Row],[2021 Quant]:[2025 Quant]])&gt;0, SUM(TblDetailBudget[[#This Row],[2021 Quant]:[2025 Quant]]), ""), "")</f>
        <v>1</v>
      </c>
      <c r="Y19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9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9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9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9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2684962805.4134097</v>
      </c>
      <c r="AD192" s="140">
        <f>SUM(TblDetailBudget[[#This Row],[2021 Cost (LCU)]:[2025 Cost (LCU)]])</f>
        <v>2684962805.4134097</v>
      </c>
      <c r="AE192" s="134">
        <f>IFERROR(SUM(TblDetailBudget[[#This Row],[2021 Cost (LCU)]])/FX_Rate, "")</f>
        <v>0</v>
      </c>
      <c r="AF192" s="63">
        <f>IFERROR(SUM(TblDetailBudget[[#This Row],[2022 Cost (LCU)]])/FX_Rate, "")</f>
        <v>0</v>
      </c>
      <c r="AG192" s="63">
        <f>IFERROR(SUM(TblDetailBudget[[#This Row],[2023 Cost (LCU)]])/FX_Rate, "")</f>
        <v>0</v>
      </c>
      <c r="AH192" s="63">
        <f>IFERROR(SUM(TblDetailBudget[[#This Row],[2024 Cost (LCU)]])/FX_Rate, "")</f>
        <v>0</v>
      </c>
      <c r="AI192" s="63">
        <f>IFERROR(SUM(TblDetailBudget[[#This Row],[2025 Cost (LCU)]])/FX_Rate, "")</f>
        <v>1678101.7533833811</v>
      </c>
      <c r="AJ192" s="125">
        <f>SUM(TblDetailBudget[[#This Row],[2021 Cost (USD)]:[2025 Cost (USD)]])</f>
        <v>1678101.7533833811</v>
      </c>
      <c r="AK192" s="180"/>
    </row>
    <row r="193" spans="2:37" ht="12.75" customHeight="1">
      <c r="B193" s="122" t="s">
        <v>68</v>
      </c>
      <c r="C19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2.3</v>
      </c>
      <c r="D193" s="62">
        <f>IF(TblDetailBudget[[#This Row],[Level]]="", "", COUNTIFS($B$8:TblDetailBudget[[#This Row],[Level]], Lvl1Hdr))</f>
        <v>2</v>
      </c>
      <c r="E193" s="62">
        <f>IF(TblDetailBudget[[#This Row],[Level]]="", "", COUNTIFS($B$8:TblDetailBudget[[#This Row],[Level]], Lvl2Hdr, $D$8:TblDetailBudget[[#This Row],[Lvl 1 Header]], TblDetailBudget[[#This Row],[Lvl 1 Header]]))</f>
        <v>3</v>
      </c>
      <c r="F19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19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9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93" s="188" t="s">
        <v>1854</v>
      </c>
      <c r="J193" s="101"/>
      <c r="K193" s="88"/>
      <c r="L193" s="88"/>
      <c r="M193" s="62" t="str">
        <f>IF(TblDetailBudget[[#This Row],[Level]]=LvlBottomHdr, IFERROR(INDEX(TblUnitCost[Unit], MATCH(TblDetailBudget[[#This Row],[Row Title]], TblUnitCost[Resource], 0)), "Invalid Resource"), "")</f>
        <v/>
      </c>
      <c r="N193" s="125" t="str">
        <f>IF(TblDetailBudget[[#This Row],[Level]]=LvlBottomHdr, IFERROR(INDEX(TblUnitCost[LCU], MATCH(TblDetailBudget[[#This Row],[Row Title]], TblUnitCost[Resource], 0)), "Invalid Resource"), "")</f>
        <v/>
      </c>
      <c r="O193" s="128"/>
      <c r="P193" s="108"/>
      <c r="Q193" s="185"/>
      <c r="R193" s="129"/>
      <c r="S193" s="108"/>
      <c r="T193" s="108"/>
      <c r="U193" s="108"/>
      <c r="V193" s="108"/>
      <c r="W193" s="108"/>
      <c r="X193" s="125" t="str">
        <f>IF(TblDetailBudget[[#This Row],[Level]]=LvlBottomHdr, IF(SUM(TblDetailBudget[[#This Row],[2021 Quant]:[2025 Quant]])&gt;0, SUM(TblDetailBudget[[#This Row],[2021 Quant]:[2025 Quant]]), ""), "")</f>
        <v/>
      </c>
      <c r="Y193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9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9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9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9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18734176418</v>
      </c>
      <c r="AD193" s="140">
        <f>SUM(TblDetailBudget[[#This Row],[2021 Cost (LCU)]:[2025 Cost (LCU)]])</f>
        <v>18734176418</v>
      </c>
      <c r="AE193" s="134">
        <f>IFERROR(SUM(TblDetailBudget[[#This Row],[2021 Cost (LCU)]])/FX_Rate, "")</f>
        <v>0</v>
      </c>
      <c r="AF193" s="63">
        <f>IFERROR(SUM(TblDetailBudget[[#This Row],[2022 Cost (LCU)]])/FX_Rate, "")</f>
        <v>0</v>
      </c>
      <c r="AG193" s="63">
        <f>IFERROR(SUM(TblDetailBudget[[#This Row],[2023 Cost (LCU)]])/FX_Rate, "")</f>
        <v>0</v>
      </c>
      <c r="AH193" s="63">
        <f>IFERROR(SUM(TblDetailBudget[[#This Row],[2024 Cost (LCU)]])/FX_Rate, "")</f>
        <v>0</v>
      </c>
      <c r="AI193" s="63">
        <f>IFERROR(SUM(TblDetailBudget[[#This Row],[2025 Cost (LCU)]])/FX_Rate, "")</f>
        <v>11708860.26125</v>
      </c>
      <c r="AJ193" s="125">
        <f>SUM(TblDetailBudget[[#This Row],[2021 Cost (USD)]:[2025 Cost (USD)]])</f>
        <v>11708860.26125</v>
      </c>
      <c r="AK193" s="180"/>
    </row>
    <row r="194" spans="2:37" ht="12.75" customHeight="1">
      <c r="B194" s="122" t="s">
        <v>69</v>
      </c>
      <c r="C19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2.3.1</v>
      </c>
      <c r="D194" s="62">
        <f>IF(TblDetailBudget[[#This Row],[Level]]="", "", COUNTIFS($B$8:TblDetailBudget[[#This Row],[Level]], Lvl1Hdr))</f>
        <v>2</v>
      </c>
      <c r="E194" s="62">
        <f>IF(TblDetailBudget[[#This Row],[Level]]="", "", COUNTIFS($B$8:TblDetailBudget[[#This Row],[Level]], Lvl2Hdr, $D$8:TblDetailBudget[[#This Row],[Lvl 1 Header]], TblDetailBudget[[#This Row],[Lvl 1 Header]]))</f>
        <v>3</v>
      </c>
      <c r="F19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9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9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94" s="188" t="s">
        <v>1855</v>
      </c>
      <c r="J194" s="101"/>
      <c r="K194" s="88"/>
      <c r="L194" s="88"/>
      <c r="M194" s="62" t="str">
        <f>IF(TblDetailBudget[[#This Row],[Level]]=LvlBottomHdr, IFERROR(INDEX(TblUnitCost[Unit], MATCH(TblDetailBudget[[#This Row],[Row Title]], TblUnitCost[Resource], 0)), "Invalid Resource"), "")</f>
        <v/>
      </c>
      <c r="N194" s="125" t="str">
        <f>IF(TblDetailBudget[[#This Row],[Level]]=LvlBottomHdr, IFERROR(INDEX(TblUnitCost[LCU], MATCH(TblDetailBudget[[#This Row],[Row Title]], TblUnitCost[Resource], 0)), "Invalid Resource"), "")</f>
        <v/>
      </c>
      <c r="O194" s="128"/>
      <c r="P194" s="108"/>
      <c r="Q194" s="185"/>
      <c r="R194" s="129"/>
      <c r="S194" s="108"/>
      <c r="T194" s="108"/>
      <c r="U194" s="108"/>
      <c r="V194" s="108"/>
      <c r="W194" s="108"/>
      <c r="X194" s="125" t="str">
        <f>IF(TblDetailBudget[[#This Row],[Level]]=LvlBottomHdr, IF(SUM(TblDetailBudget[[#This Row],[2021 Quant]:[2025 Quant]])&gt;0, SUM(TblDetailBudget[[#This Row],[2021 Quant]:[2025 Quant]]), ""), "")</f>
        <v/>
      </c>
      <c r="Y194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9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9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9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9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18734176418</v>
      </c>
      <c r="AD194" s="140">
        <f>SUM(TblDetailBudget[[#This Row],[2021 Cost (LCU)]:[2025 Cost (LCU)]])</f>
        <v>18734176418</v>
      </c>
      <c r="AE194" s="134">
        <f>IFERROR(SUM(TblDetailBudget[[#This Row],[2021 Cost (LCU)]])/FX_Rate, "")</f>
        <v>0</v>
      </c>
      <c r="AF194" s="63">
        <f>IFERROR(SUM(TblDetailBudget[[#This Row],[2022 Cost (LCU)]])/FX_Rate, "")</f>
        <v>0</v>
      </c>
      <c r="AG194" s="63">
        <f>IFERROR(SUM(TblDetailBudget[[#This Row],[2023 Cost (LCU)]])/FX_Rate, "")</f>
        <v>0</v>
      </c>
      <c r="AH194" s="63">
        <f>IFERROR(SUM(TblDetailBudget[[#This Row],[2024 Cost (LCU)]])/FX_Rate, "")</f>
        <v>0</v>
      </c>
      <c r="AI194" s="63">
        <f>IFERROR(SUM(TblDetailBudget[[#This Row],[2025 Cost (LCU)]])/FX_Rate, "")</f>
        <v>11708860.26125</v>
      </c>
      <c r="AJ194" s="125">
        <f>SUM(TblDetailBudget[[#This Row],[2021 Cost (USD)]:[2025 Cost (USD)]])</f>
        <v>11708860.26125</v>
      </c>
      <c r="AK194" s="180"/>
    </row>
    <row r="195" spans="2:37" ht="12.75" customHeight="1">
      <c r="B195" s="122" t="s">
        <v>70</v>
      </c>
      <c r="C19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2.3.1.1</v>
      </c>
      <c r="D195" s="62">
        <f>IF(TblDetailBudget[[#This Row],[Level]]="", "", COUNTIFS($B$8:TblDetailBudget[[#This Row],[Level]], Lvl1Hdr))</f>
        <v>2</v>
      </c>
      <c r="E195" s="62">
        <f>IF(TblDetailBudget[[#This Row],[Level]]="", "", COUNTIFS($B$8:TblDetailBudget[[#This Row],[Level]], Lvl2Hdr, $D$8:TblDetailBudget[[#This Row],[Lvl 1 Header]], TblDetailBudget[[#This Row],[Lvl 1 Header]]))</f>
        <v>3</v>
      </c>
      <c r="F19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9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9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95" s="101" t="s">
        <v>1856</v>
      </c>
      <c r="J195" s="101"/>
      <c r="K195" s="88"/>
      <c r="L195" s="88"/>
      <c r="M195" s="62" t="str">
        <f>IF(TblDetailBudget[[#This Row],[Level]]=LvlBottomHdr, IFERROR(INDEX(TblUnitCost[Unit], MATCH(TblDetailBudget[[#This Row],[Row Title]], TblUnitCost[Resource], 0)), "Invalid Resource"), "")</f>
        <v/>
      </c>
      <c r="N195" s="125" t="str">
        <f>IF(TblDetailBudget[[#This Row],[Level]]=LvlBottomHdr, IFERROR(INDEX(TblUnitCost[LCU], MATCH(TblDetailBudget[[#This Row],[Row Title]], TblUnitCost[Resource], 0)), "Invalid Resource"), "")</f>
        <v/>
      </c>
      <c r="O195" s="128"/>
      <c r="P195" s="108"/>
      <c r="Q195" s="185"/>
      <c r="R195" s="129"/>
      <c r="S195" s="108"/>
      <c r="T195" s="108"/>
      <c r="U195" s="108"/>
      <c r="V195" s="108"/>
      <c r="W195" s="108"/>
      <c r="X195" s="125" t="str">
        <f>IF(TblDetailBudget[[#This Row],[Level]]=LvlBottomHdr, IF(SUM(TblDetailBudget[[#This Row],[2021 Quant]:[2025 Quant]])&gt;0, SUM(TblDetailBudget[[#This Row],[2021 Quant]:[2025 Quant]]), ""), "")</f>
        <v/>
      </c>
      <c r="Y19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9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9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9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9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18734176418</v>
      </c>
      <c r="AD195" s="140">
        <f>SUM(TblDetailBudget[[#This Row],[2021 Cost (LCU)]:[2025 Cost (LCU)]])</f>
        <v>18734176418</v>
      </c>
      <c r="AE195" s="134">
        <f>IFERROR(SUM(TblDetailBudget[[#This Row],[2021 Cost (LCU)]])/FX_Rate, "")</f>
        <v>0</v>
      </c>
      <c r="AF195" s="63">
        <f>IFERROR(SUM(TblDetailBudget[[#This Row],[2022 Cost (LCU)]])/FX_Rate, "")</f>
        <v>0</v>
      </c>
      <c r="AG195" s="63">
        <f>IFERROR(SUM(TblDetailBudget[[#This Row],[2023 Cost (LCU)]])/FX_Rate, "")</f>
        <v>0</v>
      </c>
      <c r="AH195" s="63">
        <f>IFERROR(SUM(TblDetailBudget[[#This Row],[2024 Cost (LCU)]])/FX_Rate, "")</f>
        <v>0</v>
      </c>
      <c r="AI195" s="63">
        <f>IFERROR(SUM(TblDetailBudget[[#This Row],[2025 Cost (LCU)]])/FX_Rate, "")</f>
        <v>11708860.26125</v>
      </c>
      <c r="AJ195" s="125">
        <f>SUM(TblDetailBudget[[#This Row],[2021 Cost (USD)]:[2025 Cost (USD)]])</f>
        <v>11708860.26125</v>
      </c>
      <c r="AK195" s="180"/>
    </row>
    <row r="196" spans="2:37" ht="12.75" customHeight="1">
      <c r="B196" s="122" t="s">
        <v>71</v>
      </c>
      <c r="C19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2.3.1.1.1</v>
      </c>
      <c r="D196" s="62">
        <f>IF(TblDetailBudget[[#This Row],[Level]]="", "", COUNTIFS($B$8:TblDetailBudget[[#This Row],[Level]], Lvl1Hdr))</f>
        <v>2</v>
      </c>
      <c r="E196" s="62">
        <f>IF(TblDetailBudget[[#This Row],[Level]]="", "", COUNTIFS($B$8:TblDetailBudget[[#This Row],[Level]], Lvl2Hdr, $D$8:TblDetailBudget[[#This Row],[Lvl 1 Header]], TblDetailBudget[[#This Row],[Lvl 1 Header]]))</f>
        <v>3</v>
      </c>
      <c r="F19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9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9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96" s="96" t="s">
        <v>2383</v>
      </c>
      <c r="J196" s="101"/>
      <c r="K196" s="88"/>
      <c r="L196" s="88"/>
      <c r="M196" s="62" t="str">
        <f>IF(TblDetailBudget[[#This Row],[Level]]=LvlBottomHdr, IFERROR(INDEX(TblUnitCost[Unit], MATCH(TblDetailBudget[[#This Row],[Row Title]], TblUnitCost[Resource], 0)), "Invalid Resource"), "")</f>
        <v>per SP</v>
      </c>
      <c r="N196" s="125">
        <f>IF(TblDetailBudget[[#This Row],[Level]]=LvlBottomHdr, IFERROR(INDEX(TblUnitCost[LCU], MATCH(TblDetailBudget[[#This Row],[Row Title]], TblUnitCost[Resource], 0)), "Invalid Resource"), "")</f>
        <v>809</v>
      </c>
      <c r="O196" s="128">
        <f>'States and LGAs'!BM6</f>
        <v>23157202</v>
      </c>
      <c r="P196" s="108">
        <v>1</v>
      </c>
      <c r="Q196" s="185">
        <v>1</v>
      </c>
      <c r="R196" s="129">
        <v>1</v>
      </c>
      <c r="S196" s="108"/>
      <c r="T196" s="108"/>
      <c r="U196" s="108"/>
      <c r="V196" s="108"/>
      <c r="W196" s="108">
        <v>1</v>
      </c>
      <c r="X196" s="125">
        <f>IF(TblDetailBudget[[#This Row],[Level]]=LvlBottomHdr, IF(SUM(TblDetailBudget[[#This Row],[2021 Quant]:[2025 Quant]])&gt;0, SUM(TblDetailBudget[[#This Row],[2021 Quant]:[2025 Quant]]), ""), "")</f>
        <v>1</v>
      </c>
      <c r="Y19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9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9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9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9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18734176418</v>
      </c>
      <c r="AD196" s="140">
        <f>SUM(TblDetailBudget[[#This Row],[2021 Cost (LCU)]:[2025 Cost (LCU)]])</f>
        <v>18734176418</v>
      </c>
      <c r="AE196" s="134">
        <f>IFERROR(SUM(TblDetailBudget[[#This Row],[2021 Cost (LCU)]])/FX_Rate, "")</f>
        <v>0</v>
      </c>
      <c r="AF196" s="63">
        <f>IFERROR(SUM(TblDetailBudget[[#This Row],[2022 Cost (LCU)]])/FX_Rate, "")</f>
        <v>0</v>
      </c>
      <c r="AG196" s="63">
        <f>IFERROR(SUM(TblDetailBudget[[#This Row],[2023 Cost (LCU)]])/FX_Rate, "")</f>
        <v>0</v>
      </c>
      <c r="AH196" s="63">
        <f>IFERROR(SUM(TblDetailBudget[[#This Row],[2024 Cost (LCU)]])/FX_Rate, "")</f>
        <v>0</v>
      </c>
      <c r="AI196" s="63">
        <f>IFERROR(SUM(TblDetailBudget[[#This Row],[2025 Cost (LCU)]])/FX_Rate, "")</f>
        <v>11708860.26125</v>
      </c>
      <c r="AJ196" s="125">
        <f>SUM(TblDetailBudget[[#This Row],[2021 Cost (USD)]:[2025 Cost (USD)]])</f>
        <v>11708860.26125</v>
      </c>
      <c r="AK196" s="180"/>
    </row>
    <row r="197" spans="2:37" ht="12.75" customHeight="1">
      <c r="B197" s="122" t="s">
        <v>70</v>
      </c>
      <c r="C19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2.3.1.2</v>
      </c>
      <c r="D197" s="62">
        <f>IF(TblDetailBudget[[#This Row],[Level]]="", "", COUNTIFS($B$8:TblDetailBudget[[#This Row],[Level]], Lvl1Hdr))</f>
        <v>2</v>
      </c>
      <c r="E197" s="62">
        <f>IF(TblDetailBudget[[#This Row],[Level]]="", "", COUNTIFS($B$8:TblDetailBudget[[#This Row],[Level]], Lvl2Hdr, $D$8:TblDetailBudget[[#This Row],[Lvl 1 Header]], TblDetailBudget[[#This Row],[Lvl 1 Header]]))</f>
        <v>3</v>
      </c>
      <c r="F19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9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9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97" s="101" t="s">
        <v>1857</v>
      </c>
      <c r="J197" s="101"/>
      <c r="K197" s="88"/>
      <c r="L197" s="88"/>
      <c r="M197" s="62" t="str">
        <f>IF(TblDetailBudget[[#This Row],[Level]]=LvlBottomHdr, IFERROR(INDEX(TblUnitCost[Unit], MATCH(TblDetailBudget[[#This Row],[Row Title]], TblUnitCost[Resource], 0)), "Invalid Resource"), "")</f>
        <v/>
      </c>
      <c r="N197" s="125" t="str">
        <f>IF(TblDetailBudget[[#This Row],[Level]]=LvlBottomHdr, IFERROR(INDEX(TblUnitCost[LCU], MATCH(TblDetailBudget[[#This Row],[Row Title]], TblUnitCost[Resource], 0)), "Invalid Resource"), "")</f>
        <v/>
      </c>
      <c r="O197" s="128"/>
      <c r="P197" s="108"/>
      <c r="Q197" s="185"/>
      <c r="R197" s="129"/>
      <c r="S197" s="108"/>
      <c r="T197" s="108"/>
      <c r="U197" s="108"/>
      <c r="V197" s="108"/>
      <c r="W197" s="108"/>
      <c r="X197" s="125" t="str">
        <f>IF(TblDetailBudget[[#This Row],[Level]]=LvlBottomHdr, IF(SUM(TblDetailBudget[[#This Row],[2021 Quant]:[2025 Quant]])&gt;0, SUM(TblDetailBudget[[#This Row],[2021 Quant]:[2025 Quant]]), ""), "")</f>
        <v/>
      </c>
      <c r="Y19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9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9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9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9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97" s="140">
        <f>SUM(TblDetailBudget[[#This Row],[2021 Cost (LCU)]:[2025 Cost (LCU)]])</f>
        <v>0</v>
      </c>
      <c r="AE197" s="134">
        <f>IFERROR(SUM(TblDetailBudget[[#This Row],[2021 Cost (LCU)]])/FX_Rate, "")</f>
        <v>0</v>
      </c>
      <c r="AF197" s="63">
        <f>IFERROR(SUM(TblDetailBudget[[#This Row],[2022 Cost (LCU)]])/FX_Rate, "")</f>
        <v>0</v>
      </c>
      <c r="AG197" s="63">
        <f>IFERROR(SUM(TblDetailBudget[[#This Row],[2023 Cost (LCU)]])/FX_Rate, "")</f>
        <v>0</v>
      </c>
      <c r="AH197" s="63">
        <f>IFERROR(SUM(TblDetailBudget[[#This Row],[2024 Cost (LCU)]])/FX_Rate, "")</f>
        <v>0</v>
      </c>
      <c r="AI197" s="63">
        <f>IFERROR(SUM(TblDetailBudget[[#This Row],[2025 Cost (LCU)]])/FX_Rate, "")</f>
        <v>0</v>
      </c>
      <c r="AJ197" s="125">
        <f>SUM(TblDetailBudget[[#This Row],[2021 Cost (USD)]:[2025 Cost (USD)]])</f>
        <v>0</v>
      </c>
      <c r="AK197" s="180"/>
    </row>
    <row r="198" spans="2:37" ht="12.75" customHeight="1">
      <c r="B198" s="122" t="s">
        <v>71</v>
      </c>
      <c r="C19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2.3.1.2.1</v>
      </c>
      <c r="D198" s="62">
        <f>IF(TblDetailBudget[[#This Row],[Level]]="", "", COUNTIFS($B$8:TblDetailBudget[[#This Row],[Level]], Lvl1Hdr))</f>
        <v>2</v>
      </c>
      <c r="E198" s="62">
        <f>IF(TblDetailBudget[[#This Row],[Level]]="", "", COUNTIFS($B$8:TblDetailBudget[[#This Row],[Level]], Lvl2Hdr, $D$8:TblDetailBudget[[#This Row],[Lvl 1 Header]], TblDetailBudget[[#This Row],[Lvl 1 Header]]))</f>
        <v>3</v>
      </c>
      <c r="F19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9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9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98" s="101" t="s">
        <v>112</v>
      </c>
      <c r="J198" s="101"/>
      <c r="K198" s="88"/>
      <c r="L198" s="88"/>
      <c r="M198" s="62" t="str">
        <f>IF(TblDetailBudget[[#This Row],[Level]]=LvlBottomHdr, IFERROR(INDEX(TblUnitCost[Unit], MATCH(TblDetailBudget[[#This Row],[Row Title]], TblUnitCost[Resource], 0)), "Invalid Resource"), "")</f>
        <v>Invalid Resource</v>
      </c>
      <c r="N198" s="125" t="str">
        <f>IF(TblDetailBudget[[#This Row],[Level]]=LvlBottomHdr, IFERROR(INDEX(TblUnitCost[LCU], MATCH(TblDetailBudget[[#This Row],[Row Title]], TblUnitCost[Resource], 0)), "Invalid Resource"), "")</f>
        <v>Invalid Resource</v>
      </c>
      <c r="O198" s="128"/>
      <c r="P198" s="108">
        <v>1</v>
      </c>
      <c r="Q198" s="185">
        <v>1</v>
      </c>
      <c r="R198" s="129">
        <v>1</v>
      </c>
      <c r="S198" s="108"/>
      <c r="T198" s="108"/>
      <c r="U198" s="108"/>
      <c r="V198" s="108"/>
      <c r="W198" s="108">
        <v>1</v>
      </c>
      <c r="X198" s="125">
        <f>IF(TblDetailBudget[[#This Row],[Level]]=LvlBottomHdr, IF(SUM(TblDetailBudget[[#This Row],[2021 Quant]:[2025 Quant]])&gt;0, SUM(TblDetailBudget[[#This Row],[2021 Quant]:[2025 Quant]]), ""), "")</f>
        <v>1</v>
      </c>
      <c r="Y198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19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19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19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19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198" s="140">
        <f>SUM(TblDetailBudget[[#This Row],[2021 Cost (LCU)]:[2025 Cost (LCU)]])</f>
        <v>0</v>
      </c>
      <c r="AE198" s="134">
        <f>IFERROR(SUM(TblDetailBudget[[#This Row],[2021 Cost (LCU)]])/FX_Rate, "")</f>
        <v>0</v>
      </c>
      <c r="AF198" s="63">
        <f>IFERROR(SUM(TblDetailBudget[[#This Row],[2022 Cost (LCU)]])/FX_Rate, "")</f>
        <v>0</v>
      </c>
      <c r="AG198" s="63">
        <f>IFERROR(SUM(TblDetailBudget[[#This Row],[2023 Cost (LCU)]])/FX_Rate, "")</f>
        <v>0</v>
      </c>
      <c r="AH198" s="63">
        <f>IFERROR(SUM(TblDetailBudget[[#This Row],[2024 Cost (LCU)]])/FX_Rate, "")</f>
        <v>0</v>
      </c>
      <c r="AI198" s="63">
        <f>IFERROR(SUM(TblDetailBudget[[#This Row],[2025 Cost (LCU)]])/FX_Rate, "")</f>
        <v>0</v>
      </c>
      <c r="AJ198" s="125">
        <f>SUM(TblDetailBudget[[#This Row],[2021 Cost (USD)]:[2025 Cost (USD)]])</f>
        <v>0</v>
      </c>
      <c r="AK198" s="180"/>
    </row>
    <row r="199" spans="2:37" ht="12.75" customHeight="1">
      <c r="B199" s="122" t="s">
        <v>68</v>
      </c>
      <c r="C19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</v>
      </c>
      <c r="D199" s="62">
        <f>IF(TblDetailBudget[[#This Row],[Level]]="", "", COUNTIFS($B$8:TblDetailBudget[[#This Row],[Level]], Lvl1Hdr))</f>
        <v>2</v>
      </c>
      <c r="E199" s="62">
        <f>IF(TblDetailBudget[[#This Row],[Level]]="", "", COUNTIFS($B$8:TblDetailBudget[[#This Row],[Level]], Lvl2Hdr, $D$8:TblDetailBudget[[#This Row],[Lvl 1 Header]], TblDetailBudget[[#This Row],[Lvl 1 Header]]))</f>
        <v>4</v>
      </c>
      <c r="F19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19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9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99" s="188" t="s">
        <v>1858</v>
      </c>
      <c r="J199" s="101"/>
      <c r="K199" s="88"/>
      <c r="L199" s="88"/>
      <c r="M199" s="62" t="str">
        <f>IF(TblDetailBudget[[#This Row],[Level]]=LvlBottomHdr, IFERROR(INDEX(TblUnitCost[Unit], MATCH(TblDetailBudget[[#This Row],[Row Title]], TblUnitCost[Resource], 0)), "Invalid Resource"), "")</f>
        <v/>
      </c>
      <c r="N199" s="125" t="str">
        <f>IF(TblDetailBudget[[#This Row],[Level]]=LvlBottomHdr, IFERROR(INDEX(TblUnitCost[LCU], MATCH(TblDetailBudget[[#This Row],[Row Title]], TblUnitCost[Resource], 0)), "Invalid Resource"), "")</f>
        <v/>
      </c>
      <c r="O199" s="128"/>
      <c r="P199" s="108"/>
      <c r="Q199" s="185"/>
      <c r="R199" s="129"/>
      <c r="S199" s="108"/>
      <c r="T199" s="108"/>
      <c r="U199" s="108"/>
      <c r="V199" s="108"/>
      <c r="W199" s="108"/>
      <c r="X199" s="125" t="str">
        <f>IF(TblDetailBudget[[#This Row],[Level]]=LvlBottomHdr, IF(SUM(TblDetailBudget[[#This Row],[2021 Quant]:[2025 Quant]])&gt;0, SUM(TblDetailBudget[[#This Row],[2021 Quant]:[2025 Quant]]), ""), "")</f>
        <v/>
      </c>
      <c r="Y199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19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19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19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19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199" s="140">
        <f>SUM(TblDetailBudget[[#This Row],[2021 Cost (LCU)]:[2025 Cost (LCU)]])</f>
        <v>0</v>
      </c>
      <c r="AE199" s="134">
        <f>IFERROR(SUM(TblDetailBudget[[#This Row],[2021 Cost (LCU)]])/FX_Rate, "")</f>
        <v>0</v>
      </c>
      <c r="AF199" s="63">
        <f>IFERROR(SUM(TblDetailBudget[[#This Row],[2022 Cost (LCU)]])/FX_Rate, "")</f>
        <v>0</v>
      </c>
      <c r="AG199" s="63">
        <f>IFERROR(SUM(TblDetailBudget[[#This Row],[2023 Cost (LCU)]])/FX_Rate, "")</f>
        <v>0</v>
      </c>
      <c r="AH199" s="63">
        <f>IFERROR(SUM(TblDetailBudget[[#This Row],[2024 Cost (LCU)]])/FX_Rate, "")</f>
        <v>0</v>
      </c>
      <c r="AI199" s="63">
        <f>IFERROR(SUM(TblDetailBudget[[#This Row],[2025 Cost (LCU)]])/FX_Rate, "")</f>
        <v>0</v>
      </c>
      <c r="AJ199" s="125">
        <f>SUM(TblDetailBudget[[#This Row],[2021 Cost (USD)]:[2025 Cost (USD)]])</f>
        <v>0</v>
      </c>
      <c r="AK199" s="180"/>
    </row>
    <row r="200" spans="2:37" ht="12.75" customHeight="1">
      <c r="B200" s="122" t="s">
        <v>69</v>
      </c>
      <c r="C20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2.4.1</v>
      </c>
      <c r="D200" s="62">
        <f>IF(TblDetailBudget[[#This Row],[Level]]="", "", COUNTIFS($B$8:TblDetailBudget[[#This Row],[Level]], Lvl1Hdr))</f>
        <v>2</v>
      </c>
      <c r="E200" s="62">
        <f>IF(TblDetailBudget[[#This Row],[Level]]="", "", COUNTIFS($B$8:TblDetailBudget[[#This Row],[Level]], Lvl2Hdr, $D$8:TblDetailBudget[[#This Row],[Lvl 1 Header]], TblDetailBudget[[#This Row],[Lvl 1 Header]]))</f>
        <v>4</v>
      </c>
      <c r="F20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0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0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00" s="188" t="s">
        <v>1859</v>
      </c>
      <c r="J200" s="101"/>
      <c r="K200" s="88"/>
      <c r="L200" s="88"/>
      <c r="M200" s="62" t="str">
        <f>IF(TblDetailBudget[[#This Row],[Level]]=LvlBottomHdr, IFERROR(INDEX(TblUnitCost[Unit], MATCH(TblDetailBudget[[#This Row],[Row Title]], TblUnitCost[Resource], 0)), "Invalid Resource"), "")</f>
        <v/>
      </c>
      <c r="N200" s="125" t="str">
        <f>IF(TblDetailBudget[[#This Row],[Level]]=LvlBottomHdr, IFERROR(INDEX(TblUnitCost[LCU], MATCH(TblDetailBudget[[#This Row],[Row Title]], TblUnitCost[Resource], 0)), "Invalid Resource"), "")</f>
        <v/>
      </c>
      <c r="O200" s="128"/>
      <c r="P200" s="108"/>
      <c r="Q200" s="185"/>
      <c r="R200" s="129"/>
      <c r="S200" s="108"/>
      <c r="T200" s="108"/>
      <c r="U200" s="108"/>
      <c r="V200" s="108"/>
      <c r="W200" s="108"/>
      <c r="X200" s="125" t="str">
        <f>IF(TblDetailBudget[[#This Row],[Level]]=LvlBottomHdr, IF(SUM(TblDetailBudget[[#This Row],[2021 Quant]:[2025 Quant]])&gt;0, SUM(TblDetailBudget[[#This Row],[2021 Quant]:[2025 Quant]]), ""), "")</f>
        <v/>
      </c>
      <c r="Y20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0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0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0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0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00" s="140">
        <f>SUM(TblDetailBudget[[#This Row],[2021 Cost (LCU)]:[2025 Cost (LCU)]])</f>
        <v>0</v>
      </c>
      <c r="AE200" s="134">
        <f>IFERROR(SUM(TblDetailBudget[[#This Row],[2021 Cost (LCU)]])/FX_Rate, "")</f>
        <v>0</v>
      </c>
      <c r="AF200" s="63">
        <f>IFERROR(SUM(TblDetailBudget[[#This Row],[2022 Cost (LCU)]])/FX_Rate, "")</f>
        <v>0</v>
      </c>
      <c r="AG200" s="63">
        <f>IFERROR(SUM(TblDetailBudget[[#This Row],[2023 Cost (LCU)]])/FX_Rate, "")</f>
        <v>0</v>
      </c>
      <c r="AH200" s="63">
        <f>IFERROR(SUM(TblDetailBudget[[#This Row],[2024 Cost (LCU)]])/FX_Rate, "")</f>
        <v>0</v>
      </c>
      <c r="AI200" s="63">
        <f>IFERROR(SUM(TblDetailBudget[[#This Row],[2025 Cost (LCU)]])/FX_Rate, "")</f>
        <v>0</v>
      </c>
      <c r="AJ200" s="125">
        <f>SUM(TblDetailBudget[[#This Row],[2021 Cost (USD)]:[2025 Cost (USD)]])</f>
        <v>0</v>
      </c>
      <c r="AK200" s="180"/>
    </row>
    <row r="201" spans="2:37" ht="12.75" customHeight="1">
      <c r="B201" s="122" t="s">
        <v>70</v>
      </c>
      <c r="C20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2.4.1.1</v>
      </c>
      <c r="D201" s="62">
        <f>IF(TblDetailBudget[[#This Row],[Level]]="", "", COUNTIFS($B$8:TblDetailBudget[[#This Row],[Level]], Lvl1Hdr))</f>
        <v>2</v>
      </c>
      <c r="E201" s="62">
        <f>IF(TblDetailBudget[[#This Row],[Level]]="", "", COUNTIFS($B$8:TblDetailBudget[[#This Row],[Level]], Lvl2Hdr, $D$8:TblDetailBudget[[#This Row],[Lvl 1 Header]], TblDetailBudget[[#This Row],[Lvl 1 Header]]))</f>
        <v>4</v>
      </c>
      <c r="F20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0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0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01" s="101" t="s">
        <v>1860</v>
      </c>
      <c r="J201" s="101"/>
      <c r="K201" s="88"/>
      <c r="L201" s="88"/>
      <c r="M201" s="62" t="str">
        <f>IF(TblDetailBudget[[#This Row],[Level]]=LvlBottomHdr, IFERROR(INDEX(TblUnitCost[Unit], MATCH(TblDetailBudget[[#This Row],[Row Title]], TblUnitCost[Resource], 0)), "Invalid Resource"), "")</f>
        <v/>
      </c>
      <c r="N201" s="125" t="str">
        <f>IF(TblDetailBudget[[#This Row],[Level]]=LvlBottomHdr, IFERROR(INDEX(TblUnitCost[LCU], MATCH(TblDetailBudget[[#This Row],[Row Title]], TblUnitCost[Resource], 0)), "Invalid Resource"), "")</f>
        <v/>
      </c>
      <c r="O201" s="128"/>
      <c r="P201" s="108"/>
      <c r="Q201" s="185"/>
      <c r="R201" s="129"/>
      <c r="S201" s="108"/>
      <c r="T201" s="108"/>
      <c r="U201" s="108"/>
      <c r="V201" s="108"/>
      <c r="W201" s="108"/>
      <c r="X201" s="125" t="str">
        <f>IF(TblDetailBudget[[#This Row],[Level]]=LvlBottomHdr, IF(SUM(TblDetailBudget[[#This Row],[2021 Quant]:[2025 Quant]])&gt;0, SUM(TblDetailBudget[[#This Row],[2021 Quant]:[2025 Quant]]), ""), "")</f>
        <v/>
      </c>
      <c r="Y201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0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0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0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0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01" s="140">
        <f>SUM(TblDetailBudget[[#This Row],[2021 Cost (LCU)]:[2025 Cost (LCU)]])</f>
        <v>0</v>
      </c>
      <c r="AE201" s="134">
        <f>IFERROR(SUM(TblDetailBudget[[#This Row],[2021 Cost (LCU)]])/FX_Rate, "")</f>
        <v>0</v>
      </c>
      <c r="AF201" s="63">
        <f>IFERROR(SUM(TblDetailBudget[[#This Row],[2022 Cost (LCU)]])/FX_Rate, "")</f>
        <v>0</v>
      </c>
      <c r="AG201" s="63">
        <f>IFERROR(SUM(TblDetailBudget[[#This Row],[2023 Cost (LCU)]])/FX_Rate, "")</f>
        <v>0</v>
      </c>
      <c r="AH201" s="63">
        <f>IFERROR(SUM(TblDetailBudget[[#This Row],[2024 Cost (LCU)]])/FX_Rate, "")</f>
        <v>0</v>
      </c>
      <c r="AI201" s="63">
        <f>IFERROR(SUM(TblDetailBudget[[#This Row],[2025 Cost (LCU)]])/FX_Rate, "")</f>
        <v>0</v>
      </c>
      <c r="AJ201" s="125">
        <f>SUM(TblDetailBudget[[#This Row],[2021 Cost (USD)]:[2025 Cost (USD)]])</f>
        <v>0</v>
      </c>
      <c r="AK201" s="180"/>
    </row>
    <row r="202" spans="2:37" ht="12.75" customHeight="1">
      <c r="B202" s="122" t="s">
        <v>71</v>
      </c>
      <c r="C20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2.4.1.1.1</v>
      </c>
      <c r="D202" s="62">
        <f>IF(TblDetailBudget[[#This Row],[Level]]="", "", COUNTIFS($B$8:TblDetailBudget[[#This Row],[Level]], Lvl1Hdr))</f>
        <v>2</v>
      </c>
      <c r="E202" s="62">
        <f>IF(TblDetailBudget[[#This Row],[Level]]="", "", COUNTIFS($B$8:TblDetailBudget[[#This Row],[Level]], Lvl2Hdr, $D$8:TblDetailBudget[[#This Row],[Lvl 1 Header]], TblDetailBudget[[#This Row],[Lvl 1 Header]]))</f>
        <v>4</v>
      </c>
      <c r="F20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0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0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02" s="96" t="s">
        <v>2510</v>
      </c>
      <c r="J202" s="101"/>
      <c r="K202" s="88"/>
      <c r="L202" s="88"/>
      <c r="M202" s="62" t="str">
        <f>IF(TblDetailBudget[[#This Row],[Level]]=LvlBottomHdr, IFERROR(INDEX(TblUnitCost[Unit], MATCH(TblDetailBudget[[#This Row],[Row Title]], TblUnitCost[Resource], 0)), "Invalid Resource"), "")</f>
        <v>per kit</v>
      </c>
      <c r="N202" s="125">
        <f>IF(TblDetailBudget[[#This Row],[Level]]=LvlBottomHdr, IFERROR(INDEX(TblUnitCost[LCU], MATCH(TblDetailBudget[[#This Row],[Row Title]], TblUnitCost[Resource], 0)), "Invalid Resource"), "")</f>
        <v>740</v>
      </c>
      <c r="O202" s="128"/>
      <c r="P202" s="108">
        <v>1</v>
      </c>
      <c r="Q202" s="185">
        <v>1</v>
      </c>
      <c r="R202" s="129">
        <v>1</v>
      </c>
      <c r="S202" s="108"/>
      <c r="T202" s="108"/>
      <c r="U202" s="108"/>
      <c r="V202" s="108"/>
      <c r="W202" s="108">
        <v>1</v>
      </c>
      <c r="X202" s="125">
        <f>IF(TblDetailBudget[[#This Row],[Level]]=LvlBottomHdr, IF(SUM(TblDetailBudget[[#This Row],[2021 Quant]:[2025 Quant]])&gt;0, SUM(TblDetailBudget[[#This Row],[2021 Quant]:[2025 Quant]]), ""), "")</f>
        <v>1</v>
      </c>
      <c r="Y20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0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0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0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0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02" s="140">
        <f>SUM(TblDetailBudget[[#This Row],[2021 Cost (LCU)]:[2025 Cost (LCU)]])</f>
        <v>0</v>
      </c>
      <c r="AE202" s="134">
        <f>IFERROR(SUM(TblDetailBudget[[#This Row],[2021 Cost (LCU)]])/FX_Rate, "")</f>
        <v>0</v>
      </c>
      <c r="AF202" s="63">
        <f>IFERROR(SUM(TblDetailBudget[[#This Row],[2022 Cost (LCU)]])/FX_Rate, "")</f>
        <v>0</v>
      </c>
      <c r="AG202" s="63">
        <f>IFERROR(SUM(TblDetailBudget[[#This Row],[2023 Cost (LCU)]])/FX_Rate, "")</f>
        <v>0</v>
      </c>
      <c r="AH202" s="63">
        <f>IFERROR(SUM(TblDetailBudget[[#This Row],[2024 Cost (LCU)]])/FX_Rate, "")</f>
        <v>0</v>
      </c>
      <c r="AI202" s="63">
        <f>IFERROR(SUM(TblDetailBudget[[#This Row],[2025 Cost (LCU)]])/FX_Rate, "")</f>
        <v>0</v>
      </c>
      <c r="AJ202" s="125">
        <f>SUM(TblDetailBudget[[#This Row],[2021 Cost (USD)]:[2025 Cost (USD)]])</f>
        <v>0</v>
      </c>
      <c r="AK202" s="180"/>
    </row>
    <row r="203" spans="2:37" ht="12.75" customHeight="1">
      <c r="B203" s="122" t="s">
        <v>70</v>
      </c>
      <c r="C20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2.4.1.2</v>
      </c>
      <c r="D203" s="62">
        <f>IF(TblDetailBudget[[#This Row],[Level]]="", "", COUNTIFS($B$8:TblDetailBudget[[#This Row],[Level]], Lvl1Hdr))</f>
        <v>2</v>
      </c>
      <c r="E203" s="62">
        <f>IF(TblDetailBudget[[#This Row],[Level]]="", "", COUNTIFS($B$8:TblDetailBudget[[#This Row],[Level]], Lvl2Hdr, $D$8:TblDetailBudget[[#This Row],[Lvl 1 Header]], TblDetailBudget[[#This Row],[Lvl 1 Header]]))</f>
        <v>4</v>
      </c>
      <c r="F20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0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0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03" s="101" t="s">
        <v>1861</v>
      </c>
      <c r="J203" s="101"/>
      <c r="K203" s="88"/>
      <c r="L203" s="88"/>
      <c r="M203" s="62" t="str">
        <f>IF(TblDetailBudget[[#This Row],[Level]]=LvlBottomHdr, IFERROR(INDEX(TblUnitCost[Unit], MATCH(TblDetailBudget[[#This Row],[Row Title]], TblUnitCost[Resource], 0)), "Invalid Resource"), "")</f>
        <v/>
      </c>
      <c r="N203" s="125" t="str">
        <f>IF(TblDetailBudget[[#This Row],[Level]]=LvlBottomHdr, IFERROR(INDEX(TblUnitCost[LCU], MATCH(TblDetailBudget[[#This Row],[Row Title]], TblUnitCost[Resource], 0)), "Invalid Resource"), "")</f>
        <v/>
      </c>
      <c r="O203" s="128"/>
      <c r="P203" s="108"/>
      <c r="Q203" s="185"/>
      <c r="R203" s="129"/>
      <c r="S203" s="108"/>
      <c r="T203" s="108"/>
      <c r="U203" s="108"/>
      <c r="V203" s="108"/>
      <c r="W203" s="108"/>
      <c r="X203" s="125" t="str">
        <f>IF(TblDetailBudget[[#This Row],[Level]]=LvlBottomHdr, IF(SUM(TblDetailBudget[[#This Row],[2021 Quant]:[2025 Quant]])&gt;0, SUM(TblDetailBudget[[#This Row],[2021 Quant]:[2025 Quant]]), ""), "")</f>
        <v/>
      </c>
      <c r="Y203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0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0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0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0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03" s="140">
        <f>SUM(TblDetailBudget[[#This Row],[2021 Cost (LCU)]:[2025 Cost (LCU)]])</f>
        <v>0</v>
      </c>
      <c r="AE203" s="134">
        <f>IFERROR(SUM(TblDetailBudget[[#This Row],[2021 Cost (LCU)]])/FX_Rate, "")</f>
        <v>0</v>
      </c>
      <c r="AF203" s="63">
        <f>IFERROR(SUM(TblDetailBudget[[#This Row],[2022 Cost (LCU)]])/FX_Rate, "")</f>
        <v>0</v>
      </c>
      <c r="AG203" s="63">
        <f>IFERROR(SUM(TblDetailBudget[[#This Row],[2023 Cost (LCU)]])/FX_Rate, "")</f>
        <v>0</v>
      </c>
      <c r="AH203" s="63">
        <f>IFERROR(SUM(TblDetailBudget[[#This Row],[2024 Cost (LCU)]])/FX_Rate, "")</f>
        <v>0</v>
      </c>
      <c r="AI203" s="63">
        <f>IFERROR(SUM(TblDetailBudget[[#This Row],[2025 Cost (LCU)]])/FX_Rate, "")</f>
        <v>0</v>
      </c>
      <c r="AJ203" s="125">
        <f>SUM(TblDetailBudget[[#This Row],[2021 Cost (USD)]:[2025 Cost (USD)]])</f>
        <v>0</v>
      </c>
      <c r="AK203" s="180"/>
    </row>
    <row r="204" spans="2:37" ht="12.75" customHeight="1">
      <c r="B204" s="122" t="s">
        <v>71</v>
      </c>
      <c r="C20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2.4.1.2.1</v>
      </c>
      <c r="D204" s="62">
        <f>IF(TblDetailBudget[[#This Row],[Level]]="", "", COUNTIFS($B$8:TblDetailBudget[[#This Row],[Level]], Lvl1Hdr))</f>
        <v>2</v>
      </c>
      <c r="E204" s="62">
        <f>IF(TblDetailBudget[[#This Row],[Level]]="", "", COUNTIFS($B$8:TblDetailBudget[[#This Row],[Level]], Lvl2Hdr, $D$8:TblDetailBudget[[#This Row],[Lvl 1 Header]], TblDetailBudget[[#This Row],[Lvl 1 Header]]))</f>
        <v>4</v>
      </c>
      <c r="F20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0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0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04" s="101" t="s">
        <v>117</v>
      </c>
      <c r="J204" s="101"/>
      <c r="K204" s="88"/>
      <c r="L204" s="88"/>
      <c r="M204" s="62" t="str">
        <f>IF(TblDetailBudget[[#This Row],[Level]]=LvlBottomHdr, IFERROR(INDEX(TblUnitCost[Unit], MATCH(TblDetailBudget[[#This Row],[Row Title]], TblUnitCost[Resource], 0)), "Invalid Resource"), "")</f>
        <v>Invalid Resource</v>
      </c>
      <c r="N204" s="125" t="str">
        <f>IF(TblDetailBudget[[#This Row],[Level]]=LvlBottomHdr, IFERROR(INDEX(TblUnitCost[LCU], MATCH(TblDetailBudget[[#This Row],[Row Title]], TblUnitCost[Resource], 0)), "Invalid Resource"), "")</f>
        <v>Invalid Resource</v>
      </c>
      <c r="O204" s="128"/>
      <c r="P204" s="108">
        <v>1</v>
      </c>
      <c r="Q204" s="185">
        <v>1</v>
      </c>
      <c r="R204" s="129">
        <v>1</v>
      </c>
      <c r="S204" s="108"/>
      <c r="T204" s="108"/>
      <c r="U204" s="108"/>
      <c r="V204" s="108"/>
      <c r="W204" s="108">
        <v>1</v>
      </c>
      <c r="X204" s="125">
        <f>IF(TblDetailBudget[[#This Row],[Level]]=LvlBottomHdr, IF(SUM(TblDetailBudget[[#This Row],[2021 Quant]:[2025 Quant]])&gt;0, SUM(TblDetailBudget[[#This Row],[2021 Quant]:[2025 Quant]]), ""), "")</f>
        <v>1</v>
      </c>
      <c r="Y20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0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0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0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0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04" s="140">
        <f>SUM(TblDetailBudget[[#This Row],[2021 Cost (LCU)]:[2025 Cost (LCU)]])</f>
        <v>0</v>
      </c>
      <c r="AE204" s="134">
        <f>IFERROR(SUM(TblDetailBudget[[#This Row],[2021 Cost (LCU)]])/FX_Rate, "")</f>
        <v>0</v>
      </c>
      <c r="AF204" s="63">
        <f>IFERROR(SUM(TblDetailBudget[[#This Row],[2022 Cost (LCU)]])/FX_Rate, "")</f>
        <v>0</v>
      </c>
      <c r="AG204" s="63">
        <f>IFERROR(SUM(TblDetailBudget[[#This Row],[2023 Cost (LCU)]])/FX_Rate, "")</f>
        <v>0</v>
      </c>
      <c r="AH204" s="63">
        <f>IFERROR(SUM(TblDetailBudget[[#This Row],[2024 Cost (LCU)]])/FX_Rate, "")</f>
        <v>0</v>
      </c>
      <c r="AI204" s="63">
        <f>IFERROR(SUM(TblDetailBudget[[#This Row],[2025 Cost (LCU)]])/FX_Rate, "")</f>
        <v>0</v>
      </c>
      <c r="AJ204" s="125">
        <f>SUM(TblDetailBudget[[#This Row],[2021 Cost (USD)]:[2025 Cost (USD)]])</f>
        <v>0</v>
      </c>
      <c r="AK204" s="180"/>
    </row>
    <row r="205" spans="2:37" ht="12.75" customHeight="1">
      <c r="B205" s="122" t="s">
        <v>69</v>
      </c>
      <c r="C20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2.4.2</v>
      </c>
      <c r="D205" s="62">
        <f>IF(TblDetailBudget[[#This Row],[Level]]="", "", COUNTIFS($B$8:TblDetailBudget[[#This Row],[Level]], Lvl1Hdr))</f>
        <v>2</v>
      </c>
      <c r="E205" s="62">
        <f>IF(TblDetailBudget[[#This Row],[Level]]="", "", COUNTIFS($B$8:TblDetailBudget[[#This Row],[Level]], Lvl2Hdr, $D$8:TblDetailBudget[[#This Row],[Lvl 1 Header]], TblDetailBudget[[#This Row],[Lvl 1 Header]]))</f>
        <v>4</v>
      </c>
      <c r="F20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0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0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05" s="188" t="s">
        <v>1862</v>
      </c>
      <c r="J205" s="101"/>
      <c r="K205" s="88"/>
      <c r="L205" s="88"/>
      <c r="M205" s="62" t="str">
        <f>IF(TblDetailBudget[[#This Row],[Level]]=LvlBottomHdr, IFERROR(INDEX(TblUnitCost[Unit], MATCH(TblDetailBudget[[#This Row],[Row Title]], TblUnitCost[Resource], 0)), "Invalid Resource"), "")</f>
        <v/>
      </c>
      <c r="N205" s="125" t="str">
        <f>IF(TblDetailBudget[[#This Row],[Level]]=LvlBottomHdr, IFERROR(INDEX(TblUnitCost[LCU], MATCH(TblDetailBudget[[#This Row],[Row Title]], TblUnitCost[Resource], 0)), "Invalid Resource"), "")</f>
        <v/>
      </c>
      <c r="O205" s="128"/>
      <c r="P205" s="108"/>
      <c r="Q205" s="185"/>
      <c r="R205" s="129"/>
      <c r="S205" s="108"/>
      <c r="T205" s="108"/>
      <c r="U205" s="108"/>
      <c r="V205" s="108"/>
      <c r="W205" s="108"/>
      <c r="X205" s="125" t="str">
        <f>IF(TblDetailBudget[[#This Row],[Level]]=LvlBottomHdr, IF(SUM(TblDetailBudget[[#This Row],[2021 Quant]:[2025 Quant]])&gt;0, SUM(TblDetailBudget[[#This Row],[2021 Quant]:[2025 Quant]]), ""), "")</f>
        <v/>
      </c>
      <c r="Y20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0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0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0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0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05" s="140">
        <f>SUM(TblDetailBudget[[#This Row],[2021 Cost (LCU)]:[2025 Cost (LCU)]])</f>
        <v>0</v>
      </c>
      <c r="AE205" s="134">
        <f>IFERROR(SUM(TblDetailBudget[[#This Row],[2021 Cost (LCU)]])/FX_Rate, "")</f>
        <v>0</v>
      </c>
      <c r="AF205" s="63">
        <f>IFERROR(SUM(TblDetailBudget[[#This Row],[2022 Cost (LCU)]])/FX_Rate, "")</f>
        <v>0</v>
      </c>
      <c r="AG205" s="63">
        <f>IFERROR(SUM(TblDetailBudget[[#This Row],[2023 Cost (LCU)]])/FX_Rate, "")</f>
        <v>0</v>
      </c>
      <c r="AH205" s="63">
        <f>IFERROR(SUM(TblDetailBudget[[#This Row],[2024 Cost (LCU)]])/FX_Rate, "")</f>
        <v>0</v>
      </c>
      <c r="AI205" s="63">
        <f>IFERROR(SUM(TblDetailBudget[[#This Row],[2025 Cost (LCU)]])/FX_Rate, "")</f>
        <v>0</v>
      </c>
      <c r="AJ205" s="125">
        <f>SUM(TblDetailBudget[[#This Row],[2021 Cost (USD)]:[2025 Cost (USD)]])</f>
        <v>0</v>
      </c>
      <c r="AK205" s="180"/>
    </row>
    <row r="206" spans="2:37" ht="12.75" customHeight="1">
      <c r="B206" s="122" t="s">
        <v>70</v>
      </c>
      <c r="C20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2.4.2.1</v>
      </c>
      <c r="D206" s="62">
        <f>IF(TblDetailBudget[[#This Row],[Level]]="", "", COUNTIFS($B$8:TblDetailBudget[[#This Row],[Level]], Lvl1Hdr))</f>
        <v>2</v>
      </c>
      <c r="E206" s="62">
        <f>IF(TblDetailBudget[[#This Row],[Level]]="", "", COUNTIFS($B$8:TblDetailBudget[[#This Row],[Level]], Lvl2Hdr, $D$8:TblDetailBudget[[#This Row],[Lvl 1 Header]], TblDetailBudget[[#This Row],[Lvl 1 Header]]))</f>
        <v>4</v>
      </c>
      <c r="F20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0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0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06" s="101" t="s">
        <v>2513</v>
      </c>
      <c r="J206" s="101"/>
      <c r="K206" s="88"/>
      <c r="L206" s="88"/>
      <c r="M206" s="62" t="str">
        <f>IF(TblDetailBudget[[#This Row],[Level]]=LvlBottomHdr, IFERROR(INDEX(TblUnitCost[Unit], MATCH(TblDetailBudget[[#This Row],[Row Title]], TblUnitCost[Resource], 0)), "Invalid Resource"), "")</f>
        <v/>
      </c>
      <c r="N206" s="125" t="str">
        <f>IF(TblDetailBudget[[#This Row],[Level]]=LvlBottomHdr, IFERROR(INDEX(TblUnitCost[LCU], MATCH(TblDetailBudget[[#This Row],[Row Title]], TblUnitCost[Resource], 0)), "Invalid Resource"), "")</f>
        <v/>
      </c>
      <c r="O206" s="128"/>
      <c r="P206" s="108"/>
      <c r="Q206" s="185"/>
      <c r="R206" s="129"/>
      <c r="S206" s="108"/>
      <c r="T206" s="108"/>
      <c r="U206" s="108"/>
      <c r="V206" s="108"/>
      <c r="W206" s="108"/>
      <c r="X206" s="125" t="str">
        <f>IF(TblDetailBudget[[#This Row],[Level]]=LvlBottomHdr, IF(SUM(TblDetailBudget[[#This Row],[2021 Quant]:[2025 Quant]])&gt;0, SUM(TblDetailBudget[[#This Row],[2021 Quant]:[2025 Quant]]), ""), "")</f>
        <v/>
      </c>
      <c r="Y20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0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0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0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0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06" s="140">
        <f>SUM(TblDetailBudget[[#This Row],[2021 Cost (LCU)]:[2025 Cost (LCU)]])</f>
        <v>0</v>
      </c>
      <c r="AE206" s="134">
        <f>IFERROR(SUM(TblDetailBudget[[#This Row],[2021 Cost (LCU)]])/FX_Rate, "")</f>
        <v>0</v>
      </c>
      <c r="AF206" s="63">
        <f>IFERROR(SUM(TblDetailBudget[[#This Row],[2022 Cost (LCU)]])/FX_Rate, "")</f>
        <v>0</v>
      </c>
      <c r="AG206" s="63">
        <f>IFERROR(SUM(TblDetailBudget[[#This Row],[2023 Cost (LCU)]])/FX_Rate, "")</f>
        <v>0</v>
      </c>
      <c r="AH206" s="63">
        <f>IFERROR(SUM(TblDetailBudget[[#This Row],[2024 Cost (LCU)]])/FX_Rate, "")</f>
        <v>0</v>
      </c>
      <c r="AI206" s="63">
        <f>IFERROR(SUM(TblDetailBudget[[#This Row],[2025 Cost (LCU)]])/FX_Rate, "")</f>
        <v>0</v>
      </c>
      <c r="AJ206" s="125">
        <f>SUM(TblDetailBudget[[#This Row],[2021 Cost (USD)]:[2025 Cost (USD)]])</f>
        <v>0</v>
      </c>
      <c r="AK206" s="180"/>
    </row>
    <row r="207" spans="2:37" ht="12.75" customHeight="1">
      <c r="B207" s="122" t="s">
        <v>71</v>
      </c>
      <c r="C20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2.4.2.1.1</v>
      </c>
      <c r="D207" s="62">
        <f>IF(TblDetailBudget[[#This Row],[Level]]="", "", COUNTIFS($B$8:TblDetailBudget[[#This Row],[Level]], Lvl1Hdr))</f>
        <v>2</v>
      </c>
      <c r="E207" s="62">
        <f>IF(TblDetailBudget[[#This Row],[Level]]="", "", COUNTIFS($B$8:TblDetailBudget[[#This Row],[Level]], Lvl2Hdr, $D$8:TblDetailBudget[[#This Row],[Lvl 1 Header]], TblDetailBudget[[#This Row],[Lvl 1 Header]]))</f>
        <v>4</v>
      </c>
      <c r="F20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0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0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07" s="96" t="s">
        <v>2387</v>
      </c>
      <c r="J207" s="101"/>
      <c r="K207" s="88"/>
      <c r="L207" s="88"/>
      <c r="M207" s="62" t="str">
        <f>IF(TblDetailBudget[[#This Row],[Level]]=LvlBottomHdr, IFERROR(INDEX(TblUnitCost[Unit], MATCH(TblDetailBudget[[#This Row],[Row Title]], TblUnitCost[Resource], 0)), "Invalid Resource"), "")</f>
        <v>per AL</v>
      </c>
      <c r="N207" s="125">
        <f>IF(TblDetailBudget[[#This Row],[Level]]=LvlBottomHdr, IFERROR(INDEX(TblUnitCost[LCU], MATCH(TblDetailBudget[[#This Row],[Row Title]], TblUnitCost[Resource], 0)), "Invalid Resource"), "")</f>
        <v>1952</v>
      </c>
      <c r="O207" s="128"/>
      <c r="P207" s="108">
        <v>1</v>
      </c>
      <c r="Q207" s="185">
        <v>1</v>
      </c>
      <c r="R207" s="129">
        <v>1</v>
      </c>
      <c r="S207" s="108"/>
      <c r="T207" s="108"/>
      <c r="U207" s="108"/>
      <c r="V207" s="108"/>
      <c r="W207" s="108">
        <v>1</v>
      </c>
      <c r="X207" s="125">
        <f>IF(TblDetailBudget[[#This Row],[Level]]=LvlBottomHdr, IF(SUM(TblDetailBudget[[#This Row],[2021 Quant]:[2025 Quant]])&gt;0, SUM(TblDetailBudget[[#This Row],[2021 Quant]:[2025 Quant]]), ""), "")</f>
        <v>1</v>
      </c>
      <c r="Y20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0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0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0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0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07" s="140">
        <f>SUM(TblDetailBudget[[#This Row],[2021 Cost (LCU)]:[2025 Cost (LCU)]])</f>
        <v>0</v>
      </c>
      <c r="AE207" s="134">
        <f>IFERROR(SUM(TblDetailBudget[[#This Row],[2021 Cost (LCU)]])/FX_Rate, "")</f>
        <v>0</v>
      </c>
      <c r="AF207" s="63">
        <f>IFERROR(SUM(TblDetailBudget[[#This Row],[2022 Cost (LCU)]])/FX_Rate, "")</f>
        <v>0</v>
      </c>
      <c r="AG207" s="63">
        <f>IFERROR(SUM(TblDetailBudget[[#This Row],[2023 Cost (LCU)]])/FX_Rate, "")</f>
        <v>0</v>
      </c>
      <c r="AH207" s="63">
        <f>IFERROR(SUM(TblDetailBudget[[#This Row],[2024 Cost (LCU)]])/FX_Rate, "")</f>
        <v>0</v>
      </c>
      <c r="AI207" s="63">
        <f>IFERROR(SUM(TblDetailBudget[[#This Row],[2025 Cost (LCU)]])/FX_Rate, "")</f>
        <v>0</v>
      </c>
      <c r="AJ207" s="125">
        <f>SUM(TblDetailBudget[[#This Row],[2021 Cost (USD)]:[2025 Cost (USD)]])</f>
        <v>0</v>
      </c>
      <c r="AK207" s="180"/>
    </row>
    <row r="208" spans="2:37" ht="12.75" customHeight="1">
      <c r="B208" s="122" t="s">
        <v>70</v>
      </c>
      <c r="C20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2.4.2.2</v>
      </c>
      <c r="D208" s="62">
        <f>IF(TblDetailBudget[[#This Row],[Level]]="", "", COUNTIFS($B$8:TblDetailBudget[[#This Row],[Level]], Lvl1Hdr))</f>
        <v>2</v>
      </c>
      <c r="E208" s="62">
        <f>IF(TblDetailBudget[[#This Row],[Level]]="", "", COUNTIFS($B$8:TblDetailBudget[[#This Row],[Level]], Lvl2Hdr, $D$8:TblDetailBudget[[#This Row],[Lvl 1 Header]], TblDetailBudget[[#This Row],[Lvl 1 Header]]))</f>
        <v>4</v>
      </c>
      <c r="F20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0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0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08" s="101" t="s">
        <v>1863</v>
      </c>
      <c r="J208" s="101"/>
      <c r="K208" s="88"/>
      <c r="L208" s="88"/>
      <c r="M208" s="62" t="str">
        <f>IF(TblDetailBudget[[#This Row],[Level]]=LvlBottomHdr, IFERROR(INDEX(TblUnitCost[Unit], MATCH(TblDetailBudget[[#This Row],[Row Title]], TblUnitCost[Resource], 0)), "Invalid Resource"), "")</f>
        <v/>
      </c>
      <c r="N208" s="125" t="str">
        <f>IF(TblDetailBudget[[#This Row],[Level]]=LvlBottomHdr, IFERROR(INDEX(TblUnitCost[LCU], MATCH(TblDetailBudget[[#This Row],[Row Title]], TblUnitCost[Resource], 0)), "Invalid Resource"), "")</f>
        <v/>
      </c>
      <c r="O208" s="128"/>
      <c r="P208" s="108"/>
      <c r="Q208" s="185"/>
      <c r="R208" s="129"/>
      <c r="S208" s="108"/>
      <c r="T208" s="108"/>
      <c r="U208" s="108"/>
      <c r="V208" s="108"/>
      <c r="W208" s="108"/>
      <c r="X208" s="125" t="str">
        <f>IF(TblDetailBudget[[#This Row],[Level]]=LvlBottomHdr, IF(SUM(TblDetailBudget[[#This Row],[2021 Quant]:[2025 Quant]])&gt;0, SUM(TblDetailBudget[[#This Row],[2021 Quant]:[2025 Quant]]), ""), "")</f>
        <v/>
      </c>
      <c r="Y20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0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0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0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0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08" s="140">
        <f>SUM(TblDetailBudget[[#This Row],[2021 Cost (LCU)]:[2025 Cost (LCU)]])</f>
        <v>0</v>
      </c>
      <c r="AE208" s="134">
        <f>IFERROR(SUM(TblDetailBudget[[#This Row],[2021 Cost (LCU)]])/FX_Rate, "")</f>
        <v>0</v>
      </c>
      <c r="AF208" s="63">
        <f>IFERROR(SUM(TblDetailBudget[[#This Row],[2022 Cost (LCU)]])/FX_Rate, "")</f>
        <v>0</v>
      </c>
      <c r="AG208" s="63">
        <f>IFERROR(SUM(TblDetailBudget[[#This Row],[2023 Cost (LCU)]])/FX_Rate, "")</f>
        <v>0</v>
      </c>
      <c r="AH208" s="63">
        <f>IFERROR(SUM(TblDetailBudget[[#This Row],[2024 Cost (LCU)]])/FX_Rate, "")</f>
        <v>0</v>
      </c>
      <c r="AI208" s="63">
        <f>IFERROR(SUM(TblDetailBudget[[#This Row],[2025 Cost (LCU)]])/FX_Rate, "")</f>
        <v>0</v>
      </c>
      <c r="AJ208" s="125">
        <f>SUM(TblDetailBudget[[#This Row],[2021 Cost (USD)]:[2025 Cost (USD)]])</f>
        <v>0</v>
      </c>
      <c r="AK208" s="180"/>
    </row>
    <row r="209" spans="2:37" ht="12.75" customHeight="1">
      <c r="B209" s="122" t="s">
        <v>71</v>
      </c>
      <c r="C20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2.4.2.2.1</v>
      </c>
      <c r="D209" s="62">
        <f>IF(TblDetailBudget[[#This Row],[Level]]="", "", COUNTIFS($B$8:TblDetailBudget[[#This Row],[Level]], Lvl1Hdr))</f>
        <v>2</v>
      </c>
      <c r="E209" s="62">
        <f>IF(TblDetailBudget[[#This Row],[Level]]="", "", COUNTIFS($B$8:TblDetailBudget[[#This Row],[Level]], Lvl2Hdr, $D$8:TblDetailBudget[[#This Row],[Lvl 1 Header]], TblDetailBudget[[#This Row],[Lvl 1 Header]]))</f>
        <v>4</v>
      </c>
      <c r="F20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0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0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09" s="101" t="s">
        <v>113</v>
      </c>
      <c r="J209" s="101"/>
      <c r="K209" s="88"/>
      <c r="L209" s="88"/>
      <c r="M209" s="62" t="str">
        <f>IF(TblDetailBudget[[#This Row],[Level]]=LvlBottomHdr, IFERROR(INDEX(TblUnitCost[Unit], MATCH(TblDetailBudget[[#This Row],[Row Title]], TblUnitCost[Resource], 0)), "Invalid Resource"), "")</f>
        <v>Invalid Resource</v>
      </c>
      <c r="N209" s="125" t="str">
        <f>IF(TblDetailBudget[[#This Row],[Level]]=LvlBottomHdr, IFERROR(INDEX(TblUnitCost[LCU], MATCH(TblDetailBudget[[#This Row],[Row Title]], TblUnitCost[Resource], 0)), "Invalid Resource"), "")</f>
        <v>Invalid Resource</v>
      </c>
      <c r="O209" s="128"/>
      <c r="P209" s="108">
        <v>1</v>
      </c>
      <c r="Q209" s="185">
        <v>1</v>
      </c>
      <c r="R209" s="129">
        <v>1</v>
      </c>
      <c r="S209" s="108"/>
      <c r="T209" s="108"/>
      <c r="U209" s="108"/>
      <c r="V209" s="108"/>
      <c r="W209" s="108">
        <v>1</v>
      </c>
      <c r="X209" s="125">
        <f>IF(TblDetailBudget[[#This Row],[Level]]=LvlBottomHdr, IF(SUM(TblDetailBudget[[#This Row],[2021 Quant]:[2025 Quant]])&gt;0, SUM(TblDetailBudget[[#This Row],[2021 Quant]:[2025 Quant]]), ""), "")</f>
        <v>1</v>
      </c>
      <c r="Y20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0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0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0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0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09" s="140">
        <f>SUM(TblDetailBudget[[#This Row],[2021 Cost (LCU)]:[2025 Cost (LCU)]])</f>
        <v>0</v>
      </c>
      <c r="AE209" s="134">
        <f>IFERROR(SUM(TblDetailBudget[[#This Row],[2021 Cost (LCU)]])/FX_Rate, "")</f>
        <v>0</v>
      </c>
      <c r="AF209" s="63">
        <f>IFERROR(SUM(TblDetailBudget[[#This Row],[2022 Cost (LCU)]])/FX_Rate, "")</f>
        <v>0</v>
      </c>
      <c r="AG209" s="63">
        <f>IFERROR(SUM(TblDetailBudget[[#This Row],[2023 Cost (LCU)]])/FX_Rate, "")</f>
        <v>0</v>
      </c>
      <c r="AH209" s="63">
        <f>IFERROR(SUM(TblDetailBudget[[#This Row],[2024 Cost (LCU)]])/FX_Rate, "")</f>
        <v>0</v>
      </c>
      <c r="AI209" s="63">
        <f>IFERROR(SUM(TblDetailBudget[[#This Row],[2025 Cost (LCU)]])/FX_Rate, "")</f>
        <v>0</v>
      </c>
      <c r="AJ209" s="125">
        <f>SUM(TblDetailBudget[[#This Row],[2021 Cost (USD)]:[2025 Cost (USD)]])</f>
        <v>0</v>
      </c>
      <c r="AK209" s="180"/>
    </row>
    <row r="210" spans="2:37" ht="12.75" customHeight="1">
      <c r="B210" s="122" t="s">
        <v>69</v>
      </c>
      <c r="C21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2.4.3</v>
      </c>
      <c r="D210" s="62">
        <f>IF(TblDetailBudget[[#This Row],[Level]]="", "", COUNTIFS($B$8:TblDetailBudget[[#This Row],[Level]], Lvl1Hdr))</f>
        <v>2</v>
      </c>
      <c r="E210" s="62">
        <f>IF(TblDetailBudget[[#This Row],[Level]]="", "", COUNTIFS($B$8:TblDetailBudget[[#This Row],[Level]], Lvl2Hdr, $D$8:TblDetailBudget[[#This Row],[Lvl 1 Header]], TblDetailBudget[[#This Row],[Lvl 1 Header]]))</f>
        <v>4</v>
      </c>
      <c r="F21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21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1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10" s="188" t="s">
        <v>1864</v>
      </c>
      <c r="J210" s="101"/>
      <c r="K210" s="88"/>
      <c r="L210" s="88"/>
      <c r="M210" s="62" t="str">
        <f>IF(TblDetailBudget[[#This Row],[Level]]=LvlBottomHdr, IFERROR(INDEX(TblUnitCost[Unit], MATCH(TblDetailBudget[[#This Row],[Row Title]], TblUnitCost[Resource], 0)), "Invalid Resource"), "")</f>
        <v/>
      </c>
      <c r="N210" s="125" t="str">
        <f>IF(TblDetailBudget[[#This Row],[Level]]=LvlBottomHdr, IFERROR(INDEX(TblUnitCost[LCU], MATCH(TblDetailBudget[[#This Row],[Row Title]], TblUnitCost[Resource], 0)), "Invalid Resource"), "")</f>
        <v/>
      </c>
      <c r="O210" s="128"/>
      <c r="P210" s="108"/>
      <c r="Q210" s="185"/>
      <c r="R210" s="129"/>
      <c r="S210" s="108"/>
      <c r="T210" s="108"/>
      <c r="U210" s="108"/>
      <c r="V210" s="108"/>
      <c r="W210" s="108"/>
      <c r="X210" s="125" t="str">
        <f>IF(TblDetailBudget[[#This Row],[Level]]=LvlBottomHdr, IF(SUM(TblDetailBudget[[#This Row],[2021 Quant]:[2025 Quant]])&gt;0, SUM(TblDetailBudget[[#This Row],[2021 Quant]:[2025 Quant]]), ""), "")</f>
        <v/>
      </c>
      <c r="Y21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1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1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1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1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10" s="140">
        <f>SUM(TblDetailBudget[[#This Row],[2021 Cost (LCU)]:[2025 Cost (LCU)]])</f>
        <v>0</v>
      </c>
      <c r="AE210" s="134">
        <f>IFERROR(SUM(TblDetailBudget[[#This Row],[2021 Cost (LCU)]])/FX_Rate, "")</f>
        <v>0</v>
      </c>
      <c r="AF210" s="63">
        <f>IFERROR(SUM(TblDetailBudget[[#This Row],[2022 Cost (LCU)]])/FX_Rate, "")</f>
        <v>0</v>
      </c>
      <c r="AG210" s="63">
        <f>IFERROR(SUM(TblDetailBudget[[#This Row],[2023 Cost (LCU)]])/FX_Rate, "")</f>
        <v>0</v>
      </c>
      <c r="AH210" s="63">
        <f>IFERROR(SUM(TblDetailBudget[[#This Row],[2024 Cost (LCU)]])/FX_Rate, "")</f>
        <v>0</v>
      </c>
      <c r="AI210" s="63">
        <f>IFERROR(SUM(TblDetailBudget[[#This Row],[2025 Cost (LCU)]])/FX_Rate, "")</f>
        <v>0</v>
      </c>
      <c r="AJ210" s="125">
        <f>SUM(TblDetailBudget[[#This Row],[2021 Cost (USD)]:[2025 Cost (USD)]])</f>
        <v>0</v>
      </c>
      <c r="AK210" s="180"/>
    </row>
    <row r="211" spans="2:37" ht="12.75" customHeight="1">
      <c r="B211" s="122" t="s">
        <v>70</v>
      </c>
      <c r="C21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2.4.3.1</v>
      </c>
      <c r="D211" s="62">
        <f>IF(TblDetailBudget[[#This Row],[Level]]="", "", COUNTIFS($B$8:TblDetailBudget[[#This Row],[Level]], Lvl1Hdr))</f>
        <v>2</v>
      </c>
      <c r="E211" s="62">
        <f>IF(TblDetailBudget[[#This Row],[Level]]="", "", COUNTIFS($B$8:TblDetailBudget[[#This Row],[Level]], Lvl2Hdr, $D$8:TblDetailBudget[[#This Row],[Lvl 1 Header]], TblDetailBudget[[#This Row],[Lvl 1 Header]]))</f>
        <v>4</v>
      </c>
      <c r="F21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21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1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11" s="101" t="s">
        <v>1865</v>
      </c>
      <c r="J211" s="101"/>
      <c r="K211" s="88"/>
      <c r="L211" s="88"/>
      <c r="M211" s="62" t="str">
        <f>IF(TblDetailBudget[[#This Row],[Level]]=LvlBottomHdr, IFERROR(INDEX(TblUnitCost[Unit], MATCH(TblDetailBudget[[#This Row],[Row Title]], TblUnitCost[Resource], 0)), "Invalid Resource"), "")</f>
        <v/>
      </c>
      <c r="N211" s="125" t="str">
        <f>IF(TblDetailBudget[[#This Row],[Level]]=LvlBottomHdr, IFERROR(INDEX(TblUnitCost[LCU], MATCH(TblDetailBudget[[#This Row],[Row Title]], TblUnitCost[Resource], 0)), "Invalid Resource"), "")</f>
        <v/>
      </c>
      <c r="O211" s="128"/>
      <c r="P211" s="108"/>
      <c r="Q211" s="185"/>
      <c r="R211" s="129"/>
      <c r="S211" s="108"/>
      <c r="T211" s="108"/>
      <c r="U211" s="108"/>
      <c r="V211" s="108"/>
      <c r="W211" s="108"/>
      <c r="X211" s="125" t="str">
        <f>IF(TblDetailBudget[[#This Row],[Level]]=LvlBottomHdr, IF(SUM(TblDetailBudget[[#This Row],[2021 Quant]:[2025 Quant]])&gt;0, SUM(TblDetailBudget[[#This Row],[2021 Quant]:[2025 Quant]]), ""), "")</f>
        <v/>
      </c>
      <c r="Y211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1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1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1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1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11" s="140">
        <f>SUM(TblDetailBudget[[#This Row],[2021 Cost (LCU)]:[2025 Cost (LCU)]])</f>
        <v>0</v>
      </c>
      <c r="AE211" s="134">
        <f>IFERROR(SUM(TblDetailBudget[[#This Row],[2021 Cost (LCU)]])/FX_Rate, "")</f>
        <v>0</v>
      </c>
      <c r="AF211" s="63">
        <f>IFERROR(SUM(TblDetailBudget[[#This Row],[2022 Cost (LCU)]])/FX_Rate, "")</f>
        <v>0</v>
      </c>
      <c r="AG211" s="63">
        <f>IFERROR(SUM(TblDetailBudget[[#This Row],[2023 Cost (LCU)]])/FX_Rate, "")</f>
        <v>0</v>
      </c>
      <c r="AH211" s="63">
        <f>IFERROR(SUM(TblDetailBudget[[#This Row],[2024 Cost (LCU)]])/FX_Rate, "")</f>
        <v>0</v>
      </c>
      <c r="AI211" s="63">
        <f>IFERROR(SUM(TblDetailBudget[[#This Row],[2025 Cost (LCU)]])/FX_Rate, "")</f>
        <v>0</v>
      </c>
      <c r="AJ211" s="125">
        <f>SUM(TblDetailBudget[[#This Row],[2021 Cost (USD)]:[2025 Cost (USD)]])</f>
        <v>0</v>
      </c>
      <c r="AK211" s="180"/>
    </row>
    <row r="212" spans="2:37" ht="12.75" customHeight="1">
      <c r="B212" s="122" t="s">
        <v>71</v>
      </c>
      <c r="C21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2.4.3.1.1</v>
      </c>
      <c r="D212" s="62">
        <f>IF(TblDetailBudget[[#This Row],[Level]]="", "", COUNTIFS($B$8:TblDetailBudget[[#This Row],[Level]], Lvl1Hdr))</f>
        <v>2</v>
      </c>
      <c r="E212" s="62">
        <f>IF(TblDetailBudget[[#This Row],[Level]]="", "", COUNTIFS($B$8:TblDetailBudget[[#This Row],[Level]], Lvl2Hdr, $D$8:TblDetailBudget[[#This Row],[Lvl 1 Header]], TblDetailBudget[[#This Row],[Lvl 1 Header]]))</f>
        <v>4</v>
      </c>
      <c r="F21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21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1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12" s="96" t="s">
        <v>2514</v>
      </c>
      <c r="J212" s="101"/>
      <c r="K212" s="88"/>
      <c r="L212" s="88"/>
      <c r="M212" s="62" t="str">
        <f>IF(TblDetailBudget[[#This Row],[Level]]=LvlBottomHdr, IFERROR(INDEX(TblUnitCost[Unit], MATCH(TblDetailBudget[[#This Row],[Row Title]], TblUnitCost[Resource], 0)), "Invalid Resource"), "")</f>
        <v>Invalid Resource</v>
      </c>
      <c r="N212" s="125" t="str">
        <f>IF(TblDetailBudget[[#This Row],[Level]]=LvlBottomHdr, IFERROR(INDEX(TblUnitCost[LCU], MATCH(TblDetailBudget[[#This Row],[Row Title]], TblUnitCost[Resource], 0)), "Invalid Resource"), "")</f>
        <v>Invalid Resource</v>
      </c>
      <c r="O212" s="128"/>
      <c r="P212" s="108">
        <v>1</v>
      </c>
      <c r="Q212" s="185">
        <v>1</v>
      </c>
      <c r="R212" s="129">
        <v>1</v>
      </c>
      <c r="S212" s="108"/>
      <c r="T212" s="108"/>
      <c r="U212" s="108"/>
      <c r="V212" s="108"/>
      <c r="W212" s="108">
        <v>1</v>
      </c>
      <c r="X212" s="125">
        <f>IF(TblDetailBudget[[#This Row],[Level]]=LvlBottomHdr, IF(SUM(TblDetailBudget[[#This Row],[2021 Quant]:[2025 Quant]])&gt;0, SUM(TblDetailBudget[[#This Row],[2021 Quant]:[2025 Quant]]), ""), "")</f>
        <v>1</v>
      </c>
      <c r="Y212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1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1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1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1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12" s="140">
        <f>SUM(TblDetailBudget[[#This Row],[2021 Cost (LCU)]:[2025 Cost (LCU)]])</f>
        <v>0</v>
      </c>
      <c r="AE212" s="134">
        <f>IFERROR(SUM(TblDetailBudget[[#This Row],[2021 Cost (LCU)]])/FX_Rate, "")</f>
        <v>0</v>
      </c>
      <c r="AF212" s="63">
        <f>IFERROR(SUM(TblDetailBudget[[#This Row],[2022 Cost (LCU)]])/FX_Rate, "")</f>
        <v>0</v>
      </c>
      <c r="AG212" s="63">
        <f>IFERROR(SUM(TblDetailBudget[[#This Row],[2023 Cost (LCU)]])/FX_Rate, "")</f>
        <v>0</v>
      </c>
      <c r="AH212" s="63">
        <f>IFERROR(SUM(TblDetailBudget[[#This Row],[2024 Cost (LCU)]])/FX_Rate, "")</f>
        <v>0</v>
      </c>
      <c r="AI212" s="63">
        <f>IFERROR(SUM(TblDetailBudget[[#This Row],[2025 Cost (LCU)]])/FX_Rate, "")</f>
        <v>0</v>
      </c>
      <c r="AJ212" s="125">
        <f>SUM(TblDetailBudget[[#This Row],[2021 Cost (USD)]:[2025 Cost (USD)]])</f>
        <v>0</v>
      </c>
      <c r="AK212" s="180"/>
    </row>
    <row r="213" spans="2:37" ht="12.75" customHeight="1">
      <c r="B213" s="122" t="s">
        <v>70</v>
      </c>
      <c r="C21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2.4.3.2</v>
      </c>
      <c r="D213" s="62">
        <f>IF(TblDetailBudget[[#This Row],[Level]]="", "", COUNTIFS($B$8:TblDetailBudget[[#This Row],[Level]], Lvl1Hdr))</f>
        <v>2</v>
      </c>
      <c r="E213" s="62">
        <f>IF(TblDetailBudget[[#This Row],[Level]]="", "", COUNTIFS($B$8:TblDetailBudget[[#This Row],[Level]], Lvl2Hdr, $D$8:TblDetailBudget[[#This Row],[Lvl 1 Header]], TblDetailBudget[[#This Row],[Lvl 1 Header]]))</f>
        <v>4</v>
      </c>
      <c r="F21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21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1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13" s="101" t="s">
        <v>1866</v>
      </c>
      <c r="J213" s="101"/>
      <c r="K213" s="88"/>
      <c r="L213" s="88"/>
      <c r="M213" s="62" t="str">
        <f>IF(TblDetailBudget[[#This Row],[Level]]=LvlBottomHdr, IFERROR(INDEX(TblUnitCost[Unit], MATCH(TblDetailBudget[[#This Row],[Row Title]], TblUnitCost[Resource], 0)), "Invalid Resource"), "")</f>
        <v/>
      </c>
      <c r="N213" s="125" t="str">
        <f>IF(TblDetailBudget[[#This Row],[Level]]=LvlBottomHdr, IFERROR(INDEX(TblUnitCost[LCU], MATCH(TblDetailBudget[[#This Row],[Row Title]], TblUnitCost[Resource], 0)), "Invalid Resource"), "")</f>
        <v/>
      </c>
      <c r="O213" s="128"/>
      <c r="P213" s="108"/>
      <c r="Q213" s="185"/>
      <c r="R213" s="129"/>
      <c r="S213" s="108"/>
      <c r="T213" s="108"/>
      <c r="U213" s="108"/>
      <c r="V213" s="108"/>
      <c r="W213" s="108"/>
      <c r="X213" s="125" t="str">
        <f>IF(TblDetailBudget[[#This Row],[Level]]=LvlBottomHdr, IF(SUM(TblDetailBudget[[#This Row],[2021 Quant]:[2025 Quant]])&gt;0, SUM(TblDetailBudget[[#This Row],[2021 Quant]:[2025 Quant]]), ""), "")</f>
        <v/>
      </c>
      <c r="Y213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1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1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1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1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13" s="140">
        <f>SUM(TblDetailBudget[[#This Row],[2021 Cost (LCU)]:[2025 Cost (LCU)]])</f>
        <v>0</v>
      </c>
      <c r="AE213" s="134">
        <f>IFERROR(SUM(TblDetailBudget[[#This Row],[2021 Cost (LCU)]])/FX_Rate, "")</f>
        <v>0</v>
      </c>
      <c r="AF213" s="63">
        <f>IFERROR(SUM(TblDetailBudget[[#This Row],[2022 Cost (LCU)]])/FX_Rate, "")</f>
        <v>0</v>
      </c>
      <c r="AG213" s="63">
        <f>IFERROR(SUM(TblDetailBudget[[#This Row],[2023 Cost (LCU)]])/FX_Rate, "")</f>
        <v>0</v>
      </c>
      <c r="AH213" s="63">
        <f>IFERROR(SUM(TblDetailBudget[[#This Row],[2024 Cost (LCU)]])/FX_Rate, "")</f>
        <v>0</v>
      </c>
      <c r="AI213" s="63">
        <f>IFERROR(SUM(TblDetailBudget[[#This Row],[2025 Cost (LCU)]])/FX_Rate, "")</f>
        <v>0</v>
      </c>
      <c r="AJ213" s="125">
        <f>SUM(TblDetailBudget[[#This Row],[2021 Cost (USD)]:[2025 Cost (USD)]])</f>
        <v>0</v>
      </c>
      <c r="AK213" s="180"/>
    </row>
    <row r="214" spans="2:37" ht="12.75" customHeight="1">
      <c r="B214" s="122" t="s">
        <v>71</v>
      </c>
      <c r="C21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2.4.3.2.1</v>
      </c>
      <c r="D214" s="62">
        <f>IF(TblDetailBudget[[#This Row],[Level]]="", "", COUNTIFS($B$8:TblDetailBudget[[#This Row],[Level]], Lvl1Hdr))</f>
        <v>2</v>
      </c>
      <c r="E214" s="62">
        <f>IF(TblDetailBudget[[#This Row],[Level]]="", "", COUNTIFS($B$8:TblDetailBudget[[#This Row],[Level]], Lvl2Hdr, $D$8:TblDetailBudget[[#This Row],[Lvl 1 Header]], TblDetailBudget[[#This Row],[Lvl 1 Header]]))</f>
        <v>4</v>
      </c>
      <c r="F21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21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1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14" s="101" t="s">
        <v>114</v>
      </c>
      <c r="J214" s="101"/>
      <c r="K214" s="88"/>
      <c r="L214" s="88"/>
      <c r="M214" s="62" t="str">
        <f>IF(TblDetailBudget[[#This Row],[Level]]=LvlBottomHdr, IFERROR(INDEX(TblUnitCost[Unit], MATCH(TblDetailBudget[[#This Row],[Row Title]], TblUnitCost[Resource], 0)), "Invalid Resource"), "")</f>
        <v>Invalid Resource</v>
      </c>
      <c r="N214" s="125" t="str">
        <f>IF(TblDetailBudget[[#This Row],[Level]]=LvlBottomHdr, IFERROR(INDEX(TblUnitCost[LCU], MATCH(TblDetailBudget[[#This Row],[Row Title]], TblUnitCost[Resource], 0)), "Invalid Resource"), "")</f>
        <v>Invalid Resource</v>
      </c>
      <c r="O214" s="128"/>
      <c r="P214" s="108">
        <v>1</v>
      </c>
      <c r="Q214" s="185">
        <v>1</v>
      </c>
      <c r="R214" s="129">
        <v>1</v>
      </c>
      <c r="S214" s="108"/>
      <c r="T214" s="108"/>
      <c r="U214" s="108"/>
      <c r="V214" s="108"/>
      <c r="W214" s="108">
        <v>1</v>
      </c>
      <c r="X214" s="125">
        <f>IF(TblDetailBudget[[#This Row],[Level]]=LvlBottomHdr, IF(SUM(TblDetailBudget[[#This Row],[2021 Quant]:[2025 Quant]])&gt;0, SUM(TblDetailBudget[[#This Row],[2021 Quant]:[2025 Quant]]), ""), "")</f>
        <v>1</v>
      </c>
      <c r="Y21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1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1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1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1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14" s="140">
        <f>SUM(TblDetailBudget[[#This Row],[2021 Cost (LCU)]:[2025 Cost (LCU)]])</f>
        <v>0</v>
      </c>
      <c r="AE214" s="134">
        <f>IFERROR(SUM(TblDetailBudget[[#This Row],[2021 Cost (LCU)]])/FX_Rate, "")</f>
        <v>0</v>
      </c>
      <c r="AF214" s="63">
        <f>IFERROR(SUM(TblDetailBudget[[#This Row],[2022 Cost (LCU)]])/FX_Rate, "")</f>
        <v>0</v>
      </c>
      <c r="AG214" s="63">
        <f>IFERROR(SUM(TblDetailBudget[[#This Row],[2023 Cost (LCU)]])/FX_Rate, "")</f>
        <v>0</v>
      </c>
      <c r="AH214" s="63">
        <f>IFERROR(SUM(TblDetailBudget[[#This Row],[2024 Cost (LCU)]])/FX_Rate, "")</f>
        <v>0</v>
      </c>
      <c r="AI214" s="63">
        <f>IFERROR(SUM(TblDetailBudget[[#This Row],[2025 Cost (LCU)]])/FX_Rate, "")</f>
        <v>0</v>
      </c>
      <c r="AJ214" s="125">
        <f>SUM(TblDetailBudget[[#This Row],[2021 Cost (USD)]:[2025 Cost (USD)]])</f>
        <v>0</v>
      </c>
      <c r="AK214" s="180"/>
    </row>
    <row r="215" spans="2:37" ht="12.75" customHeight="1">
      <c r="B215" s="122" t="s">
        <v>69</v>
      </c>
      <c r="C21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2.4.4</v>
      </c>
      <c r="D215" s="62">
        <f>IF(TblDetailBudget[[#This Row],[Level]]="", "", COUNTIFS($B$8:TblDetailBudget[[#This Row],[Level]], Lvl1Hdr))</f>
        <v>2</v>
      </c>
      <c r="E215" s="62">
        <f>IF(TblDetailBudget[[#This Row],[Level]]="", "", COUNTIFS($B$8:TblDetailBudget[[#This Row],[Level]], Lvl2Hdr, $D$8:TblDetailBudget[[#This Row],[Lvl 1 Header]], TblDetailBudget[[#This Row],[Lvl 1 Header]]))</f>
        <v>4</v>
      </c>
      <c r="F21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4</v>
      </c>
      <c r="G21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1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15" s="188" t="s">
        <v>1867</v>
      </c>
      <c r="J215" s="101"/>
      <c r="K215" s="88"/>
      <c r="L215" s="88"/>
      <c r="M215" s="62" t="str">
        <f>IF(TblDetailBudget[[#This Row],[Level]]=LvlBottomHdr, IFERROR(INDEX(TblUnitCost[Unit], MATCH(TblDetailBudget[[#This Row],[Row Title]], TblUnitCost[Resource], 0)), "Invalid Resource"), "")</f>
        <v/>
      </c>
      <c r="N215" s="125" t="str">
        <f>IF(TblDetailBudget[[#This Row],[Level]]=LvlBottomHdr, IFERROR(INDEX(TblUnitCost[LCU], MATCH(TblDetailBudget[[#This Row],[Row Title]], TblUnitCost[Resource], 0)), "Invalid Resource"), "")</f>
        <v/>
      </c>
      <c r="O215" s="128"/>
      <c r="P215" s="108"/>
      <c r="Q215" s="185"/>
      <c r="R215" s="129"/>
      <c r="S215" s="108"/>
      <c r="T215" s="108"/>
      <c r="U215" s="108"/>
      <c r="V215" s="108"/>
      <c r="W215" s="108"/>
      <c r="X215" s="125" t="str">
        <f>IF(TblDetailBudget[[#This Row],[Level]]=LvlBottomHdr, IF(SUM(TblDetailBudget[[#This Row],[2021 Quant]:[2025 Quant]])&gt;0, SUM(TblDetailBudget[[#This Row],[2021 Quant]:[2025 Quant]]), ""), "")</f>
        <v/>
      </c>
      <c r="Y21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1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1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1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1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15" s="140">
        <f>SUM(TblDetailBudget[[#This Row],[2021 Cost (LCU)]:[2025 Cost (LCU)]])</f>
        <v>0</v>
      </c>
      <c r="AE215" s="134">
        <f>IFERROR(SUM(TblDetailBudget[[#This Row],[2021 Cost (LCU)]])/FX_Rate, "")</f>
        <v>0</v>
      </c>
      <c r="AF215" s="63">
        <f>IFERROR(SUM(TblDetailBudget[[#This Row],[2022 Cost (LCU)]])/FX_Rate, "")</f>
        <v>0</v>
      </c>
      <c r="AG215" s="63">
        <f>IFERROR(SUM(TblDetailBudget[[#This Row],[2023 Cost (LCU)]])/FX_Rate, "")</f>
        <v>0</v>
      </c>
      <c r="AH215" s="63">
        <f>IFERROR(SUM(TblDetailBudget[[#This Row],[2024 Cost (LCU)]])/FX_Rate, "")</f>
        <v>0</v>
      </c>
      <c r="AI215" s="63">
        <f>IFERROR(SUM(TblDetailBudget[[#This Row],[2025 Cost (LCU)]])/FX_Rate, "")</f>
        <v>0</v>
      </c>
      <c r="AJ215" s="125">
        <f>SUM(TblDetailBudget[[#This Row],[2021 Cost (USD)]:[2025 Cost (USD)]])</f>
        <v>0</v>
      </c>
      <c r="AK215" s="180"/>
    </row>
    <row r="216" spans="2:37" ht="12.75" customHeight="1">
      <c r="B216" s="122" t="s">
        <v>70</v>
      </c>
      <c r="C21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2.4.4.1</v>
      </c>
      <c r="D216" s="62">
        <f>IF(TblDetailBudget[[#This Row],[Level]]="", "", COUNTIFS($B$8:TblDetailBudget[[#This Row],[Level]], Lvl1Hdr))</f>
        <v>2</v>
      </c>
      <c r="E216" s="62">
        <f>IF(TblDetailBudget[[#This Row],[Level]]="", "", COUNTIFS($B$8:TblDetailBudget[[#This Row],[Level]], Lvl2Hdr, $D$8:TblDetailBudget[[#This Row],[Lvl 1 Header]], TblDetailBudget[[#This Row],[Lvl 1 Header]]))</f>
        <v>4</v>
      </c>
      <c r="F21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4</v>
      </c>
      <c r="G21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1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16" s="101" t="s">
        <v>2517</v>
      </c>
      <c r="J216" s="101"/>
      <c r="K216" s="88"/>
      <c r="L216" s="88"/>
      <c r="M216" s="62" t="str">
        <f>IF(TblDetailBudget[[#This Row],[Level]]=LvlBottomHdr, IFERROR(INDEX(TblUnitCost[Unit], MATCH(TblDetailBudget[[#This Row],[Row Title]], TblUnitCost[Resource], 0)), "Invalid Resource"), "")</f>
        <v/>
      </c>
      <c r="N216" s="125" t="str">
        <f>IF(TblDetailBudget[[#This Row],[Level]]=LvlBottomHdr, IFERROR(INDEX(TblUnitCost[LCU], MATCH(TblDetailBudget[[#This Row],[Row Title]], TblUnitCost[Resource], 0)), "Invalid Resource"), "")</f>
        <v/>
      </c>
      <c r="O216" s="128"/>
      <c r="P216" s="108"/>
      <c r="Q216" s="185"/>
      <c r="R216" s="129"/>
      <c r="S216" s="108"/>
      <c r="T216" s="108"/>
      <c r="U216" s="108"/>
      <c r="V216" s="108"/>
      <c r="W216" s="108"/>
      <c r="X216" s="125" t="str">
        <f>IF(TblDetailBudget[[#This Row],[Level]]=LvlBottomHdr, IF(SUM(TblDetailBudget[[#This Row],[2021 Quant]:[2025 Quant]])&gt;0, SUM(TblDetailBudget[[#This Row],[2021 Quant]:[2025 Quant]]), ""), "")</f>
        <v/>
      </c>
      <c r="Y21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1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1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1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1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16" s="140">
        <f>SUM(TblDetailBudget[[#This Row],[2021 Cost (LCU)]:[2025 Cost (LCU)]])</f>
        <v>0</v>
      </c>
      <c r="AE216" s="134">
        <f>IFERROR(SUM(TblDetailBudget[[#This Row],[2021 Cost (LCU)]])/FX_Rate, "")</f>
        <v>0</v>
      </c>
      <c r="AF216" s="63">
        <f>IFERROR(SUM(TblDetailBudget[[#This Row],[2022 Cost (LCU)]])/FX_Rate, "")</f>
        <v>0</v>
      </c>
      <c r="AG216" s="63">
        <f>IFERROR(SUM(TblDetailBudget[[#This Row],[2023 Cost (LCU)]])/FX_Rate, "")</f>
        <v>0</v>
      </c>
      <c r="AH216" s="63">
        <f>IFERROR(SUM(TblDetailBudget[[#This Row],[2024 Cost (LCU)]])/FX_Rate, "")</f>
        <v>0</v>
      </c>
      <c r="AI216" s="63">
        <f>IFERROR(SUM(TblDetailBudget[[#This Row],[2025 Cost (LCU)]])/FX_Rate, "")</f>
        <v>0</v>
      </c>
      <c r="AJ216" s="125">
        <f>SUM(TblDetailBudget[[#This Row],[2021 Cost (USD)]:[2025 Cost (USD)]])</f>
        <v>0</v>
      </c>
      <c r="AK216" s="180"/>
    </row>
    <row r="217" spans="2:37" ht="12.75" customHeight="1">
      <c r="B217" s="122" t="s">
        <v>71</v>
      </c>
      <c r="C21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2.4.4.1.1</v>
      </c>
      <c r="D217" s="62">
        <f>IF(TblDetailBudget[[#This Row],[Level]]="", "", COUNTIFS($B$8:TblDetailBudget[[#This Row],[Level]], Lvl1Hdr))</f>
        <v>2</v>
      </c>
      <c r="E217" s="62">
        <f>IF(TblDetailBudget[[#This Row],[Level]]="", "", COUNTIFS($B$8:TblDetailBudget[[#This Row],[Level]], Lvl2Hdr, $D$8:TblDetailBudget[[#This Row],[Lvl 1 Header]], TblDetailBudget[[#This Row],[Lvl 1 Header]]))</f>
        <v>4</v>
      </c>
      <c r="F21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4</v>
      </c>
      <c r="G21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1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17" s="96" t="s">
        <v>2515</v>
      </c>
      <c r="J217" s="101"/>
      <c r="K217" s="88"/>
      <c r="L217" s="88"/>
      <c r="M217" s="62" t="str">
        <f>IF(TblDetailBudget[[#This Row],[Level]]=LvlBottomHdr, IFERROR(INDEX(TblUnitCost[Unit], MATCH(TblDetailBudget[[#This Row],[Row Title]], TblUnitCost[Resource], 0)), "Invalid Resource"), "")</f>
        <v>per RAS</v>
      </c>
      <c r="N217" s="125">
        <f>IF(TblDetailBudget[[#This Row],[Level]]=LvlBottomHdr, IFERROR(INDEX(TblUnitCost[LCU], MATCH(TblDetailBudget[[#This Row],[Row Title]], TblUnitCost[Resource], 0)), "Invalid Resource"), "")</f>
        <v>703</v>
      </c>
      <c r="O217" s="128"/>
      <c r="P217" s="108">
        <v>1</v>
      </c>
      <c r="Q217" s="185">
        <v>1</v>
      </c>
      <c r="R217" s="129">
        <v>1</v>
      </c>
      <c r="S217" s="108"/>
      <c r="T217" s="108"/>
      <c r="U217" s="108"/>
      <c r="V217" s="108"/>
      <c r="W217" s="108">
        <v>1</v>
      </c>
      <c r="X217" s="125">
        <f>IF(TblDetailBudget[[#This Row],[Level]]=LvlBottomHdr, IF(SUM(TblDetailBudget[[#This Row],[2021 Quant]:[2025 Quant]])&gt;0, SUM(TblDetailBudget[[#This Row],[2021 Quant]:[2025 Quant]]), ""), "")</f>
        <v>1</v>
      </c>
      <c r="Y21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1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1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1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1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17" s="140">
        <f>SUM(TblDetailBudget[[#This Row],[2021 Cost (LCU)]:[2025 Cost (LCU)]])</f>
        <v>0</v>
      </c>
      <c r="AE217" s="134">
        <f>IFERROR(SUM(TblDetailBudget[[#This Row],[2021 Cost (LCU)]])/FX_Rate, "")</f>
        <v>0</v>
      </c>
      <c r="AF217" s="63">
        <f>IFERROR(SUM(TblDetailBudget[[#This Row],[2022 Cost (LCU)]])/FX_Rate, "")</f>
        <v>0</v>
      </c>
      <c r="AG217" s="63">
        <f>IFERROR(SUM(TblDetailBudget[[#This Row],[2023 Cost (LCU)]])/FX_Rate, "")</f>
        <v>0</v>
      </c>
      <c r="AH217" s="63">
        <f>IFERROR(SUM(TblDetailBudget[[#This Row],[2024 Cost (LCU)]])/FX_Rate, "")</f>
        <v>0</v>
      </c>
      <c r="AI217" s="63">
        <f>IFERROR(SUM(TblDetailBudget[[#This Row],[2025 Cost (LCU)]])/FX_Rate, "")</f>
        <v>0</v>
      </c>
      <c r="AJ217" s="125">
        <f>SUM(TblDetailBudget[[#This Row],[2021 Cost (USD)]:[2025 Cost (USD)]])</f>
        <v>0</v>
      </c>
      <c r="AK217" s="180"/>
    </row>
    <row r="218" spans="2:37" ht="12.75" customHeight="1">
      <c r="B218" s="122" t="s">
        <v>70</v>
      </c>
      <c r="C21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2.4.4.2</v>
      </c>
      <c r="D218" s="62">
        <f>IF(TblDetailBudget[[#This Row],[Level]]="", "", COUNTIFS($B$8:TblDetailBudget[[#This Row],[Level]], Lvl1Hdr))</f>
        <v>2</v>
      </c>
      <c r="E218" s="62">
        <f>IF(TblDetailBudget[[#This Row],[Level]]="", "", COUNTIFS($B$8:TblDetailBudget[[#This Row],[Level]], Lvl2Hdr, $D$8:TblDetailBudget[[#This Row],[Lvl 1 Header]], TblDetailBudget[[#This Row],[Lvl 1 Header]]))</f>
        <v>4</v>
      </c>
      <c r="F21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4</v>
      </c>
      <c r="G21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1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18" s="101" t="s">
        <v>2518</v>
      </c>
      <c r="J218" s="101"/>
      <c r="K218" s="88"/>
      <c r="L218" s="88"/>
      <c r="M218" s="62" t="str">
        <f>IF(TblDetailBudget[[#This Row],[Level]]=LvlBottomHdr, IFERROR(INDEX(TblUnitCost[Unit], MATCH(TblDetailBudget[[#This Row],[Row Title]], TblUnitCost[Resource], 0)), "Invalid Resource"), "")</f>
        <v/>
      </c>
      <c r="N218" s="125" t="str">
        <f>IF(TblDetailBudget[[#This Row],[Level]]=LvlBottomHdr, IFERROR(INDEX(TblUnitCost[LCU], MATCH(TblDetailBudget[[#This Row],[Row Title]], TblUnitCost[Resource], 0)), "Invalid Resource"), "")</f>
        <v/>
      </c>
      <c r="O218" s="128"/>
      <c r="P218" s="108"/>
      <c r="Q218" s="185"/>
      <c r="R218" s="129"/>
      <c r="S218" s="108"/>
      <c r="T218" s="108"/>
      <c r="U218" s="108"/>
      <c r="V218" s="108"/>
      <c r="W218" s="108"/>
      <c r="X218" s="125" t="str">
        <f>IF(TblDetailBudget[[#This Row],[Level]]=LvlBottomHdr, IF(SUM(TblDetailBudget[[#This Row],[2021 Quant]:[2025 Quant]])&gt;0, SUM(TblDetailBudget[[#This Row],[2021 Quant]:[2025 Quant]]), ""), "")</f>
        <v/>
      </c>
      <c r="Y21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1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1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1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1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18" s="140">
        <f>SUM(TblDetailBudget[[#This Row],[2021 Cost (LCU)]:[2025 Cost (LCU)]])</f>
        <v>0</v>
      </c>
      <c r="AE218" s="134">
        <f>IFERROR(SUM(TblDetailBudget[[#This Row],[2021 Cost (LCU)]])/FX_Rate, "")</f>
        <v>0</v>
      </c>
      <c r="AF218" s="63">
        <f>IFERROR(SUM(TblDetailBudget[[#This Row],[2022 Cost (LCU)]])/FX_Rate, "")</f>
        <v>0</v>
      </c>
      <c r="AG218" s="63">
        <f>IFERROR(SUM(TblDetailBudget[[#This Row],[2023 Cost (LCU)]])/FX_Rate, "")</f>
        <v>0</v>
      </c>
      <c r="AH218" s="63">
        <f>IFERROR(SUM(TblDetailBudget[[#This Row],[2024 Cost (LCU)]])/FX_Rate, "")</f>
        <v>0</v>
      </c>
      <c r="AI218" s="63">
        <f>IFERROR(SUM(TblDetailBudget[[#This Row],[2025 Cost (LCU)]])/FX_Rate, "")</f>
        <v>0</v>
      </c>
      <c r="AJ218" s="125">
        <f>SUM(TblDetailBudget[[#This Row],[2021 Cost (USD)]:[2025 Cost (USD)]])</f>
        <v>0</v>
      </c>
      <c r="AK218" s="180"/>
    </row>
    <row r="219" spans="2:37" ht="12.75" customHeight="1">
      <c r="B219" s="122" t="s">
        <v>71</v>
      </c>
      <c r="C21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2.4.4.2.1</v>
      </c>
      <c r="D219" s="62">
        <f>IF(TblDetailBudget[[#This Row],[Level]]="", "", COUNTIFS($B$8:TblDetailBudget[[#This Row],[Level]], Lvl1Hdr))</f>
        <v>2</v>
      </c>
      <c r="E219" s="62">
        <f>IF(TblDetailBudget[[#This Row],[Level]]="", "", COUNTIFS($B$8:TblDetailBudget[[#This Row],[Level]], Lvl2Hdr, $D$8:TblDetailBudget[[#This Row],[Lvl 1 Header]], TblDetailBudget[[#This Row],[Lvl 1 Header]]))</f>
        <v>4</v>
      </c>
      <c r="F21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4</v>
      </c>
      <c r="G21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1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19" s="101" t="s">
        <v>115</v>
      </c>
      <c r="J219" s="101"/>
      <c r="K219" s="88"/>
      <c r="L219" s="88"/>
      <c r="M219" s="62" t="str">
        <f>IF(TblDetailBudget[[#This Row],[Level]]=LvlBottomHdr, IFERROR(INDEX(TblUnitCost[Unit], MATCH(TblDetailBudget[[#This Row],[Row Title]], TblUnitCost[Resource], 0)), "Invalid Resource"), "")</f>
        <v>Invalid Resource</v>
      </c>
      <c r="N219" s="125" t="str">
        <f>IF(TblDetailBudget[[#This Row],[Level]]=LvlBottomHdr, IFERROR(INDEX(TblUnitCost[LCU], MATCH(TblDetailBudget[[#This Row],[Row Title]], TblUnitCost[Resource], 0)), "Invalid Resource"), "")</f>
        <v>Invalid Resource</v>
      </c>
      <c r="O219" s="128"/>
      <c r="P219" s="108">
        <v>1</v>
      </c>
      <c r="Q219" s="185">
        <v>1</v>
      </c>
      <c r="R219" s="129">
        <v>1</v>
      </c>
      <c r="S219" s="108"/>
      <c r="T219" s="108"/>
      <c r="U219" s="108"/>
      <c r="V219" s="108"/>
      <c r="W219" s="108">
        <v>1</v>
      </c>
      <c r="X219" s="125">
        <f>IF(TblDetailBudget[[#This Row],[Level]]=LvlBottomHdr, IF(SUM(TblDetailBudget[[#This Row],[2021 Quant]:[2025 Quant]])&gt;0, SUM(TblDetailBudget[[#This Row],[2021 Quant]:[2025 Quant]]), ""), "")</f>
        <v>1</v>
      </c>
      <c r="Y21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1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1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1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1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19" s="140">
        <f>SUM(TblDetailBudget[[#This Row],[2021 Cost (LCU)]:[2025 Cost (LCU)]])</f>
        <v>0</v>
      </c>
      <c r="AE219" s="134">
        <f>IFERROR(SUM(TblDetailBudget[[#This Row],[2021 Cost (LCU)]])/FX_Rate, "")</f>
        <v>0</v>
      </c>
      <c r="AF219" s="63">
        <f>IFERROR(SUM(TblDetailBudget[[#This Row],[2022 Cost (LCU)]])/FX_Rate, "")</f>
        <v>0</v>
      </c>
      <c r="AG219" s="63">
        <f>IFERROR(SUM(TblDetailBudget[[#This Row],[2023 Cost (LCU)]])/FX_Rate, "")</f>
        <v>0</v>
      </c>
      <c r="AH219" s="63">
        <f>IFERROR(SUM(TblDetailBudget[[#This Row],[2024 Cost (LCU)]])/FX_Rate, "")</f>
        <v>0</v>
      </c>
      <c r="AI219" s="63">
        <f>IFERROR(SUM(TblDetailBudget[[#This Row],[2025 Cost (LCU)]])/FX_Rate, "")</f>
        <v>0</v>
      </c>
      <c r="AJ219" s="125">
        <f>SUM(TblDetailBudget[[#This Row],[2021 Cost (USD)]:[2025 Cost (USD)]])</f>
        <v>0</v>
      </c>
      <c r="AK219" s="180"/>
    </row>
    <row r="220" spans="2:37" ht="12.75" customHeight="1">
      <c r="B220" s="122" t="s">
        <v>67</v>
      </c>
      <c r="C22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</v>
      </c>
      <c r="D220" s="62">
        <f>IF(TblDetailBudget[[#This Row],[Level]]="", "", COUNTIFS($B$8:TblDetailBudget[[#This Row],[Level]], Lvl1Hdr))</f>
        <v>3</v>
      </c>
      <c r="E220" s="62">
        <f>IF(TblDetailBudget[[#This Row],[Level]]="", "", COUNTIFS($B$8:TblDetailBudget[[#This Row],[Level]], Lvl2Hdr, $D$8:TblDetailBudget[[#This Row],[Lvl 1 Header]], TblDetailBudget[[#This Row],[Lvl 1 Header]]))</f>
        <v>0</v>
      </c>
      <c r="F22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22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2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20" s="101" t="s">
        <v>160</v>
      </c>
      <c r="J220" s="101"/>
      <c r="K220" s="88"/>
      <c r="L220" s="88"/>
      <c r="M220" s="62" t="str">
        <f>IF(TblDetailBudget[[#This Row],[Level]]=LvlBottomHdr, IFERROR(INDEX(TblUnitCost[Unit], MATCH(TblDetailBudget[[#This Row],[Row Title]], TblUnitCost[Resource], 0)), "Invalid Resource"), "")</f>
        <v/>
      </c>
      <c r="N220" s="125" t="str">
        <f>IF(TblDetailBudget[[#This Row],[Level]]=LvlBottomHdr, IFERROR(INDEX(TblUnitCost[LCU], MATCH(TblDetailBudget[[#This Row],[Row Title]], TblUnitCost[Resource], 0)), "Invalid Resource"), "")</f>
        <v/>
      </c>
      <c r="O220" s="128"/>
      <c r="P220" s="108"/>
      <c r="Q220" s="185"/>
      <c r="R220" s="129"/>
      <c r="S220" s="108"/>
      <c r="T220" s="108"/>
      <c r="U220" s="108"/>
      <c r="V220" s="108"/>
      <c r="W220" s="108"/>
      <c r="X220" s="125" t="str">
        <f>IF(TblDetailBudget[[#This Row],[Level]]=LvlBottomHdr, IF(SUM(TblDetailBudget[[#This Row],[2021 Quant]:[2025 Quant]])&gt;0, SUM(TblDetailBudget[[#This Row],[2021 Quant]:[2025 Quant]]), ""), "")</f>
        <v/>
      </c>
      <c r="Y22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2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2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2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2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20" s="140">
        <f>SUM(TblDetailBudget[[#This Row],[2021 Cost (LCU)]:[2025 Cost (LCU)]])</f>
        <v>0</v>
      </c>
      <c r="AE220" s="134">
        <f>IFERROR(SUM(TblDetailBudget[[#This Row],[2021 Cost (LCU)]])/FX_Rate, "")</f>
        <v>0</v>
      </c>
      <c r="AF220" s="63">
        <f>IFERROR(SUM(TblDetailBudget[[#This Row],[2022 Cost (LCU)]])/FX_Rate, "")</f>
        <v>0</v>
      </c>
      <c r="AG220" s="63">
        <f>IFERROR(SUM(TblDetailBudget[[#This Row],[2023 Cost (LCU)]])/FX_Rate, "")</f>
        <v>0</v>
      </c>
      <c r="AH220" s="63">
        <f>IFERROR(SUM(TblDetailBudget[[#This Row],[2024 Cost (LCU)]])/FX_Rate, "")</f>
        <v>0</v>
      </c>
      <c r="AI220" s="63">
        <f>IFERROR(SUM(TblDetailBudget[[#This Row],[2025 Cost (LCU)]])/FX_Rate, "")</f>
        <v>0</v>
      </c>
      <c r="AJ220" s="125">
        <f>SUM(TblDetailBudget[[#This Row],[2021 Cost (USD)]:[2025 Cost (USD)]])</f>
        <v>0</v>
      </c>
      <c r="AK220" s="180"/>
    </row>
    <row r="221" spans="2:37" ht="12.75" customHeight="1">
      <c r="B221" s="122" t="s">
        <v>68</v>
      </c>
      <c r="C22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</v>
      </c>
      <c r="D221" s="62">
        <f>IF(TblDetailBudget[[#This Row],[Level]]="", "", COUNTIFS($B$8:TblDetailBudget[[#This Row],[Level]], Lvl1Hdr))</f>
        <v>3</v>
      </c>
      <c r="E221" s="62">
        <f>IF(TblDetailBudget[[#This Row],[Level]]="", "", COUNTIFS($B$8:TblDetailBudget[[#This Row],[Level]], Lvl2Hdr, $D$8:TblDetailBudget[[#This Row],[Lvl 1 Header]], TblDetailBudget[[#This Row],[Lvl 1 Header]]))</f>
        <v>1</v>
      </c>
      <c r="F22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22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2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21" s="101" t="s">
        <v>1868</v>
      </c>
      <c r="J221" s="101"/>
      <c r="K221" s="88"/>
      <c r="L221" s="88"/>
      <c r="M221" s="62" t="str">
        <f>IF(TblDetailBudget[[#This Row],[Level]]=LvlBottomHdr, IFERROR(INDEX(TblUnitCost[Unit], MATCH(TblDetailBudget[[#This Row],[Row Title]], TblUnitCost[Resource], 0)), "Invalid Resource"), "")</f>
        <v/>
      </c>
      <c r="N221" s="125" t="str">
        <f>IF(TblDetailBudget[[#This Row],[Level]]=LvlBottomHdr, IFERROR(INDEX(TblUnitCost[LCU], MATCH(TblDetailBudget[[#This Row],[Row Title]], TblUnitCost[Resource], 0)), "Invalid Resource"), "")</f>
        <v/>
      </c>
      <c r="O221" s="128"/>
      <c r="P221" s="108"/>
      <c r="Q221" s="185"/>
      <c r="R221" s="129"/>
      <c r="S221" s="108"/>
      <c r="T221" s="108"/>
      <c r="U221" s="108"/>
      <c r="V221" s="108"/>
      <c r="W221" s="108"/>
      <c r="X221" s="125" t="str">
        <f>IF(TblDetailBudget[[#This Row],[Level]]=LvlBottomHdr, IF(SUM(TblDetailBudget[[#This Row],[2021 Quant]:[2025 Quant]])&gt;0, SUM(TblDetailBudget[[#This Row],[2021 Quant]:[2025 Quant]]), ""), "")</f>
        <v/>
      </c>
      <c r="Y221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2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2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2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2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21" s="140">
        <f>SUM(TblDetailBudget[[#This Row],[2021 Cost (LCU)]:[2025 Cost (LCU)]])</f>
        <v>0</v>
      </c>
      <c r="AE221" s="134">
        <f>IFERROR(SUM(TblDetailBudget[[#This Row],[2021 Cost (LCU)]])/FX_Rate, "")</f>
        <v>0</v>
      </c>
      <c r="AF221" s="63">
        <f>IFERROR(SUM(TblDetailBudget[[#This Row],[2022 Cost (LCU)]])/FX_Rate, "")</f>
        <v>0</v>
      </c>
      <c r="AG221" s="63">
        <f>IFERROR(SUM(TblDetailBudget[[#This Row],[2023 Cost (LCU)]])/FX_Rate, "")</f>
        <v>0</v>
      </c>
      <c r="AH221" s="63">
        <f>IFERROR(SUM(TblDetailBudget[[#This Row],[2024 Cost (LCU)]])/FX_Rate, "")</f>
        <v>0</v>
      </c>
      <c r="AI221" s="63">
        <f>IFERROR(SUM(TblDetailBudget[[#This Row],[2025 Cost (LCU)]])/FX_Rate, "")</f>
        <v>0</v>
      </c>
      <c r="AJ221" s="125">
        <f>SUM(TblDetailBudget[[#This Row],[2021 Cost (USD)]:[2025 Cost (USD)]])</f>
        <v>0</v>
      </c>
      <c r="AK221" s="180"/>
    </row>
    <row r="222" spans="2:37" ht="12.75" customHeight="1">
      <c r="B222" s="122" t="s">
        <v>69</v>
      </c>
      <c r="C22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3.1.1</v>
      </c>
      <c r="D222" s="62">
        <f>IF(TblDetailBudget[[#This Row],[Level]]="", "", COUNTIFS($B$8:TblDetailBudget[[#This Row],[Level]], Lvl1Hdr))</f>
        <v>3</v>
      </c>
      <c r="E222" s="62">
        <f>IF(TblDetailBudget[[#This Row],[Level]]="", "", COUNTIFS($B$8:TblDetailBudget[[#This Row],[Level]], Lvl2Hdr, $D$8:TblDetailBudget[[#This Row],[Lvl 1 Header]], TblDetailBudget[[#This Row],[Lvl 1 Header]]))</f>
        <v>1</v>
      </c>
      <c r="F22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2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2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22" s="188" t="s">
        <v>1869</v>
      </c>
      <c r="J222" s="101"/>
      <c r="K222" s="88"/>
      <c r="L222" s="88"/>
      <c r="M222" s="62" t="str">
        <f>IF(TblDetailBudget[[#This Row],[Level]]=LvlBottomHdr, IFERROR(INDEX(TblUnitCost[Unit], MATCH(TblDetailBudget[[#This Row],[Row Title]], TblUnitCost[Resource], 0)), "Invalid Resource"), "")</f>
        <v/>
      </c>
      <c r="N222" s="125" t="str">
        <f>IF(TblDetailBudget[[#This Row],[Level]]=LvlBottomHdr, IFERROR(INDEX(TblUnitCost[LCU], MATCH(TblDetailBudget[[#This Row],[Row Title]], TblUnitCost[Resource], 0)), "Invalid Resource"), "")</f>
        <v/>
      </c>
      <c r="O222" s="128"/>
      <c r="P222" s="108"/>
      <c r="Q222" s="185"/>
      <c r="R222" s="129"/>
      <c r="S222" s="108"/>
      <c r="T222" s="108"/>
      <c r="U222" s="108"/>
      <c r="V222" s="108"/>
      <c r="W222" s="108"/>
      <c r="X222" s="125" t="str">
        <f>IF(TblDetailBudget[[#This Row],[Level]]=LvlBottomHdr, IF(SUM(TblDetailBudget[[#This Row],[2021 Quant]:[2025 Quant]])&gt;0, SUM(TblDetailBudget[[#This Row],[2021 Quant]:[2025 Quant]]), ""), "")</f>
        <v/>
      </c>
      <c r="Y22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2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2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2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2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22" s="140">
        <f>SUM(TblDetailBudget[[#This Row],[2021 Cost (LCU)]:[2025 Cost (LCU)]])</f>
        <v>0</v>
      </c>
      <c r="AE222" s="134">
        <f>IFERROR(SUM(TblDetailBudget[[#This Row],[2021 Cost (LCU)]])/FX_Rate, "")</f>
        <v>0</v>
      </c>
      <c r="AF222" s="63">
        <f>IFERROR(SUM(TblDetailBudget[[#This Row],[2022 Cost (LCU)]])/FX_Rate, "")</f>
        <v>0</v>
      </c>
      <c r="AG222" s="63">
        <f>IFERROR(SUM(TblDetailBudget[[#This Row],[2023 Cost (LCU)]])/FX_Rate, "")</f>
        <v>0</v>
      </c>
      <c r="AH222" s="63">
        <f>IFERROR(SUM(TblDetailBudget[[#This Row],[2024 Cost (LCU)]])/FX_Rate, "")</f>
        <v>0</v>
      </c>
      <c r="AI222" s="63">
        <f>IFERROR(SUM(TblDetailBudget[[#This Row],[2025 Cost (LCU)]])/FX_Rate, "")</f>
        <v>0</v>
      </c>
      <c r="AJ222" s="125">
        <f>SUM(TblDetailBudget[[#This Row],[2021 Cost (USD)]:[2025 Cost (USD)]])</f>
        <v>0</v>
      </c>
      <c r="AK222" s="180"/>
    </row>
    <row r="223" spans="2:37" ht="12.75" customHeight="1">
      <c r="B223" s="122" t="s">
        <v>70</v>
      </c>
      <c r="C22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3.1.1.1</v>
      </c>
      <c r="D223" s="62">
        <f>IF(TblDetailBudget[[#This Row],[Level]]="", "", COUNTIFS($B$8:TblDetailBudget[[#This Row],[Level]], Lvl1Hdr))</f>
        <v>3</v>
      </c>
      <c r="E223" s="62">
        <f>IF(TblDetailBudget[[#This Row],[Level]]="", "", COUNTIFS($B$8:TblDetailBudget[[#This Row],[Level]], Lvl2Hdr, $D$8:TblDetailBudget[[#This Row],[Lvl 1 Header]], TblDetailBudget[[#This Row],[Lvl 1 Header]]))</f>
        <v>1</v>
      </c>
      <c r="F22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2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2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23" s="101"/>
      <c r="J223" s="101"/>
      <c r="K223" s="88"/>
      <c r="L223" s="88"/>
      <c r="M223" s="62" t="str">
        <f>IF(TblDetailBudget[[#This Row],[Level]]=LvlBottomHdr, IFERROR(INDEX(TblUnitCost[Unit], MATCH(TblDetailBudget[[#This Row],[Row Title]], TblUnitCost[Resource], 0)), "Invalid Resource"), "")</f>
        <v/>
      </c>
      <c r="N223" s="125" t="str">
        <f>IF(TblDetailBudget[[#This Row],[Level]]=LvlBottomHdr, IFERROR(INDEX(TblUnitCost[LCU], MATCH(TblDetailBudget[[#This Row],[Row Title]], TblUnitCost[Resource], 0)), "Invalid Resource"), "")</f>
        <v/>
      </c>
      <c r="O223" s="128"/>
      <c r="P223" s="108"/>
      <c r="Q223" s="185"/>
      <c r="R223" s="129"/>
      <c r="S223" s="108"/>
      <c r="T223" s="108"/>
      <c r="U223" s="108"/>
      <c r="V223" s="108"/>
      <c r="W223" s="108"/>
      <c r="X223" s="125" t="str">
        <f>IF(TblDetailBudget[[#This Row],[Level]]=LvlBottomHdr, IF(SUM(TblDetailBudget[[#This Row],[2021 Quant]:[2025 Quant]])&gt;0, SUM(TblDetailBudget[[#This Row],[2021 Quant]:[2025 Quant]]), ""), "")</f>
        <v/>
      </c>
      <c r="Y223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2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2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2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2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23" s="140">
        <f>SUM(TblDetailBudget[[#This Row],[2021 Cost (LCU)]:[2025 Cost (LCU)]])</f>
        <v>0</v>
      </c>
      <c r="AE223" s="134">
        <f>IFERROR(SUM(TblDetailBudget[[#This Row],[2021 Cost (LCU)]])/FX_Rate, "")</f>
        <v>0</v>
      </c>
      <c r="AF223" s="63">
        <f>IFERROR(SUM(TblDetailBudget[[#This Row],[2022 Cost (LCU)]])/FX_Rate, "")</f>
        <v>0</v>
      </c>
      <c r="AG223" s="63">
        <f>IFERROR(SUM(TblDetailBudget[[#This Row],[2023 Cost (LCU)]])/FX_Rate, "")</f>
        <v>0</v>
      </c>
      <c r="AH223" s="63">
        <f>IFERROR(SUM(TblDetailBudget[[#This Row],[2024 Cost (LCU)]])/FX_Rate, "")</f>
        <v>0</v>
      </c>
      <c r="AI223" s="63">
        <f>IFERROR(SUM(TblDetailBudget[[#This Row],[2025 Cost (LCU)]])/FX_Rate, "")</f>
        <v>0</v>
      </c>
      <c r="AJ223" s="125">
        <f>SUM(TblDetailBudget[[#This Row],[2021 Cost (USD)]:[2025 Cost (USD)]])</f>
        <v>0</v>
      </c>
      <c r="AK223" s="180"/>
    </row>
    <row r="224" spans="2:37" ht="12.75" customHeight="1">
      <c r="B224" s="122" t="s">
        <v>71</v>
      </c>
      <c r="C22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3.1.1.1.1</v>
      </c>
      <c r="D224" s="62">
        <f>IF(TblDetailBudget[[#This Row],[Level]]="", "", COUNTIFS($B$8:TblDetailBudget[[#This Row],[Level]], Lvl1Hdr))</f>
        <v>3</v>
      </c>
      <c r="E224" s="62">
        <f>IF(TblDetailBudget[[#This Row],[Level]]="", "", COUNTIFS($B$8:TblDetailBudget[[#This Row],[Level]], Lvl2Hdr, $D$8:TblDetailBudget[[#This Row],[Lvl 1 Header]], TblDetailBudget[[#This Row],[Lvl 1 Header]]))</f>
        <v>1</v>
      </c>
      <c r="F22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2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2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24" s="101"/>
      <c r="J224" s="101"/>
      <c r="K224" s="88"/>
      <c r="L224" s="88"/>
      <c r="M224" s="62" t="str">
        <f>IF(TblDetailBudget[[#This Row],[Level]]=LvlBottomHdr, IFERROR(INDEX(TblUnitCost[Unit], MATCH(TblDetailBudget[[#This Row],[Row Title]], TblUnitCost[Resource], 0)), "Invalid Resource"), "")</f>
        <v>Invalid Resource</v>
      </c>
      <c r="N224" s="125" t="str">
        <f>IF(TblDetailBudget[[#This Row],[Level]]=LvlBottomHdr, IFERROR(INDEX(TblUnitCost[LCU], MATCH(TblDetailBudget[[#This Row],[Row Title]], TblUnitCost[Resource], 0)), "Invalid Resource"), "")</f>
        <v>Invalid Resource</v>
      </c>
      <c r="O224" s="128"/>
      <c r="P224" s="108"/>
      <c r="Q224" s="185"/>
      <c r="R224" s="129"/>
      <c r="S224" s="108"/>
      <c r="T224" s="108"/>
      <c r="U224" s="108"/>
      <c r="V224" s="108"/>
      <c r="W224" s="108"/>
      <c r="X224" s="125" t="str">
        <f>IF(TblDetailBudget[[#This Row],[Level]]=LvlBottomHdr, IF(SUM(TblDetailBudget[[#This Row],[2021 Quant]:[2025 Quant]])&gt;0, SUM(TblDetailBudget[[#This Row],[2021 Quant]:[2025 Quant]]), ""), "")</f>
        <v/>
      </c>
      <c r="Y22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2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2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2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2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24" s="140">
        <f>SUM(TblDetailBudget[[#This Row],[2021 Cost (LCU)]:[2025 Cost (LCU)]])</f>
        <v>0</v>
      </c>
      <c r="AE224" s="134">
        <f>IFERROR(SUM(TblDetailBudget[[#This Row],[2021 Cost (LCU)]])/FX_Rate, "")</f>
        <v>0</v>
      </c>
      <c r="AF224" s="63">
        <f>IFERROR(SUM(TblDetailBudget[[#This Row],[2022 Cost (LCU)]])/FX_Rate, "")</f>
        <v>0</v>
      </c>
      <c r="AG224" s="63">
        <f>IFERROR(SUM(TblDetailBudget[[#This Row],[2023 Cost (LCU)]])/FX_Rate, "")</f>
        <v>0</v>
      </c>
      <c r="AH224" s="63">
        <f>IFERROR(SUM(TblDetailBudget[[#This Row],[2024 Cost (LCU)]])/FX_Rate, "")</f>
        <v>0</v>
      </c>
      <c r="AI224" s="63">
        <f>IFERROR(SUM(TblDetailBudget[[#This Row],[2025 Cost (LCU)]])/FX_Rate, "")</f>
        <v>0</v>
      </c>
      <c r="AJ224" s="125">
        <f>SUM(TblDetailBudget[[#This Row],[2021 Cost (USD)]:[2025 Cost (USD)]])</f>
        <v>0</v>
      </c>
      <c r="AK224" s="180"/>
    </row>
    <row r="225" spans="2:37" ht="12.75" customHeight="1">
      <c r="B225" s="122" t="s">
        <v>69</v>
      </c>
      <c r="C22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3.1.2</v>
      </c>
      <c r="D225" s="62">
        <f>IF(TblDetailBudget[[#This Row],[Level]]="", "", COUNTIFS($B$8:TblDetailBudget[[#This Row],[Level]], Lvl1Hdr))</f>
        <v>3</v>
      </c>
      <c r="E225" s="62">
        <f>IF(TblDetailBudget[[#This Row],[Level]]="", "", COUNTIFS($B$8:TblDetailBudget[[#This Row],[Level]], Lvl2Hdr, $D$8:TblDetailBudget[[#This Row],[Lvl 1 Header]], TblDetailBudget[[#This Row],[Lvl 1 Header]]))</f>
        <v>1</v>
      </c>
      <c r="F22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2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2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25" s="188" t="s">
        <v>1870</v>
      </c>
      <c r="J225" s="101"/>
      <c r="K225" s="88"/>
      <c r="L225" s="88"/>
      <c r="M225" s="62" t="str">
        <f>IF(TblDetailBudget[[#This Row],[Level]]=LvlBottomHdr, IFERROR(INDEX(TblUnitCost[Unit], MATCH(TblDetailBudget[[#This Row],[Row Title]], TblUnitCost[Resource], 0)), "Invalid Resource"), "")</f>
        <v/>
      </c>
      <c r="N225" s="125" t="str">
        <f>IF(TblDetailBudget[[#This Row],[Level]]=LvlBottomHdr, IFERROR(INDEX(TblUnitCost[LCU], MATCH(TblDetailBudget[[#This Row],[Row Title]], TblUnitCost[Resource], 0)), "Invalid Resource"), "")</f>
        <v/>
      </c>
      <c r="O225" s="128"/>
      <c r="P225" s="108"/>
      <c r="Q225" s="185"/>
      <c r="R225" s="129"/>
      <c r="S225" s="108"/>
      <c r="T225" s="108"/>
      <c r="U225" s="108"/>
      <c r="V225" s="108"/>
      <c r="W225" s="108"/>
      <c r="X225" s="125" t="str">
        <f>IF(TblDetailBudget[[#This Row],[Level]]=LvlBottomHdr, IF(SUM(TblDetailBudget[[#This Row],[2021 Quant]:[2025 Quant]])&gt;0, SUM(TblDetailBudget[[#This Row],[2021 Quant]:[2025 Quant]]), ""), "")</f>
        <v/>
      </c>
      <c r="Y22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2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2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2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2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25" s="140">
        <f>SUM(TblDetailBudget[[#This Row],[2021 Cost (LCU)]:[2025 Cost (LCU)]])</f>
        <v>0</v>
      </c>
      <c r="AE225" s="134">
        <f>IFERROR(SUM(TblDetailBudget[[#This Row],[2021 Cost (LCU)]])/FX_Rate, "")</f>
        <v>0</v>
      </c>
      <c r="AF225" s="63">
        <f>IFERROR(SUM(TblDetailBudget[[#This Row],[2022 Cost (LCU)]])/FX_Rate, "")</f>
        <v>0</v>
      </c>
      <c r="AG225" s="63">
        <f>IFERROR(SUM(TblDetailBudget[[#This Row],[2023 Cost (LCU)]])/FX_Rate, "")</f>
        <v>0</v>
      </c>
      <c r="AH225" s="63">
        <f>IFERROR(SUM(TblDetailBudget[[#This Row],[2024 Cost (LCU)]])/FX_Rate, "")</f>
        <v>0</v>
      </c>
      <c r="AI225" s="63">
        <f>IFERROR(SUM(TblDetailBudget[[#This Row],[2025 Cost (LCU)]])/FX_Rate, "")</f>
        <v>0</v>
      </c>
      <c r="AJ225" s="125">
        <f>SUM(TblDetailBudget[[#This Row],[2021 Cost (USD)]:[2025 Cost (USD)]])</f>
        <v>0</v>
      </c>
      <c r="AK225" s="180"/>
    </row>
    <row r="226" spans="2:37" ht="12.75" customHeight="1">
      <c r="B226" s="122" t="s">
        <v>70</v>
      </c>
      <c r="C22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3.1.2.1</v>
      </c>
      <c r="D226" s="62">
        <f>IF(TblDetailBudget[[#This Row],[Level]]="", "", COUNTIFS($B$8:TblDetailBudget[[#This Row],[Level]], Lvl1Hdr))</f>
        <v>3</v>
      </c>
      <c r="E226" s="62">
        <f>IF(TblDetailBudget[[#This Row],[Level]]="", "", COUNTIFS($B$8:TblDetailBudget[[#This Row],[Level]], Lvl2Hdr, $D$8:TblDetailBudget[[#This Row],[Lvl 1 Header]], TblDetailBudget[[#This Row],[Lvl 1 Header]]))</f>
        <v>1</v>
      </c>
      <c r="F22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2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2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26" s="101" t="s">
        <v>1898</v>
      </c>
      <c r="J226" s="101"/>
      <c r="K226" s="88"/>
      <c r="L226" s="88"/>
      <c r="M226" s="62" t="str">
        <f>IF(TblDetailBudget[[#This Row],[Level]]=LvlBottomHdr, IFERROR(INDEX(TblUnitCost[Unit], MATCH(TblDetailBudget[[#This Row],[Row Title]], TblUnitCost[Resource], 0)), "Invalid Resource"), "")</f>
        <v/>
      </c>
      <c r="N226" s="125" t="str">
        <f>IF(TblDetailBudget[[#This Row],[Level]]=LvlBottomHdr, IFERROR(INDEX(TblUnitCost[LCU], MATCH(TblDetailBudget[[#This Row],[Row Title]], TblUnitCost[Resource], 0)), "Invalid Resource"), "")</f>
        <v/>
      </c>
      <c r="O226" s="128"/>
      <c r="P226" s="108"/>
      <c r="Q226" s="185"/>
      <c r="R226" s="129"/>
      <c r="S226" s="108"/>
      <c r="T226" s="108"/>
      <c r="U226" s="108"/>
      <c r="V226" s="108"/>
      <c r="W226" s="108"/>
      <c r="X226" s="125" t="str">
        <f>IF(TblDetailBudget[[#This Row],[Level]]=LvlBottomHdr, IF(SUM(TblDetailBudget[[#This Row],[2021 Quant]:[2025 Quant]])&gt;0, SUM(TblDetailBudget[[#This Row],[2021 Quant]:[2025 Quant]]), ""), "")</f>
        <v/>
      </c>
      <c r="Y22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2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2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2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2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26" s="140">
        <f>SUM(TblDetailBudget[[#This Row],[2021 Cost (LCU)]:[2025 Cost (LCU)]])</f>
        <v>0</v>
      </c>
      <c r="AE226" s="134">
        <f>IFERROR(SUM(TblDetailBudget[[#This Row],[2021 Cost (LCU)]])/FX_Rate, "")</f>
        <v>0</v>
      </c>
      <c r="AF226" s="63">
        <f>IFERROR(SUM(TblDetailBudget[[#This Row],[2022 Cost (LCU)]])/FX_Rate, "")</f>
        <v>0</v>
      </c>
      <c r="AG226" s="63">
        <f>IFERROR(SUM(TblDetailBudget[[#This Row],[2023 Cost (LCU)]])/FX_Rate, "")</f>
        <v>0</v>
      </c>
      <c r="AH226" s="63">
        <f>IFERROR(SUM(TblDetailBudget[[#This Row],[2024 Cost (LCU)]])/FX_Rate, "")</f>
        <v>0</v>
      </c>
      <c r="AI226" s="63">
        <f>IFERROR(SUM(TblDetailBudget[[#This Row],[2025 Cost (LCU)]])/FX_Rate, "")</f>
        <v>0</v>
      </c>
      <c r="AJ226" s="125">
        <f>SUM(TblDetailBudget[[#This Row],[2021 Cost (USD)]:[2025 Cost (USD)]])</f>
        <v>0</v>
      </c>
      <c r="AK226" s="180"/>
    </row>
    <row r="227" spans="2:37" ht="12.75" customHeight="1">
      <c r="B227" s="122" t="s">
        <v>71</v>
      </c>
      <c r="C22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3.1.2.1.1</v>
      </c>
      <c r="D227" s="62">
        <f>IF(TblDetailBudget[[#This Row],[Level]]="", "", COUNTIFS($B$8:TblDetailBudget[[#This Row],[Level]], Lvl1Hdr))</f>
        <v>3</v>
      </c>
      <c r="E227" s="62">
        <f>IF(TblDetailBudget[[#This Row],[Level]]="", "", COUNTIFS($B$8:TblDetailBudget[[#This Row],[Level]], Lvl2Hdr, $D$8:TblDetailBudget[[#This Row],[Lvl 1 Header]], TblDetailBudget[[#This Row],[Lvl 1 Header]]))</f>
        <v>1</v>
      </c>
      <c r="F22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2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2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27" s="101"/>
      <c r="J227" s="101"/>
      <c r="K227" s="88"/>
      <c r="L227" s="88"/>
      <c r="M227" s="62" t="str">
        <f>IF(TblDetailBudget[[#This Row],[Level]]=LvlBottomHdr, IFERROR(INDEX(TblUnitCost[Unit], MATCH(TblDetailBudget[[#This Row],[Row Title]], TblUnitCost[Resource], 0)), "Invalid Resource"), "")</f>
        <v>Invalid Resource</v>
      </c>
      <c r="N227" s="125" t="str">
        <f>IF(TblDetailBudget[[#This Row],[Level]]=LvlBottomHdr, IFERROR(INDEX(TblUnitCost[LCU], MATCH(TblDetailBudget[[#This Row],[Row Title]], TblUnitCost[Resource], 0)), "Invalid Resource"), "")</f>
        <v>Invalid Resource</v>
      </c>
      <c r="O227" s="128"/>
      <c r="P227" s="108"/>
      <c r="Q227" s="185"/>
      <c r="R227" s="129"/>
      <c r="S227" s="108"/>
      <c r="T227" s="108"/>
      <c r="U227" s="108"/>
      <c r="V227" s="108"/>
      <c r="W227" s="108"/>
      <c r="X227" s="125" t="str">
        <f>IF(TblDetailBudget[[#This Row],[Level]]=LvlBottomHdr, IF(SUM(TblDetailBudget[[#This Row],[2021 Quant]:[2025 Quant]])&gt;0, SUM(TblDetailBudget[[#This Row],[2021 Quant]:[2025 Quant]]), ""), "")</f>
        <v/>
      </c>
      <c r="Y227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2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2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2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2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27" s="140">
        <f>SUM(TblDetailBudget[[#This Row],[2021 Cost (LCU)]:[2025 Cost (LCU)]])</f>
        <v>0</v>
      </c>
      <c r="AE227" s="134">
        <f>IFERROR(SUM(TblDetailBudget[[#This Row],[2021 Cost (LCU)]])/FX_Rate, "")</f>
        <v>0</v>
      </c>
      <c r="AF227" s="63">
        <f>IFERROR(SUM(TblDetailBudget[[#This Row],[2022 Cost (LCU)]])/FX_Rate, "")</f>
        <v>0</v>
      </c>
      <c r="AG227" s="63">
        <f>IFERROR(SUM(TblDetailBudget[[#This Row],[2023 Cost (LCU)]])/FX_Rate, "")</f>
        <v>0</v>
      </c>
      <c r="AH227" s="63">
        <f>IFERROR(SUM(TblDetailBudget[[#This Row],[2024 Cost (LCU)]])/FX_Rate, "")</f>
        <v>0</v>
      </c>
      <c r="AI227" s="63">
        <f>IFERROR(SUM(TblDetailBudget[[#This Row],[2025 Cost (LCU)]])/FX_Rate, "")</f>
        <v>0</v>
      </c>
      <c r="AJ227" s="125">
        <f>SUM(TblDetailBudget[[#This Row],[2021 Cost (USD)]:[2025 Cost (USD)]])</f>
        <v>0</v>
      </c>
      <c r="AK227" s="180"/>
    </row>
    <row r="228" spans="2:37" ht="12.75" customHeight="1">
      <c r="B228" s="122" t="s">
        <v>70</v>
      </c>
      <c r="C22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3.1.2.2</v>
      </c>
      <c r="D228" s="62">
        <f>IF(TblDetailBudget[[#This Row],[Level]]="", "", COUNTIFS($B$8:TblDetailBudget[[#This Row],[Level]], Lvl1Hdr))</f>
        <v>3</v>
      </c>
      <c r="E228" s="62">
        <f>IF(TblDetailBudget[[#This Row],[Level]]="", "", COUNTIFS($B$8:TblDetailBudget[[#This Row],[Level]], Lvl2Hdr, $D$8:TblDetailBudget[[#This Row],[Lvl 1 Header]], TblDetailBudget[[#This Row],[Lvl 1 Header]]))</f>
        <v>1</v>
      </c>
      <c r="F22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2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2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28" s="101" t="s">
        <v>1872</v>
      </c>
      <c r="J228" s="101"/>
      <c r="K228" s="88"/>
      <c r="L228" s="88"/>
      <c r="M228" s="62" t="str">
        <f>IF(TblDetailBudget[[#This Row],[Level]]=LvlBottomHdr, IFERROR(INDEX(TblUnitCost[Unit], MATCH(TblDetailBudget[[#This Row],[Row Title]], TblUnitCost[Resource], 0)), "Invalid Resource"), "")</f>
        <v/>
      </c>
      <c r="N228" s="125" t="str">
        <f>IF(TblDetailBudget[[#This Row],[Level]]=LvlBottomHdr, IFERROR(INDEX(TblUnitCost[LCU], MATCH(TblDetailBudget[[#This Row],[Row Title]], TblUnitCost[Resource], 0)), "Invalid Resource"), "")</f>
        <v/>
      </c>
      <c r="O228" s="128"/>
      <c r="P228" s="108"/>
      <c r="Q228" s="185"/>
      <c r="R228" s="129"/>
      <c r="S228" s="108"/>
      <c r="T228" s="108"/>
      <c r="U228" s="108"/>
      <c r="V228" s="108"/>
      <c r="W228" s="108"/>
      <c r="X228" s="125" t="str">
        <f>IF(TblDetailBudget[[#This Row],[Level]]=LvlBottomHdr, IF(SUM(TblDetailBudget[[#This Row],[2021 Quant]:[2025 Quant]])&gt;0, SUM(TblDetailBudget[[#This Row],[2021 Quant]:[2025 Quant]]), ""), "")</f>
        <v/>
      </c>
      <c r="Y22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2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2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2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2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28" s="140">
        <f>SUM(TblDetailBudget[[#This Row],[2021 Cost (LCU)]:[2025 Cost (LCU)]])</f>
        <v>0</v>
      </c>
      <c r="AE228" s="134">
        <f>IFERROR(SUM(TblDetailBudget[[#This Row],[2021 Cost (LCU)]])/FX_Rate, "")</f>
        <v>0</v>
      </c>
      <c r="AF228" s="63">
        <f>IFERROR(SUM(TblDetailBudget[[#This Row],[2022 Cost (LCU)]])/FX_Rate, "")</f>
        <v>0</v>
      </c>
      <c r="AG228" s="63">
        <f>IFERROR(SUM(TblDetailBudget[[#This Row],[2023 Cost (LCU)]])/FX_Rate, "")</f>
        <v>0</v>
      </c>
      <c r="AH228" s="63">
        <f>IFERROR(SUM(TblDetailBudget[[#This Row],[2024 Cost (LCU)]])/FX_Rate, "")</f>
        <v>0</v>
      </c>
      <c r="AI228" s="63">
        <f>IFERROR(SUM(TblDetailBudget[[#This Row],[2025 Cost (LCU)]])/FX_Rate, "")</f>
        <v>0</v>
      </c>
      <c r="AJ228" s="125">
        <f>SUM(TblDetailBudget[[#This Row],[2021 Cost (USD)]:[2025 Cost (USD)]])</f>
        <v>0</v>
      </c>
      <c r="AK228" s="180"/>
    </row>
    <row r="229" spans="2:37" ht="12.75" customHeight="1">
      <c r="B229" s="122" t="s">
        <v>71</v>
      </c>
      <c r="C22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3.1.2.2.1</v>
      </c>
      <c r="D229" s="62">
        <f>IF(TblDetailBudget[[#This Row],[Level]]="", "", COUNTIFS($B$8:TblDetailBudget[[#This Row],[Level]], Lvl1Hdr))</f>
        <v>3</v>
      </c>
      <c r="E229" s="62">
        <f>IF(TblDetailBudget[[#This Row],[Level]]="", "", COUNTIFS($B$8:TblDetailBudget[[#This Row],[Level]], Lvl2Hdr, $D$8:TblDetailBudget[[#This Row],[Lvl 1 Header]], TblDetailBudget[[#This Row],[Lvl 1 Header]]))</f>
        <v>1</v>
      </c>
      <c r="F22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2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2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29" s="101"/>
      <c r="J229" s="101"/>
      <c r="K229" s="88"/>
      <c r="L229" s="88"/>
      <c r="M229" s="62" t="str">
        <f>IF(TblDetailBudget[[#This Row],[Level]]=LvlBottomHdr, IFERROR(INDEX(TblUnitCost[Unit], MATCH(TblDetailBudget[[#This Row],[Row Title]], TblUnitCost[Resource], 0)), "Invalid Resource"), "")</f>
        <v>Invalid Resource</v>
      </c>
      <c r="N229" s="125" t="str">
        <f>IF(TblDetailBudget[[#This Row],[Level]]=LvlBottomHdr, IFERROR(INDEX(TblUnitCost[LCU], MATCH(TblDetailBudget[[#This Row],[Row Title]], TblUnitCost[Resource], 0)), "Invalid Resource"), "")</f>
        <v>Invalid Resource</v>
      </c>
      <c r="O229" s="128"/>
      <c r="P229" s="108"/>
      <c r="Q229" s="185"/>
      <c r="R229" s="129"/>
      <c r="S229" s="108"/>
      <c r="T229" s="108"/>
      <c r="U229" s="108"/>
      <c r="V229" s="108"/>
      <c r="W229" s="108"/>
      <c r="X229" s="125" t="str">
        <f>IF(TblDetailBudget[[#This Row],[Level]]=LvlBottomHdr, IF(SUM(TblDetailBudget[[#This Row],[2021 Quant]:[2025 Quant]])&gt;0, SUM(TblDetailBudget[[#This Row],[2021 Quant]:[2025 Quant]]), ""), "")</f>
        <v/>
      </c>
      <c r="Y22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2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2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2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2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29" s="140">
        <f>SUM(TblDetailBudget[[#This Row],[2021 Cost (LCU)]:[2025 Cost (LCU)]])</f>
        <v>0</v>
      </c>
      <c r="AE229" s="134">
        <f>IFERROR(SUM(TblDetailBudget[[#This Row],[2021 Cost (LCU)]])/FX_Rate, "")</f>
        <v>0</v>
      </c>
      <c r="AF229" s="63">
        <f>IFERROR(SUM(TblDetailBudget[[#This Row],[2022 Cost (LCU)]])/FX_Rate, "")</f>
        <v>0</v>
      </c>
      <c r="AG229" s="63">
        <f>IFERROR(SUM(TblDetailBudget[[#This Row],[2023 Cost (LCU)]])/FX_Rate, "")</f>
        <v>0</v>
      </c>
      <c r="AH229" s="63">
        <f>IFERROR(SUM(TblDetailBudget[[#This Row],[2024 Cost (LCU)]])/FX_Rate, "")</f>
        <v>0</v>
      </c>
      <c r="AI229" s="63">
        <f>IFERROR(SUM(TblDetailBudget[[#This Row],[2025 Cost (LCU)]])/FX_Rate, "")</f>
        <v>0</v>
      </c>
      <c r="AJ229" s="125">
        <f>SUM(TblDetailBudget[[#This Row],[2021 Cost (USD)]:[2025 Cost (USD)]])</f>
        <v>0</v>
      </c>
      <c r="AK229" s="180"/>
    </row>
    <row r="230" spans="2:37" ht="12.75" customHeight="1">
      <c r="B230" s="122" t="s">
        <v>70</v>
      </c>
      <c r="C23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3.1.2.3</v>
      </c>
      <c r="D230" s="62">
        <f>IF(TblDetailBudget[[#This Row],[Level]]="", "", COUNTIFS($B$8:TblDetailBudget[[#This Row],[Level]], Lvl1Hdr))</f>
        <v>3</v>
      </c>
      <c r="E230" s="62">
        <f>IF(TblDetailBudget[[#This Row],[Level]]="", "", COUNTIFS($B$8:TblDetailBudget[[#This Row],[Level]], Lvl2Hdr, $D$8:TblDetailBudget[[#This Row],[Lvl 1 Header]], TblDetailBudget[[#This Row],[Lvl 1 Header]]))</f>
        <v>1</v>
      </c>
      <c r="F23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3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23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30" s="101" t="s">
        <v>1874</v>
      </c>
      <c r="J230" s="101"/>
      <c r="K230" s="88"/>
      <c r="L230" s="88"/>
      <c r="M230" s="62" t="str">
        <f>IF(TblDetailBudget[[#This Row],[Level]]=LvlBottomHdr, IFERROR(INDEX(TblUnitCost[Unit], MATCH(TblDetailBudget[[#This Row],[Row Title]], TblUnitCost[Resource], 0)), "Invalid Resource"), "")</f>
        <v/>
      </c>
      <c r="N230" s="125" t="str">
        <f>IF(TblDetailBudget[[#This Row],[Level]]=LvlBottomHdr, IFERROR(INDEX(TblUnitCost[LCU], MATCH(TblDetailBudget[[#This Row],[Row Title]], TblUnitCost[Resource], 0)), "Invalid Resource"), "")</f>
        <v/>
      </c>
      <c r="O230" s="128"/>
      <c r="P230" s="108"/>
      <c r="Q230" s="185"/>
      <c r="R230" s="129"/>
      <c r="S230" s="108"/>
      <c r="T230" s="108"/>
      <c r="U230" s="108"/>
      <c r="V230" s="108"/>
      <c r="W230" s="108"/>
      <c r="X230" s="125" t="str">
        <f>IF(TblDetailBudget[[#This Row],[Level]]=LvlBottomHdr, IF(SUM(TblDetailBudget[[#This Row],[2021 Quant]:[2025 Quant]])&gt;0, SUM(TblDetailBudget[[#This Row],[2021 Quant]:[2025 Quant]]), ""), "")</f>
        <v/>
      </c>
      <c r="Y23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3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3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3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3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30" s="140">
        <f>SUM(TblDetailBudget[[#This Row],[2021 Cost (LCU)]:[2025 Cost (LCU)]])</f>
        <v>0</v>
      </c>
      <c r="AE230" s="134">
        <f>IFERROR(SUM(TblDetailBudget[[#This Row],[2021 Cost (LCU)]])/FX_Rate, "")</f>
        <v>0</v>
      </c>
      <c r="AF230" s="63">
        <f>IFERROR(SUM(TblDetailBudget[[#This Row],[2022 Cost (LCU)]])/FX_Rate, "")</f>
        <v>0</v>
      </c>
      <c r="AG230" s="63">
        <f>IFERROR(SUM(TblDetailBudget[[#This Row],[2023 Cost (LCU)]])/FX_Rate, "")</f>
        <v>0</v>
      </c>
      <c r="AH230" s="63">
        <f>IFERROR(SUM(TblDetailBudget[[#This Row],[2024 Cost (LCU)]])/FX_Rate, "")</f>
        <v>0</v>
      </c>
      <c r="AI230" s="63">
        <f>IFERROR(SUM(TblDetailBudget[[#This Row],[2025 Cost (LCU)]])/FX_Rate, "")</f>
        <v>0</v>
      </c>
      <c r="AJ230" s="125">
        <f>SUM(TblDetailBudget[[#This Row],[2021 Cost (USD)]:[2025 Cost (USD)]])</f>
        <v>0</v>
      </c>
      <c r="AK230" s="180"/>
    </row>
    <row r="231" spans="2:37" ht="12.75" customHeight="1">
      <c r="B231" s="122" t="s">
        <v>71</v>
      </c>
      <c r="C23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3.1.2.3.1</v>
      </c>
      <c r="D231" s="62">
        <f>IF(TblDetailBudget[[#This Row],[Level]]="", "", COUNTIFS($B$8:TblDetailBudget[[#This Row],[Level]], Lvl1Hdr))</f>
        <v>3</v>
      </c>
      <c r="E231" s="62">
        <f>IF(TblDetailBudget[[#This Row],[Level]]="", "", COUNTIFS($B$8:TblDetailBudget[[#This Row],[Level]], Lvl2Hdr, $D$8:TblDetailBudget[[#This Row],[Lvl 1 Header]], TblDetailBudget[[#This Row],[Lvl 1 Header]]))</f>
        <v>1</v>
      </c>
      <c r="F23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3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23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31" s="101" t="s">
        <v>1875</v>
      </c>
      <c r="J231" s="101"/>
      <c r="K231" s="88"/>
      <c r="L231" s="88"/>
      <c r="M231" s="62" t="str">
        <f>IF(TblDetailBudget[[#This Row],[Level]]=LvlBottomHdr, IFERROR(INDEX(TblUnitCost[Unit], MATCH(TblDetailBudget[[#This Row],[Row Title]], TblUnitCost[Resource], 0)), "Invalid Resource"), "")</f>
        <v>per unit</v>
      </c>
      <c r="N231" s="125">
        <f>IF(TblDetailBudget[[#This Row],[Level]]=LvlBottomHdr, IFERROR(INDEX(TblUnitCost[LCU], MATCH(TblDetailBudget[[#This Row],[Row Title]], TblUnitCost[Resource], 0)), "Invalid Resource"), "")</f>
        <v>0</v>
      </c>
      <c r="O231" s="128"/>
      <c r="P231" s="108"/>
      <c r="Q231" s="185"/>
      <c r="R231" s="129"/>
      <c r="S231" s="108"/>
      <c r="T231" s="108"/>
      <c r="U231" s="108"/>
      <c r="V231" s="108"/>
      <c r="W231" s="108"/>
      <c r="X231" s="125" t="str">
        <f>IF(TblDetailBudget[[#This Row],[Level]]=LvlBottomHdr, IF(SUM(TblDetailBudget[[#This Row],[2021 Quant]:[2025 Quant]])&gt;0, SUM(TblDetailBudget[[#This Row],[2021 Quant]:[2025 Quant]]), ""), "")</f>
        <v/>
      </c>
      <c r="Y231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3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3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3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3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31" s="140">
        <f>SUM(TblDetailBudget[[#This Row],[2021 Cost (LCU)]:[2025 Cost (LCU)]])</f>
        <v>0</v>
      </c>
      <c r="AE231" s="134">
        <f>IFERROR(SUM(TblDetailBudget[[#This Row],[2021 Cost (LCU)]])/FX_Rate, "")</f>
        <v>0</v>
      </c>
      <c r="AF231" s="63">
        <f>IFERROR(SUM(TblDetailBudget[[#This Row],[2022 Cost (LCU)]])/FX_Rate, "")</f>
        <v>0</v>
      </c>
      <c r="AG231" s="63">
        <f>IFERROR(SUM(TblDetailBudget[[#This Row],[2023 Cost (LCU)]])/FX_Rate, "")</f>
        <v>0</v>
      </c>
      <c r="AH231" s="63">
        <f>IFERROR(SUM(TblDetailBudget[[#This Row],[2024 Cost (LCU)]])/FX_Rate, "")</f>
        <v>0</v>
      </c>
      <c r="AI231" s="63">
        <f>IFERROR(SUM(TblDetailBudget[[#This Row],[2025 Cost (LCU)]])/FX_Rate, "")</f>
        <v>0</v>
      </c>
      <c r="AJ231" s="125">
        <f>SUM(TblDetailBudget[[#This Row],[2021 Cost (USD)]:[2025 Cost (USD)]])</f>
        <v>0</v>
      </c>
      <c r="AK231" s="180"/>
    </row>
    <row r="232" spans="2:37" ht="12.75" customHeight="1">
      <c r="B232" s="122" t="s">
        <v>71</v>
      </c>
      <c r="C23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3.1.2.3.2</v>
      </c>
      <c r="D232" s="62">
        <f>IF(TblDetailBudget[[#This Row],[Level]]="", "", COUNTIFS($B$8:TblDetailBudget[[#This Row],[Level]], Lvl1Hdr))</f>
        <v>3</v>
      </c>
      <c r="E232" s="62">
        <f>IF(TblDetailBudget[[#This Row],[Level]]="", "", COUNTIFS($B$8:TblDetailBudget[[#This Row],[Level]], Lvl2Hdr, $D$8:TblDetailBudget[[#This Row],[Lvl 1 Header]], TblDetailBudget[[#This Row],[Lvl 1 Header]]))</f>
        <v>1</v>
      </c>
      <c r="F23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3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23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232" s="101" t="s">
        <v>1876</v>
      </c>
      <c r="J232" s="101"/>
      <c r="K232" s="88"/>
      <c r="L232" s="88"/>
      <c r="M232" s="62" t="str">
        <f>IF(TblDetailBudget[[#This Row],[Level]]=LvlBottomHdr, IFERROR(INDEX(TblUnitCost[Unit], MATCH(TblDetailBudget[[#This Row],[Row Title]], TblUnitCost[Resource], 0)), "Invalid Resource"), "")</f>
        <v>per unit</v>
      </c>
      <c r="N232" s="125">
        <f>IF(TblDetailBudget[[#This Row],[Level]]=LvlBottomHdr, IFERROR(INDEX(TblUnitCost[LCU], MATCH(TblDetailBudget[[#This Row],[Row Title]], TblUnitCost[Resource], 0)), "Invalid Resource"), "")</f>
        <v>0</v>
      </c>
      <c r="O232" s="128"/>
      <c r="P232" s="108"/>
      <c r="Q232" s="185"/>
      <c r="R232" s="129"/>
      <c r="S232" s="108"/>
      <c r="T232" s="108"/>
      <c r="U232" s="108"/>
      <c r="V232" s="108"/>
      <c r="W232" s="108"/>
      <c r="X232" s="125" t="str">
        <f>IF(TblDetailBudget[[#This Row],[Level]]=LvlBottomHdr, IF(SUM(TblDetailBudget[[#This Row],[2021 Quant]:[2025 Quant]])&gt;0, SUM(TblDetailBudget[[#This Row],[2021 Quant]:[2025 Quant]]), ""), "")</f>
        <v/>
      </c>
      <c r="Y23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3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3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3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3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32" s="140">
        <f>SUM(TblDetailBudget[[#This Row],[2021 Cost (LCU)]:[2025 Cost (LCU)]])</f>
        <v>0</v>
      </c>
      <c r="AE232" s="134">
        <f>IFERROR(SUM(TblDetailBudget[[#This Row],[2021 Cost (LCU)]])/FX_Rate, "")</f>
        <v>0</v>
      </c>
      <c r="AF232" s="63">
        <f>IFERROR(SUM(TblDetailBudget[[#This Row],[2022 Cost (LCU)]])/FX_Rate, "")</f>
        <v>0</v>
      </c>
      <c r="AG232" s="63">
        <f>IFERROR(SUM(TblDetailBudget[[#This Row],[2023 Cost (LCU)]])/FX_Rate, "")</f>
        <v>0</v>
      </c>
      <c r="AH232" s="63">
        <f>IFERROR(SUM(TblDetailBudget[[#This Row],[2024 Cost (LCU)]])/FX_Rate, "")</f>
        <v>0</v>
      </c>
      <c r="AI232" s="63">
        <f>IFERROR(SUM(TblDetailBudget[[#This Row],[2025 Cost (LCU)]])/FX_Rate, "")</f>
        <v>0</v>
      </c>
      <c r="AJ232" s="125">
        <f>SUM(TblDetailBudget[[#This Row],[2021 Cost (USD)]:[2025 Cost (USD)]])</f>
        <v>0</v>
      </c>
      <c r="AK232" s="180"/>
    </row>
    <row r="233" spans="2:37" ht="12.75" customHeight="1">
      <c r="B233" s="122" t="s">
        <v>69</v>
      </c>
      <c r="C23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3.1.3</v>
      </c>
      <c r="D233" s="62">
        <f>IF(TblDetailBudget[[#This Row],[Level]]="", "", COUNTIFS($B$8:TblDetailBudget[[#This Row],[Level]], Lvl1Hdr))</f>
        <v>3</v>
      </c>
      <c r="E233" s="62">
        <f>IF(TblDetailBudget[[#This Row],[Level]]="", "", COUNTIFS($B$8:TblDetailBudget[[#This Row],[Level]], Lvl2Hdr, $D$8:TblDetailBudget[[#This Row],[Lvl 1 Header]], TblDetailBudget[[#This Row],[Lvl 1 Header]]))</f>
        <v>1</v>
      </c>
      <c r="F23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23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3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33" s="188" t="s">
        <v>1871</v>
      </c>
      <c r="J233" s="101"/>
      <c r="K233" s="88"/>
      <c r="L233" s="88"/>
      <c r="M233" s="62" t="str">
        <f>IF(TblDetailBudget[[#This Row],[Level]]=LvlBottomHdr, IFERROR(INDEX(TblUnitCost[Unit], MATCH(TblDetailBudget[[#This Row],[Row Title]], TblUnitCost[Resource], 0)), "Invalid Resource"), "")</f>
        <v/>
      </c>
      <c r="N233" s="125" t="str">
        <f>IF(TblDetailBudget[[#This Row],[Level]]=LvlBottomHdr, IFERROR(INDEX(TblUnitCost[LCU], MATCH(TblDetailBudget[[#This Row],[Row Title]], TblUnitCost[Resource], 0)), "Invalid Resource"), "")</f>
        <v/>
      </c>
      <c r="O233" s="128"/>
      <c r="P233" s="108"/>
      <c r="Q233" s="185"/>
      <c r="R233" s="129"/>
      <c r="S233" s="108"/>
      <c r="T233" s="108"/>
      <c r="U233" s="108"/>
      <c r="V233" s="108"/>
      <c r="W233" s="108"/>
      <c r="X233" s="125" t="str">
        <f>IF(TblDetailBudget[[#This Row],[Level]]=LvlBottomHdr, IF(SUM(TblDetailBudget[[#This Row],[2021 Quant]:[2025 Quant]])&gt;0, SUM(TblDetailBudget[[#This Row],[2021 Quant]:[2025 Quant]]), ""), "")</f>
        <v/>
      </c>
      <c r="Y233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3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3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3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3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33" s="140">
        <f>SUM(TblDetailBudget[[#This Row],[2021 Cost (LCU)]:[2025 Cost (LCU)]])</f>
        <v>0</v>
      </c>
      <c r="AE233" s="134">
        <f>IFERROR(SUM(TblDetailBudget[[#This Row],[2021 Cost (LCU)]])/FX_Rate, "")</f>
        <v>0</v>
      </c>
      <c r="AF233" s="63">
        <f>IFERROR(SUM(TblDetailBudget[[#This Row],[2022 Cost (LCU)]])/FX_Rate, "")</f>
        <v>0</v>
      </c>
      <c r="AG233" s="63">
        <f>IFERROR(SUM(TblDetailBudget[[#This Row],[2023 Cost (LCU)]])/FX_Rate, "")</f>
        <v>0</v>
      </c>
      <c r="AH233" s="63">
        <f>IFERROR(SUM(TblDetailBudget[[#This Row],[2024 Cost (LCU)]])/FX_Rate, "")</f>
        <v>0</v>
      </c>
      <c r="AI233" s="63">
        <f>IFERROR(SUM(TblDetailBudget[[#This Row],[2025 Cost (LCU)]])/FX_Rate, "")</f>
        <v>0</v>
      </c>
      <c r="AJ233" s="125">
        <f>SUM(TblDetailBudget[[#This Row],[2021 Cost (USD)]:[2025 Cost (USD)]])</f>
        <v>0</v>
      </c>
      <c r="AK233" s="180"/>
    </row>
    <row r="234" spans="2:37" ht="12.75" customHeight="1">
      <c r="B234" s="122" t="s">
        <v>70</v>
      </c>
      <c r="C23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3.1.3.1</v>
      </c>
      <c r="D234" s="62">
        <f>IF(TblDetailBudget[[#This Row],[Level]]="", "", COUNTIFS($B$8:TblDetailBudget[[#This Row],[Level]], Lvl1Hdr))</f>
        <v>3</v>
      </c>
      <c r="E234" s="62">
        <f>IF(TblDetailBudget[[#This Row],[Level]]="", "", COUNTIFS($B$8:TblDetailBudget[[#This Row],[Level]], Lvl2Hdr, $D$8:TblDetailBudget[[#This Row],[Lvl 1 Header]], TblDetailBudget[[#This Row],[Lvl 1 Header]]))</f>
        <v>1</v>
      </c>
      <c r="F23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23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3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34" s="101" t="s">
        <v>1873</v>
      </c>
      <c r="J234" s="101"/>
      <c r="K234" s="88"/>
      <c r="L234" s="88"/>
      <c r="M234" s="62" t="str">
        <f>IF(TblDetailBudget[[#This Row],[Level]]=LvlBottomHdr, IFERROR(INDEX(TblUnitCost[Unit], MATCH(TblDetailBudget[[#This Row],[Row Title]], TblUnitCost[Resource], 0)), "Invalid Resource"), "")</f>
        <v/>
      </c>
      <c r="N234" s="125" t="str">
        <f>IF(TblDetailBudget[[#This Row],[Level]]=LvlBottomHdr, IFERROR(INDEX(TblUnitCost[LCU], MATCH(TblDetailBudget[[#This Row],[Row Title]], TblUnitCost[Resource], 0)), "Invalid Resource"), "")</f>
        <v/>
      </c>
      <c r="O234" s="128"/>
      <c r="P234" s="108"/>
      <c r="Q234" s="185"/>
      <c r="R234" s="129"/>
      <c r="S234" s="108"/>
      <c r="T234" s="108"/>
      <c r="U234" s="108"/>
      <c r="V234" s="108"/>
      <c r="W234" s="108"/>
      <c r="X234" s="125" t="str">
        <f>IF(TblDetailBudget[[#This Row],[Level]]=LvlBottomHdr, IF(SUM(TblDetailBudget[[#This Row],[2021 Quant]:[2025 Quant]])&gt;0, SUM(TblDetailBudget[[#This Row],[2021 Quant]:[2025 Quant]]), ""), "")</f>
        <v/>
      </c>
      <c r="Y234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3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3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3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3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34" s="140">
        <f>SUM(TblDetailBudget[[#This Row],[2021 Cost (LCU)]:[2025 Cost (LCU)]])</f>
        <v>0</v>
      </c>
      <c r="AE234" s="134">
        <f>IFERROR(SUM(TblDetailBudget[[#This Row],[2021 Cost (LCU)]])/FX_Rate, "")</f>
        <v>0</v>
      </c>
      <c r="AF234" s="63">
        <f>IFERROR(SUM(TblDetailBudget[[#This Row],[2022 Cost (LCU)]])/FX_Rate, "")</f>
        <v>0</v>
      </c>
      <c r="AG234" s="63">
        <f>IFERROR(SUM(TblDetailBudget[[#This Row],[2023 Cost (LCU)]])/FX_Rate, "")</f>
        <v>0</v>
      </c>
      <c r="AH234" s="63">
        <f>IFERROR(SUM(TblDetailBudget[[#This Row],[2024 Cost (LCU)]])/FX_Rate, "")</f>
        <v>0</v>
      </c>
      <c r="AI234" s="63">
        <f>IFERROR(SUM(TblDetailBudget[[#This Row],[2025 Cost (LCU)]])/FX_Rate, "")</f>
        <v>0</v>
      </c>
      <c r="AJ234" s="125">
        <f>SUM(TblDetailBudget[[#This Row],[2021 Cost (USD)]:[2025 Cost (USD)]])</f>
        <v>0</v>
      </c>
      <c r="AK234" s="180"/>
    </row>
    <row r="235" spans="2:37" ht="12.75" customHeight="1">
      <c r="B235" s="122" t="s">
        <v>71</v>
      </c>
      <c r="C23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3.1.3.1.1</v>
      </c>
      <c r="D235" s="62">
        <f>IF(TblDetailBudget[[#This Row],[Level]]="", "", COUNTIFS($B$8:TblDetailBudget[[#This Row],[Level]], Lvl1Hdr))</f>
        <v>3</v>
      </c>
      <c r="E235" s="62">
        <f>IF(TblDetailBudget[[#This Row],[Level]]="", "", COUNTIFS($B$8:TblDetailBudget[[#This Row],[Level]], Lvl2Hdr, $D$8:TblDetailBudget[[#This Row],[Lvl 1 Header]], TblDetailBudget[[#This Row],[Lvl 1 Header]]))</f>
        <v>1</v>
      </c>
      <c r="F23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23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3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35" s="101" t="s">
        <v>72</v>
      </c>
      <c r="J235" s="101"/>
      <c r="K235" s="88"/>
      <c r="L235" s="88"/>
      <c r="M235" s="62" t="str">
        <f>IF(TblDetailBudget[[#This Row],[Level]]=LvlBottomHdr, IFERROR(INDEX(TblUnitCost[Unit], MATCH(TblDetailBudget[[#This Row],[Row Title]], TblUnitCost[Resource], 0)), "Invalid Resource"), "")</f>
        <v>per person per day</v>
      </c>
      <c r="N235" s="125">
        <f>IF(TblDetailBudget[[#This Row],[Level]]=LvlBottomHdr, IFERROR(INDEX(TblUnitCost[LCU], MATCH(TblDetailBudget[[#This Row],[Row Title]], TblUnitCost[Resource], 0)), "Invalid Resource"), "")</f>
        <v>0</v>
      </c>
      <c r="O235" s="128"/>
      <c r="P235" s="108"/>
      <c r="Q235" s="185"/>
      <c r="R235" s="129"/>
      <c r="S235" s="108"/>
      <c r="T235" s="108"/>
      <c r="U235" s="108"/>
      <c r="V235" s="108"/>
      <c r="W235" s="108"/>
      <c r="X235" s="125" t="str">
        <f>IF(TblDetailBudget[[#This Row],[Level]]=LvlBottomHdr, IF(SUM(TblDetailBudget[[#This Row],[2021 Quant]:[2025 Quant]])&gt;0, SUM(TblDetailBudget[[#This Row],[2021 Quant]:[2025 Quant]]), ""), "")</f>
        <v/>
      </c>
      <c r="Y23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3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3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3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3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35" s="140">
        <f>SUM(TblDetailBudget[[#This Row],[2021 Cost (LCU)]:[2025 Cost (LCU)]])</f>
        <v>0</v>
      </c>
      <c r="AE235" s="134">
        <f>IFERROR(SUM(TblDetailBudget[[#This Row],[2021 Cost (LCU)]])/FX_Rate, "")</f>
        <v>0</v>
      </c>
      <c r="AF235" s="63">
        <f>IFERROR(SUM(TblDetailBudget[[#This Row],[2022 Cost (LCU)]])/FX_Rate, "")</f>
        <v>0</v>
      </c>
      <c r="AG235" s="63">
        <f>IFERROR(SUM(TblDetailBudget[[#This Row],[2023 Cost (LCU)]])/FX_Rate, "")</f>
        <v>0</v>
      </c>
      <c r="AH235" s="63">
        <f>IFERROR(SUM(TblDetailBudget[[#This Row],[2024 Cost (LCU)]])/FX_Rate, "")</f>
        <v>0</v>
      </c>
      <c r="AI235" s="63">
        <f>IFERROR(SUM(TblDetailBudget[[#This Row],[2025 Cost (LCU)]])/FX_Rate, "")</f>
        <v>0</v>
      </c>
      <c r="AJ235" s="125">
        <f>SUM(TblDetailBudget[[#This Row],[2021 Cost (USD)]:[2025 Cost (USD)]])</f>
        <v>0</v>
      </c>
      <c r="AK235" s="180"/>
    </row>
    <row r="236" spans="2:37" ht="12.75" customHeight="1">
      <c r="B236" s="122" t="s">
        <v>71</v>
      </c>
      <c r="C23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3.1.3.1.2</v>
      </c>
      <c r="D236" s="62">
        <f>IF(TblDetailBudget[[#This Row],[Level]]="", "", COUNTIFS($B$8:TblDetailBudget[[#This Row],[Level]], Lvl1Hdr))</f>
        <v>3</v>
      </c>
      <c r="E236" s="62">
        <f>IF(TblDetailBudget[[#This Row],[Level]]="", "", COUNTIFS($B$8:TblDetailBudget[[#This Row],[Level]], Lvl2Hdr, $D$8:TblDetailBudget[[#This Row],[Lvl 1 Header]], TblDetailBudget[[#This Row],[Lvl 1 Header]]))</f>
        <v>1</v>
      </c>
      <c r="F23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23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3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236" s="101" t="s">
        <v>1879</v>
      </c>
      <c r="J236" s="101"/>
      <c r="K236" s="88"/>
      <c r="L236" s="88"/>
      <c r="M236" s="62" t="str">
        <f>IF(TblDetailBudget[[#This Row],[Level]]=LvlBottomHdr, IFERROR(INDEX(TblUnitCost[Unit], MATCH(TblDetailBudget[[#This Row],[Row Title]], TblUnitCost[Resource], 0)), "Invalid Resource"), "")</f>
        <v>per person</v>
      </c>
      <c r="N236" s="125">
        <f>IF(TblDetailBudget[[#This Row],[Level]]=LvlBottomHdr, IFERROR(INDEX(TblUnitCost[LCU], MATCH(TblDetailBudget[[#This Row],[Row Title]], TblUnitCost[Resource], 0)), "Invalid Resource"), "")</f>
        <v>5000</v>
      </c>
      <c r="O236" s="128"/>
      <c r="P236" s="108"/>
      <c r="Q236" s="185"/>
      <c r="R236" s="129"/>
      <c r="S236" s="108"/>
      <c r="T236" s="108"/>
      <c r="U236" s="108"/>
      <c r="V236" s="108"/>
      <c r="W236" s="108"/>
      <c r="X236" s="125" t="str">
        <f>IF(TblDetailBudget[[#This Row],[Level]]=LvlBottomHdr, IF(SUM(TblDetailBudget[[#This Row],[2021 Quant]:[2025 Quant]])&gt;0, SUM(TblDetailBudget[[#This Row],[2021 Quant]:[2025 Quant]]), ""), "")</f>
        <v/>
      </c>
      <c r="Y23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3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3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3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3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36" s="140">
        <f>SUM(TblDetailBudget[[#This Row],[2021 Cost (LCU)]:[2025 Cost (LCU)]])</f>
        <v>0</v>
      </c>
      <c r="AE236" s="134">
        <f>IFERROR(SUM(TblDetailBudget[[#This Row],[2021 Cost (LCU)]])/FX_Rate, "")</f>
        <v>0</v>
      </c>
      <c r="AF236" s="63">
        <f>IFERROR(SUM(TblDetailBudget[[#This Row],[2022 Cost (LCU)]])/FX_Rate, "")</f>
        <v>0</v>
      </c>
      <c r="AG236" s="63">
        <f>IFERROR(SUM(TblDetailBudget[[#This Row],[2023 Cost (LCU)]])/FX_Rate, "")</f>
        <v>0</v>
      </c>
      <c r="AH236" s="63">
        <f>IFERROR(SUM(TblDetailBudget[[#This Row],[2024 Cost (LCU)]])/FX_Rate, "")</f>
        <v>0</v>
      </c>
      <c r="AI236" s="63">
        <f>IFERROR(SUM(TblDetailBudget[[#This Row],[2025 Cost (LCU)]])/FX_Rate, "")</f>
        <v>0</v>
      </c>
      <c r="AJ236" s="125">
        <f>SUM(TblDetailBudget[[#This Row],[2021 Cost (USD)]:[2025 Cost (USD)]])</f>
        <v>0</v>
      </c>
      <c r="AK236" s="180"/>
    </row>
    <row r="237" spans="2:37" ht="12.75" customHeight="1">
      <c r="B237" s="122" t="s">
        <v>67</v>
      </c>
      <c r="C23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</v>
      </c>
      <c r="D237" s="62">
        <f>IF(TblDetailBudget[[#This Row],[Level]]="", "", COUNTIFS($B$8:TblDetailBudget[[#This Row],[Level]], Lvl1Hdr))</f>
        <v>4</v>
      </c>
      <c r="E237" s="62">
        <f>IF(TblDetailBudget[[#This Row],[Level]]="", "", COUNTIFS($B$8:TblDetailBudget[[#This Row],[Level]], Lvl2Hdr, $D$8:TblDetailBudget[[#This Row],[Lvl 1 Header]], TblDetailBudget[[#This Row],[Lvl 1 Header]]))</f>
        <v>0</v>
      </c>
      <c r="F23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23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3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37" s="101" t="s">
        <v>161</v>
      </c>
      <c r="J237" s="101"/>
      <c r="K237" s="88"/>
      <c r="L237" s="88"/>
      <c r="M237" s="62" t="str">
        <f>IF(TblDetailBudget[[#This Row],[Level]]=LvlBottomHdr, IFERROR(INDEX(TblUnitCost[Unit], MATCH(TblDetailBudget[[#This Row],[Row Title]], TblUnitCost[Resource], 0)), "Invalid Resource"), "")</f>
        <v/>
      </c>
      <c r="N237" s="125" t="str">
        <f>IF(TblDetailBudget[[#This Row],[Level]]=LvlBottomHdr, IFERROR(INDEX(TblUnitCost[LCU], MATCH(TblDetailBudget[[#This Row],[Row Title]], TblUnitCost[Resource], 0)), "Invalid Resource"), "")</f>
        <v/>
      </c>
      <c r="O237" s="128"/>
      <c r="P237" s="108"/>
      <c r="Q237" s="185"/>
      <c r="R237" s="129"/>
      <c r="S237" s="108"/>
      <c r="T237" s="108"/>
      <c r="U237" s="108"/>
      <c r="V237" s="108"/>
      <c r="W237" s="108"/>
      <c r="X237" s="125" t="str">
        <f>IF(TblDetailBudget[[#This Row],[Level]]=LvlBottomHdr, IF(SUM(TblDetailBudget[[#This Row],[2021 Quant]:[2025 Quant]])&gt;0, SUM(TblDetailBudget[[#This Row],[2021 Quant]:[2025 Quant]]), ""), "")</f>
        <v/>
      </c>
      <c r="Y23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3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3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3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3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37" s="140">
        <f>SUM(TblDetailBudget[[#This Row],[2021 Cost (LCU)]:[2025 Cost (LCU)]])</f>
        <v>0</v>
      </c>
      <c r="AE237" s="134">
        <f>IFERROR(SUM(TblDetailBudget[[#This Row],[2021 Cost (LCU)]])/FX_Rate, "")</f>
        <v>0</v>
      </c>
      <c r="AF237" s="63">
        <f>IFERROR(SUM(TblDetailBudget[[#This Row],[2022 Cost (LCU)]])/FX_Rate, "")</f>
        <v>0</v>
      </c>
      <c r="AG237" s="63">
        <f>IFERROR(SUM(TblDetailBudget[[#This Row],[2023 Cost (LCU)]])/FX_Rate, "")</f>
        <v>0</v>
      </c>
      <c r="AH237" s="63">
        <f>IFERROR(SUM(TblDetailBudget[[#This Row],[2024 Cost (LCU)]])/FX_Rate, "")</f>
        <v>0</v>
      </c>
      <c r="AI237" s="63">
        <f>IFERROR(SUM(TblDetailBudget[[#This Row],[2025 Cost (LCU)]])/FX_Rate, "")</f>
        <v>0</v>
      </c>
      <c r="AJ237" s="125">
        <f>SUM(TblDetailBudget[[#This Row],[2021 Cost (USD)]:[2025 Cost (USD)]])</f>
        <v>0</v>
      </c>
      <c r="AK237" s="180"/>
    </row>
    <row r="238" spans="2:37" ht="12.75" customHeight="1">
      <c r="B238" s="122" t="s">
        <v>68</v>
      </c>
      <c r="C23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</v>
      </c>
      <c r="D238" s="62">
        <f>IF(TblDetailBudget[[#This Row],[Level]]="", "", COUNTIFS($B$8:TblDetailBudget[[#This Row],[Level]], Lvl1Hdr))</f>
        <v>4</v>
      </c>
      <c r="E238" s="62">
        <f>IF(TblDetailBudget[[#This Row],[Level]]="", "", COUNTIFS($B$8:TblDetailBudget[[#This Row],[Level]], Lvl2Hdr, $D$8:TblDetailBudget[[#This Row],[Lvl 1 Header]], TblDetailBudget[[#This Row],[Lvl 1 Header]]))</f>
        <v>1</v>
      </c>
      <c r="F23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23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3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38" s="188" t="s">
        <v>1880</v>
      </c>
      <c r="J238" s="101"/>
      <c r="K238" s="88"/>
      <c r="L238" s="88"/>
      <c r="M238" s="62" t="str">
        <f>IF(TblDetailBudget[[#This Row],[Level]]=LvlBottomHdr, IFERROR(INDEX(TblUnitCost[Unit], MATCH(TblDetailBudget[[#This Row],[Row Title]], TblUnitCost[Resource], 0)), "Invalid Resource"), "")</f>
        <v/>
      </c>
      <c r="N238" s="125" t="str">
        <f>IF(TblDetailBudget[[#This Row],[Level]]=LvlBottomHdr, IFERROR(INDEX(TblUnitCost[LCU], MATCH(TblDetailBudget[[#This Row],[Row Title]], TblUnitCost[Resource], 0)), "Invalid Resource"), "")</f>
        <v/>
      </c>
      <c r="O238" s="128"/>
      <c r="P238" s="108"/>
      <c r="Q238" s="185"/>
      <c r="R238" s="129"/>
      <c r="S238" s="108"/>
      <c r="T238" s="108"/>
      <c r="U238" s="108"/>
      <c r="V238" s="108"/>
      <c r="W238" s="108"/>
      <c r="X238" s="125" t="str">
        <f>IF(TblDetailBudget[[#This Row],[Level]]=LvlBottomHdr, IF(SUM(TblDetailBudget[[#This Row],[2021 Quant]:[2025 Quant]])&gt;0, SUM(TblDetailBudget[[#This Row],[2021 Quant]:[2025 Quant]]), ""), "")</f>
        <v/>
      </c>
      <c r="Y23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3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3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3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3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38" s="140">
        <f>SUM(TblDetailBudget[[#This Row],[2021 Cost (LCU)]:[2025 Cost (LCU)]])</f>
        <v>0</v>
      </c>
      <c r="AE238" s="134">
        <f>IFERROR(SUM(TblDetailBudget[[#This Row],[2021 Cost (LCU)]])/FX_Rate, "")</f>
        <v>0</v>
      </c>
      <c r="AF238" s="63">
        <f>IFERROR(SUM(TblDetailBudget[[#This Row],[2022 Cost (LCU)]])/FX_Rate, "")</f>
        <v>0</v>
      </c>
      <c r="AG238" s="63">
        <f>IFERROR(SUM(TblDetailBudget[[#This Row],[2023 Cost (LCU)]])/FX_Rate, "")</f>
        <v>0</v>
      </c>
      <c r="AH238" s="63">
        <f>IFERROR(SUM(TblDetailBudget[[#This Row],[2024 Cost (LCU)]])/FX_Rate, "")</f>
        <v>0</v>
      </c>
      <c r="AI238" s="63">
        <f>IFERROR(SUM(TblDetailBudget[[#This Row],[2025 Cost (LCU)]])/FX_Rate, "")</f>
        <v>0</v>
      </c>
      <c r="AJ238" s="125">
        <f>SUM(TblDetailBudget[[#This Row],[2021 Cost (USD)]:[2025 Cost (USD)]])</f>
        <v>0</v>
      </c>
      <c r="AK238" s="180"/>
    </row>
    <row r="239" spans="2:37" ht="12.75" customHeight="1">
      <c r="B239" s="122" t="s">
        <v>69</v>
      </c>
      <c r="C23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4.1.1</v>
      </c>
      <c r="D239" s="62">
        <f>IF(TblDetailBudget[[#This Row],[Level]]="", "", COUNTIFS($B$8:TblDetailBudget[[#This Row],[Level]], Lvl1Hdr))</f>
        <v>4</v>
      </c>
      <c r="E239" s="62">
        <f>IF(TblDetailBudget[[#This Row],[Level]]="", "", COUNTIFS($B$8:TblDetailBudget[[#This Row],[Level]], Lvl2Hdr, $D$8:TblDetailBudget[[#This Row],[Lvl 1 Header]], TblDetailBudget[[#This Row],[Lvl 1 Header]]))</f>
        <v>1</v>
      </c>
      <c r="F23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3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3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39" s="188" t="s">
        <v>1881</v>
      </c>
      <c r="J239" s="101"/>
      <c r="K239" s="88"/>
      <c r="L239" s="88"/>
      <c r="M239" s="62" t="str">
        <f>IF(TblDetailBudget[[#This Row],[Level]]=LvlBottomHdr, IFERROR(INDEX(TblUnitCost[Unit], MATCH(TblDetailBudget[[#This Row],[Row Title]], TblUnitCost[Resource], 0)), "Invalid Resource"), "")</f>
        <v/>
      </c>
      <c r="N239" s="125" t="str">
        <f>IF(TblDetailBudget[[#This Row],[Level]]=LvlBottomHdr, IFERROR(INDEX(TblUnitCost[LCU], MATCH(TblDetailBudget[[#This Row],[Row Title]], TblUnitCost[Resource], 0)), "Invalid Resource"), "")</f>
        <v/>
      </c>
      <c r="O239" s="128"/>
      <c r="P239" s="108"/>
      <c r="Q239" s="185"/>
      <c r="R239" s="129"/>
      <c r="S239" s="108"/>
      <c r="T239" s="108"/>
      <c r="U239" s="108"/>
      <c r="V239" s="108"/>
      <c r="W239" s="108"/>
      <c r="X239" s="125" t="str">
        <f>IF(TblDetailBudget[[#This Row],[Level]]=LvlBottomHdr, IF(SUM(TblDetailBudget[[#This Row],[2021 Quant]:[2025 Quant]])&gt;0, SUM(TblDetailBudget[[#This Row],[2021 Quant]:[2025 Quant]]), ""), "")</f>
        <v/>
      </c>
      <c r="Y239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3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3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3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3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39" s="140">
        <f>SUM(TblDetailBudget[[#This Row],[2021 Cost (LCU)]:[2025 Cost (LCU)]])</f>
        <v>0</v>
      </c>
      <c r="AE239" s="134">
        <f>IFERROR(SUM(TblDetailBudget[[#This Row],[2021 Cost (LCU)]])/FX_Rate, "")</f>
        <v>0</v>
      </c>
      <c r="AF239" s="63">
        <f>IFERROR(SUM(TblDetailBudget[[#This Row],[2022 Cost (LCU)]])/FX_Rate, "")</f>
        <v>0</v>
      </c>
      <c r="AG239" s="63">
        <f>IFERROR(SUM(TblDetailBudget[[#This Row],[2023 Cost (LCU)]])/FX_Rate, "")</f>
        <v>0</v>
      </c>
      <c r="AH239" s="63">
        <f>IFERROR(SUM(TblDetailBudget[[#This Row],[2024 Cost (LCU)]])/FX_Rate, "")</f>
        <v>0</v>
      </c>
      <c r="AI239" s="63">
        <f>IFERROR(SUM(TblDetailBudget[[#This Row],[2025 Cost (LCU)]])/FX_Rate, "")</f>
        <v>0</v>
      </c>
      <c r="AJ239" s="125">
        <f>SUM(TblDetailBudget[[#This Row],[2021 Cost (USD)]:[2025 Cost (USD)]])</f>
        <v>0</v>
      </c>
      <c r="AK239" s="180"/>
    </row>
    <row r="240" spans="2:37" ht="12.75" customHeight="1">
      <c r="B240" s="122" t="s">
        <v>70</v>
      </c>
      <c r="C24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4.1.1.1</v>
      </c>
      <c r="D240" s="62">
        <f>IF(TblDetailBudget[[#This Row],[Level]]="", "", COUNTIFS($B$8:TblDetailBudget[[#This Row],[Level]], Lvl1Hdr))</f>
        <v>4</v>
      </c>
      <c r="E240" s="62">
        <f>IF(TblDetailBudget[[#This Row],[Level]]="", "", COUNTIFS($B$8:TblDetailBudget[[#This Row],[Level]], Lvl2Hdr, $D$8:TblDetailBudget[[#This Row],[Lvl 1 Header]], TblDetailBudget[[#This Row],[Lvl 1 Header]]))</f>
        <v>1</v>
      </c>
      <c r="F24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4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4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40" s="101" t="s">
        <v>1890</v>
      </c>
      <c r="J240" s="101"/>
      <c r="K240" s="88"/>
      <c r="L240" s="88"/>
      <c r="M240" s="62" t="str">
        <f>IF(TblDetailBudget[[#This Row],[Level]]=LvlBottomHdr, IFERROR(INDEX(TblUnitCost[Unit], MATCH(TblDetailBudget[[#This Row],[Row Title]], TblUnitCost[Resource], 0)), "Invalid Resource"), "")</f>
        <v/>
      </c>
      <c r="N240" s="125" t="str">
        <f>IF(TblDetailBudget[[#This Row],[Level]]=LvlBottomHdr, IFERROR(INDEX(TblUnitCost[LCU], MATCH(TblDetailBudget[[#This Row],[Row Title]], TblUnitCost[Resource], 0)), "Invalid Resource"), "")</f>
        <v/>
      </c>
      <c r="O240" s="128"/>
      <c r="P240" s="108"/>
      <c r="Q240" s="185"/>
      <c r="R240" s="129"/>
      <c r="S240" s="108"/>
      <c r="T240" s="108"/>
      <c r="U240" s="108"/>
      <c r="V240" s="108"/>
      <c r="W240" s="108"/>
      <c r="X240" s="125" t="str">
        <f>IF(TblDetailBudget[[#This Row],[Level]]=LvlBottomHdr, IF(SUM(TblDetailBudget[[#This Row],[2021 Quant]:[2025 Quant]])&gt;0, SUM(TblDetailBudget[[#This Row],[2021 Quant]:[2025 Quant]]), ""), "")</f>
        <v/>
      </c>
      <c r="Y24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4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4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4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4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40" s="140">
        <f>SUM(TblDetailBudget[[#This Row],[2021 Cost (LCU)]:[2025 Cost (LCU)]])</f>
        <v>0</v>
      </c>
      <c r="AE240" s="134">
        <f>IFERROR(SUM(TblDetailBudget[[#This Row],[2021 Cost (LCU)]])/FX_Rate, "")</f>
        <v>0</v>
      </c>
      <c r="AF240" s="63">
        <f>IFERROR(SUM(TblDetailBudget[[#This Row],[2022 Cost (LCU)]])/FX_Rate, "")</f>
        <v>0</v>
      </c>
      <c r="AG240" s="63">
        <f>IFERROR(SUM(TblDetailBudget[[#This Row],[2023 Cost (LCU)]])/FX_Rate, "")</f>
        <v>0</v>
      </c>
      <c r="AH240" s="63">
        <f>IFERROR(SUM(TblDetailBudget[[#This Row],[2024 Cost (LCU)]])/FX_Rate, "")</f>
        <v>0</v>
      </c>
      <c r="AI240" s="63">
        <f>IFERROR(SUM(TblDetailBudget[[#This Row],[2025 Cost (LCU)]])/FX_Rate, "")</f>
        <v>0</v>
      </c>
      <c r="AJ240" s="125">
        <f>SUM(TblDetailBudget[[#This Row],[2021 Cost (USD)]:[2025 Cost (USD)]])</f>
        <v>0</v>
      </c>
      <c r="AK240" s="180"/>
    </row>
    <row r="241" spans="2:37" ht="12.75" customHeight="1">
      <c r="B241" s="122" t="s">
        <v>71</v>
      </c>
      <c r="C24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4.1.1.1.1</v>
      </c>
      <c r="D241" s="62">
        <f>IF(TblDetailBudget[[#This Row],[Level]]="", "", COUNTIFS($B$8:TblDetailBudget[[#This Row],[Level]], Lvl1Hdr))</f>
        <v>4</v>
      </c>
      <c r="E241" s="62">
        <f>IF(TblDetailBudget[[#This Row],[Level]]="", "", COUNTIFS($B$8:TblDetailBudget[[#This Row],[Level]], Lvl2Hdr, $D$8:TblDetailBudget[[#This Row],[Lvl 1 Header]], TblDetailBudget[[#This Row],[Lvl 1 Header]]))</f>
        <v>1</v>
      </c>
      <c r="F24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4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4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41" s="101" t="s">
        <v>1887</v>
      </c>
      <c r="J241" s="101"/>
      <c r="K241" s="88"/>
      <c r="L241" s="88"/>
      <c r="M241" s="62" t="str">
        <f>IF(TblDetailBudget[[#This Row],[Level]]=LvlBottomHdr, IFERROR(INDEX(TblUnitCost[Unit], MATCH(TblDetailBudget[[#This Row],[Row Title]], TblUnitCost[Resource], 0)), "Invalid Resource"), "")</f>
        <v>per person per day</v>
      </c>
      <c r="N241" s="125">
        <f>IF(TblDetailBudget[[#This Row],[Level]]=LvlBottomHdr, IFERROR(INDEX(TblUnitCost[LCU], MATCH(TblDetailBudget[[#This Row],[Row Title]], TblUnitCost[Resource], 0)), "Invalid Resource"), "")</f>
        <v>654000</v>
      </c>
      <c r="O241" s="128"/>
      <c r="P241" s="108"/>
      <c r="Q241" s="185"/>
      <c r="R241" s="129"/>
      <c r="S241" s="108"/>
      <c r="T241" s="108"/>
      <c r="U241" s="108"/>
      <c r="V241" s="108"/>
      <c r="W241" s="108"/>
      <c r="X241" s="125" t="str">
        <f>IF(TblDetailBudget[[#This Row],[Level]]=LvlBottomHdr, IF(SUM(TblDetailBudget[[#This Row],[2021 Quant]:[2025 Quant]])&gt;0, SUM(TblDetailBudget[[#This Row],[2021 Quant]:[2025 Quant]]), ""), "")</f>
        <v/>
      </c>
      <c r="Y241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4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4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4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4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41" s="140">
        <f>SUM(TblDetailBudget[[#This Row],[2021 Cost (LCU)]:[2025 Cost (LCU)]])</f>
        <v>0</v>
      </c>
      <c r="AE241" s="134">
        <f>IFERROR(SUM(TblDetailBudget[[#This Row],[2021 Cost (LCU)]])/FX_Rate, "")</f>
        <v>0</v>
      </c>
      <c r="AF241" s="63">
        <f>IFERROR(SUM(TblDetailBudget[[#This Row],[2022 Cost (LCU)]])/FX_Rate, "")</f>
        <v>0</v>
      </c>
      <c r="AG241" s="63">
        <f>IFERROR(SUM(TblDetailBudget[[#This Row],[2023 Cost (LCU)]])/FX_Rate, "")</f>
        <v>0</v>
      </c>
      <c r="AH241" s="63">
        <f>IFERROR(SUM(TblDetailBudget[[#This Row],[2024 Cost (LCU)]])/FX_Rate, "")</f>
        <v>0</v>
      </c>
      <c r="AI241" s="63">
        <f>IFERROR(SUM(TblDetailBudget[[#This Row],[2025 Cost (LCU)]])/FX_Rate, "")</f>
        <v>0</v>
      </c>
      <c r="AJ241" s="125">
        <f>SUM(TblDetailBudget[[#This Row],[2021 Cost (USD)]:[2025 Cost (USD)]])</f>
        <v>0</v>
      </c>
      <c r="AK241" s="180"/>
    </row>
    <row r="242" spans="2:37" ht="12.75" customHeight="1">
      <c r="B242" s="122" t="s">
        <v>70</v>
      </c>
      <c r="C24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4.1.1.2</v>
      </c>
      <c r="D242" s="62">
        <f>IF(TblDetailBudget[[#This Row],[Level]]="", "", COUNTIFS($B$8:TblDetailBudget[[#This Row],[Level]], Lvl1Hdr))</f>
        <v>4</v>
      </c>
      <c r="E242" s="62">
        <f>IF(TblDetailBudget[[#This Row],[Level]]="", "", COUNTIFS($B$8:TblDetailBudget[[#This Row],[Level]], Lvl2Hdr, $D$8:TblDetailBudget[[#This Row],[Lvl 1 Header]], TblDetailBudget[[#This Row],[Lvl 1 Header]]))</f>
        <v>1</v>
      </c>
      <c r="F24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4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4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42" s="101" t="s">
        <v>1891</v>
      </c>
      <c r="J242" s="101"/>
      <c r="K242" s="88"/>
      <c r="L242" s="88"/>
      <c r="M242" s="62" t="str">
        <f>IF(TblDetailBudget[[#This Row],[Level]]=LvlBottomHdr, IFERROR(INDEX(TblUnitCost[Unit], MATCH(TblDetailBudget[[#This Row],[Row Title]], TblUnitCost[Resource], 0)), "Invalid Resource"), "")</f>
        <v/>
      </c>
      <c r="N242" s="125" t="str">
        <f>IF(TblDetailBudget[[#This Row],[Level]]=LvlBottomHdr, IFERROR(INDEX(TblUnitCost[LCU], MATCH(TblDetailBudget[[#This Row],[Row Title]], TblUnitCost[Resource], 0)), "Invalid Resource"), "")</f>
        <v/>
      </c>
      <c r="O242" s="128"/>
      <c r="P242" s="108"/>
      <c r="Q242" s="185"/>
      <c r="R242" s="129"/>
      <c r="S242" s="108"/>
      <c r="T242" s="108"/>
      <c r="U242" s="108"/>
      <c r="V242" s="108"/>
      <c r="W242" s="108"/>
      <c r="X242" s="125" t="str">
        <f>IF(TblDetailBudget[[#This Row],[Level]]=LvlBottomHdr, IF(SUM(TblDetailBudget[[#This Row],[2021 Quant]:[2025 Quant]])&gt;0, SUM(TblDetailBudget[[#This Row],[2021 Quant]:[2025 Quant]]), ""), "")</f>
        <v/>
      </c>
      <c r="Y24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4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4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4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4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42" s="140">
        <f>SUM(TblDetailBudget[[#This Row],[2021 Cost (LCU)]:[2025 Cost (LCU)]])</f>
        <v>0</v>
      </c>
      <c r="AE242" s="134">
        <f>IFERROR(SUM(TblDetailBudget[[#This Row],[2021 Cost (LCU)]])/FX_Rate, "")</f>
        <v>0</v>
      </c>
      <c r="AF242" s="63">
        <f>IFERROR(SUM(TblDetailBudget[[#This Row],[2022 Cost (LCU)]])/FX_Rate, "")</f>
        <v>0</v>
      </c>
      <c r="AG242" s="63">
        <f>IFERROR(SUM(TblDetailBudget[[#This Row],[2023 Cost (LCU)]])/FX_Rate, "")</f>
        <v>0</v>
      </c>
      <c r="AH242" s="63">
        <f>IFERROR(SUM(TblDetailBudget[[#This Row],[2024 Cost (LCU)]])/FX_Rate, "")</f>
        <v>0</v>
      </c>
      <c r="AI242" s="63">
        <f>IFERROR(SUM(TblDetailBudget[[#This Row],[2025 Cost (LCU)]])/FX_Rate, "")</f>
        <v>0</v>
      </c>
      <c r="AJ242" s="125">
        <f>SUM(TblDetailBudget[[#This Row],[2021 Cost (USD)]:[2025 Cost (USD)]])</f>
        <v>0</v>
      </c>
      <c r="AK242" s="180"/>
    </row>
    <row r="243" spans="2:37" ht="12.75" customHeight="1">
      <c r="B243" s="122" t="s">
        <v>71</v>
      </c>
      <c r="C24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4.1.1.2.1</v>
      </c>
      <c r="D243" s="62">
        <f>IF(TblDetailBudget[[#This Row],[Level]]="", "", COUNTIFS($B$8:TblDetailBudget[[#This Row],[Level]], Lvl1Hdr))</f>
        <v>4</v>
      </c>
      <c r="E243" s="62">
        <f>IF(TblDetailBudget[[#This Row],[Level]]="", "", COUNTIFS($B$8:TblDetailBudget[[#This Row],[Level]], Lvl2Hdr, $D$8:TblDetailBudget[[#This Row],[Lvl 1 Header]], TblDetailBudget[[#This Row],[Lvl 1 Header]]))</f>
        <v>1</v>
      </c>
      <c r="F24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4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4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43" s="101" t="s">
        <v>1894</v>
      </c>
      <c r="J243" s="101"/>
      <c r="K243" s="88"/>
      <c r="L243" s="88"/>
      <c r="M243" s="62" t="str">
        <f>IF(TblDetailBudget[[#This Row],[Level]]=LvlBottomHdr, IFERROR(INDEX(TblUnitCost[Unit], MATCH(TblDetailBudget[[#This Row],[Row Title]], TblUnitCost[Resource], 0)), "Invalid Resource"), "")</f>
        <v>per person per day</v>
      </c>
      <c r="N243" s="125">
        <f>IF(TblDetailBudget[[#This Row],[Level]]=LvlBottomHdr, IFERROR(INDEX(TblUnitCost[LCU], MATCH(TblDetailBudget[[#This Row],[Row Title]], TblUnitCost[Resource], 0)), "Invalid Resource"), "")</f>
        <v>487333</v>
      </c>
      <c r="O243" s="128"/>
      <c r="P243" s="108"/>
      <c r="Q243" s="185"/>
      <c r="R243" s="129"/>
      <c r="S243" s="108"/>
      <c r="T243" s="108"/>
      <c r="U243" s="108"/>
      <c r="V243" s="108"/>
      <c r="W243" s="108"/>
      <c r="X243" s="125" t="str">
        <f>IF(TblDetailBudget[[#This Row],[Level]]=LvlBottomHdr, IF(SUM(TblDetailBudget[[#This Row],[2021 Quant]:[2025 Quant]])&gt;0, SUM(TblDetailBudget[[#This Row],[2021 Quant]:[2025 Quant]]), ""), "")</f>
        <v/>
      </c>
      <c r="Y243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4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4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4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4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43" s="140">
        <f>SUM(TblDetailBudget[[#This Row],[2021 Cost (LCU)]:[2025 Cost (LCU)]])</f>
        <v>0</v>
      </c>
      <c r="AE243" s="134">
        <f>IFERROR(SUM(TblDetailBudget[[#This Row],[2021 Cost (LCU)]])/FX_Rate, "")</f>
        <v>0</v>
      </c>
      <c r="AF243" s="63">
        <f>IFERROR(SUM(TblDetailBudget[[#This Row],[2022 Cost (LCU)]])/FX_Rate, "")</f>
        <v>0</v>
      </c>
      <c r="AG243" s="63">
        <f>IFERROR(SUM(TblDetailBudget[[#This Row],[2023 Cost (LCU)]])/FX_Rate, "")</f>
        <v>0</v>
      </c>
      <c r="AH243" s="63">
        <f>IFERROR(SUM(TblDetailBudget[[#This Row],[2024 Cost (LCU)]])/FX_Rate, "")</f>
        <v>0</v>
      </c>
      <c r="AI243" s="63">
        <f>IFERROR(SUM(TblDetailBudget[[#This Row],[2025 Cost (LCU)]])/FX_Rate, "")</f>
        <v>0</v>
      </c>
      <c r="AJ243" s="125">
        <f>SUM(TblDetailBudget[[#This Row],[2021 Cost (USD)]:[2025 Cost (USD)]])</f>
        <v>0</v>
      </c>
      <c r="AK243" s="180"/>
    </row>
    <row r="244" spans="2:37" ht="12.75" customHeight="1">
      <c r="B244" s="122" t="s">
        <v>71</v>
      </c>
      <c r="C24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4.1.1.2.2</v>
      </c>
      <c r="D244" s="62">
        <f>IF(TblDetailBudget[[#This Row],[Level]]="", "", COUNTIFS($B$8:TblDetailBudget[[#This Row],[Level]], Lvl1Hdr))</f>
        <v>4</v>
      </c>
      <c r="E244" s="62">
        <f>IF(TblDetailBudget[[#This Row],[Level]]="", "", COUNTIFS($B$8:TblDetailBudget[[#This Row],[Level]], Lvl2Hdr, $D$8:TblDetailBudget[[#This Row],[Lvl 1 Header]], TblDetailBudget[[#This Row],[Lvl 1 Header]]))</f>
        <v>1</v>
      </c>
      <c r="F24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4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4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244" s="101"/>
      <c r="J244" s="101"/>
      <c r="K244" s="88"/>
      <c r="L244" s="88"/>
      <c r="M244" s="62" t="str">
        <f>IF(TblDetailBudget[[#This Row],[Level]]=LvlBottomHdr, IFERROR(INDEX(TblUnitCost[Unit], MATCH(TblDetailBudget[[#This Row],[Row Title]], TblUnitCost[Resource], 0)), "Invalid Resource"), "")</f>
        <v>Invalid Resource</v>
      </c>
      <c r="N244" s="125" t="str">
        <f>IF(TblDetailBudget[[#This Row],[Level]]=LvlBottomHdr, IFERROR(INDEX(TblUnitCost[LCU], MATCH(TblDetailBudget[[#This Row],[Row Title]], TblUnitCost[Resource], 0)), "Invalid Resource"), "")</f>
        <v>Invalid Resource</v>
      </c>
      <c r="O244" s="128"/>
      <c r="P244" s="108"/>
      <c r="Q244" s="185"/>
      <c r="R244" s="129"/>
      <c r="S244" s="108"/>
      <c r="T244" s="108"/>
      <c r="U244" s="108"/>
      <c r="V244" s="108"/>
      <c r="W244" s="108"/>
      <c r="X244" s="125" t="str">
        <f>IF(TblDetailBudget[[#This Row],[Level]]=LvlBottomHdr, IF(SUM(TblDetailBudget[[#This Row],[2021 Quant]:[2025 Quant]])&gt;0, SUM(TblDetailBudget[[#This Row],[2021 Quant]:[2025 Quant]]), ""), "")</f>
        <v/>
      </c>
      <c r="Y24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4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4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4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4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44" s="140">
        <f>SUM(TblDetailBudget[[#This Row],[2021 Cost (LCU)]:[2025 Cost (LCU)]])</f>
        <v>0</v>
      </c>
      <c r="AE244" s="134">
        <f>IFERROR(SUM(TblDetailBudget[[#This Row],[2021 Cost (LCU)]])/FX_Rate, "")</f>
        <v>0</v>
      </c>
      <c r="AF244" s="63">
        <f>IFERROR(SUM(TblDetailBudget[[#This Row],[2022 Cost (LCU)]])/FX_Rate, "")</f>
        <v>0</v>
      </c>
      <c r="AG244" s="63">
        <f>IFERROR(SUM(TblDetailBudget[[#This Row],[2023 Cost (LCU)]])/FX_Rate, "")</f>
        <v>0</v>
      </c>
      <c r="AH244" s="63">
        <f>IFERROR(SUM(TblDetailBudget[[#This Row],[2024 Cost (LCU)]])/FX_Rate, "")</f>
        <v>0</v>
      </c>
      <c r="AI244" s="63">
        <f>IFERROR(SUM(TblDetailBudget[[#This Row],[2025 Cost (LCU)]])/FX_Rate, "")</f>
        <v>0</v>
      </c>
      <c r="AJ244" s="125">
        <f>SUM(TblDetailBudget[[#This Row],[2021 Cost (USD)]:[2025 Cost (USD)]])</f>
        <v>0</v>
      </c>
      <c r="AK244" s="180"/>
    </row>
    <row r="245" spans="2:37" ht="12.75" customHeight="1">
      <c r="B245" s="122" t="s">
        <v>70</v>
      </c>
      <c r="C24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4.1.1.3</v>
      </c>
      <c r="D245" s="62">
        <f>IF(TblDetailBudget[[#This Row],[Level]]="", "", COUNTIFS($B$8:TblDetailBudget[[#This Row],[Level]], Lvl1Hdr))</f>
        <v>4</v>
      </c>
      <c r="E245" s="62">
        <f>IF(TblDetailBudget[[#This Row],[Level]]="", "", COUNTIFS($B$8:TblDetailBudget[[#This Row],[Level]], Lvl2Hdr, $D$8:TblDetailBudget[[#This Row],[Lvl 1 Header]], TblDetailBudget[[#This Row],[Lvl 1 Header]]))</f>
        <v>1</v>
      </c>
      <c r="F24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4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24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45" s="101" t="s">
        <v>1889</v>
      </c>
      <c r="J245" s="101"/>
      <c r="K245" s="88"/>
      <c r="L245" s="88"/>
      <c r="M245" s="62" t="str">
        <f>IF(TblDetailBudget[[#This Row],[Level]]=LvlBottomHdr, IFERROR(INDEX(TblUnitCost[Unit], MATCH(TblDetailBudget[[#This Row],[Row Title]], TblUnitCost[Resource], 0)), "Invalid Resource"), "")</f>
        <v/>
      </c>
      <c r="N245" s="125" t="str">
        <f>IF(TblDetailBudget[[#This Row],[Level]]=LvlBottomHdr, IFERROR(INDEX(TblUnitCost[LCU], MATCH(TblDetailBudget[[#This Row],[Row Title]], TblUnitCost[Resource], 0)), "Invalid Resource"), "")</f>
        <v/>
      </c>
      <c r="O245" s="128"/>
      <c r="P245" s="108"/>
      <c r="Q245" s="185"/>
      <c r="R245" s="129"/>
      <c r="S245" s="108"/>
      <c r="T245" s="108"/>
      <c r="U245" s="108"/>
      <c r="V245" s="108"/>
      <c r="W245" s="108"/>
      <c r="X245" s="125" t="str">
        <f>IF(TblDetailBudget[[#This Row],[Level]]=LvlBottomHdr, IF(SUM(TblDetailBudget[[#This Row],[2021 Quant]:[2025 Quant]])&gt;0, SUM(TblDetailBudget[[#This Row],[2021 Quant]:[2025 Quant]]), ""), "")</f>
        <v/>
      </c>
      <c r="Y24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4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4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4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4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45" s="140">
        <f>SUM(TblDetailBudget[[#This Row],[2021 Cost (LCU)]:[2025 Cost (LCU)]])</f>
        <v>0</v>
      </c>
      <c r="AE245" s="134">
        <f>IFERROR(SUM(TblDetailBudget[[#This Row],[2021 Cost (LCU)]])/FX_Rate, "")</f>
        <v>0</v>
      </c>
      <c r="AF245" s="63">
        <f>IFERROR(SUM(TblDetailBudget[[#This Row],[2022 Cost (LCU)]])/FX_Rate, "")</f>
        <v>0</v>
      </c>
      <c r="AG245" s="63">
        <f>IFERROR(SUM(TblDetailBudget[[#This Row],[2023 Cost (LCU)]])/FX_Rate, "")</f>
        <v>0</v>
      </c>
      <c r="AH245" s="63">
        <f>IFERROR(SUM(TblDetailBudget[[#This Row],[2024 Cost (LCU)]])/FX_Rate, "")</f>
        <v>0</v>
      </c>
      <c r="AI245" s="63">
        <f>IFERROR(SUM(TblDetailBudget[[#This Row],[2025 Cost (LCU)]])/FX_Rate, "")</f>
        <v>0</v>
      </c>
      <c r="AJ245" s="125">
        <f>SUM(TblDetailBudget[[#This Row],[2021 Cost (USD)]:[2025 Cost (USD)]])</f>
        <v>0</v>
      </c>
      <c r="AK245" s="180"/>
    </row>
    <row r="246" spans="2:37" ht="12.75" customHeight="1">
      <c r="B246" s="122" t="s">
        <v>71</v>
      </c>
      <c r="C24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4.1.1.3.1</v>
      </c>
      <c r="D246" s="62">
        <f>IF(TblDetailBudget[[#This Row],[Level]]="", "", COUNTIFS($B$8:TblDetailBudget[[#This Row],[Level]], Lvl1Hdr))</f>
        <v>4</v>
      </c>
      <c r="E246" s="62">
        <f>IF(TblDetailBudget[[#This Row],[Level]]="", "", COUNTIFS($B$8:TblDetailBudget[[#This Row],[Level]], Lvl2Hdr, $D$8:TblDetailBudget[[#This Row],[Lvl 1 Header]], TblDetailBudget[[#This Row],[Lvl 1 Header]]))</f>
        <v>1</v>
      </c>
      <c r="F24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4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24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46" s="101" t="s">
        <v>1894</v>
      </c>
      <c r="J246" s="101"/>
      <c r="K246" s="88"/>
      <c r="L246" s="88"/>
      <c r="M246" s="62" t="str">
        <f>IF(TblDetailBudget[[#This Row],[Level]]=LvlBottomHdr, IFERROR(INDEX(TblUnitCost[Unit], MATCH(TblDetailBudget[[#This Row],[Row Title]], TblUnitCost[Resource], 0)), "Invalid Resource"), "")</f>
        <v>per person per day</v>
      </c>
      <c r="N246" s="125">
        <f>IF(TblDetailBudget[[#This Row],[Level]]=LvlBottomHdr, IFERROR(INDEX(TblUnitCost[LCU], MATCH(TblDetailBudget[[#This Row],[Row Title]], TblUnitCost[Resource], 0)), "Invalid Resource"), "")</f>
        <v>487333</v>
      </c>
      <c r="O246" s="128"/>
      <c r="P246" s="108"/>
      <c r="Q246" s="185"/>
      <c r="R246" s="129"/>
      <c r="S246" s="108"/>
      <c r="T246" s="108"/>
      <c r="U246" s="108"/>
      <c r="V246" s="108"/>
      <c r="W246" s="108"/>
      <c r="X246" s="125" t="str">
        <f>IF(TblDetailBudget[[#This Row],[Level]]=LvlBottomHdr, IF(SUM(TblDetailBudget[[#This Row],[2021 Quant]:[2025 Quant]])&gt;0, SUM(TblDetailBudget[[#This Row],[2021 Quant]:[2025 Quant]]), ""), "")</f>
        <v/>
      </c>
      <c r="Y24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4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4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4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4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46" s="140">
        <f>SUM(TblDetailBudget[[#This Row],[2021 Cost (LCU)]:[2025 Cost (LCU)]])</f>
        <v>0</v>
      </c>
      <c r="AE246" s="134">
        <f>IFERROR(SUM(TblDetailBudget[[#This Row],[2021 Cost (LCU)]])/FX_Rate, "")</f>
        <v>0</v>
      </c>
      <c r="AF246" s="63">
        <f>IFERROR(SUM(TblDetailBudget[[#This Row],[2022 Cost (LCU)]])/FX_Rate, "")</f>
        <v>0</v>
      </c>
      <c r="AG246" s="63">
        <f>IFERROR(SUM(TblDetailBudget[[#This Row],[2023 Cost (LCU)]])/FX_Rate, "")</f>
        <v>0</v>
      </c>
      <c r="AH246" s="63">
        <f>IFERROR(SUM(TblDetailBudget[[#This Row],[2024 Cost (LCU)]])/FX_Rate, "")</f>
        <v>0</v>
      </c>
      <c r="AI246" s="63">
        <f>IFERROR(SUM(TblDetailBudget[[#This Row],[2025 Cost (LCU)]])/FX_Rate, "")</f>
        <v>0</v>
      </c>
      <c r="AJ246" s="125">
        <f>SUM(TblDetailBudget[[#This Row],[2021 Cost (USD)]:[2025 Cost (USD)]])</f>
        <v>0</v>
      </c>
      <c r="AK246" s="180"/>
    </row>
    <row r="247" spans="2:37" ht="12.75" customHeight="1">
      <c r="B247" s="122" t="s">
        <v>70</v>
      </c>
      <c r="C24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4.1.1.4</v>
      </c>
      <c r="D247" s="62">
        <f>IF(TblDetailBudget[[#This Row],[Level]]="", "", COUNTIFS($B$8:TblDetailBudget[[#This Row],[Level]], Lvl1Hdr))</f>
        <v>4</v>
      </c>
      <c r="E247" s="62">
        <f>IF(TblDetailBudget[[#This Row],[Level]]="", "", COUNTIFS($B$8:TblDetailBudget[[#This Row],[Level]], Lvl2Hdr, $D$8:TblDetailBudget[[#This Row],[Lvl 1 Header]], TblDetailBudget[[#This Row],[Lvl 1 Header]]))</f>
        <v>1</v>
      </c>
      <c r="F24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4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24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47" s="101" t="s">
        <v>1893</v>
      </c>
      <c r="J247" s="101"/>
      <c r="K247" s="88"/>
      <c r="L247" s="88"/>
      <c r="M247" s="62" t="str">
        <f>IF(TblDetailBudget[[#This Row],[Level]]=LvlBottomHdr, IFERROR(INDEX(TblUnitCost[Unit], MATCH(TblDetailBudget[[#This Row],[Row Title]], TblUnitCost[Resource], 0)), "Invalid Resource"), "")</f>
        <v/>
      </c>
      <c r="N247" s="125" t="str">
        <f>IF(TblDetailBudget[[#This Row],[Level]]=LvlBottomHdr, IFERROR(INDEX(TblUnitCost[LCU], MATCH(TblDetailBudget[[#This Row],[Row Title]], TblUnitCost[Resource], 0)), "Invalid Resource"), "")</f>
        <v/>
      </c>
      <c r="O247" s="128"/>
      <c r="P247" s="108"/>
      <c r="Q247" s="185"/>
      <c r="R247" s="129"/>
      <c r="S247" s="108"/>
      <c r="T247" s="108"/>
      <c r="U247" s="108"/>
      <c r="V247" s="108"/>
      <c r="W247" s="108"/>
      <c r="X247" s="125" t="str">
        <f>IF(TblDetailBudget[[#This Row],[Level]]=LvlBottomHdr, IF(SUM(TblDetailBudget[[#This Row],[2021 Quant]:[2025 Quant]])&gt;0, SUM(TblDetailBudget[[#This Row],[2021 Quant]:[2025 Quant]]), ""), "")</f>
        <v/>
      </c>
      <c r="Y24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4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4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4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4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47" s="140">
        <f>SUM(TblDetailBudget[[#This Row],[2021 Cost (LCU)]:[2025 Cost (LCU)]])</f>
        <v>0</v>
      </c>
      <c r="AE247" s="134">
        <f>IFERROR(SUM(TblDetailBudget[[#This Row],[2021 Cost (LCU)]])/FX_Rate, "")</f>
        <v>0</v>
      </c>
      <c r="AF247" s="63">
        <f>IFERROR(SUM(TblDetailBudget[[#This Row],[2022 Cost (LCU)]])/FX_Rate, "")</f>
        <v>0</v>
      </c>
      <c r="AG247" s="63">
        <f>IFERROR(SUM(TblDetailBudget[[#This Row],[2023 Cost (LCU)]])/FX_Rate, "")</f>
        <v>0</v>
      </c>
      <c r="AH247" s="63">
        <f>IFERROR(SUM(TblDetailBudget[[#This Row],[2024 Cost (LCU)]])/FX_Rate, "")</f>
        <v>0</v>
      </c>
      <c r="AI247" s="63">
        <f>IFERROR(SUM(TblDetailBudget[[#This Row],[2025 Cost (LCU)]])/FX_Rate, "")</f>
        <v>0</v>
      </c>
      <c r="AJ247" s="125">
        <f>SUM(TblDetailBudget[[#This Row],[2021 Cost (USD)]:[2025 Cost (USD)]])</f>
        <v>0</v>
      </c>
      <c r="AK247" s="180"/>
    </row>
    <row r="248" spans="2:37" ht="12.75" customHeight="1">
      <c r="B248" s="122" t="s">
        <v>71</v>
      </c>
      <c r="C24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4.1.1.4.1</v>
      </c>
      <c r="D248" s="62">
        <f>IF(TblDetailBudget[[#This Row],[Level]]="", "", COUNTIFS($B$8:TblDetailBudget[[#This Row],[Level]], Lvl1Hdr))</f>
        <v>4</v>
      </c>
      <c r="E248" s="62">
        <f>IF(TblDetailBudget[[#This Row],[Level]]="", "", COUNTIFS($B$8:TblDetailBudget[[#This Row],[Level]], Lvl2Hdr, $D$8:TblDetailBudget[[#This Row],[Lvl 1 Header]], TblDetailBudget[[#This Row],[Lvl 1 Header]]))</f>
        <v>1</v>
      </c>
      <c r="F24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4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24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48" s="101" t="s">
        <v>1892</v>
      </c>
      <c r="J248" s="101"/>
      <c r="K248" s="88"/>
      <c r="L248" s="88"/>
      <c r="M248" s="62" t="str">
        <f>IF(TblDetailBudget[[#This Row],[Level]]=LvlBottomHdr, IFERROR(INDEX(TblUnitCost[Unit], MATCH(TblDetailBudget[[#This Row],[Row Title]], TblUnitCost[Resource], 0)), "Invalid Resource"), "")</f>
        <v>per person per day</v>
      </c>
      <c r="N248" s="125">
        <f>IF(TblDetailBudget[[#This Row],[Level]]=LvlBottomHdr, IFERROR(INDEX(TblUnitCost[LCU], MATCH(TblDetailBudget[[#This Row],[Row Title]], TblUnitCost[Resource], 0)), "Invalid Resource"), "")</f>
        <v>149833</v>
      </c>
      <c r="O248" s="128"/>
      <c r="P248" s="108"/>
      <c r="Q248" s="185"/>
      <c r="R248" s="129"/>
      <c r="S248" s="108"/>
      <c r="T248" s="108"/>
      <c r="U248" s="108"/>
      <c r="V248" s="108"/>
      <c r="W248" s="108"/>
      <c r="X248" s="125" t="str">
        <f>IF(TblDetailBudget[[#This Row],[Level]]=LvlBottomHdr, IF(SUM(TblDetailBudget[[#This Row],[2021 Quant]:[2025 Quant]])&gt;0, SUM(TblDetailBudget[[#This Row],[2021 Quant]:[2025 Quant]]), ""), "")</f>
        <v/>
      </c>
      <c r="Y24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4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4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4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4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48" s="140">
        <f>SUM(TblDetailBudget[[#This Row],[2021 Cost (LCU)]:[2025 Cost (LCU)]])</f>
        <v>0</v>
      </c>
      <c r="AE248" s="134">
        <f>IFERROR(SUM(TblDetailBudget[[#This Row],[2021 Cost (LCU)]])/FX_Rate, "")</f>
        <v>0</v>
      </c>
      <c r="AF248" s="63">
        <f>IFERROR(SUM(TblDetailBudget[[#This Row],[2022 Cost (LCU)]])/FX_Rate, "")</f>
        <v>0</v>
      </c>
      <c r="AG248" s="63">
        <f>IFERROR(SUM(TblDetailBudget[[#This Row],[2023 Cost (LCU)]])/FX_Rate, "")</f>
        <v>0</v>
      </c>
      <c r="AH248" s="63">
        <f>IFERROR(SUM(TblDetailBudget[[#This Row],[2024 Cost (LCU)]])/FX_Rate, "")</f>
        <v>0</v>
      </c>
      <c r="AI248" s="63">
        <f>IFERROR(SUM(TblDetailBudget[[#This Row],[2025 Cost (LCU)]])/FX_Rate, "")</f>
        <v>0</v>
      </c>
      <c r="AJ248" s="125">
        <f>SUM(TblDetailBudget[[#This Row],[2021 Cost (USD)]:[2025 Cost (USD)]])</f>
        <v>0</v>
      </c>
      <c r="AK248" s="180"/>
    </row>
    <row r="249" spans="2:37" ht="12.75" customHeight="1">
      <c r="B249" s="122" t="s">
        <v>69</v>
      </c>
      <c r="C24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4.1.2</v>
      </c>
      <c r="D249" s="62">
        <f>IF(TblDetailBudget[[#This Row],[Level]]="", "", COUNTIFS($B$8:TblDetailBudget[[#This Row],[Level]], Lvl1Hdr))</f>
        <v>4</v>
      </c>
      <c r="E249" s="62">
        <f>IF(TblDetailBudget[[#This Row],[Level]]="", "", COUNTIFS($B$8:TblDetailBudget[[#This Row],[Level]], Lvl2Hdr, $D$8:TblDetailBudget[[#This Row],[Lvl 1 Header]], TblDetailBudget[[#This Row],[Lvl 1 Header]]))</f>
        <v>1</v>
      </c>
      <c r="F24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4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4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49" s="188" t="s">
        <v>1882</v>
      </c>
      <c r="J249" s="101"/>
      <c r="K249" s="88"/>
      <c r="L249" s="88"/>
      <c r="M249" s="62" t="str">
        <f>IF(TblDetailBudget[[#This Row],[Level]]=LvlBottomHdr, IFERROR(INDEX(TblUnitCost[Unit], MATCH(TblDetailBudget[[#This Row],[Row Title]], TblUnitCost[Resource], 0)), "Invalid Resource"), "")</f>
        <v/>
      </c>
      <c r="N249" s="125" t="str">
        <f>IF(TblDetailBudget[[#This Row],[Level]]=LvlBottomHdr, IFERROR(INDEX(TblUnitCost[LCU], MATCH(TblDetailBudget[[#This Row],[Row Title]], TblUnitCost[Resource], 0)), "Invalid Resource"), "")</f>
        <v/>
      </c>
      <c r="O249" s="128"/>
      <c r="P249" s="108"/>
      <c r="Q249" s="185"/>
      <c r="R249" s="129"/>
      <c r="S249" s="108"/>
      <c r="T249" s="108"/>
      <c r="U249" s="108"/>
      <c r="V249" s="108"/>
      <c r="W249" s="108"/>
      <c r="X249" s="125" t="str">
        <f>IF(TblDetailBudget[[#This Row],[Level]]=LvlBottomHdr, IF(SUM(TblDetailBudget[[#This Row],[2021 Quant]:[2025 Quant]])&gt;0, SUM(TblDetailBudget[[#This Row],[2021 Quant]:[2025 Quant]]), ""), "")</f>
        <v/>
      </c>
      <c r="Y249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4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4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4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4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49" s="140">
        <f>SUM(TblDetailBudget[[#This Row],[2021 Cost (LCU)]:[2025 Cost (LCU)]])</f>
        <v>0</v>
      </c>
      <c r="AE249" s="134">
        <f>IFERROR(SUM(TblDetailBudget[[#This Row],[2021 Cost (LCU)]])/FX_Rate, "")</f>
        <v>0</v>
      </c>
      <c r="AF249" s="63">
        <f>IFERROR(SUM(TblDetailBudget[[#This Row],[2022 Cost (LCU)]])/FX_Rate, "")</f>
        <v>0</v>
      </c>
      <c r="AG249" s="63">
        <f>IFERROR(SUM(TblDetailBudget[[#This Row],[2023 Cost (LCU)]])/FX_Rate, "")</f>
        <v>0</v>
      </c>
      <c r="AH249" s="63">
        <f>IFERROR(SUM(TblDetailBudget[[#This Row],[2024 Cost (LCU)]])/FX_Rate, "")</f>
        <v>0</v>
      </c>
      <c r="AI249" s="63">
        <f>IFERROR(SUM(TblDetailBudget[[#This Row],[2025 Cost (LCU)]])/FX_Rate, "")</f>
        <v>0</v>
      </c>
      <c r="AJ249" s="125">
        <f>SUM(TblDetailBudget[[#This Row],[2021 Cost (USD)]:[2025 Cost (USD)]])</f>
        <v>0</v>
      </c>
      <c r="AK249" s="180"/>
    </row>
    <row r="250" spans="2:37" ht="12.75" customHeight="1">
      <c r="B250" s="122" t="s">
        <v>70</v>
      </c>
      <c r="C25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4.1.2.1</v>
      </c>
      <c r="D250" s="62">
        <f>IF(TblDetailBudget[[#This Row],[Level]]="", "", COUNTIFS($B$8:TblDetailBudget[[#This Row],[Level]], Lvl1Hdr))</f>
        <v>4</v>
      </c>
      <c r="E250" s="62">
        <f>IF(TblDetailBudget[[#This Row],[Level]]="", "", COUNTIFS($B$8:TblDetailBudget[[#This Row],[Level]], Lvl2Hdr, $D$8:TblDetailBudget[[#This Row],[Lvl 1 Header]], TblDetailBudget[[#This Row],[Lvl 1 Header]]))</f>
        <v>1</v>
      </c>
      <c r="F25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5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5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50" s="101" t="s">
        <v>1883</v>
      </c>
      <c r="J250" s="101"/>
      <c r="K250" s="88"/>
      <c r="L250" s="88"/>
      <c r="M250" s="62" t="str">
        <f>IF(TblDetailBudget[[#This Row],[Level]]=LvlBottomHdr, IFERROR(INDEX(TblUnitCost[Unit], MATCH(TblDetailBudget[[#This Row],[Row Title]], TblUnitCost[Resource], 0)), "Invalid Resource"), "")</f>
        <v/>
      </c>
      <c r="N250" s="125" t="str">
        <f>IF(TblDetailBudget[[#This Row],[Level]]=LvlBottomHdr, IFERROR(INDEX(TblUnitCost[LCU], MATCH(TblDetailBudget[[#This Row],[Row Title]], TblUnitCost[Resource], 0)), "Invalid Resource"), "")</f>
        <v/>
      </c>
      <c r="O250" s="128"/>
      <c r="P250" s="108"/>
      <c r="Q250" s="185"/>
      <c r="R250" s="129"/>
      <c r="S250" s="108"/>
      <c r="T250" s="108"/>
      <c r="U250" s="108"/>
      <c r="V250" s="108"/>
      <c r="W250" s="108"/>
      <c r="X250" s="125" t="str">
        <f>IF(TblDetailBudget[[#This Row],[Level]]=LvlBottomHdr, IF(SUM(TblDetailBudget[[#This Row],[2021 Quant]:[2025 Quant]])&gt;0, SUM(TblDetailBudget[[#This Row],[2021 Quant]:[2025 Quant]]), ""), "")</f>
        <v/>
      </c>
      <c r="Y25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5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5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5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5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50" s="140">
        <f>SUM(TblDetailBudget[[#This Row],[2021 Cost (LCU)]:[2025 Cost (LCU)]])</f>
        <v>0</v>
      </c>
      <c r="AE250" s="134">
        <f>IFERROR(SUM(TblDetailBudget[[#This Row],[2021 Cost (LCU)]])/FX_Rate, "")</f>
        <v>0</v>
      </c>
      <c r="AF250" s="63">
        <f>IFERROR(SUM(TblDetailBudget[[#This Row],[2022 Cost (LCU)]])/FX_Rate, "")</f>
        <v>0</v>
      </c>
      <c r="AG250" s="63">
        <f>IFERROR(SUM(TblDetailBudget[[#This Row],[2023 Cost (LCU)]])/FX_Rate, "")</f>
        <v>0</v>
      </c>
      <c r="AH250" s="63">
        <f>IFERROR(SUM(TblDetailBudget[[#This Row],[2024 Cost (LCU)]])/FX_Rate, "")</f>
        <v>0</v>
      </c>
      <c r="AI250" s="63">
        <f>IFERROR(SUM(TblDetailBudget[[#This Row],[2025 Cost (LCU)]])/FX_Rate, "")</f>
        <v>0</v>
      </c>
      <c r="AJ250" s="125">
        <f>SUM(TblDetailBudget[[#This Row],[2021 Cost (USD)]:[2025 Cost (USD)]])</f>
        <v>0</v>
      </c>
      <c r="AK250" s="180"/>
    </row>
    <row r="251" spans="2:37" ht="12.75" customHeight="1">
      <c r="B251" s="122" t="s">
        <v>71</v>
      </c>
      <c r="C25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4.1.2.1.1</v>
      </c>
      <c r="D251" s="62">
        <f>IF(TblDetailBudget[[#This Row],[Level]]="", "", COUNTIFS($B$8:TblDetailBudget[[#This Row],[Level]], Lvl1Hdr))</f>
        <v>4</v>
      </c>
      <c r="E251" s="62">
        <f>IF(TblDetailBudget[[#This Row],[Level]]="", "", COUNTIFS($B$8:TblDetailBudget[[#This Row],[Level]], Lvl2Hdr, $D$8:TblDetailBudget[[#This Row],[Lvl 1 Header]], TblDetailBudget[[#This Row],[Lvl 1 Header]]))</f>
        <v>1</v>
      </c>
      <c r="F25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5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5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51" s="101"/>
      <c r="J251" s="101"/>
      <c r="K251" s="88"/>
      <c r="L251" s="88"/>
      <c r="M251" s="62" t="str">
        <f>IF(TblDetailBudget[[#This Row],[Level]]=LvlBottomHdr, IFERROR(INDEX(TblUnitCost[Unit], MATCH(TblDetailBudget[[#This Row],[Row Title]], TblUnitCost[Resource], 0)), "Invalid Resource"), "")</f>
        <v>Invalid Resource</v>
      </c>
      <c r="N251" s="125" t="str">
        <f>IF(TblDetailBudget[[#This Row],[Level]]=LvlBottomHdr, IFERROR(INDEX(TblUnitCost[LCU], MATCH(TblDetailBudget[[#This Row],[Row Title]], TblUnitCost[Resource], 0)), "Invalid Resource"), "")</f>
        <v>Invalid Resource</v>
      </c>
      <c r="O251" s="128"/>
      <c r="P251" s="108"/>
      <c r="Q251" s="185"/>
      <c r="R251" s="129"/>
      <c r="S251" s="108"/>
      <c r="T251" s="108"/>
      <c r="U251" s="108"/>
      <c r="V251" s="108"/>
      <c r="W251" s="108"/>
      <c r="X251" s="125" t="str">
        <f>IF(TblDetailBudget[[#This Row],[Level]]=LvlBottomHdr, IF(SUM(TblDetailBudget[[#This Row],[2021 Quant]:[2025 Quant]])&gt;0, SUM(TblDetailBudget[[#This Row],[2021 Quant]:[2025 Quant]]), ""), "")</f>
        <v/>
      </c>
      <c r="Y251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5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5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5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5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51" s="140">
        <f>SUM(TblDetailBudget[[#This Row],[2021 Cost (LCU)]:[2025 Cost (LCU)]])</f>
        <v>0</v>
      </c>
      <c r="AE251" s="134">
        <f>IFERROR(SUM(TblDetailBudget[[#This Row],[2021 Cost (LCU)]])/FX_Rate, "")</f>
        <v>0</v>
      </c>
      <c r="AF251" s="63">
        <f>IFERROR(SUM(TblDetailBudget[[#This Row],[2022 Cost (LCU)]])/FX_Rate, "")</f>
        <v>0</v>
      </c>
      <c r="AG251" s="63">
        <f>IFERROR(SUM(TblDetailBudget[[#This Row],[2023 Cost (LCU)]])/FX_Rate, "")</f>
        <v>0</v>
      </c>
      <c r="AH251" s="63">
        <f>IFERROR(SUM(TblDetailBudget[[#This Row],[2024 Cost (LCU)]])/FX_Rate, "")</f>
        <v>0</v>
      </c>
      <c r="AI251" s="63">
        <f>IFERROR(SUM(TblDetailBudget[[#This Row],[2025 Cost (LCU)]])/FX_Rate, "")</f>
        <v>0</v>
      </c>
      <c r="AJ251" s="125">
        <f>SUM(TblDetailBudget[[#This Row],[2021 Cost (USD)]:[2025 Cost (USD)]])</f>
        <v>0</v>
      </c>
      <c r="AK251" s="180"/>
    </row>
    <row r="252" spans="2:37" ht="12.75" customHeight="1">
      <c r="B252" s="122" t="s">
        <v>70</v>
      </c>
      <c r="C25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4.1.2.2</v>
      </c>
      <c r="D252" s="62">
        <f>IF(TblDetailBudget[[#This Row],[Level]]="", "", COUNTIFS($B$8:TblDetailBudget[[#This Row],[Level]], Lvl1Hdr))</f>
        <v>4</v>
      </c>
      <c r="E252" s="62">
        <f>IF(TblDetailBudget[[#This Row],[Level]]="", "", COUNTIFS($B$8:TblDetailBudget[[#This Row],[Level]], Lvl2Hdr, $D$8:TblDetailBudget[[#This Row],[Lvl 1 Header]], TblDetailBudget[[#This Row],[Lvl 1 Header]]))</f>
        <v>1</v>
      </c>
      <c r="F25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5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5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52" s="101" t="s">
        <v>1884</v>
      </c>
      <c r="J252" s="101"/>
      <c r="K252" s="88"/>
      <c r="L252" s="88"/>
      <c r="M252" s="62" t="str">
        <f>IF(TblDetailBudget[[#This Row],[Level]]=LvlBottomHdr, IFERROR(INDEX(TblUnitCost[Unit], MATCH(TblDetailBudget[[#This Row],[Row Title]], TblUnitCost[Resource], 0)), "Invalid Resource"), "")</f>
        <v/>
      </c>
      <c r="N252" s="125" t="str">
        <f>IF(TblDetailBudget[[#This Row],[Level]]=LvlBottomHdr, IFERROR(INDEX(TblUnitCost[LCU], MATCH(TblDetailBudget[[#This Row],[Row Title]], TblUnitCost[Resource], 0)), "Invalid Resource"), "")</f>
        <v/>
      </c>
      <c r="O252" s="128"/>
      <c r="P252" s="108"/>
      <c r="Q252" s="185"/>
      <c r="R252" s="129"/>
      <c r="S252" s="108"/>
      <c r="T252" s="108"/>
      <c r="U252" s="108"/>
      <c r="V252" s="108"/>
      <c r="W252" s="108"/>
      <c r="X252" s="125" t="str">
        <f>IF(TblDetailBudget[[#This Row],[Level]]=LvlBottomHdr, IF(SUM(TblDetailBudget[[#This Row],[2021 Quant]:[2025 Quant]])&gt;0, SUM(TblDetailBudget[[#This Row],[2021 Quant]:[2025 Quant]]), ""), "")</f>
        <v/>
      </c>
      <c r="Y25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5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5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5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5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52" s="140">
        <f>SUM(TblDetailBudget[[#This Row],[2021 Cost (LCU)]:[2025 Cost (LCU)]])</f>
        <v>0</v>
      </c>
      <c r="AE252" s="134">
        <f>IFERROR(SUM(TblDetailBudget[[#This Row],[2021 Cost (LCU)]])/FX_Rate, "")</f>
        <v>0</v>
      </c>
      <c r="AF252" s="63">
        <f>IFERROR(SUM(TblDetailBudget[[#This Row],[2022 Cost (LCU)]])/FX_Rate, "")</f>
        <v>0</v>
      </c>
      <c r="AG252" s="63">
        <f>IFERROR(SUM(TblDetailBudget[[#This Row],[2023 Cost (LCU)]])/FX_Rate, "")</f>
        <v>0</v>
      </c>
      <c r="AH252" s="63">
        <f>IFERROR(SUM(TblDetailBudget[[#This Row],[2024 Cost (LCU)]])/FX_Rate, "")</f>
        <v>0</v>
      </c>
      <c r="AI252" s="63">
        <f>IFERROR(SUM(TblDetailBudget[[#This Row],[2025 Cost (LCU)]])/FX_Rate, "")</f>
        <v>0</v>
      </c>
      <c r="AJ252" s="125">
        <f>SUM(TblDetailBudget[[#This Row],[2021 Cost (USD)]:[2025 Cost (USD)]])</f>
        <v>0</v>
      </c>
      <c r="AK252" s="180"/>
    </row>
    <row r="253" spans="2:37" ht="12.75" customHeight="1">
      <c r="B253" s="122" t="s">
        <v>71</v>
      </c>
      <c r="C25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4.1.2.2.1</v>
      </c>
      <c r="D253" s="62">
        <f>IF(TblDetailBudget[[#This Row],[Level]]="", "", COUNTIFS($B$8:TblDetailBudget[[#This Row],[Level]], Lvl1Hdr))</f>
        <v>4</v>
      </c>
      <c r="E253" s="62">
        <f>IF(TblDetailBudget[[#This Row],[Level]]="", "", COUNTIFS($B$8:TblDetailBudget[[#This Row],[Level]], Lvl2Hdr, $D$8:TblDetailBudget[[#This Row],[Lvl 1 Header]], TblDetailBudget[[#This Row],[Lvl 1 Header]]))</f>
        <v>1</v>
      </c>
      <c r="F25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5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5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53" s="164"/>
      <c r="J253" s="101"/>
      <c r="K253" s="88"/>
      <c r="L253" s="88"/>
      <c r="M253" s="62" t="str">
        <f>IF(TblDetailBudget[[#This Row],[Level]]=LvlBottomHdr, IFERROR(INDEX(TblUnitCost[Unit], MATCH(TblDetailBudget[[#This Row],[Row Title]], TblUnitCost[Resource], 0)), "Invalid Resource"), "")</f>
        <v>Invalid Resource</v>
      </c>
      <c r="N253" s="125" t="str">
        <f>IF(TblDetailBudget[[#This Row],[Level]]=LvlBottomHdr, IFERROR(INDEX(TblUnitCost[LCU], MATCH(TblDetailBudget[[#This Row],[Row Title]], TblUnitCost[Resource], 0)), "Invalid Resource"), "")</f>
        <v>Invalid Resource</v>
      </c>
      <c r="O253" s="128"/>
      <c r="P253" s="108"/>
      <c r="Q253" s="185"/>
      <c r="R253" s="129"/>
      <c r="S253" s="108"/>
      <c r="T253" s="108"/>
      <c r="U253" s="108"/>
      <c r="V253" s="108"/>
      <c r="W253" s="108"/>
      <c r="X253" s="125" t="str">
        <f>IF(TblDetailBudget[[#This Row],[Level]]=LvlBottomHdr, IF(SUM(TblDetailBudget[[#This Row],[2021 Quant]:[2025 Quant]])&gt;0, SUM(TblDetailBudget[[#This Row],[2021 Quant]:[2025 Quant]]), ""), "")</f>
        <v/>
      </c>
      <c r="Y253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5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5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5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5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53" s="140">
        <f>SUM(TblDetailBudget[[#This Row],[2021 Cost (LCU)]:[2025 Cost (LCU)]])</f>
        <v>0</v>
      </c>
      <c r="AE253" s="134">
        <f>IFERROR(SUM(TblDetailBudget[[#This Row],[2021 Cost (LCU)]])/FX_Rate, "")</f>
        <v>0</v>
      </c>
      <c r="AF253" s="63">
        <f>IFERROR(SUM(TblDetailBudget[[#This Row],[2022 Cost (LCU)]])/FX_Rate, "")</f>
        <v>0</v>
      </c>
      <c r="AG253" s="63">
        <f>IFERROR(SUM(TblDetailBudget[[#This Row],[2023 Cost (LCU)]])/FX_Rate, "")</f>
        <v>0</v>
      </c>
      <c r="AH253" s="63">
        <f>IFERROR(SUM(TblDetailBudget[[#This Row],[2024 Cost (LCU)]])/FX_Rate, "")</f>
        <v>0</v>
      </c>
      <c r="AI253" s="63">
        <f>IFERROR(SUM(TblDetailBudget[[#This Row],[2025 Cost (LCU)]])/FX_Rate, "")</f>
        <v>0</v>
      </c>
      <c r="AJ253" s="125">
        <f>SUM(TblDetailBudget[[#This Row],[2021 Cost (USD)]:[2025 Cost (USD)]])</f>
        <v>0</v>
      </c>
      <c r="AK253" s="180"/>
    </row>
    <row r="254" spans="2:37" ht="12.75" customHeight="1">
      <c r="B254" s="122" t="s">
        <v>67</v>
      </c>
      <c r="C25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5</v>
      </c>
      <c r="D254" s="62">
        <f>IF(TblDetailBudget[[#This Row],[Level]]="", "", COUNTIFS($B$8:TblDetailBudget[[#This Row],[Level]], Lvl1Hdr))</f>
        <v>5</v>
      </c>
      <c r="E254" s="62">
        <f>IF(TblDetailBudget[[#This Row],[Level]]="", "", COUNTIFS($B$8:TblDetailBudget[[#This Row],[Level]], Lvl2Hdr, $D$8:TblDetailBudget[[#This Row],[Lvl 1 Header]], TblDetailBudget[[#This Row],[Lvl 1 Header]]))</f>
        <v>0</v>
      </c>
      <c r="F25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25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5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54" s="101" t="s">
        <v>162</v>
      </c>
      <c r="J254" s="101"/>
      <c r="K254" s="88"/>
      <c r="L254" s="88"/>
      <c r="M254" s="62" t="str">
        <f>IF(TblDetailBudget[[#This Row],[Level]]=LvlBottomHdr, IFERROR(INDEX(TblUnitCost[Unit], MATCH(TblDetailBudget[[#This Row],[Row Title]], TblUnitCost[Resource], 0)), "Invalid Resource"), "")</f>
        <v/>
      </c>
      <c r="N254" s="125" t="str">
        <f>IF(TblDetailBudget[[#This Row],[Level]]=LvlBottomHdr, IFERROR(INDEX(TblUnitCost[LCU], MATCH(TblDetailBudget[[#This Row],[Row Title]], TblUnitCost[Resource], 0)), "Invalid Resource"), "")</f>
        <v/>
      </c>
      <c r="O254" s="128"/>
      <c r="P254" s="108"/>
      <c r="Q254" s="185"/>
      <c r="R254" s="129"/>
      <c r="S254" s="108"/>
      <c r="T254" s="108"/>
      <c r="U254" s="108"/>
      <c r="V254" s="108"/>
      <c r="W254" s="108"/>
      <c r="X254" s="125" t="str">
        <f>IF(TblDetailBudget[[#This Row],[Level]]=LvlBottomHdr, IF(SUM(TblDetailBudget[[#This Row],[2021 Quant]:[2025 Quant]])&gt;0, SUM(TblDetailBudget[[#This Row],[2021 Quant]:[2025 Quant]]), ""), "")</f>
        <v/>
      </c>
      <c r="Y254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5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5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5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5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54" s="140">
        <f>SUM(TblDetailBudget[[#This Row],[2021 Cost (LCU)]:[2025 Cost (LCU)]])</f>
        <v>0</v>
      </c>
      <c r="AE254" s="134">
        <f>IFERROR(SUM(TblDetailBudget[[#This Row],[2021 Cost (LCU)]])/FX_Rate, "")</f>
        <v>0</v>
      </c>
      <c r="AF254" s="63">
        <f>IFERROR(SUM(TblDetailBudget[[#This Row],[2022 Cost (LCU)]])/FX_Rate, "")</f>
        <v>0</v>
      </c>
      <c r="AG254" s="63">
        <f>IFERROR(SUM(TblDetailBudget[[#This Row],[2023 Cost (LCU)]])/FX_Rate, "")</f>
        <v>0</v>
      </c>
      <c r="AH254" s="63">
        <f>IFERROR(SUM(TblDetailBudget[[#This Row],[2024 Cost (LCU)]])/FX_Rate, "")</f>
        <v>0</v>
      </c>
      <c r="AI254" s="63">
        <f>IFERROR(SUM(TblDetailBudget[[#This Row],[2025 Cost (LCU)]])/FX_Rate, "")</f>
        <v>0</v>
      </c>
      <c r="AJ254" s="125">
        <f>SUM(TblDetailBudget[[#This Row],[2021 Cost (USD)]:[2025 Cost (USD)]])</f>
        <v>0</v>
      </c>
      <c r="AK254" s="180"/>
    </row>
    <row r="255" spans="2:37" ht="12.75" customHeight="1">
      <c r="B255" s="122" t="s">
        <v>68</v>
      </c>
      <c r="C25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5.1</v>
      </c>
      <c r="D255" s="62">
        <f>IF(TblDetailBudget[[#This Row],[Level]]="", "", COUNTIFS($B$8:TblDetailBudget[[#This Row],[Level]], Lvl1Hdr))</f>
        <v>5</v>
      </c>
      <c r="E255" s="62">
        <f>IF(TblDetailBudget[[#This Row],[Level]]="", "", COUNTIFS($B$8:TblDetailBudget[[#This Row],[Level]], Lvl2Hdr, $D$8:TblDetailBudget[[#This Row],[Lvl 1 Header]], TblDetailBudget[[#This Row],[Lvl 1 Header]]))</f>
        <v>1</v>
      </c>
      <c r="F25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25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5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55" s="188" t="s">
        <v>230</v>
      </c>
      <c r="J255" s="101"/>
      <c r="K255" s="88"/>
      <c r="L255" s="88"/>
      <c r="M255" s="62" t="str">
        <f>IF(TblDetailBudget[[#This Row],[Level]]=LvlBottomHdr, IFERROR(INDEX(TblUnitCost[Unit], MATCH(TblDetailBudget[[#This Row],[Row Title]], TblUnitCost[Resource], 0)), "Invalid Resource"), "")</f>
        <v/>
      </c>
      <c r="N255" s="125" t="str">
        <f>IF(TblDetailBudget[[#This Row],[Level]]=LvlBottomHdr, IFERROR(INDEX(TblUnitCost[LCU], MATCH(TblDetailBudget[[#This Row],[Row Title]], TblUnitCost[Resource], 0)), "Invalid Resource"), "")</f>
        <v/>
      </c>
      <c r="O255" s="128"/>
      <c r="P255" s="108"/>
      <c r="Q255" s="185"/>
      <c r="R255" s="129"/>
      <c r="S255" s="108"/>
      <c r="T255" s="108"/>
      <c r="U255" s="108"/>
      <c r="V255" s="108"/>
      <c r="W255" s="108"/>
      <c r="X255" s="125" t="str">
        <f>IF(TblDetailBudget[[#This Row],[Level]]=LvlBottomHdr, IF(SUM(TblDetailBudget[[#This Row],[2021 Quant]:[2025 Quant]])&gt;0, SUM(TblDetailBudget[[#This Row],[2021 Quant]:[2025 Quant]]), ""), "")</f>
        <v/>
      </c>
      <c r="Y25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5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5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5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5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55" s="140">
        <f>SUM(TblDetailBudget[[#This Row],[2021 Cost (LCU)]:[2025 Cost (LCU)]])</f>
        <v>0</v>
      </c>
      <c r="AE255" s="134">
        <f>IFERROR(SUM(TblDetailBudget[[#This Row],[2021 Cost (LCU)]])/FX_Rate, "")</f>
        <v>0</v>
      </c>
      <c r="AF255" s="63">
        <f>IFERROR(SUM(TblDetailBudget[[#This Row],[2022 Cost (LCU)]])/FX_Rate, "")</f>
        <v>0</v>
      </c>
      <c r="AG255" s="63">
        <f>IFERROR(SUM(TblDetailBudget[[#This Row],[2023 Cost (LCU)]])/FX_Rate, "")</f>
        <v>0</v>
      </c>
      <c r="AH255" s="63">
        <f>IFERROR(SUM(TblDetailBudget[[#This Row],[2024 Cost (LCU)]])/FX_Rate, "")</f>
        <v>0</v>
      </c>
      <c r="AI255" s="63">
        <f>IFERROR(SUM(TblDetailBudget[[#This Row],[2025 Cost (LCU)]])/FX_Rate, "")</f>
        <v>0</v>
      </c>
      <c r="AJ255" s="125">
        <f>SUM(TblDetailBudget[[#This Row],[2021 Cost (USD)]:[2025 Cost (USD)]])</f>
        <v>0</v>
      </c>
      <c r="AK255" s="180"/>
    </row>
    <row r="256" spans="2:37" ht="12.75" customHeight="1">
      <c r="B256" s="122" t="s">
        <v>69</v>
      </c>
      <c r="C25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5.1.1</v>
      </c>
      <c r="D256" s="62">
        <f>IF(TblDetailBudget[[#This Row],[Level]]="", "", COUNTIFS($B$8:TblDetailBudget[[#This Row],[Level]], Lvl1Hdr))</f>
        <v>5</v>
      </c>
      <c r="E256" s="62">
        <f>IF(TblDetailBudget[[#This Row],[Level]]="", "", COUNTIFS($B$8:TblDetailBudget[[#This Row],[Level]], Lvl2Hdr, $D$8:TblDetailBudget[[#This Row],[Lvl 1 Header]], TblDetailBudget[[#This Row],[Lvl 1 Header]]))</f>
        <v>1</v>
      </c>
      <c r="F25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5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5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56" s="188" t="s">
        <v>1885</v>
      </c>
      <c r="J256" s="101"/>
      <c r="K256" s="88"/>
      <c r="L256" s="88"/>
      <c r="M256" s="62" t="str">
        <f>IF(TblDetailBudget[[#This Row],[Level]]=LvlBottomHdr, IFERROR(INDEX(TblUnitCost[Unit], MATCH(TblDetailBudget[[#This Row],[Row Title]], TblUnitCost[Resource], 0)), "Invalid Resource"), "")</f>
        <v/>
      </c>
      <c r="N256" s="125" t="str">
        <f>IF(TblDetailBudget[[#This Row],[Level]]=LvlBottomHdr, IFERROR(INDEX(TblUnitCost[LCU], MATCH(TblDetailBudget[[#This Row],[Row Title]], TblUnitCost[Resource], 0)), "Invalid Resource"), "")</f>
        <v/>
      </c>
      <c r="O256" s="128"/>
      <c r="P256" s="108"/>
      <c r="Q256" s="185"/>
      <c r="R256" s="129"/>
      <c r="S256" s="108"/>
      <c r="T256" s="108"/>
      <c r="U256" s="108"/>
      <c r="V256" s="108"/>
      <c r="W256" s="108"/>
      <c r="X256" s="125" t="str">
        <f>IF(TblDetailBudget[[#This Row],[Level]]=LvlBottomHdr, IF(SUM(TblDetailBudget[[#This Row],[2021 Quant]:[2025 Quant]])&gt;0, SUM(TblDetailBudget[[#This Row],[2021 Quant]:[2025 Quant]]), ""), "")</f>
        <v/>
      </c>
      <c r="Y25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5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5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5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5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56" s="140">
        <f>SUM(TblDetailBudget[[#This Row],[2021 Cost (LCU)]:[2025 Cost (LCU)]])</f>
        <v>0</v>
      </c>
      <c r="AE256" s="134">
        <f>IFERROR(SUM(TblDetailBudget[[#This Row],[2021 Cost (LCU)]])/FX_Rate, "")</f>
        <v>0</v>
      </c>
      <c r="AF256" s="63">
        <f>IFERROR(SUM(TblDetailBudget[[#This Row],[2022 Cost (LCU)]])/FX_Rate, "")</f>
        <v>0</v>
      </c>
      <c r="AG256" s="63">
        <f>IFERROR(SUM(TblDetailBudget[[#This Row],[2023 Cost (LCU)]])/FX_Rate, "")</f>
        <v>0</v>
      </c>
      <c r="AH256" s="63">
        <f>IFERROR(SUM(TblDetailBudget[[#This Row],[2024 Cost (LCU)]])/FX_Rate, "")</f>
        <v>0</v>
      </c>
      <c r="AI256" s="63">
        <f>IFERROR(SUM(TblDetailBudget[[#This Row],[2025 Cost (LCU)]])/FX_Rate, "")</f>
        <v>0</v>
      </c>
      <c r="AJ256" s="125">
        <f>SUM(TblDetailBudget[[#This Row],[2021 Cost (USD)]:[2025 Cost (USD)]])</f>
        <v>0</v>
      </c>
      <c r="AK256" s="180"/>
    </row>
    <row r="257" spans="2:37" ht="12.75" customHeight="1">
      <c r="B257" s="122" t="s">
        <v>70</v>
      </c>
      <c r="C25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5.1.1.1</v>
      </c>
      <c r="D257" s="62">
        <f>IF(TblDetailBudget[[#This Row],[Level]]="", "", COUNTIFS($B$8:TblDetailBudget[[#This Row],[Level]], Lvl1Hdr))</f>
        <v>5</v>
      </c>
      <c r="E257" s="62">
        <f>IF(TblDetailBudget[[#This Row],[Level]]="", "", COUNTIFS($B$8:TblDetailBudget[[#This Row],[Level]], Lvl2Hdr, $D$8:TblDetailBudget[[#This Row],[Lvl 1 Header]], TblDetailBudget[[#This Row],[Lvl 1 Header]]))</f>
        <v>1</v>
      </c>
      <c r="F25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5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5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57" s="101" t="s">
        <v>1886</v>
      </c>
      <c r="J257" s="101"/>
      <c r="K257" s="88"/>
      <c r="L257" s="88"/>
      <c r="M257" s="62" t="str">
        <f>IF(TblDetailBudget[[#This Row],[Level]]=LvlBottomHdr, IFERROR(INDEX(TblUnitCost[Unit], MATCH(TblDetailBudget[[#This Row],[Row Title]], TblUnitCost[Resource], 0)), "Invalid Resource"), "")</f>
        <v/>
      </c>
      <c r="N257" s="125" t="str">
        <f>IF(TblDetailBudget[[#This Row],[Level]]=LvlBottomHdr, IFERROR(INDEX(TblUnitCost[LCU], MATCH(TblDetailBudget[[#This Row],[Row Title]], TblUnitCost[Resource], 0)), "Invalid Resource"), "")</f>
        <v/>
      </c>
      <c r="O257" s="128"/>
      <c r="P257" s="108"/>
      <c r="Q257" s="185"/>
      <c r="R257" s="129"/>
      <c r="S257" s="108"/>
      <c r="T257" s="108"/>
      <c r="U257" s="108"/>
      <c r="V257" s="108"/>
      <c r="W257" s="108"/>
      <c r="X257" s="125" t="str">
        <f>IF(TblDetailBudget[[#This Row],[Level]]=LvlBottomHdr, IF(SUM(TblDetailBudget[[#This Row],[2021 Quant]:[2025 Quant]])&gt;0, SUM(TblDetailBudget[[#This Row],[2021 Quant]:[2025 Quant]]), ""), "")</f>
        <v/>
      </c>
      <c r="Y25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5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5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5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5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57" s="140">
        <f>SUM(TblDetailBudget[[#This Row],[2021 Cost (LCU)]:[2025 Cost (LCU)]])</f>
        <v>0</v>
      </c>
      <c r="AE257" s="134">
        <f>IFERROR(SUM(TblDetailBudget[[#This Row],[2021 Cost (LCU)]])/FX_Rate, "")</f>
        <v>0</v>
      </c>
      <c r="AF257" s="63">
        <f>IFERROR(SUM(TblDetailBudget[[#This Row],[2022 Cost (LCU)]])/FX_Rate, "")</f>
        <v>0</v>
      </c>
      <c r="AG257" s="63">
        <f>IFERROR(SUM(TblDetailBudget[[#This Row],[2023 Cost (LCU)]])/FX_Rate, "")</f>
        <v>0</v>
      </c>
      <c r="AH257" s="63">
        <f>IFERROR(SUM(TblDetailBudget[[#This Row],[2024 Cost (LCU)]])/FX_Rate, "")</f>
        <v>0</v>
      </c>
      <c r="AI257" s="63">
        <f>IFERROR(SUM(TblDetailBudget[[#This Row],[2025 Cost (LCU)]])/FX_Rate, "")</f>
        <v>0</v>
      </c>
      <c r="AJ257" s="125">
        <f>SUM(TblDetailBudget[[#This Row],[2021 Cost (USD)]:[2025 Cost (USD)]])</f>
        <v>0</v>
      </c>
      <c r="AK257" s="180"/>
    </row>
    <row r="258" spans="2:37" ht="12.75" customHeight="1">
      <c r="B258" s="122" t="s">
        <v>71</v>
      </c>
      <c r="C25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5.1.1.1.1</v>
      </c>
      <c r="D258" s="62">
        <f>IF(TblDetailBudget[[#This Row],[Level]]="", "", COUNTIFS($B$8:TblDetailBudget[[#This Row],[Level]], Lvl1Hdr))</f>
        <v>5</v>
      </c>
      <c r="E258" s="62">
        <f>IF(TblDetailBudget[[#This Row],[Level]]="", "", COUNTIFS($B$8:TblDetailBudget[[#This Row],[Level]], Lvl2Hdr, $D$8:TblDetailBudget[[#This Row],[Lvl 1 Header]], TblDetailBudget[[#This Row],[Lvl 1 Header]]))</f>
        <v>1</v>
      </c>
      <c r="F25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5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5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58" s="101"/>
      <c r="J258" s="101"/>
      <c r="K258" s="88"/>
      <c r="L258" s="88"/>
      <c r="M258" s="62" t="str">
        <f>IF(TblDetailBudget[[#This Row],[Level]]=LvlBottomHdr, IFERROR(INDEX(TblUnitCost[Unit], MATCH(TblDetailBudget[[#This Row],[Row Title]], TblUnitCost[Resource], 0)), "Invalid Resource"), "")</f>
        <v>Invalid Resource</v>
      </c>
      <c r="N258" s="125" t="str">
        <f>IF(TblDetailBudget[[#This Row],[Level]]=LvlBottomHdr, IFERROR(INDEX(TblUnitCost[LCU], MATCH(TblDetailBudget[[#This Row],[Row Title]], TblUnitCost[Resource], 0)), "Invalid Resource"), "")</f>
        <v>Invalid Resource</v>
      </c>
      <c r="O258" s="128"/>
      <c r="P258" s="108"/>
      <c r="Q258" s="185"/>
      <c r="R258" s="129"/>
      <c r="S258" s="108"/>
      <c r="T258" s="108"/>
      <c r="U258" s="108"/>
      <c r="V258" s="108"/>
      <c r="W258" s="108"/>
      <c r="X258" s="125" t="str">
        <f>IF(TblDetailBudget[[#This Row],[Level]]=LvlBottomHdr, IF(SUM(TblDetailBudget[[#This Row],[2021 Quant]:[2025 Quant]])&gt;0, SUM(TblDetailBudget[[#This Row],[2021 Quant]:[2025 Quant]]), ""), "")</f>
        <v/>
      </c>
      <c r="Y258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5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5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5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5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58" s="140">
        <f>SUM(TblDetailBudget[[#This Row],[2021 Cost (LCU)]:[2025 Cost (LCU)]])</f>
        <v>0</v>
      </c>
      <c r="AE258" s="134">
        <f>IFERROR(SUM(TblDetailBudget[[#This Row],[2021 Cost (LCU)]])/FX_Rate, "")</f>
        <v>0</v>
      </c>
      <c r="AF258" s="63">
        <f>IFERROR(SUM(TblDetailBudget[[#This Row],[2022 Cost (LCU)]])/FX_Rate, "")</f>
        <v>0</v>
      </c>
      <c r="AG258" s="63">
        <f>IFERROR(SUM(TblDetailBudget[[#This Row],[2023 Cost (LCU)]])/FX_Rate, "")</f>
        <v>0</v>
      </c>
      <c r="AH258" s="63">
        <f>IFERROR(SUM(TblDetailBudget[[#This Row],[2024 Cost (LCU)]])/FX_Rate, "")</f>
        <v>0</v>
      </c>
      <c r="AI258" s="63">
        <f>IFERROR(SUM(TblDetailBudget[[#This Row],[2025 Cost (LCU)]])/FX_Rate, "")</f>
        <v>0</v>
      </c>
      <c r="AJ258" s="125">
        <f>SUM(TblDetailBudget[[#This Row],[2021 Cost (USD)]:[2025 Cost (USD)]])</f>
        <v>0</v>
      </c>
      <c r="AK258" s="180"/>
    </row>
    <row r="259" spans="2:37" ht="12.75" customHeight="1">
      <c r="B259" s="122" t="s">
        <v>70</v>
      </c>
      <c r="C25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5.1.1.2</v>
      </c>
      <c r="D259" s="62">
        <f>IF(TblDetailBudget[[#This Row],[Level]]="", "", COUNTIFS($B$8:TblDetailBudget[[#This Row],[Level]], Lvl1Hdr))</f>
        <v>5</v>
      </c>
      <c r="E259" s="62">
        <f>IF(TblDetailBudget[[#This Row],[Level]]="", "", COUNTIFS($B$8:TblDetailBudget[[#This Row],[Level]], Lvl2Hdr, $D$8:TblDetailBudget[[#This Row],[Lvl 1 Header]], TblDetailBudget[[#This Row],[Lvl 1 Header]]))</f>
        <v>1</v>
      </c>
      <c r="F25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5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5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59" s="101"/>
      <c r="J259" s="101"/>
      <c r="K259" s="88"/>
      <c r="L259" s="88"/>
      <c r="M259" s="62" t="str">
        <f>IF(TblDetailBudget[[#This Row],[Level]]=LvlBottomHdr, IFERROR(INDEX(TblUnitCost[Unit], MATCH(TblDetailBudget[[#This Row],[Row Title]], TblUnitCost[Resource], 0)), "Invalid Resource"), "")</f>
        <v/>
      </c>
      <c r="N259" s="125" t="str">
        <f>IF(TblDetailBudget[[#This Row],[Level]]=LvlBottomHdr, IFERROR(INDEX(TblUnitCost[LCU], MATCH(TblDetailBudget[[#This Row],[Row Title]], TblUnitCost[Resource], 0)), "Invalid Resource"), "")</f>
        <v/>
      </c>
      <c r="O259" s="128"/>
      <c r="P259" s="108"/>
      <c r="Q259" s="185"/>
      <c r="R259" s="129"/>
      <c r="S259" s="108"/>
      <c r="T259" s="108"/>
      <c r="U259" s="108"/>
      <c r="V259" s="108"/>
      <c r="W259" s="108"/>
      <c r="X259" s="125" t="str">
        <f>IF(TblDetailBudget[[#This Row],[Level]]=LvlBottomHdr, IF(SUM(TblDetailBudget[[#This Row],[2021 Quant]:[2025 Quant]])&gt;0, SUM(TblDetailBudget[[#This Row],[2021 Quant]:[2025 Quant]]), ""), "")</f>
        <v/>
      </c>
      <c r="Y259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5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5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5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5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59" s="140">
        <f>SUM(TblDetailBudget[[#This Row],[2021 Cost (LCU)]:[2025 Cost (LCU)]])</f>
        <v>0</v>
      </c>
      <c r="AE259" s="134">
        <f>IFERROR(SUM(TblDetailBudget[[#This Row],[2021 Cost (LCU)]])/FX_Rate, "")</f>
        <v>0</v>
      </c>
      <c r="AF259" s="63">
        <f>IFERROR(SUM(TblDetailBudget[[#This Row],[2022 Cost (LCU)]])/FX_Rate, "")</f>
        <v>0</v>
      </c>
      <c r="AG259" s="63">
        <f>IFERROR(SUM(TblDetailBudget[[#This Row],[2023 Cost (LCU)]])/FX_Rate, "")</f>
        <v>0</v>
      </c>
      <c r="AH259" s="63">
        <f>IFERROR(SUM(TblDetailBudget[[#This Row],[2024 Cost (LCU)]])/FX_Rate, "")</f>
        <v>0</v>
      </c>
      <c r="AI259" s="63">
        <f>IFERROR(SUM(TblDetailBudget[[#This Row],[2025 Cost (LCU)]])/FX_Rate, "")</f>
        <v>0</v>
      </c>
      <c r="AJ259" s="125">
        <f>SUM(TblDetailBudget[[#This Row],[2021 Cost (USD)]:[2025 Cost (USD)]])</f>
        <v>0</v>
      </c>
      <c r="AK259" s="180"/>
    </row>
    <row r="260" spans="2:37" ht="12.75" customHeight="1">
      <c r="B260" s="122" t="s">
        <v>71</v>
      </c>
      <c r="C26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5.1.1.2.1</v>
      </c>
      <c r="D260" s="62">
        <f>IF(TblDetailBudget[[#This Row],[Level]]="", "", COUNTIFS($B$8:TblDetailBudget[[#This Row],[Level]], Lvl1Hdr))</f>
        <v>5</v>
      </c>
      <c r="E260" s="62">
        <f>IF(TblDetailBudget[[#This Row],[Level]]="", "", COUNTIFS($B$8:TblDetailBudget[[#This Row],[Level]], Lvl2Hdr, $D$8:TblDetailBudget[[#This Row],[Lvl 1 Header]], TblDetailBudget[[#This Row],[Lvl 1 Header]]))</f>
        <v>1</v>
      </c>
      <c r="F26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6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6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60" s="101"/>
      <c r="J260" s="101"/>
      <c r="K260" s="88"/>
      <c r="L260" s="88"/>
      <c r="M260" s="62" t="str">
        <f>IF(TblDetailBudget[[#This Row],[Level]]=LvlBottomHdr, IFERROR(INDEX(TblUnitCost[Unit], MATCH(TblDetailBudget[[#This Row],[Row Title]], TblUnitCost[Resource], 0)), "Invalid Resource"), "")</f>
        <v>Invalid Resource</v>
      </c>
      <c r="N260" s="125" t="str">
        <f>IF(TblDetailBudget[[#This Row],[Level]]=LvlBottomHdr, IFERROR(INDEX(TblUnitCost[LCU], MATCH(TblDetailBudget[[#This Row],[Row Title]], TblUnitCost[Resource], 0)), "Invalid Resource"), "")</f>
        <v>Invalid Resource</v>
      </c>
      <c r="O260" s="128"/>
      <c r="P260" s="108"/>
      <c r="Q260" s="185"/>
      <c r="R260" s="129"/>
      <c r="S260" s="108"/>
      <c r="T260" s="108"/>
      <c r="U260" s="108"/>
      <c r="V260" s="108"/>
      <c r="W260" s="108"/>
      <c r="X260" s="125" t="str">
        <f>IF(TblDetailBudget[[#This Row],[Level]]=LvlBottomHdr, IF(SUM(TblDetailBudget[[#This Row],[2021 Quant]:[2025 Quant]])&gt;0, SUM(TblDetailBudget[[#This Row],[2021 Quant]:[2025 Quant]]), ""), "")</f>
        <v/>
      </c>
      <c r="Y260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6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6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6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6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60" s="140">
        <f>SUM(TblDetailBudget[[#This Row],[2021 Cost (LCU)]:[2025 Cost (LCU)]])</f>
        <v>0</v>
      </c>
      <c r="AE260" s="134">
        <f>IFERROR(SUM(TblDetailBudget[[#This Row],[2021 Cost (LCU)]])/FX_Rate, "")</f>
        <v>0</v>
      </c>
      <c r="AF260" s="63">
        <f>IFERROR(SUM(TblDetailBudget[[#This Row],[2022 Cost (LCU)]])/FX_Rate, "")</f>
        <v>0</v>
      </c>
      <c r="AG260" s="63">
        <f>IFERROR(SUM(TblDetailBudget[[#This Row],[2023 Cost (LCU)]])/FX_Rate, "")</f>
        <v>0</v>
      </c>
      <c r="AH260" s="63">
        <f>IFERROR(SUM(TblDetailBudget[[#This Row],[2024 Cost (LCU)]])/FX_Rate, "")</f>
        <v>0</v>
      </c>
      <c r="AI260" s="63">
        <f>IFERROR(SUM(TblDetailBudget[[#This Row],[2025 Cost (LCU)]])/FX_Rate, "")</f>
        <v>0</v>
      </c>
      <c r="AJ260" s="125">
        <f>SUM(TblDetailBudget[[#This Row],[2021 Cost (USD)]:[2025 Cost (USD)]])</f>
        <v>0</v>
      </c>
      <c r="AK260" s="180"/>
    </row>
    <row r="261" spans="2:37" ht="12.75" customHeight="1">
      <c r="B261" s="122" t="s">
        <v>71</v>
      </c>
      <c r="C26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5.1.1.2.2</v>
      </c>
      <c r="D261" s="62">
        <f>IF(TblDetailBudget[[#This Row],[Level]]="", "", COUNTIFS($B$8:TblDetailBudget[[#This Row],[Level]], Lvl1Hdr))</f>
        <v>5</v>
      </c>
      <c r="E261" s="62">
        <f>IF(TblDetailBudget[[#This Row],[Level]]="", "", COUNTIFS($B$8:TblDetailBudget[[#This Row],[Level]], Lvl2Hdr, $D$8:TblDetailBudget[[#This Row],[Lvl 1 Header]], TblDetailBudget[[#This Row],[Lvl 1 Header]]))</f>
        <v>1</v>
      </c>
      <c r="F26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6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6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261" s="101"/>
      <c r="J261" s="101"/>
      <c r="K261" s="88"/>
      <c r="L261" s="88"/>
      <c r="M261" s="62" t="str">
        <f>IF(TblDetailBudget[[#This Row],[Level]]=LvlBottomHdr, IFERROR(INDEX(TblUnitCost[Unit], MATCH(TblDetailBudget[[#This Row],[Row Title]], TblUnitCost[Resource], 0)), "Invalid Resource"), "")</f>
        <v>Invalid Resource</v>
      </c>
      <c r="N261" s="125" t="str">
        <f>IF(TblDetailBudget[[#This Row],[Level]]=LvlBottomHdr, IFERROR(INDEX(TblUnitCost[LCU], MATCH(TblDetailBudget[[#This Row],[Row Title]], TblUnitCost[Resource], 0)), "Invalid Resource"), "")</f>
        <v>Invalid Resource</v>
      </c>
      <c r="O261" s="128"/>
      <c r="P261" s="108"/>
      <c r="Q261" s="185"/>
      <c r="R261" s="129"/>
      <c r="S261" s="108"/>
      <c r="T261" s="108"/>
      <c r="U261" s="108"/>
      <c r="V261" s="108"/>
      <c r="W261" s="108"/>
      <c r="X261" s="125" t="str">
        <f>IF(TblDetailBudget[[#This Row],[Level]]=LvlBottomHdr, IF(SUM(TblDetailBudget[[#This Row],[2021 Quant]:[2025 Quant]])&gt;0, SUM(TblDetailBudget[[#This Row],[2021 Quant]:[2025 Quant]]), ""), "")</f>
        <v/>
      </c>
      <c r="Y261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6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6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6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6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61" s="140">
        <f>SUM(TblDetailBudget[[#This Row],[2021 Cost (LCU)]:[2025 Cost (LCU)]])</f>
        <v>0</v>
      </c>
      <c r="AE261" s="134">
        <f>IFERROR(SUM(TblDetailBudget[[#This Row],[2021 Cost (LCU)]])/FX_Rate, "")</f>
        <v>0</v>
      </c>
      <c r="AF261" s="63">
        <f>IFERROR(SUM(TblDetailBudget[[#This Row],[2022 Cost (LCU)]])/FX_Rate, "")</f>
        <v>0</v>
      </c>
      <c r="AG261" s="63">
        <f>IFERROR(SUM(TblDetailBudget[[#This Row],[2023 Cost (LCU)]])/FX_Rate, "")</f>
        <v>0</v>
      </c>
      <c r="AH261" s="63">
        <f>IFERROR(SUM(TblDetailBudget[[#This Row],[2024 Cost (LCU)]])/FX_Rate, "")</f>
        <v>0</v>
      </c>
      <c r="AI261" s="63">
        <f>IFERROR(SUM(TblDetailBudget[[#This Row],[2025 Cost (LCU)]])/FX_Rate, "")</f>
        <v>0</v>
      </c>
      <c r="AJ261" s="125">
        <f>SUM(TblDetailBudget[[#This Row],[2021 Cost (USD)]:[2025 Cost (USD)]])</f>
        <v>0</v>
      </c>
      <c r="AK261" s="180"/>
    </row>
    <row r="262" spans="2:37" ht="12.75" customHeight="1">
      <c r="B262" s="122" t="s">
        <v>70</v>
      </c>
      <c r="C26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5.1.1.3</v>
      </c>
      <c r="D262" s="62">
        <f>IF(TblDetailBudget[[#This Row],[Level]]="", "", COUNTIFS($B$8:TblDetailBudget[[#This Row],[Level]], Lvl1Hdr))</f>
        <v>5</v>
      </c>
      <c r="E262" s="62">
        <f>IF(TblDetailBudget[[#This Row],[Level]]="", "", COUNTIFS($B$8:TblDetailBudget[[#This Row],[Level]], Lvl2Hdr, $D$8:TblDetailBudget[[#This Row],[Lvl 1 Header]], TblDetailBudget[[#This Row],[Lvl 1 Header]]))</f>
        <v>1</v>
      </c>
      <c r="F26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6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26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62" s="101"/>
      <c r="J262" s="101"/>
      <c r="K262" s="88"/>
      <c r="L262" s="88"/>
      <c r="M262" s="62" t="str">
        <f>IF(TblDetailBudget[[#This Row],[Level]]=LvlBottomHdr, IFERROR(INDEX(TblUnitCost[Unit], MATCH(TblDetailBudget[[#This Row],[Row Title]], TblUnitCost[Resource], 0)), "Invalid Resource"), "")</f>
        <v/>
      </c>
      <c r="N262" s="125" t="str">
        <f>IF(TblDetailBudget[[#This Row],[Level]]=LvlBottomHdr, IFERROR(INDEX(TblUnitCost[LCU], MATCH(TblDetailBudget[[#This Row],[Row Title]], TblUnitCost[Resource], 0)), "Invalid Resource"), "")</f>
        <v/>
      </c>
      <c r="O262" s="128"/>
      <c r="P262" s="108"/>
      <c r="Q262" s="185"/>
      <c r="R262" s="129"/>
      <c r="S262" s="108"/>
      <c r="T262" s="108"/>
      <c r="U262" s="108"/>
      <c r="V262" s="108"/>
      <c r="W262" s="108"/>
      <c r="X262" s="125" t="str">
        <f>IF(TblDetailBudget[[#This Row],[Level]]=LvlBottomHdr, IF(SUM(TblDetailBudget[[#This Row],[2021 Quant]:[2025 Quant]])&gt;0, SUM(TblDetailBudget[[#This Row],[2021 Quant]:[2025 Quant]]), ""), "")</f>
        <v/>
      </c>
      <c r="Y26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6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6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6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6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62" s="140">
        <f>SUM(TblDetailBudget[[#This Row],[2021 Cost (LCU)]:[2025 Cost (LCU)]])</f>
        <v>0</v>
      </c>
      <c r="AE262" s="134">
        <f>IFERROR(SUM(TblDetailBudget[[#This Row],[2021 Cost (LCU)]])/FX_Rate, "")</f>
        <v>0</v>
      </c>
      <c r="AF262" s="63">
        <f>IFERROR(SUM(TblDetailBudget[[#This Row],[2022 Cost (LCU)]])/FX_Rate, "")</f>
        <v>0</v>
      </c>
      <c r="AG262" s="63">
        <f>IFERROR(SUM(TblDetailBudget[[#This Row],[2023 Cost (LCU)]])/FX_Rate, "")</f>
        <v>0</v>
      </c>
      <c r="AH262" s="63">
        <f>IFERROR(SUM(TblDetailBudget[[#This Row],[2024 Cost (LCU)]])/FX_Rate, "")</f>
        <v>0</v>
      </c>
      <c r="AI262" s="63">
        <f>IFERROR(SUM(TblDetailBudget[[#This Row],[2025 Cost (LCU)]])/FX_Rate, "")</f>
        <v>0</v>
      </c>
      <c r="AJ262" s="125">
        <f>SUM(TblDetailBudget[[#This Row],[2021 Cost (USD)]:[2025 Cost (USD)]])</f>
        <v>0</v>
      </c>
      <c r="AK262" s="180"/>
    </row>
    <row r="263" spans="2:37" ht="12.75" customHeight="1">
      <c r="B263" s="122" t="s">
        <v>71</v>
      </c>
      <c r="C26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5.1.1.3.1</v>
      </c>
      <c r="D263" s="62">
        <f>IF(TblDetailBudget[[#This Row],[Level]]="", "", COUNTIFS($B$8:TblDetailBudget[[#This Row],[Level]], Lvl1Hdr))</f>
        <v>5</v>
      </c>
      <c r="E263" s="62">
        <f>IF(TblDetailBudget[[#This Row],[Level]]="", "", COUNTIFS($B$8:TblDetailBudget[[#This Row],[Level]], Lvl2Hdr, $D$8:TblDetailBudget[[#This Row],[Lvl 1 Header]], TblDetailBudget[[#This Row],[Lvl 1 Header]]))</f>
        <v>1</v>
      </c>
      <c r="F26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6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26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63" s="101"/>
      <c r="J263" s="101"/>
      <c r="K263" s="88"/>
      <c r="L263" s="88"/>
      <c r="M263" s="62" t="str">
        <f>IF(TblDetailBudget[[#This Row],[Level]]=LvlBottomHdr, IFERROR(INDEX(TblUnitCost[Unit], MATCH(TblDetailBudget[[#This Row],[Row Title]], TblUnitCost[Resource], 0)), "Invalid Resource"), "")</f>
        <v>Invalid Resource</v>
      </c>
      <c r="N263" s="125" t="str">
        <f>IF(TblDetailBudget[[#This Row],[Level]]=LvlBottomHdr, IFERROR(INDEX(TblUnitCost[LCU], MATCH(TblDetailBudget[[#This Row],[Row Title]], TblUnitCost[Resource], 0)), "Invalid Resource"), "")</f>
        <v>Invalid Resource</v>
      </c>
      <c r="O263" s="128"/>
      <c r="P263" s="108"/>
      <c r="Q263" s="185"/>
      <c r="R263" s="129"/>
      <c r="S263" s="108"/>
      <c r="T263" s="108"/>
      <c r="U263" s="108"/>
      <c r="V263" s="108"/>
      <c r="W263" s="108"/>
      <c r="X263" s="125" t="str">
        <f>IF(TblDetailBudget[[#This Row],[Level]]=LvlBottomHdr, IF(SUM(TblDetailBudget[[#This Row],[2021 Quant]:[2025 Quant]])&gt;0, SUM(TblDetailBudget[[#This Row],[2021 Quant]:[2025 Quant]]), ""), "")</f>
        <v/>
      </c>
      <c r="Y263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6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6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6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6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63" s="140">
        <f>SUM(TblDetailBudget[[#This Row],[2021 Cost (LCU)]:[2025 Cost (LCU)]])</f>
        <v>0</v>
      </c>
      <c r="AE263" s="134">
        <f>IFERROR(SUM(TblDetailBudget[[#This Row],[2021 Cost (LCU)]])/FX_Rate, "")</f>
        <v>0</v>
      </c>
      <c r="AF263" s="63">
        <f>IFERROR(SUM(TblDetailBudget[[#This Row],[2022 Cost (LCU)]])/FX_Rate, "")</f>
        <v>0</v>
      </c>
      <c r="AG263" s="63">
        <f>IFERROR(SUM(TblDetailBudget[[#This Row],[2023 Cost (LCU)]])/FX_Rate, "")</f>
        <v>0</v>
      </c>
      <c r="AH263" s="63">
        <f>IFERROR(SUM(TblDetailBudget[[#This Row],[2024 Cost (LCU)]])/FX_Rate, "")</f>
        <v>0</v>
      </c>
      <c r="AI263" s="63">
        <f>IFERROR(SUM(TblDetailBudget[[#This Row],[2025 Cost (LCU)]])/FX_Rate, "")</f>
        <v>0</v>
      </c>
      <c r="AJ263" s="125">
        <f>SUM(TblDetailBudget[[#This Row],[2021 Cost (USD)]:[2025 Cost (USD)]])</f>
        <v>0</v>
      </c>
      <c r="AK263" s="180"/>
    </row>
    <row r="264" spans="2:37" ht="12.75" customHeight="1">
      <c r="B264" s="122" t="s">
        <v>71</v>
      </c>
      <c r="C26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5.1.1.3.2</v>
      </c>
      <c r="D264" s="62">
        <f>IF(TblDetailBudget[[#This Row],[Level]]="", "", COUNTIFS($B$8:TblDetailBudget[[#This Row],[Level]], Lvl1Hdr))</f>
        <v>5</v>
      </c>
      <c r="E264" s="62">
        <f>IF(TblDetailBudget[[#This Row],[Level]]="", "", COUNTIFS($B$8:TblDetailBudget[[#This Row],[Level]], Lvl2Hdr, $D$8:TblDetailBudget[[#This Row],[Lvl 1 Header]], TblDetailBudget[[#This Row],[Lvl 1 Header]]))</f>
        <v>1</v>
      </c>
      <c r="F26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6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26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264" s="101"/>
      <c r="J264" s="101"/>
      <c r="K264" s="88"/>
      <c r="L264" s="88"/>
      <c r="M264" s="62" t="str">
        <f>IF(TblDetailBudget[[#This Row],[Level]]=LvlBottomHdr, IFERROR(INDEX(TblUnitCost[Unit], MATCH(TblDetailBudget[[#This Row],[Row Title]], TblUnitCost[Resource], 0)), "Invalid Resource"), "")</f>
        <v>Invalid Resource</v>
      </c>
      <c r="N264" s="125" t="str">
        <f>IF(TblDetailBudget[[#This Row],[Level]]=LvlBottomHdr, IFERROR(INDEX(TblUnitCost[LCU], MATCH(TblDetailBudget[[#This Row],[Row Title]], TblUnitCost[Resource], 0)), "Invalid Resource"), "")</f>
        <v>Invalid Resource</v>
      </c>
      <c r="O264" s="128"/>
      <c r="P264" s="108"/>
      <c r="Q264" s="185"/>
      <c r="R264" s="129"/>
      <c r="S264" s="108"/>
      <c r="T264" s="108"/>
      <c r="U264" s="108"/>
      <c r="V264" s="108"/>
      <c r="W264" s="108"/>
      <c r="X264" s="125" t="str">
        <f>IF(TblDetailBudget[[#This Row],[Level]]=LvlBottomHdr, IF(SUM(TblDetailBudget[[#This Row],[2021 Quant]:[2025 Quant]])&gt;0, SUM(TblDetailBudget[[#This Row],[2021 Quant]:[2025 Quant]]), ""), "")</f>
        <v/>
      </c>
      <c r="Y26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6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6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6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6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64" s="140">
        <f>SUM(TblDetailBudget[[#This Row],[2021 Cost (LCU)]:[2025 Cost (LCU)]])</f>
        <v>0</v>
      </c>
      <c r="AE264" s="134">
        <f>IFERROR(SUM(TblDetailBudget[[#This Row],[2021 Cost (LCU)]])/FX_Rate, "")</f>
        <v>0</v>
      </c>
      <c r="AF264" s="63">
        <f>IFERROR(SUM(TblDetailBudget[[#This Row],[2022 Cost (LCU)]])/FX_Rate, "")</f>
        <v>0</v>
      </c>
      <c r="AG264" s="63">
        <f>IFERROR(SUM(TblDetailBudget[[#This Row],[2023 Cost (LCU)]])/FX_Rate, "")</f>
        <v>0</v>
      </c>
      <c r="AH264" s="63">
        <f>IFERROR(SUM(TblDetailBudget[[#This Row],[2024 Cost (LCU)]])/FX_Rate, "")</f>
        <v>0</v>
      </c>
      <c r="AI264" s="63">
        <f>IFERROR(SUM(TblDetailBudget[[#This Row],[2025 Cost (LCU)]])/FX_Rate, "")</f>
        <v>0</v>
      </c>
      <c r="AJ264" s="125">
        <f>SUM(TblDetailBudget[[#This Row],[2021 Cost (USD)]:[2025 Cost (USD)]])</f>
        <v>0</v>
      </c>
      <c r="AK264" s="180"/>
    </row>
    <row r="265" spans="2:37" ht="12.75" customHeight="1">
      <c r="B265" s="122" t="s">
        <v>71</v>
      </c>
      <c r="C26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5.1.1.3.3</v>
      </c>
      <c r="D265" s="62">
        <f>IF(TblDetailBudget[[#This Row],[Level]]="", "", COUNTIFS($B$8:TblDetailBudget[[#This Row],[Level]], Lvl1Hdr))</f>
        <v>5</v>
      </c>
      <c r="E265" s="62">
        <f>IF(TblDetailBudget[[#This Row],[Level]]="", "", COUNTIFS($B$8:TblDetailBudget[[#This Row],[Level]], Lvl2Hdr, $D$8:TblDetailBudget[[#This Row],[Lvl 1 Header]], TblDetailBudget[[#This Row],[Lvl 1 Header]]))</f>
        <v>1</v>
      </c>
      <c r="F26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6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26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3</v>
      </c>
      <c r="I265" s="101"/>
      <c r="J265" s="101"/>
      <c r="K265" s="88"/>
      <c r="L265" s="88"/>
      <c r="M265" s="62" t="str">
        <f>IF(TblDetailBudget[[#This Row],[Level]]=LvlBottomHdr, IFERROR(INDEX(TblUnitCost[Unit], MATCH(TblDetailBudget[[#This Row],[Row Title]], TblUnitCost[Resource], 0)), "Invalid Resource"), "")</f>
        <v>Invalid Resource</v>
      </c>
      <c r="N265" s="125" t="str">
        <f>IF(TblDetailBudget[[#This Row],[Level]]=LvlBottomHdr, IFERROR(INDEX(TblUnitCost[LCU], MATCH(TblDetailBudget[[#This Row],[Row Title]], TblUnitCost[Resource], 0)), "Invalid Resource"), "")</f>
        <v>Invalid Resource</v>
      </c>
      <c r="O265" s="128"/>
      <c r="P265" s="108"/>
      <c r="Q265" s="185"/>
      <c r="R265" s="129"/>
      <c r="S265" s="108"/>
      <c r="T265" s="108"/>
      <c r="U265" s="108"/>
      <c r="V265" s="108"/>
      <c r="W265" s="108"/>
      <c r="X265" s="125" t="str">
        <f>IF(TblDetailBudget[[#This Row],[Level]]=LvlBottomHdr, IF(SUM(TblDetailBudget[[#This Row],[2021 Quant]:[2025 Quant]])&gt;0, SUM(TblDetailBudget[[#This Row],[2021 Quant]:[2025 Quant]]), ""), "")</f>
        <v/>
      </c>
      <c r="Y265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6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6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6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6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65" s="140">
        <f>SUM(TblDetailBudget[[#This Row],[2021 Cost (LCU)]:[2025 Cost (LCU)]])</f>
        <v>0</v>
      </c>
      <c r="AE265" s="134">
        <f>IFERROR(SUM(TblDetailBudget[[#This Row],[2021 Cost (LCU)]])/FX_Rate, "")</f>
        <v>0</v>
      </c>
      <c r="AF265" s="63">
        <f>IFERROR(SUM(TblDetailBudget[[#This Row],[2022 Cost (LCU)]])/FX_Rate, "")</f>
        <v>0</v>
      </c>
      <c r="AG265" s="63">
        <f>IFERROR(SUM(TblDetailBudget[[#This Row],[2023 Cost (LCU)]])/FX_Rate, "")</f>
        <v>0</v>
      </c>
      <c r="AH265" s="63">
        <f>IFERROR(SUM(TblDetailBudget[[#This Row],[2024 Cost (LCU)]])/FX_Rate, "")</f>
        <v>0</v>
      </c>
      <c r="AI265" s="63">
        <f>IFERROR(SUM(TblDetailBudget[[#This Row],[2025 Cost (LCU)]])/FX_Rate, "")</f>
        <v>0</v>
      </c>
      <c r="AJ265" s="125">
        <f>SUM(TblDetailBudget[[#This Row],[2021 Cost (USD)]:[2025 Cost (USD)]])</f>
        <v>0</v>
      </c>
      <c r="AK265" s="180"/>
    </row>
    <row r="266" spans="2:37" ht="12.75" customHeight="1">
      <c r="B266" s="122" t="s">
        <v>70</v>
      </c>
      <c r="C26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5.1.1.4</v>
      </c>
      <c r="D266" s="62">
        <f>IF(TblDetailBudget[[#This Row],[Level]]="", "", COUNTIFS($B$8:TblDetailBudget[[#This Row],[Level]], Lvl1Hdr))</f>
        <v>5</v>
      </c>
      <c r="E266" s="62">
        <f>IF(TblDetailBudget[[#This Row],[Level]]="", "", COUNTIFS($B$8:TblDetailBudget[[#This Row],[Level]], Lvl2Hdr, $D$8:TblDetailBudget[[#This Row],[Lvl 1 Header]], TblDetailBudget[[#This Row],[Lvl 1 Header]]))</f>
        <v>1</v>
      </c>
      <c r="F26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6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26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66" s="101"/>
      <c r="J266" s="101"/>
      <c r="K266" s="88"/>
      <c r="L266" s="88"/>
      <c r="M266" s="62" t="str">
        <f>IF(TblDetailBudget[[#This Row],[Level]]=LvlBottomHdr, IFERROR(INDEX(TblUnitCost[Unit], MATCH(TblDetailBudget[[#This Row],[Row Title]], TblUnitCost[Resource], 0)), "Invalid Resource"), "")</f>
        <v/>
      </c>
      <c r="N266" s="125" t="str">
        <f>IF(TblDetailBudget[[#This Row],[Level]]=LvlBottomHdr, IFERROR(INDEX(TblUnitCost[LCU], MATCH(TblDetailBudget[[#This Row],[Row Title]], TblUnitCost[Resource], 0)), "Invalid Resource"), "")</f>
        <v/>
      </c>
      <c r="O266" s="128"/>
      <c r="P266" s="108"/>
      <c r="Q266" s="185"/>
      <c r="R266" s="129"/>
      <c r="S266" s="108"/>
      <c r="T266" s="108"/>
      <c r="U266" s="108"/>
      <c r="V266" s="108"/>
      <c r="W266" s="108"/>
      <c r="X266" s="125" t="str">
        <f>IF(TblDetailBudget[[#This Row],[Level]]=LvlBottomHdr, IF(SUM(TblDetailBudget[[#This Row],[2021 Quant]:[2025 Quant]])&gt;0, SUM(TblDetailBudget[[#This Row],[2021 Quant]:[2025 Quant]]), ""), "")</f>
        <v/>
      </c>
      <c r="Y26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6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6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6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6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66" s="140">
        <f>SUM(TblDetailBudget[[#This Row],[2021 Cost (LCU)]:[2025 Cost (LCU)]])</f>
        <v>0</v>
      </c>
      <c r="AE266" s="134">
        <f>IFERROR(SUM(TblDetailBudget[[#This Row],[2021 Cost (LCU)]])/FX_Rate, "")</f>
        <v>0</v>
      </c>
      <c r="AF266" s="63">
        <f>IFERROR(SUM(TblDetailBudget[[#This Row],[2022 Cost (LCU)]])/FX_Rate, "")</f>
        <v>0</v>
      </c>
      <c r="AG266" s="63">
        <f>IFERROR(SUM(TblDetailBudget[[#This Row],[2023 Cost (LCU)]])/FX_Rate, "")</f>
        <v>0</v>
      </c>
      <c r="AH266" s="63">
        <f>IFERROR(SUM(TblDetailBudget[[#This Row],[2024 Cost (LCU)]])/FX_Rate, "")</f>
        <v>0</v>
      </c>
      <c r="AI266" s="63">
        <f>IFERROR(SUM(TblDetailBudget[[#This Row],[2025 Cost (LCU)]])/FX_Rate, "")</f>
        <v>0</v>
      </c>
      <c r="AJ266" s="125">
        <f>SUM(TblDetailBudget[[#This Row],[2021 Cost (USD)]:[2025 Cost (USD)]])</f>
        <v>0</v>
      </c>
      <c r="AK266" s="180"/>
    </row>
    <row r="267" spans="2:37" ht="12.75" customHeight="1">
      <c r="B267" s="122" t="s">
        <v>70</v>
      </c>
      <c r="C26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5.1.1.5</v>
      </c>
      <c r="D267" s="62">
        <f>IF(TblDetailBudget[[#This Row],[Level]]="", "", COUNTIFS($B$8:TblDetailBudget[[#This Row],[Level]], Lvl1Hdr))</f>
        <v>5</v>
      </c>
      <c r="E267" s="62">
        <f>IF(TblDetailBudget[[#This Row],[Level]]="", "", COUNTIFS($B$8:TblDetailBudget[[#This Row],[Level]], Lvl2Hdr, $D$8:TblDetailBudget[[#This Row],[Lvl 1 Header]], TblDetailBudget[[#This Row],[Lvl 1 Header]]))</f>
        <v>1</v>
      </c>
      <c r="F26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6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26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67" s="101"/>
      <c r="J267" s="101"/>
      <c r="K267" s="88"/>
      <c r="L267" s="88"/>
      <c r="M267" s="62" t="str">
        <f>IF(TblDetailBudget[[#This Row],[Level]]=LvlBottomHdr, IFERROR(INDEX(TblUnitCost[Unit], MATCH(TblDetailBudget[[#This Row],[Row Title]], TblUnitCost[Resource], 0)), "Invalid Resource"), "")</f>
        <v/>
      </c>
      <c r="N267" s="125" t="str">
        <f>IF(TblDetailBudget[[#This Row],[Level]]=LvlBottomHdr, IFERROR(INDEX(TblUnitCost[LCU], MATCH(TblDetailBudget[[#This Row],[Row Title]], TblUnitCost[Resource], 0)), "Invalid Resource"), "")</f>
        <v/>
      </c>
      <c r="O267" s="128"/>
      <c r="P267" s="108"/>
      <c r="Q267" s="185"/>
      <c r="R267" s="129"/>
      <c r="S267" s="108"/>
      <c r="T267" s="108"/>
      <c r="U267" s="108"/>
      <c r="V267" s="108"/>
      <c r="W267" s="108"/>
      <c r="X267" s="125" t="str">
        <f>IF(TblDetailBudget[[#This Row],[Level]]=LvlBottomHdr, IF(SUM(TblDetailBudget[[#This Row],[2021 Quant]:[2025 Quant]])&gt;0, SUM(TblDetailBudget[[#This Row],[2021 Quant]:[2025 Quant]]), ""), "")</f>
        <v/>
      </c>
      <c r="Y26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Z26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AA26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B26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C26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D267" s="140">
        <f>SUM(TblDetailBudget[[#This Row],[2021 Cost (LCU)]:[2025 Cost (LCU)]])</f>
        <v>0</v>
      </c>
      <c r="AE267" s="134">
        <f>IFERROR(SUM(TblDetailBudget[[#This Row],[2021 Cost (LCU)]])/FX_Rate, "")</f>
        <v>0</v>
      </c>
      <c r="AF267" s="63">
        <f>IFERROR(SUM(TblDetailBudget[[#This Row],[2022 Cost (LCU)]])/FX_Rate, "")</f>
        <v>0</v>
      </c>
      <c r="AG267" s="63">
        <f>IFERROR(SUM(TblDetailBudget[[#This Row],[2023 Cost (LCU)]])/FX_Rate, "")</f>
        <v>0</v>
      </c>
      <c r="AH267" s="63">
        <f>IFERROR(SUM(TblDetailBudget[[#This Row],[2024 Cost (LCU)]])/FX_Rate, "")</f>
        <v>0</v>
      </c>
      <c r="AI267" s="63">
        <f>IFERROR(SUM(TblDetailBudget[[#This Row],[2025 Cost (LCU)]])/FX_Rate, "")</f>
        <v>0</v>
      </c>
      <c r="AJ267" s="125">
        <f>SUM(TblDetailBudget[[#This Row],[2021 Cost (USD)]:[2025 Cost (USD)]])</f>
        <v>0</v>
      </c>
      <c r="AK267" s="180"/>
    </row>
    <row r="268" spans="2:37" ht="12.75" customHeight="1">
      <c r="B268" s="122" t="s">
        <v>71</v>
      </c>
      <c r="C26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5.1.1.5.1</v>
      </c>
      <c r="D268" s="62">
        <f>IF(TblDetailBudget[[#This Row],[Level]]="", "", COUNTIFS($B$8:TblDetailBudget[[#This Row],[Level]], Lvl1Hdr))</f>
        <v>5</v>
      </c>
      <c r="E268" s="62">
        <f>IF(TblDetailBudget[[#This Row],[Level]]="", "", COUNTIFS($B$8:TblDetailBudget[[#This Row],[Level]], Lvl2Hdr, $D$8:TblDetailBudget[[#This Row],[Lvl 1 Header]], TblDetailBudget[[#This Row],[Lvl 1 Header]]))</f>
        <v>1</v>
      </c>
      <c r="F26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6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26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68" s="101"/>
      <c r="J268" s="101"/>
      <c r="K268" s="88"/>
      <c r="L268" s="88"/>
      <c r="M268" s="62" t="str">
        <f>IF(TblDetailBudget[[#This Row],[Level]]=LvlBottomHdr, IFERROR(INDEX(TblUnitCost[Unit], MATCH(TblDetailBudget[[#This Row],[Row Title]], TblUnitCost[Resource], 0)), "Invalid Resource"), "")</f>
        <v>Invalid Resource</v>
      </c>
      <c r="N268" s="125" t="str">
        <f>IF(TblDetailBudget[[#This Row],[Level]]=LvlBottomHdr, IFERROR(INDEX(TblUnitCost[LCU], MATCH(TblDetailBudget[[#This Row],[Row Title]], TblUnitCost[Resource], 0)), "Invalid Resource"), "")</f>
        <v>Invalid Resource</v>
      </c>
      <c r="O268" s="128"/>
      <c r="P268" s="108"/>
      <c r="Q268" s="185"/>
      <c r="R268" s="129"/>
      <c r="S268" s="108"/>
      <c r="T268" s="108"/>
      <c r="U268" s="108"/>
      <c r="V268" s="108"/>
      <c r="W268" s="108"/>
      <c r="X268" s="125" t="str">
        <f>IF(TblDetailBudget[[#This Row],[Level]]=LvlBottomHdr, IF(SUM(TblDetailBudget[[#This Row],[2021 Quant]:[2025 Quant]])&gt;0, SUM(TblDetailBudget[[#This Row],[2021 Quant]:[2025 Quant]]), ""), "")</f>
        <v/>
      </c>
      <c r="Y268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6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6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6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6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68" s="140">
        <f>SUM(TblDetailBudget[[#This Row],[2021 Cost (LCU)]:[2025 Cost (LCU)]])</f>
        <v>0</v>
      </c>
      <c r="AE268" s="134">
        <f>IFERROR(SUM(TblDetailBudget[[#This Row],[2021 Cost (LCU)]])/FX_Rate, "")</f>
        <v>0</v>
      </c>
      <c r="AF268" s="63">
        <f>IFERROR(SUM(TblDetailBudget[[#This Row],[2022 Cost (LCU)]])/FX_Rate, "")</f>
        <v>0</v>
      </c>
      <c r="AG268" s="63">
        <f>IFERROR(SUM(TblDetailBudget[[#This Row],[2023 Cost (LCU)]])/FX_Rate, "")</f>
        <v>0</v>
      </c>
      <c r="AH268" s="63">
        <f>IFERROR(SUM(TblDetailBudget[[#This Row],[2024 Cost (LCU)]])/FX_Rate, "")</f>
        <v>0</v>
      </c>
      <c r="AI268" s="63">
        <f>IFERROR(SUM(TblDetailBudget[[#This Row],[2025 Cost (LCU)]])/FX_Rate, "")</f>
        <v>0</v>
      </c>
      <c r="AJ268" s="125">
        <f>SUM(TblDetailBudget[[#This Row],[2021 Cost (USD)]:[2025 Cost (USD)]])</f>
        <v>0</v>
      </c>
      <c r="AK268" s="180"/>
    </row>
    <row r="269" spans="2:37" ht="12.75" customHeight="1">
      <c r="B269" s="122"/>
      <c r="C26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69" s="62" t="str">
        <f>IF(TblDetailBudget[[#This Row],[Level]]="", "", COUNTIFS($B$8:TblDetailBudget[[#This Row],[Level]], Lvl1Hdr))</f>
        <v/>
      </c>
      <c r="E269" s="62" t="str">
        <f>IF(TblDetailBudget[[#This Row],[Level]]="", "", COUNTIFS($B$8:TblDetailBudget[[#This Row],[Level]], Lvl2Hdr, $D$8:TblDetailBudget[[#This Row],[Lvl 1 Header]], TblDetailBudget[[#This Row],[Lvl 1 Header]]))</f>
        <v/>
      </c>
      <c r="F269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69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69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69" s="101"/>
      <c r="J269" s="101"/>
      <c r="K269" s="88"/>
      <c r="L269" s="88"/>
      <c r="M269" s="62" t="str">
        <f>IF(TblDetailBudget[[#This Row],[Level]]=LvlBottomHdr, IFERROR(INDEX(TblUnitCost[Unit], MATCH(TblDetailBudget[[#This Row],[Row Title]], TblUnitCost[Resource], 0)), "Invalid Resource"), "")</f>
        <v/>
      </c>
      <c r="N269" s="125" t="str">
        <f>IF(TblDetailBudget[[#This Row],[Level]]=LvlBottomHdr, IFERROR(INDEX(TblUnitCost[LCU], MATCH(TblDetailBudget[[#This Row],[Row Title]], TblUnitCost[Resource], 0)), "Invalid Resource"), "")</f>
        <v/>
      </c>
      <c r="O269" s="128"/>
      <c r="P269" s="108"/>
      <c r="Q269" s="185"/>
      <c r="R269" s="129"/>
      <c r="S269" s="108" t="s">
        <v>66</v>
      </c>
      <c r="T269" s="108" t="s">
        <v>66</v>
      </c>
      <c r="U269" s="108" t="s">
        <v>66</v>
      </c>
      <c r="V269" s="108" t="s">
        <v>66</v>
      </c>
      <c r="W269" s="108" t="s">
        <v>66</v>
      </c>
      <c r="X269" s="125" t="str">
        <f>IF(TblDetailBudget[[#This Row],[Level]]=LvlBottomHdr, IF(SUM(TblDetailBudget[[#This Row],[2021 Quant]:[2025 Quant]])&gt;0, SUM(TblDetailBudget[[#This Row],[2021 Quant]:[2025 Quant]]), ""), "")</f>
        <v/>
      </c>
      <c r="Y26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6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6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6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6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69" s="140">
        <f>SUM(TblDetailBudget[[#This Row],[2021 Cost (LCU)]:[2025 Cost (LCU)]])</f>
        <v>0</v>
      </c>
      <c r="AE269" s="134">
        <f>IFERROR(SUM(TblDetailBudget[[#This Row],[2021 Cost (LCU)]])/FX_Rate, "")</f>
        <v>0</v>
      </c>
      <c r="AF269" s="63">
        <f>IFERROR(SUM(TblDetailBudget[[#This Row],[2022 Cost (LCU)]])/FX_Rate, "")</f>
        <v>0</v>
      </c>
      <c r="AG269" s="63">
        <f>IFERROR(SUM(TblDetailBudget[[#This Row],[2023 Cost (LCU)]])/FX_Rate, "")</f>
        <v>0</v>
      </c>
      <c r="AH269" s="63">
        <f>IFERROR(SUM(TblDetailBudget[[#This Row],[2024 Cost (LCU)]])/FX_Rate, "")</f>
        <v>0</v>
      </c>
      <c r="AI269" s="63">
        <f>IFERROR(SUM(TblDetailBudget[[#This Row],[2025 Cost (LCU)]])/FX_Rate, "")</f>
        <v>0</v>
      </c>
      <c r="AJ269" s="125">
        <f>SUM(TblDetailBudget[[#This Row],[2021 Cost (USD)]:[2025 Cost (USD)]])</f>
        <v>0</v>
      </c>
      <c r="AK269" s="180"/>
    </row>
    <row r="270" spans="2:37" ht="12.75" customHeight="1">
      <c r="B270" s="122"/>
      <c r="C27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70" s="62" t="str">
        <f>IF(TblDetailBudget[[#This Row],[Level]]="", "", COUNTIFS($B$8:TblDetailBudget[[#This Row],[Level]], Lvl1Hdr))</f>
        <v/>
      </c>
      <c r="E270" s="62" t="str">
        <f>IF(TblDetailBudget[[#This Row],[Level]]="", "", COUNTIFS($B$8:TblDetailBudget[[#This Row],[Level]], Lvl2Hdr, $D$8:TblDetailBudget[[#This Row],[Lvl 1 Header]], TblDetailBudget[[#This Row],[Lvl 1 Header]]))</f>
        <v/>
      </c>
      <c r="F270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70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70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70" s="101"/>
      <c r="J270" s="101"/>
      <c r="K270" s="88"/>
      <c r="L270" s="88"/>
      <c r="M270" s="62" t="str">
        <f>IF(TblDetailBudget[[#This Row],[Level]]=LvlBottomHdr, IFERROR(INDEX(TblUnitCost[Unit], MATCH(TblDetailBudget[[#This Row],[Row Title]], TblUnitCost[Resource], 0)), "Invalid Resource"), "")</f>
        <v/>
      </c>
      <c r="N270" s="125" t="str">
        <f>IF(TblDetailBudget[[#This Row],[Level]]=LvlBottomHdr, IFERROR(INDEX(TblUnitCost[LCU], MATCH(TblDetailBudget[[#This Row],[Row Title]], TblUnitCost[Resource], 0)), "Invalid Resource"), "")</f>
        <v/>
      </c>
      <c r="O270" s="128"/>
      <c r="P270" s="108"/>
      <c r="Q270" s="185"/>
      <c r="R270" s="129"/>
      <c r="S270" s="108" t="s">
        <v>66</v>
      </c>
      <c r="T270" s="108" t="s">
        <v>66</v>
      </c>
      <c r="U270" s="108" t="s">
        <v>66</v>
      </c>
      <c r="V270" s="108" t="s">
        <v>66</v>
      </c>
      <c r="W270" s="108" t="s">
        <v>66</v>
      </c>
      <c r="X270" s="125" t="str">
        <f>IF(TblDetailBudget[[#This Row],[Level]]=LvlBottomHdr, IF(SUM(TblDetailBudget[[#This Row],[2021 Quant]:[2025 Quant]])&gt;0, SUM(TblDetailBudget[[#This Row],[2021 Quant]:[2025 Quant]]), ""), "")</f>
        <v/>
      </c>
      <c r="Y270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7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7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7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7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70" s="140">
        <f>SUM(TblDetailBudget[[#This Row],[2021 Cost (LCU)]:[2025 Cost (LCU)]])</f>
        <v>0</v>
      </c>
      <c r="AE270" s="134">
        <f>IFERROR(SUM(TblDetailBudget[[#This Row],[2021 Cost (LCU)]])/FX_Rate, "")</f>
        <v>0</v>
      </c>
      <c r="AF270" s="63">
        <f>IFERROR(SUM(TblDetailBudget[[#This Row],[2022 Cost (LCU)]])/FX_Rate, "")</f>
        <v>0</v>
      </c>
      <c r="AG270" s="63">
        <f>IFERROR(SUM(TblDetailBudget[[#This Row],[2023 Cost (LCU)]])/FX_Rate, "")</f>
        <v>0</v>
      </c>
      <c r="AH270" s="63">
        <f>IFERROR(SUM(TblDetailBudget[[#This Row],[2024 Cost (LCU)]])/FX_Rate, "")</f>
        <v>0</v>
      </c>
      <c r="AI270" s="63">
        <f>IFERROR(SUM(TblDetailBudget[[#This Row],[2025 Cost (LCU)]])/FX_Rate, "")</f>
        <v>0</v>
      </c>
      <c r="AJ270" s="125">
        <f>SUM(TblDetailBudget[[#This Row],[2021 Cost (USD)]:[2025 Cost (USD)]])</f>
        <v>0</v>
      </c>
      <c r="AK270" s="180"/>
    </row>
    <row r="271" spans="2:37" ht="12.75" customHeight="1">
      <c r="B271" s="122"/>
      <c r="C27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71" s="62" t="str">
        <f>IF(TblDetailBudget[[#This Row],[Level]]="", "", COUNTIFS($B$8:TblDetailBudget[[#This Row],[Level]], Lvl1Hdr))</f>
        <v/>
      </c>
      <c r="E271" s="62" t="str">
        <f>IF(TblDetailBudget[[#This Row],[Level]]="", "", COUNTIFS($B$8:TblDetailBudget[[#This Row],[Level]], Lvl2Hdr, $D$8:TblDetailBudget[[#This Row],[Lvl 1 Header]], TblDetailBudget[[#This Row],[Lvl 1 Header]]))</f>
        <v/>
      </c>
      <c r="F271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71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71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71" s="101"/>
      <c r="J271" s="101"/>
      <c r="K271" s="88"/>
      <c r="L271" s="88"/>
      <c r="M271" s="62" t="str">
        <f>IF(TblDetailBudget[[#This Row],[Level]]=LvlBottomHdr, IFERROR(INDEX(TblUnitCost[Unit], MATCH(TblDetailBudget[[#This Row],[Row Title]], TblUnitCost[Resource], 0)), "Invalid Resource"), "")</f>
        <v/>
      </c>
      <c r="N271" s="125" t="str">
        <f>IF(TblDetailBudget[[#This Row],[Level]]=LvlBottomHdr, IFERROR(INDEX(TblUnitCost[LCU], MATCH(TblDetailBudget[[#This Row],[Row Title]], TblUnitCost[Resource], 0)), "Invalid Resource"), "")</f>
        <v/>
      </c>
      <c r="O271" s="128"/>
      <c r="P271" s="108"/>
      <c r="Q271" s="185"/>
      <c r="R271" s="129"/>
      <c r="S271" s="108" t="s">
        <v>66</v>
      </c>
      <c r="T271" s="108" t="s">
        <v>66</v>
      </c>
      <c r="U271" s="108" t="s">
        <v>66</v>
      </c>
      <c r="V271" s="108" t="s">
        <v>66</v>
      </c>
      <c r="W271" s="108" t="s">
        <v>66</v>
      </c>
      <c r="X271" s="125" t="str">
        <f>IF(TblDetailBudget[[#This Row],[Level]]=LvlBottomHdr, IF(SUM(TblDetailBudget[[#This Row],[2021 Quant]:[2025 Quant]])&gt;0, SUM(TblDetailBudget[[#This Row],[2021 Quant]:[2025 Quant]]), ""), "")</f>
        <v/>
      </c>
      <c r="Y271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7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7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7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7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71" s="140">
        <f>SUM(TblDetailBudget[[#This Row],[2021 Cost (LCU)]:[2025 Cost (LCU)]])</f>
        <v>0</v>
      </c>
      <c r="AE271" s="134">
        <f>IFERROR(SUM(TblDetailBudget[[#This Row],[2021 Cost (LCU)]])/FX_Rate, "")</f>
        <v>0</v>
      </c>
      <c r="AF271" s="63">
        <f>IFERROR(SUM(TblDetailBudget[[#This Row],[2022 Cost (LCU)]])/FX_Rate, "")</f>
        <v>0</v>
      </c>
      <c r="AG271" s="63">
        <f>IFERROR(SUM(TblDetailBudget[[#This Row],[2023 Cost (LCU)]])/FX_Rate, "")</f>
        <v>0</v>
      </c>
      <c r="AH271" s="63">
        <f>IFERROR(SUM(TblDetailBudget[[#This Row],[2024 Cost (LCU)]])/FX_Rate, "")</f>
        <v>0</v>
      </c>
      <c r="AI271" s="63">
        <f>IFERROR(SUM(TblDetailBudget[[#This Row],[2025 Cost (LCU)]])/FX_Rate, "")</f>
        <v>0</v>
      </c>
      <c r="AJ271" s="125">
        <f>SUM(TblDetailBudget[[#This Row],[2021 Cost (USD)]:[2025 Cost (USD)]])</f>
        <v>0</v>
      </c>
      <c r="AK271" s="180"/>
    </row>
    <row r="272" spans="2:37" ht="12.75" customHeight="1">
      <c r="B272" s="122"/>
      <c r="C27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72" s="62" t="str">
        <f>IF(TblDetailBudget[[#This Row],[Level]]="", "", COUNTIFS($B$8:TblDetailBudget[[#This Row],[Level]], Lvl1Hdr))</f>
        <v/>
      </c>
      <c r="E272" s="62" t="str">
        <f>IF(TblDetailBudget[[#This Row],[Level]]="", "", COUNTIFS($B$8:TblDetailBudget[[#This Row],[Level]], Lvl2Hdr, $D$8:TblDetailBudget[[#This Row],[Lvl 1 Header]], TblDetailBudget[[#This Row],[Lvl 1 Header]]))</f>
        <v/>
      </c>
      <c r="F272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72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72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72" s="101"/>
      <c r="J272" s="101"/>
      <c r="K272" s="88"/>
      <c r="L272" s="88"/>
      <c r="M272" s="62" t="str">
        <f>IF(TblDetailBudget[[#This Row],[Level]]=LvlBottomHdr, IFERROR(INDEX(TblUnitCost[Unit], MATCH(TblDetailBudget[[#This Row],[Row Title]], TblUnitCost[Resource], 0)), "Invalid Resource"), "")</f>
        <v/>
      </c>
      <c r="N272" s="125" t="str">
        <f>IF(TblDetailBudget[[#This Row],[Level]]=LvlBottomHdr, IFERROR(INDEX(TblUnitCost[LCU], MATCH(TblDetailBudget[[#This Row],[Row Title]], TblUnitCost[Resource], 0)), "Invalid Resource"), "")</f>
        <v/>
      </c>
      <c r="O272" s="128"/>
      <c r="P272" s="108"/>
      <c r="Q272" s="185"/>
      <c r="R272" s="129"/>
      <c r="S272" s="108" t="s">
        <v>66</v>
      </c>
      <c r="T272" s="108" t="s">
        <v>66</v>
      </c>
      <c r="U272" s="108" t="s">
        <v>66</v>
      </c>
      <c r="V272" s="108" t="s">
        <v>66</v>
      </c>
      <c r="W272" s="108" t="s">
        <v>66</v>
      </c>
      <c r="X272" s="125" t="str">
        <f>IF(TblDetailBudget[[#This Row],[Level]]=LvlBottomHdr, IF(SUM(TblDetailBudget[[#This Row],[2021 Quant]:[2025 Quant]])&gt;0, SUM(TblDetailBudget[[#This Row],[2021 Quant]:[2025 Quant]]), ""), "")</f>
        <v/>
      </c>
      <c r="Y272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7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7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7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7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72" s="140">
        <f>SUM(TblDetailBudget[[#This Row],[2021 Cost (LCU)]:[2025 Cost (LCU)]])</f>
        <v>0</v>
      </c>
      <c r="AE272" s="134">
        <f>IFERROR(SUM(TblDetailBudget[[#This Row],[2021 Cost (LCU)]])/FX_Rate, "")</f>
        <v>0</v>
      </c>
      <c r="AF272" s="63">
        <f>IFERROR(SUM(TblDetailBudget[[#This Row],[2022 Cost (LCU)]])/FX_Rate, "")</f>
        <v>0</v>
      </c>
      <c r="AG272" s="63">
        <f>IFERROR(SUM(TblDetailBudget[[#This Row],[2023 Cost (LCU)]])/FX_Rate, "")</f>
        <v>0</v>
      </c>
      <c r="AH272" s="63">
        <f>IFERROR(SUM(TblDetailBudget[[#This Row],[2024 Cost (LCU)]])/FX_Rate, "")</f>
        <v>0</v>
      </c>
      <c r="AI272" s="63">
        <f>IFERROR(SUM(TblDetailBudget[[#This Row],[2025 Cost (LCU)]])/FX_Rate, "")</f>
        <v>0</v>
      </c>
      <c r="AJ272" s="125">
        <f>SUM(TblDetailBudget[[#This Row],[2021 Cost (USD)]:[2025 Cost (USD)]])</f>
        <v>0</v>
      </c>
      <c r="AK272" s="180"/>
    </row>
    <row r="273" spans="2:37" ht="12.75" customHeight="1">
      <c r="B273" s="122"/>
      <c r="C27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73" s="62" t="str">
        <f>IF(TblDetailBudget[[#This Row],[Level]]="", "", COUNTIFS($B$8:TblDetailBudget[[#This Row],[Level]], Lvl1Hdr))</f>
        <v/>
      </c>
      <c r="E273" s="62" t="str">
        <f>IF(TblDetailBudget[[#This Row],[Level]]="", "", COUNTIFS($B$8:TblDetailBudget[[#This Row],[Level]], Lvl2Hdr, $D$8:TblDetailBudget[[#This Row],[Lvl 1 Header]], TblDetailBudget[[#This Row],[Lvl 1 Header]]))</f>
        <v/>
      </c>
      <c r="F273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73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73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73" s="101"/>
      <c r="J273" s="101"/>
      <c r="K273" s="88"/>
      <c r="L273" s="88"/>
      <c r="M273" s="62" t="str">
        <f>IF(TblDetailBudget[[#This Row],[Level]]=LvlBottomHdr, IFERROR(INDEX(TblUnitCost[Unit], MATCH(TblDetailBudget[[#This Row],[Row Title]], TblUnitCost[Resource], 0)), "Invalid Resource"), "")</f>
        <v/>
      </c>
      <c r="N273" s="125" t="str">
        <f>IF(TblDetailBudget[[#This Row],[Level]]=LvlBottomHdr, IFERROR(INDEX(TblUnitCost[LCU], MATCH(TblDetailBudget[[#This Row],[Row Title]], TblUnitCost[Resource], 0)), "Invalid Resource"), "")</f>
        <v/>
      </c>
      <c r="O273" s="128"/>
      <c r="P273" s="108"/>
      <c r="Q273" s="185"/>
      <c r="R273" s="129"/>
      <c r="S273" s="108" t="s">
        <v>66</v>
      </c>
      <c r="T273" s="108" t="s">
        <v>66</v>
      </c>
      <c r="U273" s="108" t="s">
        <v>66</v>
      </c>
      <c r="V273" s="108" t="s">
        <v>66</v>
      </c>
      <c r="W273" s="108" t="s">
        <v>66</v>
      </c>
      <c r="X273" s="125" t="str">
        <f>IF(TblDetailBudget[[#This Row],[Level]]=LvlBottomHdr, IF(SUM(TblDetailBudget[[#This Row],[2021 Quant]:[2025 Quant]])&gt;0, SUM(TblDetailBudget[[#This Row],[2021 Quant]:[2025 Quant]]), ""), "")</f>
        <v/>
      </c>
      <c r="Y273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7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7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7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7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73" s="140">
        <f>SUM(TblDetailBudget[[#This Row],[2021 Cost (LCU)]:[2025 Cost (LCU)]])</f>
        <v>0</v>
      </c>
      <c r="AE273" s="134">
        <f>IFERROR(SUM(TblDetailBudget[[#This Row],[2021 Cost (LCU)]])/FX_Rate, "")</f>
        <v>0</v>
      </c>
      <c r="AF273" s="63">
        <f>IFERROR(SUM(TblDetailBudget[[#This Row],[2022 Cost (LCU)]])/FX_Rate, "")</f>
        <v>0</v>
      </c>
      <c r="AG273" s="63">
        <f>IFERROR(SUM(TblDetailBudget[[#This Row],[2023 Cost (LCU)]])/FX_Rate, "")</f>
        <v>0</v>
      </c>
      <c r="AH273" s="63">
        <f>IFERROR(SUM(TblDetailBudget[[#This Row],[2024 Cost (LCU)]])/FX_Rate, "")</f>
        <v>0</v>
      </c>
      <c r="AI273" s="63">
        <f>IFERROR(SUM(TblDetailBudget[[#This Row],[2025 Cost (LCU)]])/FX_Rate, "")</f>
        <v>0</v>
      </c>
      <c r="AJ273" s="125">
        <f>SUM(TblDetailBudget[[#This Row],[2021 Cost (USD)]:[2025 Cost (USD)]])</f>
        <v>0</v>
      </c>
      <c r="AK273" s="180"/>
    </row>
    <row r="274" spans="2:37" ht="12.75" customHeight="1">
      <c r="B274" s="122"/>
      <c r="C27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74" s="62" t="str">
        <f>IF(TblDetailBudget[[#This Row],[Level]]="", "", COUNTIFS($B$8:TblDetailBudget[[#This Row],[Level]], Lvl1Hdr))</f>
        <v/>
      </c>
      <c r="E274" s="62" t="str">
        <f>IF(TblDetailBudget[[#This Row],[Level]]="", "", COUNTIFS($B$8:TblDetailBudget[[#This Row],[Level]], Lvl2Hdr, $D$8:TblDetailBudget[[#This Row],[Lvl 1 Header]], TblDetailBudget[[#This Row],[Lvl 1 Header]]))</f>
        <v/>
      </c>
      <c r="F274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74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74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74" s="101"/>
      <c r="J274" s="101"/>
      <c r="K274" s="88"/>
      <c r="L274" s="88"/>
      <c r="M274" s="62" t="str">
        <f>IF(TblDetailBudget[[#This Row],[Level]]=LvlBottomHdr, IFERROR(INDEX(TblUnitCost[Unit], MATCH(TblDetailBudget[[#This Row],[Row Title]], TblUnitCost[Resource], 0)), "Invalid Resource"), "")</f>
        <v/>
      </c>
      <c r="N274" s="125" t="str">
        <f>IF(TblDetailBudget[[#This Row],[Level]]=LvlBottomHdr, IFERROR(INDEX(TblUnitCost[LCU], MATCH(TblDetailBudget[[#This Row],[Row Title]], TblUnitCost[Resource], 0)), "Invalid Resource"), "")</f>
        <v/>
      </c>
      <c r="O274" s="128"/>
      <c r="P274" s="108"/>
      <c r="Q274" s="185"/>
      <c r="R274" s="129"/>
      <c r="S274" s="108" t="s">
        <v>66</v>
      </c>
      <c r="T274" s="108" t="s">
        <v>66</v>
      </c>
      <c r="U274" s="108" t="s">
        <v>66</v>
      </c>
      <c r="V274" s="108" t="s">
        <v>66</v>
      </c>
      <c r="W274" s="108" t="s">
        <v>66</v>
      </c>
      <c r="X274" s="125" t="str">
        <f>IF(TblDetailBudget[[#This Row],[Level]]=LvlBottomHdr, IF(SUM(TblDetailBudget[[#This Row],[2021 Quant]:[2025 Quant]])&gt;0, SUM(TblDetailBudget[[#This Row],[2021 Quant]:[2025 Quant]]), ""), "")</f>
        <v/>
      </c>
      <c r="Y27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7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7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7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7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74" s="140">
        <f>SUM(TblDetailBudget[[#This Row],[2021 Cost (LCU)]:[2025 Cost (LCU)]])</f>
        <v>0</v>
      </c>
      <c r="AE274" s="134">
        <f>IFERROR(SUM(TblDetailBudget[[#This Row],[2021 Cost (LCU)]])/FX_Rate, "")</f>
        <v>0</v>
      </c>
      <c r="AF274" s="63">
        <f>IFERROR(SUM(TblDetailBudget[[#This Row],[2022 Cost (LCU)]])/FX_Rate, "")</f>
        <v>0</v>
      </c>
      <c r="AG274" s="63">
        <f>IFERROR(SUM(TblDetailBudget[[#This Row],[2023 Cost (LCU)]])/FX_Rate, "")</f>
        <v>0</v>
      </c>
      <c r="AH274" s="63">
        <f>IFERROR(SUM(TblDetailBudget[[#This Row],[2024 Cost (LCU)]])/FX_Rate, "")</f>
        <v>0</v>
      </c>
      <c r="AI274" s="63">
        <f>IFERROR(SUM(TblDetailBudget[[#This Row],[2025 Cost (LCU)]])/FX_Rate, "")</f>
        <v>0</v>
      </c>
      <c r="AJ274" s="125">
        <f>SUM(TblDetailBudget[[#This Row],[2021 Cost (USD)]:[2025 Cost (USD)]])</f>
        <v>0</v>
      </c>
      <c r="AK274" s="180"/>
    </row>
    <row r="275" spans="2:37" ht="12.75" customHeight="1">
      <c r="B275" s="122"/>
      <c r="C27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75" s="62" t="str">
        <f>IF(TblDetailBudget[[#This Row],[Level]]="", "", COUNTIFS($B$8:TblDetailBudget[[#This Row],[Level]], Lvl1Hdr))</f>
        <v/>
      </c>
      <c r="E275" s="62" t="str">
        <f>IF(TblDetailBudget[[#This Row],[Level]]="", "", COUNTIFS($B$8:TblDetailBudget[[#This Row],[Level]], Lvl2Hdr, $D$8:TblDetailBudget[[#This Row],[Lvl 1 Header]], TblDetailBudget[[#This Row],[Lvl 1 Header]]))</f>
        <v/>
      </c>
      <c r="F275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75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75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75" s="101"/>
      <c r="J275" s="101"/>
      <c r="K275" s="88"/>
      <c r="L275" s="88"/>
      <c r="M275" s="62" t="str">
        <f>IF(TblDetailBudget[[#This Row],[Level]]=LvlBottomHdr, IFERROR(INDEX(TblUnitCost[Unit], MATCH(TblDetailBudget[[#This Row],[Row Title]], TblUnitCost[Resource], 0)), "Invalid Resource"), "")</f>
        <v/>
      </c>
      <c r="N275" s="125" t="str">
        <f>IF(TblDetailBudget[[#This Row],[Level]]=LvlBottomHdr, IFERROR(INDEX(TblUnitCost[LCU], MATCH(TblDetailBudget[[#This Row],[Row Title]], TblUnitCost[Resource], 0)), "Invalid Resource"), "")</f>
        <v/>
      </c>
      <c r="O275" s="128"/>
      <c r="P275" s="108"/>
      <c r="Q275" s="185"/>
      <c r="R275" s="129"/>
      <c r="S275" s="108" t="s">
        <v>66</v>
      </c>
      <c r="T275" s="108" t="s">
        <v>66</v>
      </c>
      <c r="U275" s="108" t="s">
        <v>66</v>
      </c>
      <c r="V275" s="108" t="s">
        <v>66</v>
      </c>
      <c r="W275" s="108" t="s">
        <v>66</v>
      </c>
      <c r="X275" s="125" t="str">
        <f>IF(TblDetailBudget[[#This Row],[Level]]=LvlBottomHdr, IF(SUM(TblDetailBudget[[#This Row],[2021 Quant]:[2025 Quant]])&gt;0, SUM(TblDetailBudget[[#This Row],[2021 Quant]:[2025 Quant]]), ""), "")</f>
        <v/>
      </c>
      <c r="Y275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7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7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7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7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75" s="140">
        <f>SUM(TblDetailBudget[[#This Row],[2021 Cost (LCU)]:[2025 Cost (LCU)]])</f>
        <v>0</v>
      </c>
      <c r="AE275" s="134">
        <f>IFERROR(SUM(TblDetailBudget[[#This Row],[2021 Cost (LCU)]])/FX_Rate, "")</f>
        <v>0</v>
      </c>
      <c r="AF275" s="63">
        <f>IFERROR(SUM(TblDetailBudget[[#This Row],[2022 Cost (LCU)]])/FX_Rate, "")</f>
        <v>0</v>
      </c>
      <c r="AG275" s="63">
        <f>IFERROR(SUM(TblDetailBudget[[#This Row],[2023 Cost (LCU)]])/FX_Rate, "")</f>
        <v>0</v>
      </c>
      <c r="AH275" s="63">
        <f>IFERROR(SUM(TblDetailBudget[[#This Row],[2024 Cost (LCU)]])/FX_Rate, "")</f>
        <v>0</v>
      </c>
      <c r="AI275" s="63">
        <f>IFERROR(SUM(TblDetailBudget[[#This Row],[2025 Cost (LCU)]])/FX_Rate, "")</f>
        <v>0</v>
      </c>
      <c r="AJ275" s="125">
        <f>SUM(TblDetailBudget[[#This Row],[2021 Cost (USD)]:[2025 Cost (USD)]])</f>
        <v>0</v>
      </c>
      <c r="AK275" s="180"/>
    </row>
    <row r="276" spans="2:37" ht="12.75" customHeight="1">
      <c r="B276" s="122"/>
      <c r="C27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76" s="62" t="str">
        <f>IF(TblDetailBudget[[#This Row],[Level]]="", "", COUNTIFS($B$8:TblDetailBudget[[#This Row],[Level]], Lvl1Hdr))</f>
        <v/>
      </c>
      <c r="E276" s="62" t="str">
        <f>IF(TblDetailBudget[[#This Row],[Level]]="", "", COUNTIFS($B$8:TblDetailBudget[[#This Row],[Level]], Lvl2Hdr, $D$8:TblDetailBudget[[#This Row],[Lvl 1 Header]], TblDetailBudget[[#This Row],[Lvl 1 Header]]))</f>
        <v/>
      </c>
      <c r="F276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76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76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76" s="101"/>
      <c r="J276" s="101"/>
      <c r="K276" s="88"/>
      <c r="L276" s="88"/>
      <c r="M276" s="62" t="str">
        <f>IF(TblDetailBudget[[#This Row],[Level]]=LvlBottomHdr, IFERROR(INDEX(TblUnitCost[Unit], MATCH(TblDetailBudget[[#This Row],[Row Title]], TblUnitCost[Resource], 0)), "Invalid Resource"), "")</f>
        <v/>
      </c>
      <c r="N276" s="125" t="str">
        <f>IF(TblDetailBudget[[#This Row],[Level]]=LvlBottomHdr, IFERROR(INDEX(TblUnitCost[LCU], MATCH(TblDetailBudget[[#This Row],[Row Title]], TblUnitCost[Resource], 0)), "Invalid Resource"), "")</f>
        <v/>
      </c>
      <c r="O276" s="128"/>
      <c r="P276" s="108"/>
      <c r="Q276" s="185"/>
      <c r="R276" s="129"/>
      <c r="S276" s="108" t="s">
        <v>66</v>
      </c>
      <c r="T276" s="108" t="s">
        <v>66</v>
      </c>
      <c r="U276" s="108" t="s">
        <v>66</v>
      </c>
      <c r="V276" s="108" t="s">
        <v>66</v>
      </c>
      <c r="W276" s="108" t="s">
        <v>66</v>
      </c>
      <c r="X276" s="125" t="str">
        <f>IF(TblDetailBudget[[#This Row],[Level]]=LvlBottomHdr, IF(SUM(TblDetailBudget[[#This Row],[2021 Quant]:[2025 Quant]])&gt;0, SUM(TblDetailBudget[[#This Row],[2021 Quant]:[2025 Quant]]), ""), "")</f>
        <v/>
      </c>
      <c r="Y276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7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7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7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7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76" s="140">
        <f>SUM(TblDetailBudget[[#This Row],[2021 Cost (LCU)]:[2025 Cost (LCU)]])</f>
        <v>0</v>
      </c>
      <c r="AE276" s="134">
        <f>IFERROR(SUM(TblDetailBudget[[#This Row],[2021 Cost (LCU)]])/FX_Rate, "")</f>
        <v>0</v>
      </c>
      <c r="AF276" s="63">
        <f>IFERROR(SUM(TblDetailBudget[[#This Row],[2022 Cost (LCU)]])/FX_Rate, "")</f>
        <v>0</v>
      </c>
      <c r="AG276" s="63">
        <f>IFERROR(SUM(TblDetailBudget[[#This Row],[2023 Cost (LCU)]])/FX_Rate, "")</f>
        <v>0</v>
      </c>
      <c r="AH276" s="63">
        <f>IFERROR(SUM(TblDetailBudget[[#This Row],[2024 Cost (LCU)]])/FX_Rate, "")</f>
        <v>0</v>
      </c>
      <c r="AI276" s="63">
        <f>IFERROR(SUM(TblDetailBudget[[#This Row],[2025 Cost (LCU)]])/FX_Rate, "")</f>
        <v>0</v>
      </c>
      <c r="AJ276" s="125">
        <f>SUM(TblDetailBudget[[#This Row],[2021 Cost (USD)]:[2025 Cost (USD)]])</f>
        <v>0</v>
      </c>
      <c r="AK276" s="180"/>
    </row>
    <row r="277" spans="2:37" ht="12.75" customHeight="1">
      <c r="B277" s="122"/>
      <c r="C27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77" s="62" t="str">
        <f>IF(TblDetailBudget[[#This Row],[Level]]="", "", COUNTIFS($B$8:TblDetailBudget[[#This Row],[Level]], Lvl1Hdr))</f>
        <v/>
      </c>
      <c r="E277" s="62" t="str">
        <f>IF(TblDetailBudget[[#This Row],[Level]]="", "", COUNTIFS($B$8:TblDetailBudget[[#This Row],[Level]], Lvl2Hdr, $D$8:TblDetailBudget[[#This Row],[Lvl 1 Header]], TblDetailBudget[[#This Row],[Lvl 1 Header]]))</f>
        <v/>
      </c>
      <c r="F277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77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77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77" s="101"/>
      <c r="J277" s="101"/>
      <c r="K277" s="88"/>
      <c r="L277" s="88"/>
      <c r="M277" s="62" t="str">
        <f>IF(TblDetailBudget[[#This Row],[Level]]=LvlBottomHdr, IFERROR(INDEX(TblUnitCost[Unit], MATCH(TblDetailBudget[[#This Row],[Row Title]], TblUnitCost[Resource], 0)), "Invalid Resource"), "")</f>
        <v/>
      </c>
      <c r="N277" s="125" t="str">
        <f>IF(TblDetailBudget[[#This Row],[Level]]=LvlBottomHdr, IFERROR(INDEX(TblUnitCost[LCU], MATCH(TblDetailBudget[[#This Row],[Row Title]], TblUnitCost[Resource], 0)), "Invalid Resource"), "")</f>
        <v/>
      </c>
      <c r="O277" s="128"/>
      <c r="P277" s="108"/>
      <c r="Q277" s="185"/>
      <c r="R277" s="129"/>
      <c r="S277" s="108" t="s">
        <v>66</v>
      </c>
      <c r="T277" s="108" t="s">
        <v>66</v>
      </c>
      <c r="U277" s="108" t="s">
        <v>66</v>
      </c>
      <c r="V277" s="108" t="s">
        <v>66</v>
      </c>
      <c r="W277" s="108" t="s">
        <v>66</v>
      </c>
      <c r="X277" s="125" t="str">
        <f>IF(TblDetailBudget[[#This Row],[Level]]=LvlBottomHdr, IF(SUM(TblDetailBudget[[#This Row],[2021 Quant]:[2025 Quant]])&gt;0, SUM(TblDetailBudget[[#This Row],[2021 Quant]:[2025 Quant]]), ""), "")</f>
        <v/>
      </c>
      <c r="Y277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7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7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7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7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77" s="140">
        <f>SUM(TblDetailBudget[[#This Row],[2021 Cost (LCU)]:[2025 Cost (LCU)]])</f>
        <v>0</v>
      </c>
      <c r="AE277" s="134">
        <f>IFERROR(SUM(TblDetailBudget[[#This Row],[2021 Cost (LCU)]])/FX_Rate, "")</f>
        <v>0</v>
      </c>
      <c r="AF277" s="63">
        <f>IFERROR(SUM(TblDetailBudget[[#This Row],[2022 Cost (LCU)]])/FX_Rate, "")</f>
        <v>0</v>
      </c>
      <c r="AG277" s="63">
        <f>IFERROR(SUM(TblDetailBudget[[#This Row],[2023 Cost (LCU)]])/FX_Rate, "")</f>
        <v>0</v>
      </c>
      <c r="AH277" s="63">
        <f>IFERROR(SUM(TblDetailBudget[[#This Row],[2024 Cost (LCU)]])/FX_Rate, "")</f>
        <v>0</v>
      </c>
      <c r="AI277" s="63">
        <f>IFERROR(SUM(TblDetailBudget[[#This Row],[2025 Cost (LCU)]])/FX_Rate, "")</f>
        <v>0</v>
      </c>
      <c r="AJ277" s="125">
        <f>SUM(TblDetailBudget[[#This Row],[2021 Cost (USD)]:[2025 Cost (USD)]])</f>
        <v>0</v>
      </c>
      <c r="AK277" s="180"/>
    </row>
    <row r="278" spans="2:37" ht="12.75" customHeight="1">
      <c r="B278" s="122"/>
      <c r="C27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78" s="62" t="str">
        <f>IF(TblDetailBudget[[#This Row],[Level]]="", "", COUNTIFS($B$8:TblDetailBudget[[#This Row],[Level]], Lvl1Hdr))</f>
        <v/>
      </c>
      <c r="E278" s="62" t="str">
        <f>IF(TblDetailBudget[[#This Row],[Level]]="", "", COUNTIFS($B$8:TblDetailBudget[[#This Row],[Level]], Lvl2Hdr, $D$8:TblDetailBudget[[#This Row],[Lvl 1 Header]], TblDetailBudget[[#This Row],[Lvl 1 Header]]))</f>
        <v/>
      </c>
      <c r="F278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78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78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78" s="101"/>
      <c r="J278" s="101"/>
      <c r="K278" s="88"/>
      <c r="L278" s="88"/>
      <c r="M278" s="62" t="str">
        <f>IF(TblDetailBudget[[#This Row],[Level]]=LvlBottomHdr, IFERROR(INDEX(TblUnitCost[Unit], MATCH(TblDetailBudget[[#This Row],[Row Title]], TblUnitCost[Resource], 0)), "Invalid Resource"), "")</f>
        <v/>
      </c>
      <c r="N278" s="125" t="str">
        <f>IF(TblDetailBudget[[#This Row],[Level]]=LvlBottomHdr, IFERROR(INDEX(TblUnitCost[LCU], MATCH(TblDetailBudget[[#This Row],[Row Title]], TblUnitCost[Resource], 0)), "Invalid Resource"), "")</f>
        <v/>
      </c>
      <c r="O278" s="128"/>
      <c r="P278" s="108"/>
      <c r="Q278" s="185"/>
      <c r="R278" s="129"/>
      <c r="S278" s="108" t="s">
        <v>66</v>
      </c>
      <c r="T278" s="108" t="s">
        <v>66</v>
      </c>
      <c r="U278" s="108" t="s">
        <v>66</v>
      </c>
      <c r="V278" s="108" t="s">
        <v>66</v>
      </c>
      <c r="W278" s="108" t="s">
        <v>66</v>
      </c>
      <c r="X278" s="125" t="str">
        <f>IF(TblDetailBudget[[#This Row],[Level]]=LvlBottomHdr, IF(SUM(TblDetailBudget[[#This Row],[2021 Quant]:[2025 Quant]])&gt;0, SUM(TblDetailBudget[[#This Row],[2021 Quant]:[2025 Quant]]), ""), "")</f>
        <v/>
      </c>
      <c r="Y278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7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7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7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7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78" s="140">
        <f>SUM(TblDetailBudget[[#This Row],[2021 Cost (LCU)]:[2025 Cost (LCU)]])</f>
        <v>0</v>
      </c>
      <c r="AE278" s="134">
        <f>IFERROR(SUM(TblDetailBudget[[#This Row],[2021 Cost (LCU)]])/FX_Rate, "")</f>
        <v>0</v>
      </c>
      <c r="AF278" s="63">
        <f>IFERROR(SUM(TblDetailBudget[[#This Row],[2022 Cost (LCU)]])/FX_Rate, "")</f>
        <v>0</v>
      </c>
      <c r="AG278" s="63">
        <f>IFERROR(SUM(TblDetailBudget[[#This Row],[2023 Cost (LCU)]])/FX_Rate, "")</f>
        <v>0</v>
      </c>
      <c r="AH278" s="63">
        <f>IFERROR(SUM(TblDetailBudget[[#This Row],[2024 Cost (LCU)]])/FX_Rate, "")</f>
        <v>0</v>
      </c>
      <c r="AI278" s="63">
        <f>IFERROR(SUM(TblDetailBudget[[#This Row],[2025 Cost (LCU)]])/FX_Rate, "")</f>
        <v>0</v>
      </c>
      <c r="AJ278" s="125">
        <f>SUM(TblDetailBudget[[#This Row],[2021 Cost (USD)]:[2025 Cost (USD)]])</f>
        <v>0</v>
      </c>
      <c r="AK278" s="180"/>
    </row>
    <row r="279" spans="2:37" ht="12.75" customHeight="1">
      <c r="B279" s="122"/>
      <c r="C27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79" s="62" t="str">
        <f>IF(TblDetailBudget[[#This Row],[Level]]="", "", COUNTIFS($B$8:TblDetailBudget[[#This Row],[Level]], Lvl1Hdr))</f>
        <v/>
      </c>
      <c r="E279" s="62" t="str">
        <f>IF(TblDetailBudget[[#This Row],[Level]]="", "", COUNTIFS($B$8:TblDetailBudget[[#This Row],[Level]], Lvl2Hdr, $D$8:TblDetailBudget[[#This Row],[Lvl 1 Header]], TblDetailBudget[[#This Row],[Lvl 1 Header]]))</f>
        <v/>
      </c>
      <c r="F279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79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79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79" s="101"/>
      <c r="J279" s="101"/>
      <c r="K279" s="88"/>
      <c r="L279" s="88"/>
      <c r="M279" s="62" t="str">
        <f>IF(TblDetailBudget[[#This Row],[Level]]=LvlBottomHdr, IFERROR(INDEX(TblUnitCost[Unit], MATCH(TblDetailBudget[[#This Row],[Row Title]], TblUnitCost[Resource], 0)), "Invalid Resource"), "")</f>
        <v/>
      </c>
      <c r="N279" s="125" t="str">
        <f>IF(TblDetailBudget[[#This Row],[Level]]=LvlBottomHdr, IFERROR(INDEX(TblUnitCost[LCU], MATCH(TblDetailBudget[[#This Row],[Row Title]], TblUnitCost[Resource], 0)), "Invalid Resource"), "")</f>
        <v/>
      </c>
      <c r="O279" s="128"/>
      <c r="P279" s="108"/>
      <c r="Q279" s="185"/>
      <c r="R279" s="129"/>
      <c r="S279" s="108" t="s">
        <v>66</v>
      </c>
      <c r="T279" s="108" t="s">
        <v>66</v>
      </c>
      <c r="U279" s="108" t="s">
        <v>66</v>
      </c>
      <c r="V279" s="108" t="s">
        <v>66</v>
      </c>
      <c r="W279" s="108" t="s">
        <v>66</v>
      </c>
      <c r="X279" s="125" t="str">
        <f>IF(TblDetailBudget[[#This Row],[Level]]=LvlBottomHdr, IF(SUM(TblDetailBudget[[#This Row],[2021 Quant]:[2025 Quant]])&gt;0, SUM(TblDetailBudget[[#This Row],[2021 Quant]:[2025 Quant]]), ""), "")</f>
        <v/>
      </c>
      <c r="Y27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7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7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7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7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79" s="140">
        <f>SUM(TblDetailBudget[[#This Row],[2021 Cost (LCU)]:[2025 Cost (LCU)]])</f>
        <v>0</v>
      </c>
      <c r="AE279" s="134">
        <f>IFERROR(SUM(TblDetailBudget[[#This Row],[2021 Cost (LCU)]])/FX_Rate, "")</f>
        <v>0</v>
      </c>
      <c r="AF279" s="63">
        <f>IFERROR(SUM(TblDetailBudget[[#This Row],[2022 Cost (LCU)]])/FX_Rate, "")</f>
        <v>0</v>
      </c>
      <c r="AG279" s="63">
        <f>IFERROR(SUM(TblDetailBudget[[#This Row],[2023 Cost (LCU)]])/FX_Rate, "")</f>
        <v>0</v>
      </c>
      <c r="AH279" s="63">
        <f>IFERROR(SUM(TblDetailBudget[[#This Row],[2024 Cost (LCU)]])/FX_Rate, "")</f>
        <v>0</v>
      </c>
      <c r="AI279" s="63">
        <f>IFERROR(SUM(TblDetailBudget[[#This Row],[2025 Cost (LCU)]])/FX_Rate, "")</f>
        <v>0</v>
      </c>
      <c r="AJ279" s="125">
        <f>SUM(TblDetailBudget[[#This Row],[2021 Cost (USD)]:[2025 Cost (USD)]])</f>
        <v>0</v>
      </c>
      <c r="AK279" s="180"/>
    </row>
    <row r="280" spans="2:37" ht="12.75" customHeight="1">
      <c r="B280" s="122"/>
      <c r="C28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80" s="62" t="str">
        <f>IF(TblDetailBudget[[#This Row],[Level]]="", "", COUNTIFS($B$8:TblDetailBudget[[#This Row],[Level]], Lvl1Hdr))</f>
        <v/>
      </c>
      <c r="E280" s="62" t="str">
        <f>IF(TblDetailBudget[[#This Row],[Level]]="", "", COUNTIFS($B$8:TblDetailBudget[[#This Row],[Level]], Lvl2Hdr, $D$8:TblDetailBudget[[#This Row],[Lvl 1 Header]], TblDetailBudget[[#This Row],[Lvl 1 Header]]))</f>
        <v/>
      </c>
      <c r="F280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80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80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80" s="101"/>
      <c r="J280" s="101"/>
      <c r="K280" s="88"/>
      <c r="L280" s="88"/>
      <c r="M280" s="62" t="str">
        <f>IF(TblDetailBudget[[#This Row],[Level]]=LvlBottomHdr, IFERROR(INDEX(TblUnitCost[Unit], MATCH(TblDetailBudget[[#This Row],[Row Title]], TblUnitCost[Resource], 0)), "Invalid Resource"), "")</f>
        <v/>
      </c>
      <c r="N280" s="125" t="str">
        <f>IF(TblDetailBudget[[#This Row],[Level]]=LvlBottomHdr, IFERROR(INDEX(TblUnitCost[LCU], MATCH(TblDetailBudget[[#This Row],[Row Title]], TblUnitCost[Resource], 0)), "Invalid Resource"), "")</f>
        <v/>
      </c>
      <c r="O280" s="128"/>
      <c r="P280" s="108"/>
      <c r="Q280" s="185"/>
      <c r="R280" s="129"/>
      <c r="S280" s="108" t="s">
        <v>66</v>
      </c>
      <c r="T280" s="108" t="s">
        <v>66</v>
      </c>
      <c r="U280" s="108" t="s">
        <v>66</v>
      </c>
      <c r="V280" s="108" t="s">
        <v>66</v>
      </c>
      <c r="W280" s="108" t="s">
        <v>66</v>
      </c>
      <c r="X280" s="125" t="str">
        <f>IF(TblDetailBudget[[#This Row],[Level]]=LvlBottomHdr, IF(SUM(TblDetailBudget[[#This Row],[2021 Quant]:[2025 Quant]])&gt;0, SUM(TblDetailBudget[[#This Row],[2021 Quant]:[2025 Quant]]), ""), "")</f>
        <v/>
      </c>
      <c r="Y280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8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8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8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8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80" s="140">
        <f>SUM(TblDetailBudget[[#This Row],[2021 Cost (LCU)]:[2025 Cost (LCU)]])</f>
        <v>0</v>
      </c>
      <c r="AE280" s="134">
        <f>IFERROR(SUM(TblDetailBudget[[#This Row],[2021 Cost (LCU)]])/FX_Rate, "")</f>
        <v>0</v>
      </c>
      <c r="AF280" s="63">
        <f>IFERROR(SUM(TblDetailBudget[[#This Row],[2022 Cost (LCU)]])/FX_Rate, "")</f>
        <v>0</v>
      </c>
      <c r="AG280" s="63">
        <f>IFERROR(SUM(TblDetailBudget[[#This Row],[2023 Cost (LCU)]])/FX_Rate, "")</f>
        <v>0</v>
      </c>
      <c r="AH280" s="63">
        <f>IFERROR(SUM(TblDetailBudget[[#This Row],[2024 Cost (LCU)]])/FX_Rate, "")</f>
        <v>0</v>
      </c>
      <c r="AI280" s="63">
        <f>IFERROR(SUM(TblDetailBudget[[#This Row],[2025 Cost (LCU)]])/FX_Rate, "")</f>
        <v>0</v>
      </c>
      <c r="AJ280" s="125">
        <f>SUM(TblDetailBudget[[#This Row],[2021 Cost (USD)]:[2025 Cost (USD)]])</f>
        <v>0</v>
      </c>
      <c r="AK280" s="180"/>
    </row>
    <row r="281" spans="2:37" ht="12.75" customHeight="1">
      <c r="B281" s="122"/>
      <c r="C28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81" s="62" t="str">
        <f>IF(TblDetailBudget[[#This Row],[Level]]="", "", COUNTIFS($B$8:TblDetailBudget[[#This Row],[Level]], Lvl1Hdr))</f>
        <v/>
      </c>
      <c r="E281" s="62" t="str">
        <f>IF(TblDetailBudget[[#This Row],[Level]]="", "", COUNTIFS($B$8:TblDetailBudget[[#This Row],[Level]], Lvl2Hdr, $D$8:TblDetailBudget[[#This Row],[Lvl 1 Header]], TblDetailBudget[[#This Row],[Lvl 1 Header]]))</f>
        <v/>
      </c>
      <c r="F281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81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81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81" s="101"/>
      <c r="J281" s="101"/>
      <c r="K281" s="88"/>
      <c r="L281" s="88"/>
      <c r="M281" s="62" t="str">
        <f>IF(TblDetailBudget[[#This Row],[Level]]=LvlBottomHdr, IFERROR(INDEX(TblUnitCost[Unit], MATCH(TblDetailBudget[[#This Row],[Row Title]], TblUnitCost[Resource], 0)), "Invalid Resource"), "")</f>
        <v/>
      </c>
      <c r="N281" s="125" t="str">
        <f>IF(TblDetailBudget[[#This Row],[Level]]=LvlBottomHdr, IFERROR(INDEX(TblUnitCost[LCU], MATCH(TblDetailBudget[[#This Row],[Row Title]], TblUnitCost[Resource], 0)), "Invalid Resource"), "")</f>
        <v/>
      </c>
      <c r="O281" s="128"/>
      <c r="P281" s="108"/>
      <c r="Q281" s="185"/>
      <c r="R281" s="129"/>
      <c r="S281" s="108" t="s">
        <v>66</v>
      </c>
      <c r="T281" s="108" t="s">
        <v>66</v>
      </c>
      <c r="U281" s="108" t="s">
        <v>66</v>
      </c>
      <c r="V281" s="108" t="s">
        <v>66</v>
      </c>
      <c r="W281" s="108" t="s">
        <v>66</v>
      </c>
      <c r="X281" s="125" t="str">
        <f>IF(TblDetailBudget[[#This Row],[Level]]=LvlBottomHdr, IF(SUM(TblDetailBudget[[#This Row],[2021 Quant]:[2025 Quant]])&gt;0, SUM(TblDetailBudget[[#This Row],[2021 Quant]:[2025 Quant]]), ""), "")</f>
        <v/>
      </c>
      <c r="Y281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8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8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8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8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81" s="140">
        <f>SUM(TblDetailBudget[[#This Row],[2021 Cost (LCU)]:[2025 Cost (LCU)]])</f>
        <v>0</v>
      </c>
      <c r="AE281" s="134">
        <f>IFERROR(SUM(TblDetailBudget[[#This Row],[2021 Cost (LCU)]])/FX_Rate, "")</f>
        <v>0</v>
      </c>
      <c r="AF281" s="63">
        <f>IFERROR(SUM(TblDetailBudget[[#This Row],[2022 Cost (LCU)]])/FX_Rate, "")</f>
        <v>0</v>
      </c>
      <c r="AG281" s="63">
        <f>IFERROR(SUM(TblDetailBudget[[#This Row],[2023 Cost (LCU)]])/FX_Rate, "")</f>
        <v>0</v>
      </c>
      <c r="AH281" s="63">
        <f>IFERROR(SUM(TblDetailBudget[[#This Row],[2024 Cost (LCU)]])/FX_Rate, "")</f>
        <v>0</v>
      </c>
      <c r="AI281" s="63">
        <f>IFERROR(SUM(TblDetailBudget[[#This Row],[2025 Cost (LCU)]])/FX_Rate, "")</f>
        <v>0</v>
      </c>
      <c r="AJ281" s="125">
        <f>SUM(TblDetailBudget[[#This Row],[2021 Cost (USD)]:[2025 Cost (USD)]])</f>
        <v>0</v>
      </c>
      <c r="AK281" s="180"/>
    </row>
    <row r="282" spans="2:37" ht="12.75" customHeight="1">
      <c r="B282" s="122"/>
      <c r="C28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82" s="62" t="str">
        <f>IF(TblDetailBudget[[#This Row],[Level]]="", "", COUNTIFS($B$8:TblDetailBudget[[#This Row],[Level]], Lvl1Hdr))</f>
        <v/>
      </c>
      <c r="E282" s="62" t="str">
        <f>IF(TblDetailBudget[[#This Row],[Level]]="", "", COUNTIFS($B$8:TblDetailBudget[[#This Row],[Level]], Lvl2Hdr, $D$8:TblDetailBudget[[#This Row],[Lvl 1 Header]], TblDetailBudget[[#This Row],[Lvl 1 Header]]))</f>
        <v/>
      </c>
      <c r="F282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82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82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82" s="101"/>
      <c r="J282" s="101"/>
      <c r="K282" s="88"/>
      <c r="L282" s="88"/>
      <c r="M282" s="62" t="str">
        <f>IF(TblDetailBudget[[#This Row],[Level]]=LvlBottomHdr, IFERROR(INDEX(TblUnitCost[Unit], MATCH(TblDetailBudget[[#This Row],[Row Title]], TblUnitCost[Resource], 0)), "Invalid Resource"), "")</f>
        <v/>
      </c>
      <c r="N282" s="125" t="str">
        <f>IF(TblDetailBudget[[#This Row],[Level]]=LvlBottomHdr, IFERROR(INDEX(TblUnitCost[LCU], MATCH(TblDetailBudget[[#This Row],[Row Title]], TblUnitCost[Resource], 0)), "Invalid Resource"), "")</f>
        <v/>
      </c>
      <c r="O282" s="128"/>
      <c r="P282" s="108"/>
      <c r="Q282" s="185"/>
      <c r="R282" s="129"/>
      <c r="S282" s="108" t="s">
        <v>66</v>
      </c>
      <c r="T282" s="108" t="s">
        <v>66</v>
      </c>
      <c r="U282" s="108" t="s">
        <v>66</v>
      </c>
      <c r="V282" s="108" t="s">
        <v>66</v>
      </c>
      <c r="W282" s="108" t="s">
        <v>66</v>
      </c>
      <c r="X282" s="125" t="str">
        <f>IF(TblDetailBudget[[#This Row],[Level]]=LvlBottomHdr, IF(SUM(TblDetailBudget[[#This Row],[2021 Quant]:[2025 Quant]])&gt;0, SUM(TblDetailBudget[[#This Row],[2021 Quant]:[2025 Quant]]), ""), "")</f>
        <v/>
      </c>
      <c r="Y282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8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8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8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8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82" s="140">
        <f>SUM(TblDetailBudget[[#This Row],[2021 Cost (LCU)]:[2025 Cost (LCU)]])</f>
        <v>0</v>
      </c>
      <c r="AE282" s="134">
        <f>IFERROR(SUM(TblDetailBudget[[#This Row],[2021 Cost (LCU)]])/FX_Rate, "")</f>
        <v>0</v>
      </c>
      <c r="AF282" s="63">
        <f>IFERROR(SUM(TblDetailBudget[[#This Row],[2022 Cost (LCU)]])/FX_Rate, "")</f>
        <v>0</v>
      </c>
      <c r="AG282" s="63">
        <f>IFERROR(SUM(TblDetailBudget[[#This Row],[2023 Cost (LCU)]])/FX_Rate, "")</f>
        <v>0</v>
      </c>
      <c r="AH282" s="63">
        <f>IFERROR(SUM(TblDetailBudget[[#This Row],[2024 Cost (LCU)]])/FX_Rate, "")</f>
        <v>0</v>
      </c>
      <c r="AI282" s="63">
        <f>IFERROR(SUM(TblDetailBudget[[#This Row],[2025 Cost (LCU)]])/FX_Rate, "")</f>
        <v>0</v>
      </c>
      <c r="AJ282" s="125">
        <f>SUM(TblDetailBudget[[#This Row],[2021 Cost (USD)]:[2025 Cost (USD)]])</f>
        <v>0</v>
      </c>
      <c r="AK282" s="180"/>
    </row>
    <row r="283" spans="2:37" ht="12.75" customHeight="1">
      <c r="B283" s="122"/>
      <c r="C28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83" s="62" t="str">
        <f>IF(TblDetailBudget[[#This Row],[Level]]="", "", COUNTIFS($B$8:TblDetailBudget[[#This Row],[Level]], Lvl1Hdr))</f>
        <v/>
      </c>
      <c r="E283" s="62" t="str">
        <f>IF(TblDetailBudget[[#This Row],[Level]]="", "", COUNTIFS($B$8:TblDetailBudget[[#This Row],[Level]], Lvl2Hdr, $D$8:TblDetailBudget[[#This Row],[Lvl 1 Header]], TblDetailBudget[[#This Row],[Lvl 1 Header]]))</f>
        <v/>
      </c>
      <c r="F283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83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83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83" s="101"/>
      <c r="J283" s="101"/>
      <c r="K283" s="88"/>
      <c r="L283" s="88"/>
      <c r="M283" s="62" t="str">
        <f>IF(TblDetailBudget[[#This Row],[Level]]=LvlBottomHdr, IFERROR(INDEX(TblUnitCost[Unit], MATCH(TblDetailBudget[[#This Row],[Row Title]], TblUnitCost[Resource], 0)), "Invalid Resource"), "")</f>
        <v/>
      </c>
      <c r="N283" s="125" t="str">
        <f>IF(TblDetailBudget[[#This Row],[Level]]=LvlBottomHdr, IFERROR(INDEX(TblUnitCost[LCU], MATCH(TblDetailBudget[[#This Row],[Row Title]], TblUnitCost[Resource], 0)), "Invalid Resource"), "")</f>
        <v/>
      </c>
      <c r="O283" s="128"/>
      <c r="P283" s="108"/>
      <c r="Q283" s="185"/>
      <c r="R283" s="129"/>
      <c r="S283" s="108" t="s">
        <v>66</v>
      </c>
      <c r="T283" s="108" t="s">
        <v>66</v>
      </c>
      <c r="U283" s="108" t="s">
        <v>66</v>
      </c>
      <c r="V283" s="108" t="s">
        <v>66</v>
      </c>
      <c r="W283" s="108" t="s">
        <v>66</v>
      </c>
      <c r="X283" s="125" t="str">
        <f>IF(TblDetailBudget[[#This Row],[Level]]=LvlBottomHdr, IF(SUM(TblDetailBudget[[#This Row],[2021 Quant]:[2025 Quant]])&gt;0, SUM(TblDetailBudget[[#This Row],[2021 Quant]:[2025 Quant]]), ""), "")</f>
        <v/>
      </c>
      <c r="Y283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8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8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8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8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83" s="140">
        <f>SUM(TblDetailBudget[[#This Row],[2021 Cost (LCU)]:[2025 Cost (LCU)]])</f>
        <v>0</v>
      </c>
      <c r="AE283" s="134">
        <f>IFERROR(SUM(TblDetailBudget[[#This Row],[2021 Cost (LCU)]])/FX_Rate, "")</f>
        <v>0</v>
      </c>
      <c r="AF283" s="63">
        <f>IFERROR(SUM(TblDetailBudget[[#This Row],[2022 Cost (LCU)]])/FX_Rate, "")</f>
        <v>0</v>
      </c>
      <c r="AG283" s="63">
        <f>IFERROR(SUM(TblDetailBudget[[#This Row],[2023 Cost (LCU)]])/FX_Rate, "")</f>
        <v>0</v>
      </c>
      <c r="AH283" s="63">
        <f>IFERROR(SUM(TblDetailBudget[[#This Row],[2024 Cost (LCU)]])/FX_Rate, "")</f>
        <v>0</v>
      </c>
      <c r="AI283" s="63">
        <f>IFERROR(SUM(TblDetailBudget[[#This Row],[2025 Cost (LCU)]])/FX_Rate, "")</f>
        <v>0</v>
      </c>
      <c r="AJ283" s="125">
        <f>SUM(TblDetailBudget[[#This Row],[2021 Cost (USD)]:[2025 Cost (USD)]])</f>
        <v>0</v>
      </c>
      <c r="AK283" s="180"/>
    </row>
    <row r="284" spans="2:37" ht="12.75" customHeight="1">
      <c r="B284" s="122"/>
      <c r="C28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84" s="62" t="str">
        <f>IF(TblDetailBudget[[#This Row],[Level]]="", "", COUNTIFS($B$8:TblDetailBudget[[#This Row],[Level]], Lvl1Hdr))</f>
        <v/>
      </c>
      <c r="E284" s="62" t="str">
        <f>IF(TblDetailBudget[[#This Row],[Level]]="", "", COUNTIFS($B$8:TblDetailBudget[[#This Row],[Level]], Lvl2Hdr, $D$8:TblDetailBudget[[#This Row],[Lvl 1 Header]], TblDetailBudget[[#This Row],[Lvl 1 Header]]))</f>
        <v/>
      </c>
      <c r="F284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84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84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84" s="101"/>
      <c r="J284" s="101"/>
      <c r="K284" s="88"/>
      <c r="L284" s="88"/>
      <c r="M284" s="62" t="str">
        <f>IF(TblDetailBudget[[#This Row],[Level]]=LvlBottomHdr, IFERROR(INDEX(TblUnitCost[Unit], MATCH(TblDetailBudget[[#This Row],[Row Title]], TblUnitCost[Resource], 0)), "Invalid Resource"), "")</f>
        <v/>
      </c>
      <c r="N284" s="125" t="str">
        <f>IF(TblDetailBudget[[#This Row],[Level]]=LvlBottomHdr, IFERROR(INDEX(TblUnitCost[LCU], MATCH(TblDetailBudget[[#This Row],[Row Title]], TblUnitCost[Resource], 0)), "Invalid Resource"), "")</f>
        <v/>
      </c>
      <c r="O284" s="128"/>
      <c r="P284" s="108"/>
      <c r="Q284" s="185"/>
      <c r="R284" s="129"/>
      <c r="S284" s="108" t="s">
        <v>66</v>
      </c>
      <c r="T284" s="108" t="s">
        <v>66</v>
      </c>
      <c r="U284" s="108" t="s">
        <v>66</v>
      </c>
      <c r="V284" s="108" t="s">
        <v>66</v>
      </c>
      <c r="W284" s="108" t="s">
        <v>66</v>
      </c>
      <c r="X284" s="125" t="str">
        <f>IF(TblDetailBudget[[#This Row],[Level]]=LvlBottomHdr, IF(SUM(TblDetailBudget[[#This Row],[2021 Quant]:[2025 Quant]])&gt;0, SUM(TblDetailBudget[[#This Row],[2021 Quant]:[2025 Quant]]), ""), "")</f>
        <v/>
      </c>
      <c r="Y28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8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8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8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8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84" s="140">
        <f>SUM(TblDetailBudget[[#This Row],[2021 Cost (LCU)]:[2025 Cost (LCU)]])</f>
        <v>0</v>
      </c>
      <c r="AE284" s="134">
        <f>IFERROR(SUM(TblDetailBudget[[#This Row],[2021 Cost (LCU)]])/FX_Rate, "")</f>
        <v>0</v>
      </c>
      <c r="AF284" s="63">
        <f>IFERROR(SUM(TblDetailBudget[[#This Row],[2022 Cost (LCU)]])/FX_Rate, "")</f>
        <v>0</v>
      </c>
      <c r="AG284" s="63">
        <f>IFERROR(SUM(TblDetailBudget[[#This Row],[2023 Cost (LCU)]])/FX_Rate, "")</f>
        <v>0</v>
      </c>
      <c r="AH284" s="63">
        <f>IFERROR(SUM(TblDetailBudget[[#This Row],[2024 Cost (LCU)]])/FX_Rate, "")</f>
        <v>0</v>
      </c>
      <c r="AI284" s="63">
        <f>IFERROR(SUM(TblDetailBudget[[#This Row],[2025 Cost (LCU)]])/FX_Rate, "")</f>
        <v>0</v>
      </c>
      <c r="AJ284" s="125">
        <f>SUM(TblDetailBudget[[#This Row],[2021 Cost (USD)]:[2025 Cost (USD)]])</f>
        <v>0</v>
      </c>
      <c r="AK284" s="180"/>
    </row>
    <row r="285" spans="2:37" ht="12.75" customHeight="1">
      <c r="B285" s="122"/>
      <c r="C28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85" s="62" t="str">
        <f>IF(TblDetailBudget[[#This Row],[Level]]="", "", COUNTIFS($B$8:TblDetailBudget[[#This Row],[Level]], Lvl1Hdr))</f>
        <v/>
      </c>
      <c r="E285" s="62" t="str">
        <f>IF(TblDetailBudget[[#This Row],[Level]]="", "", COUNTIFS($B$8:TblDetailBudget[[#This Row],[Level]], Lvl2Hdr, $D$8:TblDetailBudget[[#This Row],[Lvl 1 Header]], TblDetailBudget[[#This Row],[Lvl 1 Header]]))</f>
        <v/>
      </c>
      <c r="F285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85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85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85" s="101"/>
      <c r="J285" s="101"/>
      <c r="K285" s="88"/>
      <c r="L285" s="88"/>
      <c r="M285" s="62" t="str">
        <f>IF(TblDetailBudget[[#This Row],[Level]]=LvlBottomHdr, IFERROR(INDEX(TblUnitCost[Unit], MATCH(TblDetailBudget[[#This Row],[Row Title]], TblUnitCost[Resource], 0)), "Invalid Resource"), "")</f>
        <v/>
      </c>
      <c r="N285" s="125" t="str">
        <f>IF(TblDetailBudget[[#This Row],[Level]]=LvlBottomHdr, IFERROR(INDEX(TblUnitCost[LCU], MATCH(TblDetailBudget[[#This Row],[Row Title]], TblUnitCost[Resource], 0)), "Invalid Resource"), "")</f>
        <v/>
      </c>
      <c r="O285" s="128"/>
      <c r="P285" s="108"/>
      <c r="Q285" s="185"/>
      <c r="R285" s="129"/>
      <c r="S285" s="108" t="s">
        <v>66</v>
      </c>
      <c r="T285" s="108" t="s">
        <v>66</v>
      </c>
      <c r="U285" s="108" t="s">
        <v>66</v>
      </c>
      <c r="V285" s="108" t="s">
        <v>66</v>
      </c>
      <c r="W285" s="108" t="s">
        <v>66</v>
      </c>
      <c r="X285" s="125" t="str">
        <f>IF(TblDetailBudget[[#This Row],[Level]]=LvlBottomHdr, IF(SUM(TblDetailBudget[[#This Row],[2021 Quant]:[2025 Quant]])&gt;0, SUM(TblDetailBudget[[#This Row],[2021 Quant]:[2025 Quant]]), ""), "")</f>
        <v/>
      </c>
      <c r="Y285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8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8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8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8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85" s="140">
        <f>SUM(TblDetailBudget[[#This Row],[2021 Cost (LCU)]:[2025 Cost (LCU)]])</f>
        <v>0</v>
      </c>
      <c r="AE285" s="134">
        <f>IFERROR(SUM(TblDetailBudget[[#This Row],[2021 Cost (LCU)]])/FX_Rate, "")</f>
        <v>0</v>
      </c>
      <c r="AF285" s="63">
        <f>IFERROR(SUM(TblDetailBudget[[#This Row],[2022 Cost (LCU)]])/FX_Rate, "")</f>
        <v>0</v>
      </c>
      <c r="AG285" s="63">
        <f>IFERROR(SUM(TblDetailBudget[[#This Row],[2023 Cost (LCU)]])/FX_Rate, "")</f>
        <v>0</v>
      </c>
      <c r="AH285" s="63">
        <f>IFERROR(SUM(TblDetailBudget[[#This Row],[2024 Cost (LCU)]])/FX_Rate, "")</f>
        <v>0</v>
      </c>
      <c r="AI285" s="63">
        <f>IFERROR(SUM(TblDetailBudget[[#This Row],[2025 Cost (LCU)]])/FX_Rate, "")</f>
        <v>0</v>
      </c>
      <c r="AJ285" s="125">
        <f>SUM(TblDetailBudget[[#This Row],[2021 Cost (USD)]:[2025 Cost (USD)]])</f>
        <v>0</v>
      </c>
      <c r="AK285" s="180"/>
    </row>
    <row r="286" spans="2:37" ht="12.75" customHeight="1">
      <c r="B286" s="122"/>
      <c r="C28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86" s="62" t="str">
        <f>IF(TblDetailBudget[[#This Row],[Level]]="", "", COUNTIFS($B$8:TblDetailBudget[[#This Row],[Level]], Lvl1Hdr))</f>
        <v/>
      </c>
      <c r="E286" s="62" t="str">
        <f>IF(TblDetailBudget[[#This Row],[Level]]="", "", COUNTIFS($B$8:TblDetailBudget[[#This Row],[Level]], Lvl2Hdr, $D$8:TblDetailBudget[[#This Row],[Lvl 1 Header]], TblDetailBudget[[#This Row],[Lvl 1 Header]]))</f>
        <v/>
      </c>
      <c r="F286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86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86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86" s="101"/>
      <c r="J286" s="101"/>
      <c r="K286" s="88"/>
      <c r="L286" s="88"/>
      <c r="M286" s="62" t="str">
        <f>IF(TblDetailBudget[[#This Row],[Level]]=LvlBottomHdr, IFERROR(INDEX(TblUnitCost[Unit], MATCH(TblDetailBudget[[#This Row],[Row Title]], TblUnitCost[Resource], 0)), "Invalid Resource"), "")</f>
        <v/>
      </c>
      <c r="N286" s="125" t="str">
        <f>IF(TblDetailBudget[[#This Row],[Level]]=LvlBottomHdr, IFERROR(INDEX(TblUnitCost[LCU], MATCH(TblDetailBudget[[#This Row],[Row Title]], TblUnitCost[Resource], 0)), "Invalid Resource"), "")</f>
        <v/>
      </c>
      <c r="O286" s="128"/>
      <c r="P286" s="108"/>
      <c r="Q286" s="185"/>
      <c r="R286" s="129"/>
      <c r="S286" s="108" t="s">
        <v>66</v>
      </c>
      <c r="T286" s="108" t="s">
        <v>66</v>
      </c>
      <c r="U286" s="108" t="s">
        <v>66</v>
      </c>
      <c r="V286" s="108" t="s">
        <v>66</v>
      </c>
      <c r="W286" s="108" t="s">
        <v>66</v>
      </c>
      <c r="X286" s="125" t="str">
        <f>IF(TblDetailBudget[[#This Row],[Level]]=LvlBottomHdr, IF(SUM(TblDetailBudget[[#This Row],[2021 Quant]:[2025 Quant]])&gt;0, SUM(TblDetailBudget[[#This Row],[2021 Quant]:[2025 Quant]]), ""), "")</f>
        <v/>
      </c>
      <c r="Y286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8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8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8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8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86" s="140">
        <f>SUM(TblDetailBudget[[#This Row],[2021 Cost (LCU)]:[2025 Cost (LCU)]])</f>
        <v>0</v>
      </c>
      <c r="AE286" s="134">
        <f>IFERROR(SUM(TblDetailBudget[[#This Row],[2021 Cost (LCU)]])/FX_Rate, "")</f>
        <v>0</v>
      </c>
      <c r="AF286" s="63">
        <f>IFERROR(SUM(TblDetailBudget[[#This Row],[2022 Cost (LCU)]])/FX_Rate, "")</f>
        <v>0</v>
      </c>
      <c r="AG286" s="63">
        <f>IFERROR(SUM(TblDetailBudget[[#This Row],[2023 Cost (LCU)]])/FX_Rate, "")</f>
        <v>0</v>
      </c>
      <c r="AH286" s="63">
        <f>IFERROR(SUM(TblDetailBudget[[#This Row],[2024 Cost (LCU)]])/FX_Rate, "")</f>
        <v>0</v>
      </c>
      <c r="AI286" s="63">
        <f>IFERROR(SUM(TblDetailBudget[[#This Row],[2025 Cost (LCU)]])/FX_Rate, "")</f>
        <v>0</v>
      </c>
      <c r="AJ286" s="125">
        <f>SUM(TblDetailBudget[[#This Row],[2021 Cost (USD)]:[2025 Cost (USD)]])</f>
        <v>0</v>
      </c>
      <c r="AK286" s="180"/>
    </row>
    <row r="287" spans="2:37" ht="12.75" customHeight="1">
      <c r="B287" s="122"/>
      <c r="C28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87" s="62" t="str">
        <f>IF(TblDetailBudget[[#This Row],[Level]]="", "", COUNTIFS($B$8:TblDetailBudget[[#This Row],[Level]], Lvl1Hdr))</f>
        <v/>
      </c>
      <c r="E287" s="62" t="str">
        <f>IF(TblDetailBudget[[#This Row],[Level]]="", "", COUNTIFS($B$8:TblDetailBudget[[#This Row],[Level]], Lvl2Hdr, $D$8:TblDetailBudget[[#This Row],[Lvl 1 Header]], TblDetailBudget[[#This Row],[Lvl 1 Header]]))</f>
        <v/>
      </c>
      <c r="F287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87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87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87" s="101"/>
      <c r="J287" s="101"/>
      <c r="K287" s="88"/>
      <c r="L287" s="88"/>
      <c r="M287" s="62" t="str">
        <f>IF(TblDetailBudget[[#This Row],[Level]]=LvlBottomHdr, IFERROR(INDEX(TblUnitCost[Unit], MATCH(TblDetailBudget[[#This Row],[Row Title]], TblUnitCost[Resource], 0)), "Invalid Resource"), "")</f>
        <v/>
      </c>
      <c r="N287" s="125" t="str">
        <f>IF(TblDetailBudget[[#This Row],[Level]]=LvlBottomHdr, IFERROR(INDEX(TblUnitCost[LCU], MATCH(TblDetailBudget[[#This Row],[Row Title]], TblUnitCost[Resource], 0)), "Invalid Resource"), "")</f>
        <v/>
      </c>
      <c r="O287" s="128"/>
      <c r="P287" s="108"/>
      <c r="Q287" s="185"/>
      <c r="R287" s="129"/>
      <c r="S287" s="108" t="s">
        <v>66</v>
      </c>
      <c r="T287" s="108" t="s">
        <v>66</v>
      </c>
      <c r="U287" s="108" t="s">
        <v>66</v>
      </c>
      <c r="V287" s="108" t="s">
        <v>66</v>
      </c>
      <c r="W287" s="108" t="s">
        <v>66</v>
      </c>
      <c r="X287" s="125" t="str">
        <f>IF(TblDetailBudget[[#This Row],[Level]]=LvlBottomHdr, IF(SUM(TblDetailBudget[[#This Row],[2021 Quant]:[2025 Quant]])&gt;0, SUM(TblDetailBudget[[#This Row],[2021 Quant]:[2025 Quant]]), ""), "")</f>
        <v/>
      </c>
      <c r="Y287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8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8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8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8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87" s="140">
        <f>SUM(TblDetailBudget[[#This Row],[2021 Cost (LCU)]:[2025 Cost (LCU)]])</f>
        <v>0</v>
      </c>
      <c r="AE287" s="134">
        <f>IFERROR(SUM(TblDetailBudget[[#This Row],[2021 Cost (LCU)]])/FX_Rate, "")</f>
        <v>0</v>
      </c>
      <c r="AF287" s="63">
        <f>IFERROR(SUM(TblDetailBudget[[#This Row],[2022 Cost (LCU)]])/FX_Rate, "")</f>
        <v>0</v>
      </c>
      <c r="AG287" s="63">
        <f>IFERROR(SUM(TblDetailBudget[[#This Row],[2023 Cost (LCU)]])/FX_Rate, "")</f>
        <v>0</v>
      </c>
      <c r="AH287" s="63">
        <f>IFERROR(SUM(TblDetailBudget[[#This Row],[2024 Cost (LCU)]])/FX_Rate, "")</f>
        <v>0</v>
      </c>
      <c r="AI287" s="63">
        <f>IFERROR(SUM(TblDetailBudget[[#This Row],[2025 Cost (LCU)]])/FX_Rate, "")</f>
        <v>0</v>
      </c>
      <c r="AJ287" s="125">
        <f>SUM(TblDetailBudget[[#This Row],[2021 Cost (USD)]:[2025 Cost (USD)]])</f>
        <v>0</v>
      </c>
      <c r="AK287" s="180"/>
    </row>
    <row r="288" spans="2:37" ht="12.75" customHeight="1">
      <c r="B288" s="122"/>
      <c r="C28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88" s="62" t="str">
        <f>IF(TblDetailBudget[[#This Row],[Level]]="", "", COUNTIFS($B$8:TblDetailBudget[[#This Row],[Level]], Lvl1Hdr))</f>
        <v/>
      </c>
      <c r="E288" s="62" t="str">
        <f>IF(TblDetailBudget[[#This Row],[Level]]="", "", COUNTIFS($B$8:TblDetailBudget[[#This Row],[Level]], Lvl2Hdr, $D$8:TblDetailBudget[[#This Row],[Lvl 1 Header]], TblDetailBudget[[#This Row],[Lvl 1 Header]]))</f>
        <v/>
      </c>
      <c r="F288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88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88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88" s="101"/>
      <c r="J288" s="101"/>
      <c r="K288" s="88"/>
      <c r="L288" s="88"/>
      <c r="M288" s="62" t="str">
        <f>IF(TblDetailBudget[[#This Row],[Level]]=LvlBottomHdr, IFERROR(INDEX(TblUnitCost[Unit], MATCH(TblDetailBudget[[#This Row],[Row Title]], TblUnitCost[Resource], 0)), "Invalid Resource"), "")</f>
        <v/>
      </c>
      <c r="N288" s="125" t="str">
        <f>IF(TblDetailBudget[[#This Row],[Level]]=LvlBottomHdr, IFERROR(INDEX(TblUnitCost[LCU], MATCH(TblDetailBudget[[#This Row],[Row Title]], TblUnitCost[Resource], 0)), "Invalid Resource"), "")</f>
        <v/>
      </c>
      <c r="O288" s="128"/>
      <c r="P288" s="108"/>
      <c r="Q288" s="185"/>
      <c r="R288" s="129"/>
      <c r="S288" s="108" t="s">
        <v>66</v>
      </c>
      <c r="T288" s="108" t="s">
        <v>66</v>
      </c>
      <c r="U288" s="108" t="s">
        <v>66</v>
      </c>
      <c r="V288" s="108" t="s">
        <v>66</v>
      </c>
      <c r="W288" s="108" t="s">
        <v>66</v>
      </c>
      <c r="X288" s="125" t="str">
        <f>IF(TblDetailBudget[[#This Row],[Level]]=LvlBottomHdr, IF(SUM(TblDetailBudget[[#This Row],[2021 Quant]:[2025 Quant]])&gt;0, SUM(TblDetailBudget[[#This Row],[2021 Quant]:[2025 Quant]]), ""), "")</f>
        <v/>
      </c>
      <c r="Y288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8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8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8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8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88" s="140">
        <f>SUM(TblDetailBudget[[#This Row],[2021 Cost (LCU)]:[2025 Cost (LCU)]])</f>
        <v>0</v>
      </c>
      <c r="AE288" s="134">
        <f>IFERROR(SUM(TblDetailBudget[[#This Row],[2021 Cost (LCU)]])/FX_Rate, "")</f>
        <v>0</v>
      </c>
      <c r="AF288" s="63">
        <f>IFERROR(SUM(TblDetailBudget[[#This Row],[2022 Cost (LCU)]])/FX_Rate, "")</f>
        <v>0</v>
      </c>
      <c r="AG288" s="63">
        <f>IFERROR(SUM(TblDetailBudget[[#This Row],[2023 Cost (LCU)]])/FX_Rate, "")</f>
        <v>0</v>
      </c>
      <c r="AH288" s="63">
        <f>IFERROR(SUM(TblDetailBudget[[#This Row],[2024 Cost (LCU)]])/FX_Rate, "")</f>
        <v>0</v>
      </c>
      <c r="AI288" s="63">
        <f>IFERROR(SUM(TblDetailBudget[[#This Row],[2025 Cost (LCU)]])/FX_Rate, "")</f>
        <v>0</v>
      </c>
      <c r="AJ288" s="125">
        <f>SUM(TblDetailBudget[[#This Row],[2021 Cost (USD)]:[2025 Cost (USD)]])</f>
        <v>0</v>
      </c>
      <c r="AK288" s="180"/>
    </row>
    <row r="289" spans="2:37" ht="12.75" customHeight="1">
      <c r="B289" s="122"/>
      <c r="C28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89" s="62" t="str">
        <f>IF(TblDetailBudget[[#This Row],[Level]]="", "", COUNTIFS($B$8:TblDetailBudget[[#This Row],[Level]], Lvl1Hdr))</f>
        <v/>
      </c>
      <c r="E289" s="62" t="str">
        <f>IF(TblDetailBudget[[#This Row],[Level]]="", "", COUNTIFS($B$8:TblDetailBudget[[#This Row],[Level]], Lvl2Hdr, $D$8:TblDetailBudget[[#This Row],[Lvl 1 Header]], TblDetailBudget[[#This Row],[Lvl 1 Header]]))</f>
        <v/>
      </c>
      <c r="F289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89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89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89" s="101"/>
      <c r="J289" s="101"/>
      <c r="K289" s="88"/>
      <c r="L289" s="88"/>
      <c r="M289" s="62" t="str">
        <f>IF(TblDetailBudget[[#This Row],[Level]]=LvlBottomHdr, IFERROR(INDEX(TblUnitCost[Unit], MATCH(TblDetailBudget[[#This Row],[Row Title]], TblUnitCost[Resource], 0)), "Invalid Resource"), "")</f>
        <v/>
      </c>
      <c r="N289" s="125" t="str">
        <f>IF(TblDetailBudget[[#This Row],[Level]]=LvlBottomHdr, IFERROR(INDEX(TblUnitCost[LCU], MATCH(TblDetailBudget[[#This Row],[Row Title]], TblUnitCost[Resource], 0)), "Invalid Resource"), "")</f>
        <v/>
      </c>
      <c r="O289" s="128"/>
      <c r="P289" s="108"/>
      <c r="Q289" s="185"/>
      <c r="R289" s="129"/>
      <c r="S289" s="108" t="s">
        <v>66</v>
      </c>
      <c r="T289" s="108" t="s">
        <v>66</v>
      </c>
      <c r="U289" s="108" t="s">
        <v>66</v>
      </c>
      <c r="V289" s="108" t="s">
        <v>66</v>
      </c>
      <c r="W289" s="108" t="s">
        <v>66</v>
      </c>
      <c r="X289" s="125" t="str">
        <f>IF(TblDetailBudget[[#This Row],[Level]]=LvlBottomHdr, IF(SUM(TblDetailBudget[[#This Row],[2021 Quant]:[2025 Quant]])&gt;0, SUM(TblDetailBudget[[#This Row],[2021 Quant]:[2025 Quant]]), ""), "")</f>
        <v/>
      </c>
      <c r="Y28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8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8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8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8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89" s="140">
        <f>SUM(TblDetailBudget[[#This Row],[2021 Cost (LCU)]:[2025 Cost (LCU)]])</f>
        <v>0</v>
      </c>
      <c r="AE289" s="134">
        <f>IFERROR(SUM(TblDetailBudget[[#This Row],[2021 Cost (LCU)]])/FX_Rate, "")</f>
        <v>0</v>
      </c>
      <c r="AF289" s="63">
        <f>IFERROR(SUM(TblDetailBudget[[#This Row],[2022 Cost (LCU)]])/FX_Rate, "")</f>
        <v>0</v>
      </c>
      <c r="AG289" s="63">
        <f>IFERROR(SUM(TblDetailBudget[[#This Row],[2023 Cost (LCU)]])/FX_Rate, "")</f>
        <v>0</v>
      </c>
      <c r="AH289" s="63">
        <f>IFERROR(SUM(TblDetailBudget[[#This Row],[2024 Cost (LCU)]])/FX_Rate, "")</f>
        <v>0</v>
      </c>
      <c r="AI289" s="63">
        <f>IFERROR(SUM(TblDetailBudget[[#This Row],[2025 Cost (LCU)]])/FX_Rate, "")</f>
        <v>0</v>
      </c>
      <c r="AJ289" s="125">
        <f>SUM(TblDetailBudget[[#This Row],[2021 Cost (USD)]:[2025 Cost (USD)]])</f>
        <v>0</v>
      </c>
      <c r="AK289" s="180"/>
    </row>
    <row r="290" spans="2:37" ht="12.75" customHeight="1">
      <c r="B290" s="122"/>
      <c r="C29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90" s="62" t="str">
        <f>IF(TblDetailBudget[[#This Row],[Level]]="", "", COUNTIFS($B$8:TblDetailBudget[[#This Row],[Level]], Lvl1Hdr))</f>
        <v/>
      </c>
      <c r="E290" s="62" t="str">
        <f>IF(TblDetailBudget[[#This Row],[Level]]="", "", COUNTIFS($B$8:TblDetailBudget[[#This Row],[Level]], Lvl2Hdr, $D$8:TblDetailBudget[[#This Row],[Lvl 1 Header]], TblDetailBudget[[#This Row],[Lvl 1 Header]]))</f>
        <v/>
      </c>
      <c r="F290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90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90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90" s="101"/>
      <c r="J290" s="101"/>
      <c r="K290" s="88"/>
      <c r="L290" s="88"/>
      <c r="M290" s="62" t="str">
        <f>IF(TblDetailBudget[[#This Row],[Level]]=LvlBottomHdr, IFERROR(INDEX(TblUnitCost[Unit], MATCH(TblDetailBudget[[#This Row],[Row Title]], TblUnitCost[Resource], 0)), "Invalid Resource"), "")</f>
        <v/>
      </c>
      <c r="N290" s="125" t="str">
        <f>IF(TblDetailBudget[[#This Row],[Level]]=LvlBottomHdr, IFERROR(INDEX(TblUnitCost[LCU], MATCH(TblDetailBudget[[#This Row],[Row Title]], TblUnitCost[Resource], 0)), "Invalid Resource"), "")</f>
        <v/>
      </c>
      <c r="O290" s="128"/>
      <c r="P290" s="108"/>
      <c r="Q290" s="185"/>
      <c r="R290" s="129"/>
      <c r="S290" s="108" t="s">
        <v>66</v>
      </c>
      <c r="T290" s="108" t="s">
        <v>66</v>
      </c>
      <c r="U290" s="108" t="s">
        <v>66</v>
      </c>
      <c r="V290" s="108" t="s">
        <v>66</v>
      </c>
      <c r="W290" s="108" t="s">
        <v>66</v>
      </c>
      <c r="X290" s="125" t="str">
        <f>IF(TblDetailBudget[[#This Row],[Level]]=LvlBottomHdr, IF(SUM(TblDetailBudget[[#This Row],[2021 Quant]:[2025 Quant]])&gt;0, SUM(TblDetailBudget[[#This Row],[2021 Quant]:[2025 Quant]]), ""), "")</f>
        <v/>
      </c>
      <c r="Y290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9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9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9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9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90" s="140">
        <f>SUM(TblDetailBudget[[#This Row],[2021 Cost (LCU)]:[2025 Cost (LCU)]])</f>
        <v>0</v>
      </c>
      <c r="AE290" s="134">
        <f>IFERROR(SUM(TblDetailBudget[[#This Row],[2021 Cost (LCU)]])/FX_Rate, "")</f>
        <v>0</v>
      </c>
      <c r="AF290" s="63">
        <f>IFERROR(SUM(TblDetailBudget[[#This Row],[2022 Cost (LCU)]])/FX_Rate, "")</f>
        <v>0</v>
      </c>
      <c r="AG290" s="63">
        <f>IFERROR(SUM(TblDetailBudget[[#This Row],[2023 Cost (LCU)]])/FX_Rate, "")</f>
        <v>0</v>
      </c>
      <c r="AH290" s="63">
        <f>IFERROR(SUM(TblDetailBudget[[#This Row],[2024 Cost (LCU)]])/FX_Rate, "")</f>
        <v>0</v>
      </c>
      <c r="AI290" s="63">
        <f>IFERROR(SUM(TblDetailBudget[[#This Row],[2025 Cost (LCU)]])/FX_Rate, "")</f>
        <v>0</v>
      </c>
      <c r="AJ290" s="125">
        <f>SUM(TblDetailBudget[[#This Row],[2021 Cost (USD)]:[2025 Cost (USD)]])</f>
        <v>0</v>
      </c>
      <c r="AK290" s="180"/>
    </row>
    <row r="291" spans="2:37" ht="12.75" customHeight="1">
      <c r="B291" s="122"/>
      <c r="C29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91" s="62" t="str">
        <f>IF(TblDetailBudget[[#This Row],[Level]]="", "", COUNTIFS($B$8:TblDetailBudget[[#This Row],[Level]], Lvl1Hdr))</f>
        <v/>
      </c>
      <c r="E291" s="62" t="str">
        <f>IF(TblDetailBudget[[#This Row],[Level]]="", "", COUNTIFS($B$8:TblDetailBudget[[#This Row],[Level]], Lvl2Hdr, $D$8:TblDetailBudget[[#This Row],[Lvl 1 Header]], TblDetailBudget[[#This Row],[Lvl 1 Header]]))</f>
        <v/>
      </c>
      <c r="F291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91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91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91" s="101"/>
      <c r="J291" s="101"/>
      <c r="K291" s="88"/>
      <c r="L291" s="88"/>
      <c r="M291" s="62" t="str">
        <f>IF(TblDetailBudget[[#This Row],[Level]]=LvlBottomHdr, IFERROR(INDEX(TblUnitCost[Unit], MATCH(TblDetailBudget[[#This Row],[Row Title]], TblUnitCost[Resource], 0)), "Invalid Resource"), "")</f>
        <v/>
      </c>
      <c r="N291" s="125" t="str">
        <f>IF(TblDetailBudget[[#This Row],[Level]]=LvlBottomHdr, IFERROR(INDEX(TblUnitCost[LCU], MATCH(TblDetailBudget[[#This Row],[Row Title]], TblUnitCost[Resource], 0)), "Invalid Resource"), "")</f>
        <v/>
      </c>
      <c r="O291" s="128"/>
      <c r="P291" s="108"/>
      <c r="Q291" s="185"/>
      <c r="R291" s="129"/>
      <c r="S291" s="108" t="s">
        <v>66</v>
      </c>
      <c r="T291" s="108" t="s">
        <v>66</v>
      </c>
      <c r="U291" s="108" t="s">
        <v>66</v>
      </c>
      <c r="V291" s="108" t="s">
        <v>66</v>
      </c>
      <c r="W291" s="108" t="s">
        <v>66</v>
      </c>
      <c r="X291" s="125" t="str">
        <f>IF(TblDetailBudget[[#This Row],[Level]]=LvlBottomHdr, IF(SUM(TblDetailBudget[[#This Row],[2021 Quant]:[2025 Quant]])&gt;0, SUM(TblDetailBudget[[#This Row],[2021 Quant]:[2025 Quant]]), ""), "")</f>
        <v/>
      </c>
      <c r="Y291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9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9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9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9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91" s="140">
        <f>SUM(TblDetailBudget[[#This Row],[2021 Cost (LCU)]:[2025 Cost (LCU)]])</f>
        <v>0</v>
      </c>
      <c r="AE291" s="134">
        <f>IFERROR(SUM(TblDetailBudget[[#This Row],[2021 Cost (LCU)]])/FX_Rate, "")</f>
        <v>0</v>
      </c>
      <c r="AF291" s="63">
        <f>IFERROR(SUM(TblDetailBudget[[#This Row],[2022 Cost (LCU)]])/FX_Rate, "")</f>
        <v>0</v>
      </c>
      <c r="AG291" s="63">
        <f>IFERROR(SUM(TblDetailBudget[[#This Row],[2023 Cost (LCU)]])/FX_Rate, "")</f>
        <v>0</v>
      </c>
      <c r="AH291" s="63">
        <f>IFERROR(SUM(TblDetailBudget[[#This Row],[2024 Cost (LCU)]])/FX_Rate, "")</f>
        <v>0</v>
      </c>
      <c r="AI291" s="63">
        <f>IFERROR(SUM(TblDetailBudget[[#This Row],[2025 Cost (LCU)]])/FX_Rate, "")</f>
        <v>0</v>
      </c>
      <c r="AJ291" s="125">
        <f>SUM(TblDetailBudget[[#This Row],[2021 Cost (USD)]:[2025 Cost (USD)]])</f>
        <v>0</v>
      </c>
      <c r="AK291" s="180"/>
    </row>
    <row r="292" spans="2:37" ht="12.75" customHeight="1">
      <c r="B292" s="122"/>
      <c r="C29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92" s="62" t="str">
        <f>IF(TblDetailBudget[[#This Row],[Level]]="", "", COUNTIFS($B$8:TblDetailBudget[[#This Row],[Level]], Lvl1Hdr))</f>
        <v/>
      </c>
      <c r="E292" s="62" t="str">
        <f>IF(TblDetailBudget[[#This Row],[Level]]="", "", COUNTIFS($B$8:TblDetailBudget[[#This Row],[Level]], Lvl2Hdr, $D$8:TblDetailBudget[[#This Row],[Lvl 1 Header]], TblDetailBudget[[#This Row],[Lvl 1 Header]]))</f>
        <v/>
      </c>
      <c r="F292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92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92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92" s="101"/>
      <c r="J292" s="101"/>
      <c r="K292" s="88"/>
      <c r="L292" s="88"/>
      <c r="M292" s="62" t="str">
        <f>IF(TblDetailBudget[[#This Row],[Level]]=LvlBottomHdr, IFERROR(INDEX(TblUnitCost[Unit], MATCH(TblDetailBudget[[#This Row],[Row Title]], TblUnitCost[Resource], 0)), "Invalid Resource"), "")</f>
        <v/>
      </c>
      <c r="N292" s="125" t="str">
        <f>IF(TblDetailBudget[[#This Row],[Level]]=LvlBottomHdr, IFERROR(INDEX(TblUnitCost[LCU], MATCH(TblDetailBudget[[#This Row],[Row Title]], TblUnitCost[Resource], 0)), "Invalid Resource"), "")</f>
        <v/>
      </c>
      <c r="O292" s="128"/>
      <c r="P292" s="108"/>
      <c r="Q292" s="185"/>
      <c r="R292" s="129"/>
      <c r="S292" s="108" t="s">
        <v>66</v>
      </c>
      <c r="T292" s="108" t="s">
        <v>66</v>
      </c>
      <c r="U292" s="108" t="s">
        <v>66</v>
      </c>
      <c r="V292" s="108" t="s">
        <v>66</v>
      </c>
      <c r="W292" s="108" t="s">
        <v>66</v>
      </c>
      <c r="X292" s="125" t="str">
        <f>IF(TblDetailBudget[[#This Row],[Level]]=LvlBottomHdr, IF(SUM(TblDetailBudget[[#This Row],[2021 Quant]:[2025 Quant]])&gt;0, SUM(TblDetailBudget[[#This Row],[2021 Quant]:[2025 Quant]]), ""), "")</f>
        <v/>
      </c>
      <c r="Y292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9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9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9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9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92" s="140">
        <f>SUM(TblDetailBudget[[#This Row],[2021 Cost (LCU)]:[2025 Cost (LCU)]])</f>
        <v>0</v>
      </c>
      <c r="AE292" s="134">
        <f>IFERROR(SUM(TblDetailBudget[[#This Row],[2021 Cost (LCU)]])/FX_Rate, "")</f>
        <v>0</v>
      </c>
      <c r="AF292" s="63">
        <f>IFERROR(SUM(TblDetailBudget[[#This Row],[2022 Cost (LCU)]])/FX_Rate, "")</f>
        <v>0</v>
      </c>
      <c r="AG292" s="63">
        <f>IFERROR(SUM(TblDetailBudget[[#This Row],[2023 Cost (LCU)]])/FX_Rate, "")</f>
        <v>0</v>
      </c>
      <c r="AH292" s="63">
        <f>IFERROR(SUM(TblDetailBudget[[#This Row],[2024 Cost (LCU)]])/FX_Rate, "")</f>
        <v>0</v>
      </c>
      <c r="AI292" s="63">
        <f>IFERROR(SUM(TblDetailBudget[[#This Row],[2025 Cost (LCU)]])/FX_Rate, "")</f>
        <v>0</v>
      </c>
      <c r="AJ292" s="125">
        <f>SUM(TblDetailBudget[[#This Row],[2021 Cost (USD)]:[2025 Cost (USD)]])</f>
        <v>0</v>
      </c>
      <c r="AK292" s="180"/>
    </row>
    <row r="293" spans="2:37" ht="12.75" customHeight="1">
      <c r="B293" s="122"/>
      <c r="C29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93" s="62" t="str">
        <f>IF(TblDetailBudget[[#This Row],[Level]]="", "", COUNTIFS($B$8:TblDetailBudget[[#This Row],[Level]], Lvl1Hdr))</f>
        <v/>
      </c>
      <c r="E293" s="62" t="str">
        <f>IF(TblDetailBudget[[#This Row],[Level]]="", "", COUNTIFS($B$8:TblDetailBudget[[#This Row],[Level]], Lvl2Hdr, $D$8:TblDetailBudget[[#This Row],[Lvl 1 Header]], TblDetailBudget[[#This Row],[Lvl 1 Header]]))</f>
        <v/>
      </c>
      <c r="F293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93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93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93" s="101"/>
      <c r="J293" s="101"/>
      <c r="K293" s="88"/>
      <c r="L293" s="88"/>
      <c r="M293" s="62" t="str">
        <f>IF(TblDetailBudget[[#This Row],[Level]]=LvlBottomHdr, IFERROR(INDEX(TblUnitCost[Unit], MATCH(TblDetailBudget[[#This Row],[Row Title]], TblUnitCost[Resource], 0)), "Invalid Resource"), "")</f>
        <v/>
      </c>
      <c r="N293" s="125" t="str">
        <f>IF(TblDetailBudget[[#This Row],[Level]]=LvlBottomHdr, IFERROR(INDEX(TblUnitCost[LCU], MATCH(TblDetailBudget[[#This Row],[Row Title]], TblUnitCost[Resource], 0)), "Invalid Resource"), "")</f>
        <v/>
      </c>
      <c r="O293" s="128"/>
      <c r="P293" s="108"/>
      <c r="Q293" s="185"/>
      <c r="R293" s="129"/>
      <c r="S293" s="108" t="s">
        <v>66</v>
      </c>
      <c r="T293" s="108" t="s">
        <v>66</v>
      </c>
      <c r="U293" s="108" t="s">
        <v>66</v>
      </c>
      <c r="V293" s="108" t="s">
        <v>66</v>
      </c>
      <c r="W293" s="108" t="s">
        <v>66</v>
      </c>
      <c r="X293" s="125" t="str">
        <f>IF(TblDetailBudget[[#This Row],[Level]]=LvlBottomHdr, IF(SUM(TblDetailBudget[[#This Row],[2021 Quant]:[2025 Quant]])&gt;0, SUM(TblDetailBudget[[#This Row],[2021 Quant]:[2025 Quant]]), ""), "")</f>
        <v/>
      </c>
      <c r="Y293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9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9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9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9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93" s="140">
        <f>SUM(TblDetailBudget[[#This Row],[2021 Cost (LCU)]:[2025 Cost (LCU)]])</f>
        <v>0</v>
      </c>
      <c r="AE293" s="134">
        <f>IFERROR(SUM(TblDetailBudget[[#This Row],[2021 Cost (LCU)]])/FX_Rate, "")</f>
        <v>0</v>
      </c>
      <c r="AF293" s="63">
        <f>IFERROR(SUM(TblDetailBudget[[#This Row],[2022 Cost (LCU)]])/FX_Rate, "")</f>
        <v>0</v>
      </c>
      <c r="AG293" s="63">
        <f>IFERROR(SUM(TblDetailBudget[[#This Row],[2023 Cost (LCU)]])/FX_Rate, "")</f>
        <v>0</v>
      </c>
      <c r="AH293" s="63">
        <f>IFERROR(SUM(TblDetailBudget[[#This Row],[2024 Cost (LCU)]])/FX_Rate, "")</f>
        <v>0</v>
      </c>
      <c r="AI293" s="63">
        <f>IFERROR(SUM(TblDetailBudget[[#This Row],[2025 Cost (LCU)]])/FX_Rate, "")</f>
        <v>0</v>
      </c>
      <c r="AJ293" s="125">
        <f>SUM(TblDetailBudget[[#This Row],[2021 Cost (USD)]:[2025 Cost (USD)]])</f>
        <v>0</v>
      </c>
      <c r="AK293" s="180"/>
    </row>
    <row r="294" spans="2:37" ht="12.75" customHeight="1">
      <c r="B294" s="122"/>
      <c r="C29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94" s="62" t="str">
        <f>IF(TblDetailBudget[[#This Row],[Level]]="", "", COUNTIFS($B$8:TblDetailBudget[[#This Row],[Level]], Lvl1Hdr))</f>
        <v/>
      </c>
      <c r="E294" s="62" t="str">
        <f>IF(TblDetailBudget[[#This Row],[Level]]="", "", COUNTIFS($B$8:TblDetailBudget[[#This Row],[Level]], Lvl2Hdr, $D$8:TblDetailBudget[[#This Row],[Lvl 1 Header]], TblDetailBudget[[#This Row],[Lvl 1 Header]]))</f>
        <v/>
      </c>
      <c r="F294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94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94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94" s="101"/>
      <c r="J294" s="101"/>
      <c r="K294" s="88"/>
      <c r="L294" s="88"/>
      <c r="M294" s="62" t="str">
        <f>IF(TblDetailBudget[[#This Row],[Level]]=LvlBottomHdr, IFERROR(INDEX(TblUnitCost[Unit], MATCH(TblDetailBudget[[#This Row],[Row Title]], TblUnitCost[Resource], 0)), "Invalid Resource"), "")</f>
        <v/>
      </c>
      <c r="N294" s="125" t="str">
        <f>IF(TblDetailBudget[[#This Row],[Level]]=LvlBottomHdr, IFERROR(INDEX(TblUnitCost[LCU], MATCH(TblDetailBudget[[#This Row],[Row Title]], TblUnitCost[Resource], 0)), "Invalid Resource"), "")</f>
        <v/>
      </c>
      <c r="O294" s="128"/>
      <c r="P294" s="108"/>
      <c r="Q294" s="185"/>
      <c r="R294" s="129"/>
      <c r="S294" s="108" t="s">
        <v>66</v>
      </c>
      <c r="T294" s="108" t="s">
        <v>66</v>
      </c>
      <c r="U294" s="108" t="s">
        <v>66</v>
      </c>
      <c r="V294" s="108" t="s">
        <v>66</v>
      </c>
      <c r="W294" s="108" t="s">
        <v>66</v>
      </c>
      <c r="X294" s="125" t="str">
        <f>IF(TblDetailBudget[[#This Row],[Level]]=LvlBottomHdr, IF(SUM(TblDetailBudget[[#This Row],[2021 Quant]:[2025 Quant]])&gt;0, SUM(TblDetailBudget[[#This Row],[2021 Quant]:[2025 Quant]]), ""), "")</f>
        <v/>
      </c>
      <c r="Y29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9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9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9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9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94" s="140">
        <f>SUM(TblDetailBudget[[#This Row],[2021 Cost (LCU)]:[2025 Cost (LCU)]])</f>
        <v>0</v>
      </c>
      <c r="AE294" s="134">
        <f>IFERROR(SUM(TblDetailBudget[[#This Row],[2021 Cost (LCU)]])/FX_Rate, "")</f>
        <v>0</v>
      </c>
      <c r="AF294" s="63">
        <f>IFERROR(SUM(TblDetailBudget[[#This Row],[2022 Cost (LCU)]])/FX_Rate, "")</f>
        <v>0</v>
      </c>
      <c r="AG294" s="63">
        <f>IFERROR(SUM(TblDetailBudget[[#This Row],[2023 Cost (LCU)]])/FX_Rate, "")</f>
        <v>0</v>
      </c>
      <c r="AH294" s="63">
        <f>IFERROR(SUM(TblDetailBudget[[#This Row],[2024 Cost (LCU)]])/FX_Rate, "")</f>
        <v>0</v>
      </c>
      <c r="AI294" s="63">
        <f>IFERROR(SUM(TblDetailBudget[[#This Row],[2025 Cost (LCU)]])/FX_Rate, "")</f>
        <v>0</v>
      </c>
      <c r="AJ294" s="125">
        <f>SUM(TblDetailBudget[[#This Row],[2021 Cost (USD)]:[2025 Cost (USD)]])</f>
        <v>0</v>
      </c>
      <c r="AK294" s="180"/>
    </row>
    <row r="295" spans="2:37" ht="12.75" customHeight="1">
      <c r="B295" s="122"/>
      <c r="C29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95" s="62" t="str">
        <f>IF(TblDetailBudget[[#This Row],[Level]]="", "", COUNTIFS($B$8:TblDetailBudget[[#This Row],[Level]], Lvl1Hdr))</f>
        <v/>
      </c>
      <c r="E295" s="62" t="str">
        <f>IF(TblDetailBudget[[#This Row],[Level]]="", "", COUNTIFS($B$8:TblDetailBudget[[#This Row],[Level]], Lvl2Hdr, $D$8:TblDetailBudget[[#This Row],[Lvl 1 Header]], TblDetailBudget[[#This Row],[Lvl 1 Header]]))</f>
        <v/>
      </c>
      <c r="F295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95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95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95" s="101"/>
      <c r="J295" s="101"/>
      <c r="K295" s="88"/>
      <c r="L295" s="88"/>
      <c r="M295" s="62" t="str">
        <f>IF(TblDetailBudget[[#This Row],[Level]]=LvlBottomHdr, IFERROR(INDEX(TblUnitCost[Unit], MATCH(TblDetailBudget[[#This Row],[Row Title]], TblUnitCost[Resource], 0)), "Invalid Resource"), "")</f>
        <v/>
      </c>
      <c r="N295" s="125" t="str">
        <f>IF(TblDetailBudget[[#This Row],[Level]]=LvlBottomHdr, IFERROR(INDEX(TblUnitCost[LCU], MATCH(TblDetailBudget[[#This Row],[Row Title]], TblUnitCost[Resource], 0)), "Invalid Resource"), "")</f>
        <v/>
      </c>
      <c r="O295" s="128"/>
      <c r="P295" s="108"/>
      <c r="Q295" s="185"/>
      <c r="R295" s="129"/>
      <c r="S295" s="108" t="s">
        <v>66</v>
      </c>
      <c r="T295" s="108" t="s">
        <v>66</v>
      </c>
      <c r="U295" s="108" t="s">
        <v>66</v>
      </c>
      <c r="V295" s="108" t="s">
        <v>66</v>
      </c>
      <c r="W295" s="108" t="s">
        <v>66</v>
      </c>
      <c r="X295" s="125" t="str">
        <f>IF(TblDetailBudget[[#This Row],[Level]]=LvlBottomHdr, IF(SUM(TblDetailBudget[[#This Row],[2021 Quant]:[2025 Quant]])&gt;0, SUM(TblDetailBudget[[#This Row],[2021 Quant]:[2025 Quant]]), ""), "")</f>
        <v/>
      </c>
      <c r="Y295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9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9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9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9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95" s="140">
        <f>SUM(TblDetailBudget[[#This Row],[2021 Cost (LCU)]:[2025 Cost (LCU)]])</f>
        <v>0</v>
      </c>
      <c r="AE295" s="134">
        <f>IFERROR(SUM(TblDetailBudget[[#This Row],[2021 Cost (LCU)]])/FX_Rate, "")</f>
        <v>0</v>
      </c>
      <c r="AF295" s="63">
        <f>IFERROR(SUM(TblDetailBudget[[#This Row],[2022 Cost (LCU)]])/FX_Rate, "")</f>
        <v>0</v>
      </c>
      <c r="AG295" s="63">
        <f>IFERROR(SUM(TblDetailBudget[[#This Row],[2023 Cost (LCU)]])/FX_Rate, "")</f>
        <v>0</v>
      </c>
      <c r="AH295" s="63">
        <f>IFERROR(SUM(TblDetailBudget[[#This Row],[2024 Cost (LCU)]])/FX_Rate, "")</f>
        <v>0</v>
      </c>
      <c r="AI295" s="63">
        <f>IFERROR(SUM(TblDetailBudget[[#This Row],[2025 Cost (LCU)]])/FX_Rate, "")</f>
        <v>0</v>
      </c>
      <c r="AJ295" s="125">
        <f>SUM(TblDetailBudget[[#This Row],[2021 Cost (USD)]:[2025 Cost (USD)]])</f>
        <v>0</v>
      </c>
      <c r="AK295" s="180"/>
    </row>
    <row r="296" spans="2:37" ht="12.75" customHeight="1">
      <c r="B296" s="122"/>
      <c r="C29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96" s="62" t="str">
        <f>IF(TblDetailBudget[[#This Row],[Level]]="", "", COUNTIFS($B$8:TblDetailBudget[[#This Row],[Level]], Lvl1Hdr))</f>
        <v/>
      </c>
      <c r="E296" s="62" t="str">
        <f>IF(TblDetailBudget[[#This Row],[Level]]="", "", COUNTIFS($B$8:TblDetailBudget[[#This Row],[Level]], Lvl2Hdr, $D$8:TblDetailBudget[[#This Row],[Lvl 1 Header]], TblDetailBudget[[#This Row],[Lvl 1 Header]]))</f>
        <v/>
      </c>
      <c r="F296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96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96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96" s="101"/>
      <c r="J296" s="101"/>
      <c r="K296" s="88"/>
      <c r="L296" s="88"/>
      <c r="M296" s="62" t="str">
        <f>IF(TblDetailBudget[[#This Row],[Level]]=LvlBottomHdr, IFERROR(INDEX(TblUnitCost[Unit], MATCH(TblDetailBudget[[#This Row],[Row Title]], TblUnitCost[Resource], 0)), "Invalid Resource"), "")</f>
        <v/>
      </c>
      <c r="N296" s="125" t="str">
        <f>IF(TblDetailBudget[[#This Row],[Level]]=LvlBottomHdr, IFERROR(INDEX(TblUnitCost[LCU], MATCH(TblDetailBudget[[#This Row],[Row Title]], TblUnitCost[Resource], 0)), "Invalid Resource"), "")</f>
        <v/>
      </c>
      <c r="O296" s="128"/>
      <c r="P296" s="108"/>
      <c r="Q296" s="185"/>
      <c r="R296" s="129"/>
      <c r="S296" s="108" t="s">
        <v>66</v>
      </c>
      <c r="T296" s="108" t="s">
        <v>66</v>
      </c>
      <c r="U296" s="108" t="s">
        <v>66</v>
      </c>
      <c r="V296" s="108" t="s">
        <v>66</v>
      </c>
      <c r="W296" s="108" t="s">
        <v>66</v>
      </c>
      <c r="X296" s="125" t="str">
        <f>IF(TblDetailBudget[[#This Row],[Level]]=LvlBottomHdr, IF(SUM(TblDetailBudget[[#This Row],[2021 Quant]:[2025 Quant]])&gt;0, SUM(TblDetailBudget[[#This Row],[2021 Quant]:[2025 Quant]]), ""), "")</f>
        <v/>
      </c>
      <c r="Y296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9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9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9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9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96" s="140">
        <f>SUM(TblDetailBudget[[#This Row],[2021 Cost (LCU)]:[2025 Cost (LCU)]])</f>
        <v>0</v>
      </c>
      <c r="AE296" s="134">
        <f>IFERROR(SUM(TblDetailBudget[[#This Row],[2021 Cost (LCU)]])/FX_Rate, "")</f>
        <v>0</v>
      </c>
      <c r="AF296" s="63">
        <f>IFERROR(SUM(TblDetailBudget[[#This Row],[2022 Cost (LCU)]])/FX_Rate, "")</f>
        <v>0</v>
      </c>
      <c r="AG296" s="63">
        <f>IFERROR(SUM(TblDetailBudget[[#This Row],[2023 Cost (LCU)]])/FX_Rate, "")</f>
        <v>0</v>
      </c>
      <c r="AH296" s="63">
        <f>IFERROR(SUM(TblDetailBudget[[#This Row],[2024 Cost (LCU)]])/FX_Rate, "")</f>
        <v>0</v>
      </c>
      <c r="AI296" s="63">
        <f>IFERROR(SUM(TblDetailBudget[[#This Row],[2025 Cost (LCU)]])/FX_Rate, "")</f>
        <v>0</v>
      </c>
      <c r="AJ296" s="125">
        <f>SUM(TblDetailBudget[[#This Row],[2021 Cost (USD)]:[2025 Cost (USD)]])</f>
        <v>0</v>
      </c>
      <c r="AK296" s="180"/>
    </row>
    <row r="297" spans="2:37" ht="12.75" customHeight="1">
      <c r="B297" s="122"/>
      <c r="C29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97" s="62" t="str">
        <f>IF(TblDetailBudget[[#This Row],[Level]]="", "", COUNTIFS($B$8:TblDetailBudget[[#This Row],[Level]], Lvl1Hdr))</f>
        <v/>
      </c>
      <c r="E297" s="62" t="str">
        <f>IF(TblDetailBudget[[#This Row],[Level]]="", "", COUNTIFS($B$8:TblDetailBudget[[#This Row],[Level]], Lvl2Hdr, $D$8:TblDetailBudget[[#This Row],[Lvl 1 Header]], TblDetailBudget[[#This Row],[Lvl 1 Header]]))</f>
        <v/>
      </c>
      <c r="F297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97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97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97" s="101"/>
      <c r="J297" s="101"/>
      <c r="K297" s="88"/>
      <c r="L297" s="88"/>
      <c r="M297" s="62" t="str">
        <f>IF(TblDetailBudget[[#This Row],[Level]]=LvlBottomHdr, IFERROR(INDEX(TblUnitCost[Unit], MATCH(TblDetailBudget[[#This Row],[Row Title]], TblUnitCost[Resource], 0)), "Invalid Resource"), "")</f>
        <v/>
      </c>
      <c r="N297" s="125" t="str">
        <f>IF(TblDetailBudget[[#This Row],[Level]]=LvlBottomHdr, IFERROR(INDEX(TblUnitCost[LCU], MATCH(TblDetailBudget[[#This Row],[Row Title]], TblUnitCost[Resource], 0)), "Invalid Resource"), "")</f>
        <v/>
      </c>
      <c r="O297" s="128"/>
      <c r="P297" s="108"/>
      <c r="Q297" s="185"/>
      <c r="R297" s="129"/>
      <c r="S297" s="108" t="s">
        <v>66</v>
      </c>
      <c r="T297" s="108" t="s">
        <v>66</v>
      </c>
      <c r="U297" s="108" t="s">
        <v>66</v>
      </c>
      <c r="V297" s="108" t="s">
        <v>66</v>
      </c>
      <c r="W297" s="108" t="s">
        <v>66</v>
      </c>
      <c r="X297" s="125" t="str">
        <f>IF(TblDetailBudget[[#This Row],[Level]]=LvlBottomHdr, IF(SUM(TblDetailBudget[[#This Row],[2021 Quant]:[2025 Quant]])&gt;0, SUM(TblDetailBudget[[#This Row],[2021 Quant]:[2025 Quant]]), ""), "")</f>
        <v/>
      </c>
      <c r="Y297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9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9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9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9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97" s="140">
        <f>SUM(TblDetailBudget[[#This Row],[2021 Cost (LCU)]:[2025 Cost (LCU)]])</f>
        <v>0</v>
      </c>
      <c r="AE297" s="134">
        <f>IFERROR(SUM(TblDetailBudget[[#This Row],[2021 Cost (LCU)]])/FX_Rate, "")</f>
        <v>0</v>
      </c>
      <c r="AF297" s="63">
        <f>IFERROR(SUM(TblDetailBudget[[#This Row],[2022 Cost (LCU)]])/FX_Rate, "")</f>
        <v>0</v>
      </c>
      <c r="AG297" s="63">
        <f>IFERROR(SUM(TblDetailBudget[[#This Row],[2023 Cost (LCU)]])/FX_Rate, "")</f>
        <v>0</v>
      </c>
      <c r="AH297" s="63">
        <f>IFERROR(SUM(TblDetailBudget[[#This Row],[2024 Cost (LCU)]])/FX_Rate, "")</f>
        <v>0</v>
      </c>
      <c r="AI297" s="63">
        <f>IFERROR(SUM(TblDetailBudget[[#This Row],[2025 Cost (LCU)]])/FX_Rate, "")</f>
        <v>0</v>
      </c>
      <c r="AJ297" s="125">
        <f>SUM(TblDetailBudget[[#This Row],[2021 Cost (USD)]:[2025 Cost (USD)]])</f>
        <v>0</v>
      </c>
      <c r="AK297" s="180"/>
    </row>
    <row r="298" spans="2:37" ht="12.75" customHeight="1">
      <c r="B298" s="122"/>
      <c r="C29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98" s="62" t="str">
        <f>IF(TblDetailBudget[[#This Row],[Level]]="", "", COUNTIFS($B$8:TblDetailBudget[[#This Row],[Level]], Lvl1Hdr))</f>
        <v/>
      </c>
      <c r="E298" s="62" t="str">
        <f>IF(TblDetailBudget[[#This Row],[Level]]="", "", COUNTIFS($B$8:TblDetailBudget[[#This Row],[Level]], Lvl2Hdr, $D$8:TblDetailBudget[[#This Row],[Lvl 1 Header]], TblDetailBudget[[#This Row],[Lvl 1 Header]]))</f>
        <v/>
      </c>
      <c r="F298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98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98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98" s="101"/>
      <c r="J298" s="101"/>
      <c r="K298" s="88"/>
      <c r="L298" s="88"/>
      <c r="M298" s="62" t="str">
        <f>IF(TblDetailBudget[[#This Row],[Level]]=LvlBottomHdr, IFERROR(INDEX(TblUnitCost[Unit], MATCH(TblDetailBudget[[#This Row],[Row Title]], TblUnitCost[Resource], 0)), "Invalid Resource"), "")</f>
        <v/>
      </c>
      <c r="N298" s="125" t="str">
        <f>IF(TblDetailBudget[[#This Row],[Level]]=LvlBottomHdr, IFERROR(INDEX(TblUnitCost[LCU], MATCH(TblDetailBudget[[#This Row],[Row Title]], TblUnitCost[Resource], 0)), "Invalid Resource"), "")</f>
        <v/>
      </c>
      <c r="O298" s="128"/>
      <c r="P298" s="108"/>
      <c r="Q298" s="185"/>
      <c r="R298" s="129"/>
      <c r="S298" s="108" t="s">
        <v>66</v>
      </c>
      <c r="T298" s="108" t="s">
        <v>66</v>
      </c>
      <c r="U298" s="108" t="s">
        <v>66</v>
      </c>
      <c r="V298" s="108" t="s">
        <v>66</v>
      </c>
      <c r="W298" s="108" t="s">
        <v>66</v>
      </c>
      <c r="X298" s="125" t="str">
        <f>IF(TblDetailBudget[[#This Row],[Level]]=LvlBottomHdr, IF(SUM(TblDetailBudget[[#This Row],[2021 Quant]:[2025 Quant]])&gt;0, SUM(TblDetailBudget[[#This Row],[2021 Quant]:[2025 Quant]]), ""), "")</f>
        <v/>
      </c>
      <c r="Y298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9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9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9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9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98" s="140">
        <f>SUM(TblDetailBudget[[#This Row],[2021 Cost (LCU)]:[2025 Cost (LCU)]])</f>
        <v>0</v>
      </c>
      <c r="AE298" s="134">
        <f>IFERROR(SUM(TblDetailBudget[[#This Row],[2021 Cost (LCU)]])/FX_Rate, "")</f>
        <v>0</v>
      </c>
      <c r="AF298" s="63">
        <f>IFERROR(SUM(TblDetailBudget[[#This Row],[2022 Cost (LCU)]])/FX_Rate, "")</f>
        <v>0</v>
      </c>
      <c r="AG298" s="63">
        <f>IFERROR(SUM(TblDetailBudget[[#This Row],[2023 Cost (LCU)]])/FX_Rate, "")</f>
        <v>0</v>
      </c>
      <c r="AH298" s="63">
        <f>IFERROR(SUM(TblDetailBudget[[#This Row],[2024 Cost (LCU)]])/FX_Rate, "")</f>
        <v>0</v>
      </c>
      <c r="AI298" s="63">
        <f>IFERROR(SUM(TblDetailBudget[[#This Row],[2025 Cost (LCU)]])/FX_Rate, "")</f>
        <v>0</v>
      </c>
      <c r="AJ298" s="125">
        <f>SUM(TblDetailBudget[[#This Row],[2021 Cost (USD)]:[2025 Cost (USD)]])</f>
        <v>0</v>
      </c>
      <c r="AK298" s="180"/>
    </row>
    <row r="299" spans="2:37" ht="12.75" customHeight="1">
      <c r="B299" s="122"/>
      <c r="C29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99" s="62" t="str">
        <f>IF(TblDetailBudget[[#This Row],[Level]]="", "", COUNTIFS($B$8:TblDetailBudget[[#This Row],[Level]], Lvl1Hdr))</f>
        <v/>
      </c>
      <c r="E299" s="62" t="str">
        <f>IF(TblDetailBudget[[#This Row],[Level]]="", "", COUNTIFS($B$8:TblDetailBudget[[#This Row],[Level]], Lvl2Hdr, $D$8:TblDetailBudget[[#This Row],[Lvl 1 Header]], TblDetailBudget[[#This Row],[Lvl 1 Header]]))</f>
        <v/>
      </c>
      <c r="F299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99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99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99" s="101"/>
      <c r="J299" s="101"/>
      <c r="K299" s="88"/>
      <c r="L299" s="88"/>
      <c r="M299" s="62" t="str">
        <f>IF(TblDetailBudget[[#This Row],[Level]]=LvlBottomHdr, IFERROR(INDEX(TblUnitCost[Unit], MATCH(TblDetailBudget[[#This Row],[Row Title]], TblUnitCost[Resource], 0)), "Invalid Resource"), "")</f>
        <v/>
      </c>
      <c r="N299" s="125" t="str">
        <f>IF(TblDetailBudget[[#This Row],[Level]]=LvlBottomHdr, IFERROR(INDEX(TblUnitCost[LCU], MATCH(TblDetailBudget[[#This Row],[Row Title]], TblUnitCost[Resource], 0)), "Invalid Resource"), "")</f>
        <v/>
      </c>
      <c r="O299" s="128"/>
      <c r="P299" s="108"/>
      <c r="Q299" s="185"/>
      <c r="R299" s="129"/>
      <c r="S299" s="108" t="s">
        <v>66</v>
      </c>
      <c r="T299" s="108" t="s">
        <v>66</v>
      </c>
      <c r="U299" s="108" t="s">
        <v>66</v>
      </c>
      <c r="V299" s="108" t="s">
        <v>66</v>
      </c>
      <c r="W299" s="108" t="s">
        <v>66</v>
      </c>
      <c r="X299" s="125" t="str">
        <f>IF(TblDetailBudget[[#This Row],[Level]]=LvlBottomHdr, IF(SUM(TblDetailBudget[[#This Row],[2021 Quant]:[2025 Quant]])&gt;0, SUM(TblDetailBudget[[#This Row],[2021 Quant]:[2025 Quant]]), ""), "")</f>
        <v/>
      </c>
      <c r="Y29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29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29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29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29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299" s="140">
        <f>SUM(TblDetailBudget[[#This Row],[2021 Cost (LCU)]:[2025 Cost (LCU)]])</f>
        <v>0</v>
      </c>
      <c r="AE299" s="134">
        <f>IFERROR(SUM(TblDetailBudget[[#This Row],[2021 Cost (LCU)]])/FX_Rate, "")</f>
        <v>0</v>
      </c>
      <c r="AF299" s="63">
        <f>IFERROR(SUM(TblDetailBudget[[#This Row],[2022 Cost (LCU)]])/FX_Rate, "")</f>
        <v>0</v>
      </c>
      <c r="AG299" s="63">
        <f>IFERROR(SUM(TblDetailBudget[[#This Row],[2023 Cost (LCU)]])/FX_Rate, "")</f>
        <v>0</v>
      </c>
      <c r="AH299" s="63">
        <f>IFERROR(SUM(TblDetailBudget[[#This Row],[2024 Cost (LCU)]])/FX_Rate, "")</f>
        <v>0</v>
      </c>
      <c r="AI299" s="63">
        <f>IFERROR(SUM(TblDetailBudget[[#This Row],[2025 Cost (LCU)]])/FX_Rate, "")</f>
        <v>0</v>
      </c>
      <c r="AJ299" s="125">
        <f>SUM(TblDetailBudget[[#This Row],[2021 Cost (USD)]:[2025 Cost (USD)]])</f>
        <v>0</v>
      </c>
      <c r="AK299" s="180"/>
    </row>
    <row r="300" spans="2:37" ht="12.75" customHeight="1">
      <c r="B300" s="123"/>
      <c r="C30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00" s="85" t="str">
        <f>IF(TblDetailBudget[[#This Row],[Level]]="", "", COUNTIFS($B$8:TblDetailBudget[[#This Row],[Level]], Lvl1Hdr))</f>
        <v/>
      </c>
      <c r="E300" s="85" t="str">
        <f>IF(TblDetailBudget[[#This Row],[Level]]="", "", COUNTIFS($B$8:TblDetailBudget[[#This Row],[Level]], Lvl2Hdr, $D$8:TblDetailBudget[[#This Row],[Lvl 1 Header]], TblDetailBudget[[#This Row],[Lvl 1 Header]]))</f>
        <v/>
      </c>
      <c r="F30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0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0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00" s="102"/>
      <c r="J300" s="102"/>
      <c r="K300" s="88"/>
      <c r="L300" s="88"/>
      <c r="M300" s="85" t="str">
        <f>IF(TblDetailBudget[[#This Row],[Level]]=LvlBottomHdr, IFERROR(INDEX(TblUnitCost[Unit], MATCH(TblDetailBudget[[#This Row],[Row Title]], TblUnitCost[Resource], 0)), "Invalid Resource"), "")</f>
        <v/>
      </c>
      <c r="N300" s="126" t="str">
        <f>IF(TblDetailBudget[[#This Row],[Level]]=LvlBottomHdr, IFERROR(INDEX(TblUnitCost[LCU], MATCH(TblDetailBudget[[#This Row],[Row Title]], TblUnitCost[Resource], 0)), "Invalid Resource"), "")</f>
        <v/>
      </c>
      <c r="O300" s="130"/>
      <c r="P300" s="109"/>
      <c r="Q300" s="186"/>
      <c r="R300" s="131"/>
      <c r="S300" s="109" t="s">
        <v>66</v>
      </c>
      <c r="T300" s="109" t="s">
        <v>66</v>
      </c>
      <c r="U300" s="109" t="s">
        <v>66</v>
      </c>
      <c r="V300" s="109" t="s">
        <v>66</v>
      </c>
      <c r="W300" s="109" t="s">
        <v>66</v>
      </c>
      <c r="X300" s="126" t="str">
        <f>IF(TblDetailBudget[[#This Row],[Level]]=LvlBottomHdr, IF(SUM(TblDetailBudget[[#This Row],[2021 Quant]:[2025 Quant]])&gt;0, SUM(TblDetailBudget[[#This Row],[2021 Quant]:[2025 Quant]]), ""), "")</f>
        <v/>
      </c>
      <c r="Y30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0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0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0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0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00" s="142">
        <f>SUM(TblDetailBudget[[#This Row],[2021 Cost (LCU)]:[2025 Cost (LCU)]])</f>
        <v>0</v>
      </c>
      <c r="AE300" s="135">
        <f>IFERROR(SUM(TblDetailBudget[[#This Row],[2021 Cost (LCU)]])/FX_Rate, "")</f>
        <v>0</v>
      </c>
      <c r="AF300" s="86">
        <f>IFERROR(SUM(TblDetailBudget[[#This Row],[2022 Cost (LCU)]])/FX_Rate, "")</f>
        <v>0</v>
      </c>
      <c r="AG300" s="86">
        <f>IFERROR(SUM(TblDetailBudget[[#This Row],[2023 Cost (LCU)]])/FX_Rate, "")</f>
        <v>0</v>
      </c>
      <c r="AH300" s="86">
        <f>IFERROR(SUM(TblDetailBudget[[#This Row],[2024 Cost (LCU)]])/FX_Rate, "")</f>
        <v>0</v>
      </c>
      <c r="AI300" s="86">
        <f>IFERROR(SUM(TblDetailBudget[[#This Row],[2025 Cost (LCU)]])/FX_Rate, "")</f>
        <v>0</v>
      </c>
      <c r="AJ300" s="126">
        <f>SUM(TblDetailBudget[[#This Row],[2021 Cost (USD)]:[2025 Cost (USD)]])</f>
        <v>0</v>
      </c>
      <c r="AK300" s="181"/>
    </row>
    <row r="301" spans="2:37" ht="12.75" customHeight="1">
      <c r="B301" s="123"/>
      <c r="C30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01" s="85" t="str">
        <f>IF(TblDetailBudget[[#This Row],[Level]]="", "", COUNTIFS($B$8:TblDetailBudget[[#This Row],[Level]], Lvl1Hdr))</f>
        <v/>
      </c>
      <c r="E301" s="85" t="str">
        <f>IF(TblDetailBudget[[#This Row],[Level]]="", "", COUNTIFS($B$8:TblDetailBudget[[#This Row],[Level]], Lvl2Hdr, $D$8:TblDetailBudget[[#This Row],[Lvl 1 Header]], TblDetailBudget[[#This Row],[Lvl 1 Header]]))</f>
        <v/>
      </c>
      <c r="F30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0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0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01" s="164"/>
      <c r="J301" s="164"/>
      <c r="K301" s="165"/>
      <c r="L301" s="165"/>
      <c r="M301" s="85" t="str">
        <f>IF(TblDetailBudget[[#This Row],[Level]]=LvlBottomHdr, IFERROR(INDEX(TblUnitCost[Unit], MATCH(TblDetailBudget[[#This Row],[Row Title]], TblUnitCost[Resource], 0)), "Invalid Resource"), "")</f>
        <v/>
      </c>
      <c r="N301" s="126" t="str">
        <f>IF(TblDetailBudget[[#This Row],[Level]]=LvlBottomHdr, IFERROR(INDEX(TblUnitCost[LCU], MATCH(TblDetailBudget[[#This Row],[Row Title]], TblUnitCost[Resource], 0)), "Invalid Resource"), "")</f>
        <v/>
      </c>
      <c r="O301" s="130"/>
      <c r="P301" s="109"/>
      <c r="Q301" s="186"/>
      <c r="R301" s="131"/>
      <c r="S301" s="109" t="s">
        <v>66</v>
      </c>
      <c r="T301" s="109" t="s">
        <v>66</v>
      </c>
      <c r="U301" s="109" t="s">
        <v>66</v>
      </c>
      <c r="V301" s="109" t="s">
        <v>66</v>
      </c>
      <c r="W301" s="109" t="s">
        <v>66</v>
      </c>
      <c r="X301" s="126" t="str">
        <f>IF(TblDetailBudget[[#This Row],[Level]]=LvlBottomHdr, IF(SUM(TblDetailBudget[[#This Row],[2021 Quant]:[2025 Quant]])&gt;0, SUM(TblDetailBudget[[#This Row],[2021 Quant]:[2025 Quant]]), ""), "")</f>
        <v/>
      </c>
      <c r="Y30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0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0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0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0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01" s="142">
        <f>SUM(TblDetailBudget[[#This Row],[2021 Cost (LCU)]:[2025 Cost (LCU)]])</f>
        <v>0</v>
      </c>
      <c r="AE301" s="135">
        <f>IFERROR(SUM(TblDetailBudget[[#This Row],[2021 Cost (LCU)]])/FX_Rate, "")</f>
        <v>0</v>
      </c>
      <c r="AF301" s="86">
        <f>IFERROR(SUM(TblDetailBudget[[#This Row],[2022 Cost (LCU)]])/FX_Rate, "")</f>
        <v>0</v>
      </c>
      <c r="AG301" s="86">
        <f>IFERROR(SUM(TblDetailBudget[[#This Row],[2023 Cost (LCU)]])/FX_Rate, "")</f>
        <v>0</v>
      </c>
      <c r="AH301" s="86">
        <f>IFERROR(SUM(TblDetailBudget[[#This Row],[2024 Cost (LCU)]])/FX_Rate, "")</f>
        <v>0</v>
      </c>
      <c r="AI301" s="86">
        <f>IFERROR(SUM(TblDetailBudget[[#This Row],[2025 Cost (LCU)]])/FX_Rate, "")</f>
        <v>0</v>
      </c>
      <c r="AJ301" s="126">
        <f>SUM(TblDetailBudget[[#This Row],[2021 Cost (USD)]:[2025 Cost (USD)]])</f>
        <v>0</v>
      </c>
      <c r="AK301" s="180"/>
    </row>
    <row r="302" spans="2:37" ht="12.75" customHeight="1">
      <c r="B302" s="123"/>
      <c r="C30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02" s="85" t="str">
        <f>IF(TblDetailBudget[[#This Row],[Level]]="", "", COUNTIFS($B$8:TblDetailBudget[[#This Row],[Level]], Lvl1Hdr))</f>
        <v/>
      </c>
      <c r="E302" s="85" t="str">
        <f>IF(TblDetailBudget[[#This Row],[Level]]="", "", COUNTIFS($B$8:TblDetailBudget[[#This Row],[Level]], Lvl2Hdr, $D$8:TblDetailBudget[[#This Row],[Lvl 1 Header]], TblDetailBudget[[#This Row],[Lvl 1 Header]]))</f>
        <v/>
      </c>
      <c r="F30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0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0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02" s="164"/>
      <c r="J302" s="164"/>
      <c r="K302" s="165"/>
      <c r="L302" s="165"/>
      <c r="M302" s="85" t="str">
        <f>IF(TblDetailBudget[[#This Row],[Level]]=LvlBottomHdr, IFERROR(INDEX(TblUnitCost[Unit], MATCH(TblDetailBudget[[#This Row],[Row Title]], TblUnitCost[Resource], 0)), "Invalid Resource"), "")</f>
        <v/>
      </c>
      <c r="N302" s="126" t="str">
        <f>IF(TblDetailBudget[[#This Row],[Level]]=LvlBottomHdr, IFERROR(INDEX(TblUnitCost[LCU], MATCH(TblDetailBudget[[#This Row],[Row Title]], TblUnitCost[Resource], 0)), "Invalid Resource"), "")</f>
        <v/>
      </c>
      <c r="O302" s="130"/>
      <c r="P302" s="109"/>
      <c r="Q302" s="186"/>
      <c r="R302" s="131"/>
      <c r="S302" s="109" t="s">
        <v>66</v>
      </c>
      <c r="T302" s="109" t="s">
        <v>66</v>
      </c>
      <c r="U302" s="109" t="s">
        <v>66</v>
      </c>
      <c r="V302" s="109" t="s">
        <v>66</v>
      </c>
      <c r="W302" s="109" t="s">
        <v>66</v>
      </c>
      <c r="X302" s="126" t="str">
        <f>IF(TblDetailBudget[[#This Row],[Level]]=LvlBottomHdr, IF(SUM(TblDetailBudget[[#This Row],[2021 Quant]:[2025 Quant]])&gt;0, SUM(TblDetailBudget[[#This Row],[2021 Quant]:[2025 Quant]]), ""), "")</f>
        <v/>
      </c>
      <c r="Y30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0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0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0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0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02" s="142">
        <f>SUM(TblDetailBudget[[#This Row],[2021 Cost (LCU)]:[2025 Cost (LCU)]])</f>
        <v>0</v>
      </c>
      <c r="AE302" s="135">
        <f>IFERROR(SUM(TblDetailBudget[[#This Row],[2021 Cost (LCU)]])/FX_Rate, "")</f>
        <v>0</v>
      </c>
      <c r="AF302" s="86">
        <f>IFERROR(SUM(TblDetailBudget[[#This Row],[2022 Cost (LCU)]])/FX_Rate, "")</f>
        <v>0</v>
      </c>
      <c r="AG302" s="86">
        <f>IFERROR(SUM(TblDetailBudget[[#This Row],[2023 Cost (LCU)]])/FX_Rate, "")</f>
        <v>0</v>
      </c>
      <c r="AH302" s="86">
        <f>IFERROR(SUM(TblDetailBudget[[#This Row],[2024 Cost (LCU)]])/FX_Rate, "")</f>
        <v>0</v>
      </c>
      <c r="AI302" s="86">
        <f>IFERROR(SUM(TblDetailBudget[[#This Row],[2025 Cost (LCU)]])/FX_Rate, "")</f>
        <v>0</v>
      </c>
      <c r="AJ302" s="126">
        <f>SUM(TblDetailBudget[[#This Row],[2021 Cost (USD)]:[2025 Cost (USD)]])</f>
        <v>0</v>
      </c>
      <c r="AK302" s="180"/>
    </row>
    <row r="303" spans="2:37" ht="12.75" customHeight="1">
      <c r="B303" s="123"/>
      <c r="C30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03" s="85" t="str">
        <f>IF(TblDetailBudget[[#This Row],[Level]]="", "", COUNTIFS($B$8:TblDetailBudget[[#This Row],[Level]], Lvl1Hdr))</f>
        <v/>
      </c>
      <c r="E303" s="85" t="str">
        <f>IF(TblDetailBudget[[#This Row],[Level]]="", "", COUNTIFS($B$8:TblDetailBudget[[#This Row],[Level]], Lvl2Hdr, $D$8:TblDetailBudget[[#This Row],[Lvl 1 Header]], TblDetailBudget[[#This Row],[Lvl 1 Header]]))</f>
        <v/>
      </c>
      <c r="F30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0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0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03" s="164"/>
      <c r="J303" s="164"/>
      <c r="K303" s="165"/>
      <c r="L303" s="165"/>
      <c r="M303" s="85" t="str">
        <f>IF(TblDetailBudget[[#This Row],[Level]]=LvlBottomHdr, IFERROR(INDEX(TblUnitCost[Unit], MATCH(TblDetailBudget[[#This Row],[Row Title]], TblUnitCost[Resource], 0)), "Invalid Resource"), "")</f>
        <v/>
      </c>
      <c r="N303" s="126" t="str">
        <f>IF(TblDetailBudget[[#This Row],[Level]]=LvlBottomHdr, IFERROR(INDEX(TblUnitCost[LCU], MATCH(TblDetailBudget[[#This Row],[Row Title]], TblUnitCost[Resource], 0)), "Invalid Resource"), "")</f>
        <v/>
      </c>
      <c r="O303" s="130"/>
      <c r="P303" s="109"/>
      <c r="Q303" s="186"/>
      <c r="R303" s="131"/>
      <c r="S303" s="109" t="s">
        <v>66</v>
      </c>
      <c r="T303" s="109" t="s">
        <v>66</v>
      </c>
      <c r="U303" s="109" t="s">
        <v>66</v>
      </c>
      <c r="V303" s="109" t="s">
        <v>66</v>
      </c>
      <c r="W303" s="109" t="s">
        <v>66</v>
      </c>
      <c r="X303" s="126" t="str">
        <f>IF(TblDetailBudget[[#This Row],[Level]]=LvlBottomHdr, IF(SUM(TblDetailBudget[[#This Row],[2021 Quant]:[2025 Quant]])&gt;0, SUM(TblDetailBudget[[#This Row],[2021 Quant]:[2025 Quant]]), ""), "")</f>
        <v/>
      </c>
      <c r="Y30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0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0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0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0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03" s="142">
        <f>SUM(TblDetailBudget[[#This Row],[2021 Cost (LCU)]:[2025 Cost (LCU)]])</f>
        <v>0</v>
      </c>
      <c r="AE303" s="135">
        <f>IFERROR(SUM(TblDetailBudget[[#This Row],[2021 Cost (LCU)]])/FX_Rate, "")</f>
        <v>0</v>
      </c>
      <c r="AF303" s="86">
        <f>IFERROR(SUM(TblDetailBudget[[#This Row],[2022 Cost (LCU)]])/FX_Rate, "")</f>
        <v>0</v>
      </c>
      <c r="AG303" s="86">
        <f>IFERROR(SUM(TblDetailBudget[[#This Row],[2023 Cost (LCU)]])/FX_Rate, "")</f>
        <v>0</v>
      </c>
      <c r="AH303" s="86">
        <f>IFERROR(SUM(TblDetailBudget[[#This Row],[2024 Cost (LCU)]])/FX_Rate, "")</f>
        <v>0</v>
      </c>
      <c r="AI303" s="86">
        <f>IFERROR(SUM(TblDetailBudget[[#This Row],[2025 Cost (LCU)]])/FX_Rate, "")</f>
        <v>0</v>
      </c>
      <c r="AJ303" s="126">
        <f>SUM(TblDetailBudget[[#This Row],[2021 Cost (USD)]:[2025 Cost (USD)]])</f>
        <v>0</v>
      </c>
      <c r="AK303" s="180"/>
    </row>
    <row r="304" spans="2:37" ht="12.75" customHeight="1">
      <c r="B304" s="123"/>
      <c r="C30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04" s="85" t="str">
        <f>IF(TblDetailBudget[[#This Row],[Level]]="", "", COUNTIFS($B$8:TblDetailBudget[[#This Row],[Level]], Lvl1Hdr))</f>
        <v/>
      </c>
      <c r="E304" s="85" t="str">
        <f>IF(TblDetailBudget[[#This Row],[Level]]="", "", COUNTIFS($B$8:TblDetailBudget[[#This Row],[Level]], Lvl2Hdr, $D$8:TblDetailBudget[[#This Row],[Lvl 1 Header]], TblDetailBudget[[#This Row],[Lvl 1 Header]]))</f>
        <v/>
      </c>
      <c r="F30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0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0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04" s="164"/>
      <c r="J304" s="164"/>
      <c r="K304" s="165"/>
      <c r="L304" s="165"/>
      <c r="M304" s="85" t="str">
        <f>IF(TblDetailBudget[[#This Row],[Level]]=LvlBottomHdr, IFERROR(INDEX(TblUnitCost[Unit], MATCH(TblDetailBudget[[#This Row],[Row Title]], TblUnitCost[Resource], 0)), "Invalid Resource"), "")</f>
        <v/>
      </c>
      <c r="N304" s="126" t="str">
        <f>IF(TblDetailBudget[[#This Row],[Level]]=LvlBottomHdr, IFERROR(INDEX(TblUnitCost[LCU], MATCH(TblDetailBudget[[#This Row],[Row Title]], TblUnitCost[Resource], 0)), "Invalid Resource"), "")</f>
        <v/>
      </c>
      <c r="O304" s="130"/>
      <c r="P304" s="109"/>
      <c r="Q304" s="186"/>
      <c r="R304" s="131"/>
      <c r="S304" s="109" t="s">
        <v>66</v>
      </c>
      <c r="T304" s="109" t="s">
        <v>66</v>
      </c>
      <c r="U304" s="109" t="s">
        <v>66</v>
      </c>
      <c r="V304" s="109" t="s">
        <v>66</v>
      </c>
      <c r="W304" s="109" t="s">
        <v>66</v>
      </c>
      <c r="X304" s="126" t="str">
        <f>IF(TblDetailBudget[[#This Row],[Level]]=LvlBottomHdr, IF(SUM(TblDetailBudget[[#This Row],[2021 Quant]:[2025 Quant]])&gt;0, SUM(TblDetailBudget[[#This Row],[2021 Quant]:[2025 Quant]]), ""), "")</f>
        <v/>
      </c>
      <c r="Y30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0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0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0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0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04" s="142">
        <f>SUM(TblDetailBudget[[#This Row],[2021 Cost (LCU)]:[2025 Cost (LCU)]])</f>
        <v>0</v>
      </c>
      <c r="AE304" s="135">
        <f>IFERROR(SUM(TblDetailBudget[[#This Row],[2021 Cost (LCU)]])/FX_Rate, "")</f>
        <v>0</v>
      </c>
      <c r="AF304" s="86">
        <f>IFERROR(SUM(TblDetailBudget[[#This Row],[2022 Cost (LCU)]])/FX_Rate, "")</f>
        <v>0</v>
      </c>
      <c r="AG304" s="86">
        <f>IFERROR(SUM(TblDetailBudget[[#This Row],[2023 Cost (LCU)]])/FX_Rate, "")</f>
        <v>0</v>
      </c>
      <c r="AH304" s="86">
        <f>IFERROR(SUM(TblDetailBudget[[#This Row],[2024 Cost (LCU)]])/FX_Rate, "")</f>
        <v>0</v>
      </c>
      <c r="AI304" s="86">
        <f>IFERROR(SUM(TblDetailBudget[[#This Row],[2025 Cost (LCU)]])/FX_Rate, "")</f>
        <v>0</v>
      </c>
      <c r="AJ304" s="126">
        <f>SUM(TblDetailBudget[[#This Row],[2021 Cost (USD)]:[2025 Cost (USD)]])</f>
        <v>0</v>
      </c>
      <c r="AK304" s="180"/>
    </row>
    <row r="305" spans="2:37" ht="12.75" customHeight="1">
      <c r="B305" s="123"/>
      <c r="C30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05" s="85" t="str">
        <f>IF(TblDetailBudget[[#This Row],[Level]]="", "", COUNTIFS($B$8:TblDetailBudget[[#This Row],[Level]], Lvl1Hdr))</f>
        <v/>
      </c>
      <c r="E305" s="85" t="str">
        <f>IF(TblDetailBudget[[#This Row],[Level]]="", "", COUNTIFS($B$8:TblDetailBudget[[#This Row],[Level]], Lvl2Hdr, $D$8:TblDetailBudget[[#This Row],[Lvl 1 Header]], TblDetailBudget[[#This Row],[Lvl 1 Header]]))</f>
        <v/>
      </c>
      <c r="F30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0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0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05" s="164"/>
      <c r="J305" s="164"/>
      <c r="K305" s="165"/>
      <c r="L305" s="165"/>
      <c r="M305" s="85" t="str">
        <f>IF(TblDetailBudget[[#This Row],[Level]]=LvlBottomHdr, IFERROR(INDEX(TblUnitCost[Unit], MATCH(TblDetailBudget[[#This Row],[Row Title]], TblUnitCost[Resource], 0)), "Invalid Resource"), "")</f>
        <v/>
      </c>
      <c r="N305" s="126" t="str">
        <f>IF(TblDetailBudget[[#This Row],[Level]]=LvlBottomHdr, IFERROR(INDEX(TblUnitCost[LCU], MATCH(TblDetailBudget[[#This Row],[Row Title]], TblUnitCost[Resource], 0)), "Invalid Resource"), "")</f>
        <v/>
      </c>
      <c r="O305" s="130"/>
      <c r="P305" s="109"/>
      <c r="Q305" s="186"/>
      <c r="R305" s="131"/>
      <c r="S305" s="109" t="s">
        <v>66</v>
      </c>
      <c r="T305" s="109" t="s">
        <v>66</v>
      </c>
      <c r="U305" s="109" t="s">
        <v>66</v>
      </c>
      <c r="V305" s="109" t="s">
        <v>66</v>
      </c>
      <c r="W305" s="109" t="s">
        <v>66</v>
      </c>
      <c r="X305" s="126" t="str">
        <f>IF(TblDetailBudget[[#This Row],[Level]]=LvlBottomHdr, IF(SUM(TblDetailBudget[[#This Row],[2021 Quant]:[2025 Quant]])&gt;0, SUM(TblDetailBudget[[#This Row],[2021 Quant]:[2025 Quant]]), ""), "")</f>
        <v/>
      </c>
      <c r="Y30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0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0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0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0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05" s="142">
        <f>SUM(TblDetailBudget[[#This Row],[2021 Cost (LCU)]:[2025 Cost (LCU)]])</f>
        <v>0</v>
      </c>
      <c r="AE305" s="135">
        <f>IFERROR(SUM(TblDetailBudget[[#This Row],[2021 Cost (LCU)]])/FX_Rate, "")</f>
        <v>0</v>
      </c>
      <c r="AF305" s="86">
        <f>IFERROR(SUM(TblDetailBudget[[#This Row],[2022 Cost (LCU)]])/FX_Rate, "")</f>
        <v>0</v>
      </c>
      <c r="AG305" s="86">
        <f>IFERROR(SUM(TblDetailBudget[[#This Row],[2023 Cost (LCU)]])/FX_Rate, "")</f>
        <v>0</v>
      </c>
      <c r="AH305" s="86">
        <f>IFERROR(SUM(TblDetailBudget[[#This Row],[2024 Cost (LCU)]])/FX_Rate, "")</f>
        <v>0</v>
      </c>
      <c r="AI305" s="86">
        <f>IFERROR(SUM(TblDetailBudget[[#This Row],[2025 Cost (LCU)]])/FX_Rate, "")</f>
        <v>0</v>
      </c>
      <c r="AJ305" s="126">
        <f>SUM(TblDetailBudget[[#This Row],[2021 Cost (USD)]:[2025 Cost (USD)]])</f>
        <v>0</v>
      </c>
      <c r="AK305" s="180"/>
    </row>
    <row r="306" spans="2:37" ht="12.75" customHeight="1">
      <c r="B306" s="123"/>
      <c r="C30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06" s="85" t="str">
        <f>IF(TblDetailBudget[[#This Row],[Level]]="", "", COUNTIFS($B$8:TblDetailBudget[[#This Row],[Level]], Lvl1Hdr))</f>
        <v/>
      </c>
      <c r="E306" s="85" t="str">
        <f>IF(TblDetailBudget[[#This Row],[Level]]="", "", COUNTIFS($B$8:TblDetailBudget[[#This Row],[Level]], Lvl2Hdr, $D$8:TblDetailBudget[[#This Row],[Lvl 1 Header]], TblDetailBudget[[#This Row],[Lvl 1 Header]]))</f>
        <v/>
      </c>
      <c r="F30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0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0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06" s="164"/>
      <c r="J306" s="164"/>
      <c r="K306" s="165"/>
      <c r="L306" s="165"/>
      <c r="M306" s="85" t="str">
        <f>IF(TblDetailBudget[[#This Row],[Level]]=LvlBottomHdr, IFERROR(INDEX(TblUnitCost[Unit], MATCH(TblDetailBudget[[#This Row],[Row Title]], TblUnitCost[Resource], 0)), "Invalid Resource"), "")</f>
        <v/>
      </c>
      <c r="N306" s="126" t="str">
        <f>IF(TblDetailBudget[[#This Row],[Level]]=LvlBottomHdr, IFERROR(INDEX(TblUnitCost[LCU], MATCH(TblDetailBudget[[#This Row],[Row Title]], TblUnitCost[Resource], 0)), "Invalid Resource"), "")</f>
        <v/>
      </c>
      <c r="O306" s="130"/>
      <c r="P306" s="109"/>
      <c r="Q306" s="186"/>
      <c r="R306" s="131"/>
      <c r="S306" s="109" t="s">
        <v>66</v>
      </c>
      <c r="T306" s="109" t="s">
        <v>66</v>
      </c>
      <c r="U306" s="109" t="s">
        <v>66</v>
      </c>
      <c r="V306" s="109" t="s">
        <v>66</v>
      </c>
      <c r="W306" s="109" t="s">
        <v>66</v>
      </c>
      <c r="X306" s="126" t="str">
        <f>IF(TblDetailBudget[[#This Row],[Level]]=LvlBottomHdr, IF(SUM(TblDetailBudget[[#This Row],[2021 Quant]:[2025 Quant]])&gt;0, SUM(TblDetailBudget[[#This Row],[2021 Quant]:[2025 Quant]]), ""), "")</f>
        <v/>
      </c>
      <c r="Y30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0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0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0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0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06" s="142">
        <f>SUM(TblDetailBudget[[#This Row],[2021 Cost (LCU)]:[2025 Cost (LCU)]])</f>
        <v>0</v>
      </c>
      <c r="AE306" s="135">
        <f>IFERROR(SUM(TblDetailBudget[[#This Row],[2021 Cost (LCU)]])/FX_Rate, "")</f>
        <v>0</v>
      </c>
      <c r="AF306" s="86">
        <f>IFERROR(SUM(TblDetailBudget[[#This Row],[2022 Cost (LCU)]])/FX_Rate, "")</f>
        <v>0</v>
      </c>
      <c r="AG306" s="86">
        <f>IFERROR(SUM(TblDetailBudget[[#This Row],[2023 Cost (LCU)]])/FX_Rate, "")</f>
        <v>0</v>
      </c>
      <c r="AH306" s="86">
        <f>IFERROR(SUM(TblDetailBudget[[#This Row],[2024 Cost (LCU)]])/FX_Rate, "")</f>
        <v>0</v>
      </c>
      <c r="AI306" s="86">
        <f>IFERROR(SUM(TblDetailBudget[[#This Row],[2025 Cost (LCU)]])/FX_Rate, "")</f>
        <v>0</v>
      </c>
      <c r="AJ306" s="126">
        <f>SUM(TblDetailBudget[[#This Row],[2021 Cost (USD)]:[2025 Cost (USD)]])</f>
        <v>0</v>
      </c>
      <c r="AK306" s="180"/>
    </row>
    <row r="307" spans="2:37" ht="12.75" customHeight="1">
      <c r="B307" s="123"/>
      <c r="C30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07" s="85" t="str">
        <f>IF(TblDetailBudget[[#This Row],[Level]]="", "", COUNTIFS($B$8:TblDetailBudget[[#This Row],[Level]], Lvl1Hdr))</f>
        <v/>
      </c>
      <c r="E307" s="85" t="str">
        <f>IF(TblDetailBudget[[#This Row],[Level]]="", "", COUNTIFS($B$8:TblDetailBudget[[#This Row],[Level]], Lvl2Hdr, $D$8:TblDetailBudget[[#This Row],[Lvl 1 Header]], TblDetailBudget[[#This Row],[Lvl 1 Header]]))</f>
        <v/>
      </c>
      <c r="F30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0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0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07" s="164"/>
      <c r="J307" s="164"/>
      <c r="K307" s="165"/>
      <c r="L307" s="165"/>
      <c r="M307" s="85" t="str">
        <f>IF(TblDetailBudget[[#This Row],[Level]]=LvlBottomHdr, IFERROR(INDEX(TblUnitCost[Unit], MATCH(TblDetailBudget[[#This Row],[Row Title]], TblUnitCost[Resource], 0)), "Invalid Resource"), "")</f>
        <v/>
      </c>
      <c r="N307" s="126" t="str">
        <f>IF(TblDetailBudget[[#This Row],[Level]]=LvlBottomHdr, IFERROR(INDEX(TblUnitCost[LCU], MATCH(TblDetailBudget[[#This Row],[Row Title]], TblUnitCost[Resource], 0)), "Invalid Resource"), "")</f>
        <v/>
      </c>
      <c r="O307" s="130"/>
      <c r="P307" s="109"/>
      <c r="Q307" s="186"/>
      <c r="R307" s="131"/>
      <c r="S307" s="109" t="s">
        <v>66</v>
      </c>
      <c r="T307" s="109" t="s">
        <v>66</v>
      </c>
      <c r="U307" s="109" t="s">
        <v>66</v>
      </c>
      <c r="V307" s="109" t="s">
        <v>66</v>
      </c>
      <c r="W307" s="109" t="s">
        <v>66</v>
      </c>
      <c r="X307" s="126" t="str">
        <f>IF(TblDetailBudget[[#This Row],[Level]]=LvlBottomHdr, IF(SUM(TblDetailBudget[[#This Row],[2021 Quant]:[2025 Quant]])&gt;0, SUM(TblDetailBudget[[#This Row],[2021 Quant]:[2025 Quant]]), ""), "")</f>
        <v/>
      </c>
      <c r="Y30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0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0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0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0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07" s="142">
        <f>SUM(TblDetailBudget[[#This Row],[2021 Cost (LCU)]:[2025 Cost (LCU)]])</f>
        <v>0</v>
      </c>
      <c r="AE307" s="135">
        <f>IFERROR(SUM(TblDetailBudget[[#This Row],[2021 Cost (LCU)]])/FX_Rate, "")</f>
        <v>0</v>
      </c>
      <c r="AF307" s="86">
        <f>IFERROR(SUM(TblDetailBudget[[#This Row],[2022 Cost (LCU)]])/FX_Rate, "")</f>
        <v>0</v>
      </c>
      <c r="AG307" s="86">
        <f>IFERROR(SUM(TblDetailBudget[[#This Row],[2023 Cost (LCU)]])/FX_Rate, "")</f>
        <v>0</v>
      </c>
      <c r="AH307" s="86">
        <f>IFERROR(SUM(TblDetailBudget[[#This Row],[2024 Cost (LCU)]])/FX_Rate, "")</f>
        <v>0</v>
      </c>
      <c r="AI307" s="86">
        <f>IFERROR(SUM(TblDetailBudget[[#This Row],[2025 Cost (LCU)]])/FX_Rate, "")</f>
        <v>0</v>
      </c>
      <c r="AJ307" s="126">
        <f>SUM(TblDetailBudget[[#This Row],[2021 Cost (USD)]:[2025 Cost (USD)]])</f>
        <v>0</v>
      </c>
      <c r="AK307" s="180"/>
    </row>
    <row r="308" spans="2:37" ht="12.75" customHeight="1">
      <c r="B308" s="123"/>
      <c r="C30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08" s="85" t="str">
        <f>IF(TblDetailBudget[[#This Row],[Level]]="", "", COUNTIFS($B$8:TblDetailBudget[[#This Row],[Level]], Lvl1Hdr))</f>
        <v/>
      </c>
      <c r="E308" s="85" t="str">
        <f>IF(TblDetailBudget[[#This Row],[Level]]="", "", COUNTIFS($B$8:TblDetailBudget[[#This Row],[Level]], Lvl2Hdr, $D$8:TblDetailBudget[[#This Row],[Lvl 1 Header]], TblDetailBudget[[#This Row],[Lvl 1 Header]]))</f>
        <v/>
      </c>
      <c r="F30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0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0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08" s="164"/>
      <c r="J308" s="164"/>
      <c r="K308" s="165"/>
      <c r="L308" s="165"/>
      <c r="M308" s="85" t="str">
        <f>IF(TblDetailBudget[[#This Row],[Level]]=LvlBottomHdr, IFERROR(INDEX(TblUnitCost[Unit], MATCH(TblDetailBudget[[#This Row],[Row Title]], TblUnitCost[Resource], 0)), "Invalid Resource"), "")</f>
        <v/>
      </c>
      <c r="N308" s="126" t="str">
        <f>IF(TblDetailBudget[[#This Row],[Level]]=LvlBottomHdr, IFERROR(INDEX(TblUnitCost[LCU], MATCH(TblDetailBudget[[#This Row],[Row Title]], TblUnitCost[Resource], 0)), "Invalid Resource"), "")</f>
        <v/>
      </c>
      <c r="O308" s="130"/>
      <c r="P308" s="109"/>
      <c r="Q308" s="186"/>
      <c r="R308" s="131"/>
      <c r="S308" s="109" t="s">
        <v>66</v>
      </c>
      <c r="T308" s="109" t="s">
        <v>66</v>
      </c>
      <c r="U308" s="109" t="s">
        <v>66</v>
      </c>
      <c r="V308" s="109" t="s">
        <v>66</v>
      </c>
      <c r="W308" s="109" t="s">
        <v>66</v>
      </c>
      <c r="X308" s="126" t="str">
        <f>IF(TblDetailBudget[[#This Row],[Level]]=LvlBottomHdr, IF(SUM(TblDetailBudget[[#This Row],[2021 Quant]:[2025 Quant]])&gt;0, SUM(TblDetailBudget[[#This Row],[2021 Quant]:[2025 Quant]]), ""), "")</f>
        <v/>
      </c>
      <c r="Y30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0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0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0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0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08" s="142">
        <f>SUM(TblDetailBudget[[#This Row],[2021 Cost (LCU)]:[2025 Cost (LCU)]])</f>
        <v>0</v>
      </c>
      <c r="AE308" s="135">
        <f>IFERROR(SUM(TblDetailBudget[[#This Row],[2021 Cost (LCU)]])/FX_Rate, "")</f>
        <v>0</v>
      </c>
      <c r="AF308" s="86">
        <f>IFERROR(SUM(TblDetailBudget[[#This Row],[2022 Cost (LCU)]])/FX_Rate, "")</f>
        <v>0</v>
      </c>
      <c r="AG308" s="86">
        <f>IFERROR(SUM(TblDetailBudget[[#This Row],[2023 Cost (LCU)]])/FX_Rate, "")</f>
        <v>0</v>
      </c>
      <c r="AH308" s="86">
        <f>IFERROR(SUM(TblDetailBudget[[#This Row],[2024 Cost (LCU)]])/FX_Rate, "")</f>
        <v>0</v>
      </c>
      <c r="AI308" s="86">
        <f>IFERROR(SUM(TblDetailBudget[[#This Row],[2025 Cost (LCU)]])/FX_Rate, "")</f>
        <v>0</v>
      </c>
      <c r="AJ308" s="126">
        <f>SUM(TblDetailBudget[[#This Row],[2021 Cost (USD)]:[2025 Cost (USD)]])</f>
        <v>0</v>
      </c>
      <c r="AK308" s="180"/>
    </row>
    <row r="309" spans="2:37" ht="12.75" customHeight="1">
      <c r="B309" s="123"/>
      <c r="C30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09" s="85" t="str">
        <f>IF(TblDetailBudget[[#This Row],[Level]]="", "", COUNTIFS($B$8:TblDetailBudget[[#This Row],[Level]], Lvl1Hdr))</f>
        <v/>
      </c>
      <c r="E309" s="85" t="str">
        <f>IF(TblDetailBudget[[#This Row],[Level]]="", "", COUNTIFS($B$8:TblDetailBudget[[#This Row],[Level]], Lvl2Hdr, $D$8:TblDetailBudget[[#This Row],[Lvl 1 Header]], TblDetailBudget[[#This Row],[Lvl 1 Header]]))</f>
        <v/>
      </c>
      <c r="F30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0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0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09" s="164"/>
      <c r="J309" s="164"/>
      <c r="K309" s="165"/>
      <c r="L309" s="165"/>
      <c r="M309" s="85" t="str">
        <f>IF(TblDetailBudget[[#This Row],[Level]]=LvlBottomHdr, IFERROR(INDEX(TblUnitCost[Unit], MATCH(TblDetailBudget[[#This Row],[Row Title]], TblUnitCost[Resource], 0)), "Invalid Resource"), "")</f>
        <v/>
      </c>
      <c r="N309" s="126" t="str">
        <f>IF(TblDetailBudget[[#This Row],[Level]]=LvlBottomHdr, IFERROR(INDEX(TblUnitCost[LCU], MATCH(TblDetailBudget[[#This Row],[Row Title]], TblUnitCost[Resource], 0)), "Invalid Resource"), "")</f>
        <v/>
      </c>
      <c r="O309" s="130"/>
      <c r="P309" s="109"/>
      <c r="Q309" s="186"/>
      <c r="R309" s="131"/>
      <c r="S309" s="109" t="s">
        <v>66</v>
      </c>
      <c r="T309" s="109" t="s">
        <v>66</v>
      </c>
      <c r="U309" s="109" t="s">
        <v>66</v>
      </c>
      <c r="V309" s="109" t="s">
        <v>66</v>
      </c>
      <c r="W309" s="109" t="s">
        <v>66</v>
      </c>
      <c r="X309" s="126" t="str">
        <f>IF(TblDetailBudget[[#This Row],[Level]]=LvlBottomHdr, IF(SUM(TblDetailBudget[[#This Row],[2021 Quant]:[2025 Quant]])&gt;0, SUM(TblDetailBudget[[#This Row],[2021 Quant]:[2025 Quant]]), ""), "")</f>
        <v/>
      </c>
      <c r="Y30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0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0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0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0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09" s="142">
        <f>SUM(TblDetailBudget[[#This Row],[2021 Cost (LCU)]:[2025 Cost (LCU)]])</f>
        <v>0</v>
      </c>
      <c r="AE309" s="135">
        <f>IFERROR(SUM(TblDetailBudget[[#This Row],[2021 Cost (LCU)]])/FX_Rate, "")</f>
        <v>0</v>
      </c>
      <c r="AF309" s="86">
        <f>IFERROR(SUM(TblDetailBudget[[#This Row],[2022 Cost (LCU)]])/FX_Rate, "")</f>
        <v>0</v>
      </c>
      <c r="AG309" s="86">
        <f>IFERROR(SUM(TblDetailBudget[[#This Row],[2023 Cost (LCU)]])/FX_Rate, "")</f>
        <v>0</v>
      </c>
      <c r="AH309" s="86">
        <f>IFERROR(SUM(TblDetailBudget[[#This Row],[2024 Cost (LCU)]])/FX_Rate, "")</f>
        <v>0</v>
      </c>
      <c r="AI309" s="86">
        <f>IFERROR(SUM(TblDetailBudget[[#This Row],[2025 Cost (LCU)]])/FX_Rate, "")</f>
        <v>0</v>
      </c>
      <c r="AJ309" s="126">
        <f>SUM(TblDetailBudget[[#This Row],[2021 Cost (USD)]:[2025 Cost (USD)]])</f>
        <v>0</v>
      </c>
      <c r="AK309" s="180"/>
    </row>
    <row r="310" spans="2:37" ht="12.75" customHeight="1">
      <c r="B310" s="123"/>
      <c r="C31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10" s="85" t="str">
        <f>IF(TblDetailBudget[[#This Row],[Level]]="", "", COUNTIFS($B$8:TblDetailBudget[[#This Row],[Level]], Lvl1Hdr))</f>
        <v/>
      </c>
      <c r="E310" s="85" t="str">
        <f>IF(TblDetailBudget[[#This Row],[Level]]="", "", COUNTIFS($B$8:TblDetailBudget[[#This Row],[Level]], Lvl2Hdr, $D$8:TblDetailBudget[[#This Row],[Lvl 1 Header]], TblDetailBudget[[#This Row],[Lvl 1 Header]]))</f>
        <v/>
      </c>
      <c r="F31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1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1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10" s="164"/>
      <c r="J310" s="164"/>
      <c r="K310" s="165"/>
      <c r="L310" s="165"/>
      <c r="M310" s="85" t="str">
        <f>IF(TblDetailBudget[[#This Row],[Level]]=LvlBottomHdr, IFERROR(INDEX(TblUnitCost[Unit], MATCH(TblDetailBudget[[#This Row],[Row Title]], TblUnitCost[Resource], 0)), "Invalid Resource"), "")</f>
        <v/>
      </c>
      <c r="N310" s="126" t="str">
        <f>IF(TblDetailBudget[[#This Row],[Level]]=LvlBottomHdr, IFERROR(INDEX(TblUnitCost[LCU], MATCH(TblDetailBudget[[#This Row],[Row Title]], TblUnitCost[Resource], 0)), "Invalid Resource"), "")</f>
        <v/>
      </c>
      <c r="O310" s="130"/>
      <c r="P310" s="109"/>
      <c r="Q310" s="186"/>
      <c r="R310" s="131"/>
      <c r="S310" s="109" t="s">
        <v>66</v>
      </c>
      <c r="T310" s="109" t="s">
        <v>66</v>
      </c>
      <c r="U310" s="109" t="s">
        <v>66</v>
      </c>
      <c r="V310" s="109" t="s">
        <v>66</v>
      </c>
      <c r="W310" s="109" t="s">
        <v>66</v>
      </c>
      <c r="X310" s="126" t="str">
        <f>IF(TblDetailBudget[[#This Row],[Level]]=LvlBottomHdr, IF(SUM(TblDetailBudget[[#This Row],[2021 Quant]:[2025 Quant]])&gt;0, SUM(TblDetailBudget[[#This Row],[2021 Quant]:[2025 Quant]]), ""), "")</f>
        <v/>
      </c>
      <c r="Y31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1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1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1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1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10" s="142">
        <f>SUM(TblDetailBudget[[#This Row],[2021 Cost (LCU)]:[2025 Cost (LCU)]])</f>
        <v>0</v>
      </c>
      <c r="AE310" s="135">
        <f>IFERROR(SUM(TblDetailBudget[[#This Row],[2021 Cost (LCU)]])/FX_Rate, "")</f>
        <v>0</v>
      </c>
      <c r="AF310" s="86">
        <f>IFERROR(SUM(TblDetailBudget[[#This Row],[2022 Cost (LCU)]])/FX_Rate, "")</f>
        <v>0</v>
      </c>
      <c r="AG310" s="86">
        <f>IFERROR(SUM(TblDetailBudget[[#This Row],[2023 Cost (LCU)]])/FX_Rate, "")</f>
        <v>0</v>
      </c>
      <c r="AH310" s="86">
        <f>IFERROR(SUM(TblDetailBudget[[#This Row],[2024 Cost (LCU)]])/FX_Rate, "")</f>
        <v>0</v>
      </c>
      <c r="AI310" s="86">
        <f>IFERROR(SUM(TblDetailBudget[[#This Row],[2025 Cost (LCU)]])/FX_Rate, "")</f>
        <v>0</v>
      </c>
      <c r="AJ310" s="126">
        <f>SUM(TblDetailBudget[[#This Row],[2021 Cost (USD)]:[2025 Cost (USD)]])</f>
        <v>0</v>
      </c>
      <c r="AK310" s="180"/>
    </row>
    <row r="311" spans="2:37" ht="12.75" customHeight="1">
      <c r="B311" s="123"/>
      <c r="C31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11" s="85" t="str">
        <f>IF(TblDetailBudget[[#This Row],[Level]]="", "", COUNTIFS($B$8:TblDetailBudget[[#This Row],[Level]], Lvl1Hdr))</f>
        <v/>
      </c>
      <c r="E311" s="85" t="str">
        <f>IF(TblDetailBudget[[#This Row],[Level]]="", "", COUNTIFS($B$8:TblDetailBudget[[#This Row],[Level]], Lvl2Hdr, $D$8:TblDetailBudget[[#This Row],[Lvl 1 Header]], TblDetailBudget[[#This Row],[Lvl 1 Header]]))</f>
        <v/>
      </c>
      <c r="F31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1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1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11" s="164"/>
      <c r="J311" s="164"/>
      <c r="K311" s="165"/>
      <c r="L311" s="165"/>
      <c r="M311" s="85" t="str">
        <f>IF(TblDetailBudget[[#This Row],[Level]]=LvlBottomHdr, IFERROR(INDEX(TblUnitCost[Unit], MATCH(TblDetailBudget[[#This Row],[Row Title]], TblUnitCost[Resource], 0)), "Invalid Resource"), "")</f>
        <v/>
      </c>
      <c r="N311" s="126" t="str">
        <f>IF(TblDetailBudget[[#This Row],[Level]]=LvlBottomHdr, IFERROR(INDEX(TblUnitCost[LCU], MATCH(TblDetailBudget[[#This Row],[Row Title]], TblUnitCost[Resource], 0)), "Invalid Resource"), "")</f>
        <v/>
      </c>
      <c r="O311" s="130"/>
      <c r="P311" s="109"/>
      <c r="Q311" s="186"/>
      <c r="R311" s="131"/>
      <c r="S311" s="109" t="s">
        <v>66</v>
      </c>
      <c r="T311" s="109" t="s">
        <v>66</v>
      </c>
      <c r="U311" s="109" t="s">
        <v>66</v>
      </c>
      <c r="V311" s="109" t="s">
        <v>66</v>
      </c>
      <c r="W311" s="109" t="s">
        <v>66</v>
      </c>
      <c r="X311" s="126" t="str">
        <f>IF(TblDetailBudget[[#This Row],[Level]]=LvlBottomHdr, IF(SUM(TblDetailBudget[[#This Row],[2021 Quant]:[2025 Quant]])&gt;0, SUM(TblDetailBudget[[#This Row],[2021 Quant]:[2025 Quant]]), ""), "")</f>
        <v/>
      </c>
      <c r="Y31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1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1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1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1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11" s="142">
        <f>SUM(TblDetailBudget[[#This Row],[2021 Cost (LCU)]:[2025 Cost (LCU)]])</f>
        <v>0</v>
      </c>
      <c r="AE311" s="135">
        <f>IFERROR(SUM(TblDetailBudget[[#This Row],[2021 Cost (LCU)]])/FX_Rate, "")</f>
        <v>0</v>
      </c>
      <c r="AF311" s="86">
        <f>IFERROR(SUM(TblDetailBudget[[#This Row],[2022 Cost (LCU)]])/FX_Rate, "")</f>
        <v>0</v>
      </c>
      <c r="AG311" s="86">
        <f>IFERROR(SUM(TblDetailBudget[[#This Row],[2023 Cost (LCU)]])/FX_Rate, "")</f>
        <v>0</v>
      </c>
      <c r="AH311" s="86">
        <f>IFERROR(SUM(TblDetailBudget[[#This Row],[2024 Cost (LCU)]])/FX_Rate, "")</f>
        <v>0</v>
      </c>
      <c r="AI311" s="86">
        <f>IFERROR(SUM(TblDetailBudget[[#This Row],[2025 Cost (LCU)]])/FX_Rate, "")</f>
        <v>0</v>
      </c>
      <c r="AJ311" s="126">
        <f>SUM(TblDetailBudget[[#This Row],[2021 Cost (USD)]:[2025 Cost (USD)]])</f>
        <v>0</v>
      </c>
      <c r="AK311" s="180"/>
    </row>
    <row r="312" spans="2:37" ht="12.75" customHeight="1">
      <c r="B312" s="123"/>
      <c r="C31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12" s="85" t="str">
        <f>IF(TblDetailBudget[[#This Row],[Level]]="", "", COUNTIFS($B$8:TblDetailBudget[[#This Row],[Level]], Lvl1Hdr))</f>
        <v/>
      </c>
      <c r="E312" s="85" t="str">
        <f>IF(TblDetailBudget[[#This Row],[Level]]="", "", COUNTIFS($B$8:TblDetailBudget[[#This Row],[Level]], Lvl2Hdr, $D$8:TblDetailBudget[[#This Row],[Lvl 1 Header]], TblDetailBudget[[#This Row],[Lvl 1 Header]]))</f>
        <v/>
      </c>
      <c r="F31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1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1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12" s="164"/>
      <c r="J312" s="164"/>
      <c r="K312" s="165"/>
      <c r="L312" s="165"/>
      <c r="M312" s="85" t="str">
        <f>IF(TblDetailBudget[[#This Row],[Level]]=LvlBottomHdr, IFERROR(INDEX(TblUnitCost[Unit], MATCH(TblDetailBudget[[#This Row],[Row Title]], TblUnitCost[Resource], 0)), "Invalid Resource"), "")</f>
        <v/>
      </c>
      <c r="N312" s="126" t="str">
        <f>IF(TblDetailBudget[[#This Row],[Level]]=LvlBottomHdr, IFERROR(INDEX(TblUnitCost[LCU], MATCH(TblDetailBudget[[#This Row],[Row Title]], TblUnitCost[Resource], 0)), "Invalid Resource"), "")</f>
        <v/>
      </c>
      <c r="O312" s="130"/>
      <c r="P312" s="109"/>
      <c r="Q312" s="186"/>
      <c r="R312" s="131"/>
      <c r="S312" s="109" t="s">
        <v>66</v>
      </c>
      <c r="T312" s="109" t="s">
        <v>66</v>
      </c>
      <c r="U312" s="109" t="s">
        <v>66</v>
      </c>
      <c r="V312" s="109" t="s">
        <v>66</v>
      </c>
      <c r="W312" s="109" t="s">
        <v>66</v>
      </c>
      <c r="X312" s="126" t="str">
        <f>IF(TblDetailBudget[[#This Row],[Level]]=LvlBottomHdr, IF(SUM(TblDetailBudget[[#This Row],[2021 Quant]:[2025 Quant]])&gt;0, SUM(TblDetailBudget[[#This Row],[2021 Quant]:[2025 Quant]]), ""), "")</f>
        <v/>
      </c>
      <c r="Y31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1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1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1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1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12" s="142">
        <f>SUM(TblDetailBudget[[#This Row],[2021 Cost (LCU)]:[2025 Cost (LCU)]])</f>
        <v>0</v>
      </c>
      <c r="AE312" s="135">
        <f>IFERROR(SUM(TblDetailBudget[[#This Row],[2021 Cost (LCU)]])/FX_Rate, "")</f>
        <v>0</v>
      </c>
      <c r="AF312" s="86">
        <f>IFERROR(SUM(TblDetailBudget[[#This Row],[2022 Cost (LCU)]])/FX_Rate, "")</f>
        <v>0</v>
      </c>
      <c r="AG312" s="86">
        <f>IFERROR(SUM(TblDetailBudget[[#This Row],[2023 Cost (LCU)]])/FX_Rate, "")</f>
        <v>0</v>
      </c>
      <c r="AH312" s="86">
        <f>IFERROR(SUM(TblDetailBudget[[#This Row],[2024 Cost (LCU)]])/FX_Rate, "")</f>
        <v>0</v>
      </c>
      <c r="AI312" s="86">
        <f>IFERROR(SUM(TblDetailBudget[[#This Row],[2025 Cost (LCU)]])/FX_Rate, "")</f>
        <v>0</v>
      </c>
      <c r="AJ312" s="126">
        <f>SUM(TblDetailBudget[[#This Row],[2021 Cost (USD)]:[2025 Cost (USD)]])</f>
        <v>0</v>
      </c>
      <c r="AK312" s="180"/>
    </row>
    <row r="313" spans="2:37" ht="12.75" customHeight="1">
      <c r="B313" s="123"/>
      <c r="C31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13" s="85" t="str">
        <f>IF(TblDetailBudget[[#This Row],[Level]]="", "", COUNTIFS($B$8:TblDetailBudget[[#This Row],[Level]], Lvl1Hdr))</f>
        <v/>
      </c>
      <c r="E313" s="85" t="str">
        <f>IF(TblDetailBudget[[#This Row],[Level]]="", "", COUNTIFS($B$8:TblDetailBudget[[#This Row],[Level]], Lvl2Hdr, $D$8:TblDetailBudget[[#This Row],[Lvl 1 Header]], TblDetailBudget[[#This Row],[Lvl 1 Header]]))</f>
        <v/>
      </c>
      <c r="F31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1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1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13" s="164"/>
      <c r="J313" s="164"/>
      <c r="K313" s="165"/>
      <c r="L313" s="165"/>
      <c r="M313" s="85" t="str">
        <f>IF(TblDetailBudget[[#This Row],[Level]]=LvlBottomHdr, IFERROR(INDEX(TblUnitCost[Unit], MATCH(TblDetailBudget[[#This Row],[Row Title]], TblUnitCost[Resource], 0)), "Invalid Resource"), "")</f>
        <v/>
      </c>
      <c r="N313" s="126" t="str">
        <f>IF(TblDetailBudget[[#This Row],[Level]]=LvlBottomHdr, IFERROR(INDEX(TblUnitCost[LCU], MATCH(TblDetailBudget[[#This Row],[Row Title]], TblUnitCost[Resource], 0)), "Invalid Resource"), "")</f>
        <v/>
      </c>
      <c r="O313" s="130"/>
      <c r="P313" s="109"/>
      <c r="Q313" s="186"/>
      <c r="R313" s="131"/>
      <c r="S313" s="109" t="s">
        <v>66</v>
      </c>
      <c r="T313" s="109" t="s">
        <v>66</v>
      </c>
      <c r="U313" s="109" t="s">
        <v>66</v>
      </c>
      <c r="V313" s="109" t="s">
        <v>66</v>
      </c>
      <c r="W313" s="109" t="s">
        <v>66</v>
      </c>
      <c r="X313" s="126" t="str">
        <f>IF(TblDetailBudget[[#This Row],[Level]]=LvlBottomHdr, IF(SUM(TblDetailBudget[[#This Row],[2021 Quant]:[2025 Quant]])&gt;0, SUM(TblDetailBudget[[#This Row],[2021 Quant]:[2025 Quant]]), ""), "")</f>
        <v/>
      </c>
      <c r="Y31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1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1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1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1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13" s="142">
        <f>SUM(TblDetailBudget[[#This Row],[2021 Cost (LCU)]:[2025 Cost (LCU)]])</f>
        <v>0</v>
      </c>
      <c r="AE313" s="135">
        <f>IFERROR(SUM(TblDetailBudget[[#This Row],[2021 Cost (LCU)]])/FX_Rate, "")</f>
        <v>0</v>
      </c>
      <c r="AF313" s="86">
        <f>IFERROR(SUM(TblDetailBudget[[#This Row],[2022 Cost (LCU)]])/FX_Rate, "")</f>
        <v>0</v>
      </c>
      <c r="AG313" s="86">
        <f>IFERROR(SUM(TblDetailBudget[[#This Row],[2023 Cost (LCU)]])/FX_Rate, "")</f>
        <v>0</v>
      </c>
      <c r="AH313" s="86">
        <f>IFERROR(SUM(TblDetailBudget[[#This Row],[2024 Cost (LCU)]])/FX_Rate, "")</f>
        <v>0</v>
      </c>
      <c r="AI313" s="86">
        <f>IFERROR(SUM(TblDetailBudget[[#This Row],[2025 Cost (LCU)]])/FX_Rate, "")</f>
        <v>0</v>
      </c>
      <c r="AJ313" s="126">
        <f>SUM(TblDetailBudget[[#This Row],[2021 Cost (USD)]:[2025 Cost (USD)]])</f>
        <v>0</v>
      </c>
      <c r="AK313" s="180"/>
    </row>
    <row r="314" spans="2:37" ht="12.75" customHeight="1">
      <c r="B314" s="123"/>
      <c r="C31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14" s="85" t="str">
        <f>IF(TblDetailBudget[[#This Row],[Level]]="", "", COUNTIFS($B$8:TblDetailBudget[[#This Row],[Level]], Lvl1Hdr))</f>
        <v/>
      </c>
      <c r="E314" s="85" t="str">
        <f>IF(TblDetailBudget[[#This Row],[Level]]="", "", COUNTIFS($B$8:TblDetailBudget[[#This Row],[Level]], Lvl2Hdr, $D$8:TblDetailBudget[[#This Row],[Lvl 1 Header]], TblDetailBudget[[#This Row],[Lvl 1 Header]]))</f>
        <v/>
      </c>
      <c r="F31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1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1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14" s="164"/>
      <c r="J314" s="164"/>
      <c r="K314" s="165"/>
      <c r="L314" s="165"/>
      <c r="M314" s="85" t="str">
        <f>IF(TblDetailBudget[[#This Row],[Level]]=LvlBottomHdr, IFERROR(INDEX(TblUnitCost[Unit], MATCH(TblDetailBudget[[#This Row],[Row Title]], TblUnitCost[Resource], 0)), "Invalid Resource"), "")</f>
        <v/>
      </c>
      <c r="N314" s="126" t="str">
        <f>IF(TblDetailBudget[[#This Row],[Level]]=LvlBottomHdr, IFERROR(INDEX(TblUnitCost[LCU], MATCH(TblDetailBudget[[#This Row],[Row Title]], TblUnitCost[Resource], 0)), "Invalid Resource"), "")</f>
        <v/>
      </c>
      <c r="O314" s="130"/>
      <c r="P314" s="109"/>
      <c r="Q314" s="186"/>
      <c r="R314" s="131"/>
      <c r="S314" s="109" t="s">
        <v>66</v>
      </c>
      <c r="T314" s="109" t="s">
        <v>66</v>
      </c>
      <c r="U314" s="109" t="s">
        <v>66</v>
      </c>
      <c r="V314" s="109" t="s">
        <v>66</v>
      </c>
      <c r="W314" s="109" t="s">
        <v>66</v>
      </c>
      <c r="X314" s="126" t="str">
        <f>IF(TblDetailBudget[[#This Row],[Level]]=LvlBottomHdr, IF(SUM(TblDetailBudget[[#This Row],[2021 Quant]:[2025 Quant]])&gt;0, SUM(TblDetailBudget[[#This Row],[2021 Quant]:[2025 Quant]]), ""), "")</f>
        <v/>
      </c>
      <c r="Y31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1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1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1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1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14" s="142">
        <f>SUM(TblDetailBudget[[#This Row],[2021 Cost (LCU)]:[2025 Cost (LCU)]])</f>
        <v>0</v>
      </c>
      <c r="AE314" s="135">
        <f>IFERROR(SUM(TblDetailBudget[[#This Row],[2021 Cost (LCU)]])/FX_Rate, "")</f>
        <v>0</v>
      </c>
      <c r="AF314" s="86">
        <f>IFERROR(SUM(TblDetailBudget[[#This Row],[2022 Cost (LCU)]])/FX_Rate, "")</f>
        <v>0</v>
      </c>
      <c r="AG314" s="86">
        <f>IFERROR(SUM(TblDetailBudget[[#This Row],[2023 Cost (LCU)]])/FX_Rate, "")</f>
        <v>0</v>
      </c>
      <c r="AH314" s="86">
        <f>IFERROR(SUM(TblDetailBudget[[#This Row],[2024 Cost (LCU)]])/FX_Rate, "")</f>
        <v>0</v>
      </c>
      <c r="AI314" s="86">
        <f>IFERROR(SUM(TblDetailBudget[[#This Row],[2025 Cost (LCU)]])/FX_Rate, "")</f>
        <v>0</v>
      </c>
      <c r="AJ314" s="126">
        <f>SUM(TblDetailBudget[[#This Row],[2021 Cost (USD)]:[2025 Cost (USD)]])</f>
        <v>0</v>
      </c>
      <c r="AK314" s="180"/>
    </row>
    <row r="315" spans="2:37" ht="12.75" customHeight="1">
      <c r="B315" s="123"/>
      <c r="C31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15" s="85" t="str">
        <f>IF(TblDetailBudget[[#This Row],[Level]]="", "", COUNTIFS($B$8:TblDetailBudget[[#This Row],[Level]], Lvl1Hdr))</f>
        <v/>
      </c>
      <c r="E315" s="85" t="str">
        <f>IF(TblDetailBudget[[#This Row],[Level]]="", "", COUNTIFS($B$8:TblDetailBudget[[#This Row],[Level]], Lvl2Hdr, $D$8:TblDetailBudget[[#This Row],[Lvl 1 Header]], TblDetailBudget[[#This Row],[Lvl 1 Header]]))</f>
        <v/>
      </c>
      <c r="F31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1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1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15" s="164"/>
      <c r="J315" s="164"/>
      <c r="K315" s="165"/>
      <c r="L315" s="165"/>
      <c r="M315" s="85" t="str">
        <f>IF(TblDetailBudget[[#This Row],[Level]]=LvlBottomHdr, IFERROR(INDEX(TblUnitCost[Unit], MATCH(TblDetailBudget[[#This Row],[Row Title]], TblUnitCost[Resource], 0)), "Invalid Resource"), "")</f>
        <v/>
      </c>
      <c r="N315" s="126" t="str">
        <f>IF(TblDetailBudget[[#This Row],[Level]]=LvlBottomHdr, IFERROR(INDEX(TblUnitCost[LCU], MATCH(TblDetailBudget[[#This Row],[Row Title]], TblUnitCost[Resource], 0)), "Invalid Resource"), "")</f>
        <v/>
      </c>
      <c r="O315" s="130"/>
      <c r="P315" s="109"/>
      <c r="Q315" s="186"/>
      <c r="R315" s="131"/>
      <c r="S315" s="109" t="s">
        <v>66</v>
      </c>
      <c r="T315" s="109" t="s">
        <v>66</v>
      </c>
      <c r="U315" s="109" t="s">
        <v>66</v>
      </c>
      <c r="V315" s="109" t="s">
        <v>66</v>
      </c>
      <c r="W315" s="109" t="s">
        <v>66</v>
      </c>
      <c r="X315" s="126" t="str">
        <f>IF(TblDetailBudget[[#This Row],[Level]]=LvlBottomHdr, IF(SUM(TblDetailBudget[[#This Row],[2021 Quant]:[2025 Quant]])&gt;0, SUM(TblDetailBudget[[#This Row],[2021 Quant]:[2025 Quant]]), ""), "")</f>
        <v/>
      </c>
      <c r="Y31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1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1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1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1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15" s="142">
        <f>SUM(TblDetailBudget[[#This Row],[2021 Cost (LCU)]:[2025 Cost (LCU)]])</f>
        <v>0</v>
      </c>
      <c r="AE315" s="135">
        <f>IFERROR(SUM(TblDetailBudget[[#This Row],[2021 Cost (LCU)]])/FX_Rate, "")</f>
        <v>0</v>
      </c>
      <c r="AF315" s="86">
        <f>IFERROR(SUM(TblDetailBudget[[#This Row],[2022 Cost (LCU)]])/FX_Rate, "")</f>
        <v>0</v>
      </c>
      <c r="AG315" s="86">
        <f>IFERROR(SUM(TblDetailBudget[[#This Row],[2023 Cost (LCU)]])/FX_Rate, "")</f>
        <v>0</v>
      </c>
      <c r="AH315" s="86">
        <f>IFERROR(SUM(TblDetailBudget[[#This Row],[2024 Cost (LCU)]])/FX_Rate, "")</f>
        <v>0</v>
      </c>
      <c r="AI315" s="86">
        <f>IFERROR(SUM(TblDetailBudget[[#This Row],[2025 Cost (LCU)]])/FX_Rate, "")</f>
        <v>0</v>
      </c>
      <c r="AJ315" s="126">
        <f>SUM(TblDetailBudget[[#This Row],[2021 Cost (USD)]:[2025 Cost (USD)]])</f>
        <v>0</v>
      </c>
      <c r="AK315" s="180"/>
    </row>
    <row r="316" spans="2:37" ht="12.75" customHeight="1">
      <c r="B316" s="123"/>
      <c r="C31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16" s="85" t="str">
        <f>IF(TblDetailBudget[[#This Row],[Level]]="", "", COUNTIFS($B$8:TblDetailBudget[[#This Row],[Level]], Lvl1Hdr))</f>
        <v/>
      </c>
      <c r="E316" s="85" t="str">
        <f>IF(TblDetailBudget[[#This Row],[Level]]="", "", COUNTIFS($B$8:TblDetailBudget[[#This Row],[Level]], Lvl2Hdr, $D$8:TblDetailBudget[[#This Row],[Lvl 1 Header]], TblDetailBudget[[#This Row],[Lvl 1 Header]]))</f>
        <v/>
      </c>
      <c r="F31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1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1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16" s="164"/>
      <c r="J316" s="164"/>
      <c r="K316" s="165"/>
      <c r="L316" s="165"/>
      <c r="M316" s="85" t="str">
        <f>IF(TblDetailBudget[[#This Row],[Level]]=LvlBottomHdr, IFERROR(INDEX(TblUnitCost[Unit], MATCH(TblDetailBudget[[#This Row],[Row Title]], TblUnitCost[Resource], 0)), "Invalid Resource"), "")</f>
        <v/>
      </c>
      <c r="N316" s="126" t="str">
        <f>IF(TblDetailBudget[[#This Row],[Level]]=LvlBottomHdr, IFERROR(INDEX(TblUnitCost[LCU], MATCH(TblDetailBudget[[#This Row],[Row Title]], TblUnitCost[Resource], 0)), "Invalid Resource"), "")</f>
        <v/>
      </c>
      <c r="O316" s="130"/>
      <c r="P316" s="109"/>
      <c r="Q316" s="186"/>
      <c r="R316" s="131"/>
      <c r="S316" s="109" t="s">
        <v>66</v>
      </c>
      <c r="T316" s="109" t="s">
        <v>66</v>
      </c>
      <c r="U316" s="109" t="s">
        <v>66</v>
      </c>
      <c r="V316" s="109" t="s">
        <v>66</v>
      </c>
      <c r="W316" s="109" t="s">
        <v>66</v>
      </c>
      <c r="X316" s="126" t="str">
        <f>IF(TblDetailBudget[[#This Row],[Level]]=LvlBottomHdr, IF(SUM(TblDetailBudget[[#This Row],[2021 Quant]:[2025 Quant]])&gt;0, SUM(TblDetailBudget[[#This Row],[2021 Quant]:[2025 Quant]]), ""), "")</f>
        <v/>
      </c>
      <c r="Y31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1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1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1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1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16" s="142">
        <f>SUM(TblDetailBudget[[#This Row],[2021 Cost (LCU)]:[2025 Cost (LCU)]])</f>
        <v>0</v>
      </c>
      <c r="AE316" s="135">
        <f>IFERROR(SUM(TblDetailBudget[[#This Row],[2021 Cost (LCU)]])/FX_Rate, "")</f>
        <v>0</v>
      </c>
      <c r="AF316" s="86">
        <f>IFERROR(SUM(TblDetailBudget[[#This Row],[2022 Cost (LCU)]])/FX_Rate, "")</f>
        <v>0</v>
      </c>
      <c r="AG316" s="86">
        <f>IFERROR(SUM(TblDetailBudget[[#This Row],[2023 Cost (LCU)]])/FX_Rate, "")</f>
        <v>0</v>
      </c>
      <c r="AH316" s="86">
        <f>IFERROR(SUM(TblDetailBudget[[#This Row],[2024 Cost (LCU)]])/FX_Rate, "")</f>
        <v>0</v>
      </c>
      <c r="AI316" s="86">
        <f>IFERROR(SUM(TblDetailBudget[[#This Row],[2025 Cost (LCU)]])/FX_Rate, "")</f>
        <v>0</v>
      </c>
      <c r="AJ316" s="126">
        <f>SUM(TblDetailBudget[[#This Row],[2021 Cost (USD)]:[2025 Cost (USD)]])</f>
        <v>0</v>
      </c>
      <c r="AK316" s="180"/>
    </row>
    <row r="317" spans="2:37" ht="12.75" customHeight="1">
      <c r="B317" s="123"/>
      <c r="C31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17" s="85" t="str">
        <f>IF(TblDetailBudget[[#This Row],[Level]]="", "", COUNTIFS($B$8:TblDetailBudget[[#This Row],[Level]], Lvl1Hdr))</f>
        <v/>
      </c>
      <c r="E317" s="85" t="str">
        <f>IF(TblDetailBudget[[#This Row],[Level]]="", "", COUNTIFS($B$8:TblDetailBudget[[#This Row],[Level]], Lvl2Hdr, $D$8:TblDetailBudget[[#This Row],[Lvl 1 Header]], TblDetailBudget[[#This Row],[Lvl 1 Header]]))</f>
        <v/>
      </c>
      <c r="F31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1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1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17" s="164"/>
      <c r="J317" s="164"/>
      <c r="K317" s="165"/>
      <c r="L317" s="165"/>
      <c r="M317" s="85" t="str">
        <f>IF(TblDetailBudget[[#This Row],[Level]]=LvlBottomHdr, IFERROR(INDEX(TblUnitCost[Unit], MATCH(TblDetailBudget[[#This Row],[Row Title]], TblUnitCost[Resource], 0)), "Invalid Resource"), "")</f>
        <v/>
      </c>
      <c r="N317" s="126" t="str">
        <f>IF(TblDetailBudget[[#This Row],[Level]]=LvlBottomHdr, IFERROR(INDEX(TblUnitCost[LCU], MATCH(TblDetailBudget[[#This Row],[Row Title]], TblUnitCost[Resource], 0)), "Invalid Resource"), "")</f>
        <v/>
      </c>
      <c r="O317" s="130"/>
      <c r="P317" s="109"/>
      <c r="Q317" s="186"/>
      <c r="R317" s="131"/>
      <c r="S317" s="109" t="s">
        <v>66</v>
      </c>
      <c r="T317" s="109" t="s">
        <v>66</v>
      </c>
      <c r="U317" s="109" t="s">
        <v>66</v>
      </c>
      <c r="V317" s="109" t="s">
        <v>66</v>
      </c>
      <c r="W317" s="109" t="s">
        <v>66</v>
      </c>
      <c r="X317" s="126" t="str">
        <f>IF(TblDetailBudget[[#This Row],[Level]]=LvlBottomHdr, IF(SUM(TblDetailBudget[[#This Row],[2021 Quant]:[2025 Quant]])&gt;0, SUM(TblDetailBudget[[#This Row],[2021 Quant]:[2025 Quant]]), ""), "")</f>
        <v/>
      </c>
      <c r="Y31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1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1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1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1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17" s="142">
        <f>SUM(TblDetailBudget[[#This Row],[2021 Cost (LCU)]:[2025 Cost (LCU)]])</f>
        <v>0</v>
      </c>
      <c r="AE317" s="135">
        <f>IFERROR(SUM(TblDetailBudget[[#This Row],[2021 Cost (LCU)]])/FX_Rate, "")</f>
        <v>0</v>
      </c>
      <c r="AF317" s="86">
        <f>IFERROR(SUM(TblDetailBudget[[#This Row],[2022 Cost (LCU)]])/FX_Rate, "")</f>
        <v>0</v>
      </c>
      <c r="AG317" s="86">
        <f>IFERROR(SUM(TblDetailBudget[[#This Row],[2023 Cost (LCU)]])/FX_Rate, "")</f>
        <v>0</v>
      </c>
      <c r="AH317" s="86">
        <f>IFERROR(SUM(TblDetailBudget[[#This Row],[2024 Cost (LCU)]])/FX_Rate, "")</f>
        <v>0</v>
      </c>
      <c r="AI317" s="86">
        <f>IFERROR(SUM(TblDetailBudget[[#This Row],[2025 Cost (LCU)]])/FX_Rate, "")</f>
        <v>0</v>
      </c>
      <c r="AJ317" s="126">
        <f>SUM(TblDetailBudget[[#This Row],[2021 Cost (USD)]:[2025 Cost (USD)]])</f>
        <v>0</v>
      </c>
      <c r="AK317" s="180"/>
    </row>
    <row r="318" spans="2:37" ht="12.75" customHeight="1">
      <c r="B318" s="123"/>
      <c r="C31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18" s="85" t="str">
        <f>IF(TblDetailBudget[[#This Row],[Level]]="", "", COUNTIFS($B$8:TblDetailBudget[[#This Row],[Level]], Lvl1Hdr))</f>
        <v/>
      </c>
      <c r="E318" s="85" t="str">
        <f>IF(TblDetailBudget[[#This Row],[Level]]="", "", COUNTIFS($B$8:TblDetailBudget[[#This Row],[Level]], Lvl2Hdr, $D$8:TblDetailBudget[[#This Row],[Lvl 1 Header]], TblDetailBudget[[#This Row],[Lvl 1 Header]]))</f>
        <v/>
      </c>
      <c r="F31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1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1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18" s="164"/>
      <c r="J318" s="164"/>
      <c r="K318" s="165"/>
      <c r="L318" s="165"/>
      <c r="M318" s="85" t="str">
        <f>IF(TblDetailBudget[[#This Row],[Level]]=LvlBottomHdr, IFERROR(INDEX(TblUnitCost[Unit], MATCH(TblDetailBudget[[#This Row],[Row Title]], TblUnitCost[Resource], 0)), "Invalid Resource"), "")</f>
        <v/>
      </c>
      <c r="N318" s="126" t="str">
        <f>IF(TblDetailBudget[[#This Row],[Level]]=LvlBottomHdr, IFERROR(INDEX(TblUnitCost[LCU], MATCH(TblDetailBudget[[#This Row],[Row Title]], TblUnitCost[Resource], 0)), "Invalid Resource"), "")</f>
        <v/>
      </c>
      <c r="O318" s="130"/>
      <c r="P318" s="109"/>
      <c r="Q318" s="186"/>
      <c r="R318" s="131"/>
      <c r="S318" s="109" t="s">
        <v>66</v>
      </c>
      <c r="T318" s="109" t="s">
        <v>66</v>
      </c>
      <c r="U318" s="109" t="s">
        <v>66</v>
      </c>
      <c r="V318" s="109" t="s">
        <v>66</v>
      </c>
      <c r="W318" s="109" t="s">
        <v>66</v>
      </c>
      <c r="X318" s="126" t="str">
        <f>IF(TblDetailBudget[[#This Row],[Level]]=LvlBottomHdr, IF(SUM(TblDetailBudget[[#This Row],[2021 Quant]:[2025 Quant]])&gt;0, SUM(TblDetailBudget[[#This Row],[2021 Quant]:[2025 Quant]]), ""), "")</f>
        <v/>
      </c>
      <c r="Y31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1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1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1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1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18" s="142">
        <f>SUM(TblDetailBudget[[#This Row],[2021 Cost (LCU)]:[2025 Cost (LCU)]])</f>
        <v>0</v>
      </c>
      <c r="AE318" s="135">
        <f>IFERROR(SUM(TblDetailBudget[[#This Row],[2021 Cost (LCU)]])/FX_Rate, "")</f>
        <v>0</v>
      </c>
      <c r="AF318" s="86">
        <f>IFERROR(SUM(TblDetailBudget[[#This Row],[2022 Cost (LCU)]])/FX_Rate, "")</f>
        <v>0</v>
      </c>
      <c r="AG318" s="86">
        <f>IFERROR(SUM(TblDetailBudget[[#This Row],[2023 Cost (LCU)]])/FX_Rate, "")</f>
        <v>0</v>
      </c>
      <c r="AH318" s="86">
        <f>IFERROR(SUM(TblDetailBudget[[#This Row],[2024 Cost (LCU)]])/FX_Rate, "")</f>
        <v>0</v>
      </c>
      <c r="AI318" s="86">
        <f>IFERROR(SUM(TblDetailBudget[[#This Row],[2025 Cost (LCU)]])/FX_Rate, "")</f>
        <v>0</v>
      </c>
      <c r="AJ318" s="126">
        <f>SUM(TblDetailBudget[[#This Row],[2021 Cost (USD)]:[2025 Cost (USD)]])</f>
        <v>0</v>
      </c>
      <c r="AK318" s="180"/>
    </row>
    <row r="319" spans="2:37" ht="12.75" customHeight="1">
      <c r="B319" s="123"/>
      <c r="C31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19" s="85" t="str">
        <f>IF(TblDetailBudget[[#This Row],[Level]]="", "", COUNTIFS($B$8:TblDetailBudget[[#This Row],[Level]], Lvl1Hdr))</f>
        <v/>
      </c>
      <c r="E319" s="85" t="str">
        <f>IF(TblDetailBudget[[#This Row],[Level]]="", "", COUNTIFS($B$8:TblDetailBudget[[#This Row],[Level]], Lvl2Hdr, $D$8:TblDetailBudget[[#This Row],[Lvl 1 Header]], TblDetailBudget[[#This Row],[Lvl 1 Header]]))</f>
        <v/>
      </c>
      <c r="F31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1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1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19" s="164"/>
      <c r="J319" s="164"/>
      <c r="K319" s="165"/>
      <c r="L319" s="165"/>
      <c r="M319" s="85" t="str">
        <f>IF(TblDetailBudget[[#This Row],[Level]]=LvlBottomHdr, IFERROR(INDEX(TblUnitCost[Unit], MATCH(TblDetailBudget[[#This Row],[Row Title]], TblUnitCost[Resource], 0)), "Invalid Resource"), "")</f>
        <v/>
      </c>
      <c r="N319" s="126" t="str">
        <f>IF(TblDetailBudget[[#This Row],[Level]]=LvlBottomHdr, IFERROR(INDEX(TblUnitCost[LCU], MATCH(TblDetailBudget[[#This Row],[Row Title]], TblUnitCost[Resource], 0)), "Invalid Resource"), "")</f>
        <v/>
      </c>
      <c r="O319" s="130"/>
      <c r="P319" s="109"/>
      <c r="Q319" s="186"/>
      <c r="R319" s="131"/>
      <c r="S319" s="109" t="s">
        <v>66</v>
      </c>
      <c r="T319" s="109" t="s">
        <v>66</v>
      </c>
      <c r="U319" s="109" t="s">
        <v>66</v>
      </c>
      <c r="V319" s="109" t="s">
        <v>66</v>
      </c>
      <c r="W319" s="109" t="s">
        <v>66</v>
      </c>
      <c r="X319" s="126" t="str">
        <f>IF(TblDetailBudget[[#This Row],[Level]]=LvlBottomHdr, IF(SUM(TblDetailBudget[[#This Row],[2021 Quant]:[2025 Quant]])&gt;0, SUM(TblDetailBudget[[#This Row],[2021 Quant]:[2025 Quant]]), ""), "")</f>
        <v/>
      </c>
      <c r="Y31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1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1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1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1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19" s="142">
        <f>SUM(TblDetailBudget[[#This Row],[2021 Cost (LCU)]:[2025 Cost (LCU)]])</f>
        <v>0</v>
      </c>
      <c r="AE319" s="135">
        <f>IFERROR(SUM(TblDetailBudget[[#This Row],[2021 Cost (LCU)]])/FX_Rate, "")</f>
        <v>0</v>
      </c>
      <c r="AF319" s="86">
        <f>IFERROR(SUM(TblDetailBudget[[#This Row],[2022 Cost (LCU)]])/FX_Rate, "")</f>
        <v>0</v>
      </c>
      <c r="AG319" s="86">
        <f>IFERROR(SUM(TblDetailBudget[[#This Row],[2023 Cost (LCU)]])/FX_Rate, "")</f>
        <v>0</v>
      </c>
      <c r="AH319" s="86">
        <f>IFERROR(SUM(TblDetailBudget[[#This Row],[2024 Cost (LCU)]])/FX_Rate, "")</f>
        <v>0</v>
      </c>
      <c r="AI319" s="86">
        <f>IFERROR(SUM(TblDetailBudget[[#This Row],[2025 Cost (LCU)]])/FX_Rate, "")</f>
        <v>0</v>
      </c>
      <c r="AJ319" s="126">
        <f>SUM(TblDetailBudget[[#This Row],[2021 Cost (USD)]:[2025 Cost (USD)]])</f>
        <v>0</v>
      </c>
      <c r="AK319" s="180"/>
    </row>
    <row r="320" spans="2:37" ht="12.75" customHeight="1">
      <c r="B320" s="123"/>
      <c r="C32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20" s="85" t="str">
        <f>IF(TblDetailBudget[[#This Row],[Level]]="", "", COUNTIFS($B$8:TblDetailBudget[[#This Row],[Level]], Lvl1Hdr))</f>
        <v/>
      </c>
      <c r="E320" s="85" t="str">
        <f>IF(TblDetailBudget[[#This Row],[Level]]="", "", COUNTIFS($B$8:TblDetailBudget[[#This Row],[Level]], Lvl2Hdr, $D$8:TblDetailBudget[[#This Row],[Lvl 1 Header]], TblDetailBudget[[#This Row],[Lvl 1 Header]]))</f>
        <v/>
      </c>
      <c r="F32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2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2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20" s="164"/>
      <c r="J320" s="164"/>
      <c r="K320" s="165"/>
      <c r="L320" s="165"/>
      <c r="M320" s="85" t="str">
        <f>IF(TblDetailBudget[[#This Row],[Level]]=LvlBottomHdr, IFERROR(INDEX(TblUnitCost[Unit], MATCH(TblDetailBudget[[#This Row],[Row Title]], TblUnitCost[Resource], 0)), "Invalid Resource"), "")</f>
        <v/>
      </c>
      <c r="N320" s="126" t="str">
        <f>IF(TblDetailBudget[[#This Row],[Level]]=LvlBottomHdr, IFERROR(INDEX(TblUnitCost[LCU], MATCH(TblDetailBudget[[#This Row],[Row Title]], TblUnitCost[Resource], 0)), "Invalid Resource"), "")</f>
        <v/>
      </c>
      <c r="O320" s="130"/>
      <c r="P320" s="109"/>
      <c r="Q320" s="186"/>
      <c r="R320" s="131"/>
      <c r="S320" s="109" t="s">
        <v>66</v>
      </c>
      <c r="T320" s="109" t="s">
        <v>66</v>
      </c>
      <c r="U320" s="109" t="s">
        <v>66</v>
      </c>
      <c r="V320" s="109" t="s">
        <v>66</v>
      </c>
      <c r="W320" s="109" t="s">
        <v>66</v>
      </c>
      <c r="X320" s="126" t="str">
        <f>IF(TblDetailBudget[[#This Row],[Level]]=LvlBottomHdr, IF(SUM(TblDetailBudget[[#This Row],[2021 Quant]:[2025 Quant]])&gt;0, SUM(TblDetailBudget[[#This Row],[2021 Quant]:[2025 Quant]]), ""), "")</f>
        <v/>
      </c>
      <c r="Y32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2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2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2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2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20" s="142">
        <f>SUM(TblDetailBudget[[#This Row],[2021 Cost (LCU)]:[2025 Cost (LCU)]])</f>
        <v>0</v>
      </c>
      <c r="AE320" s="135">
        <f>IFERROR(SUM(TblDetailBudget[[#This Row],[2021 Cost (LCU)]])/FX_Rate, "")</f>
        <v>0</v>
      </c>
      <c r="AF320" s="86">
        <f>IFERROR(SUM(TblDetailBudget[[#This Row],[2022 Cost (LCU)]])/FX_Rate, "")</f>
        <v>0</v>
      </c>
      <c r="AG320" s="86">
        <f>IFERROR(SUM(TblDetailBudget[[#This Row],[2023 Cost (LCU)]])/FX_Rate, "")</f>
        <v>0</v>
      </c>
      <c r="AH320" s="86">
        <f>IFERROR(SUM(TblDetailBudget[[#This Row],[2024 Cost (LCU)]])/FX_Rate, "")</f>
        <v>0</v>
      </c>
      <c r="AI320" s="86">
        <f>IFERROR(SUM(TblDetailBudget[[#This Row],[2025 Cost (LCU)]])/FX_Rate, "")</f>
        <v>0</v>
      </c>
      <c r="AJ320" s="126">
        <f>SUM(TblDetailBudget[[#This Row],[2021 Cost (USD)]:[2025 Cost (USD)]])</f>
        <v>0</v>
      </c>
      <c r="AK320" s="180"/>
    </row>
    <row r="321" spans="2:37" ht="12.75" customHeight="1">
      <c r="B321" s="123"/>
      <c r="C32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21" s="85" t="str">
        <f>IF(TblDetailBudget[[#This Row],[Level]]="", "", COUNTIFS($B$8:TblDetailBudget[[#This Row],[Level]], Lvl1Hdr))</f>
        <v/>
      </c>
      <c r="E321" s="85" t="str">
        <f>IF(TblDetailBudget[[#This Row],[Level]]="", "", COUNTIFS($B$8:TblDetailBudget[[#This Row],[Level]], Lvl2Hdr, $D$8:TblDetailBudget[[#This Row],[Lvl 1 Header]], TblDetailBudget[[#This Row],[Lvl 1 Header]]))</f>
        <v/>
      </c>
      <c r="F32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2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2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21" s="164"/>
      <c r="J321" s="164"/>
      <c r="K321" s="165"/>
      <c r="L321" s="165"/>
      <c r="M321" s="85" t="str">
        <f>IF(TblDetailBudget[[#This Row],[Level]]=LvlBottomHdr, IFERROR(INDEX(TblUnitCost[Unit], MATCH(TblDetailBudget[[#This Row],[Row Title]], TblUnitCost[Resource], 0)), "Invalid Resource"), "")</f>
        <v/>
      </c>
      <c r="N321" s="126" t="str">
        <f>IF(TblDetailBudget[[#This Row],[Level]]=LvlBottomHdr, IFERROR(INDEX(TblUnitCost[LCU], MATCH(TblDetailBudget[[#This Row],[Row Title]], TblUnitCost[Resource], 0)), "Invalid Resource"), "")</f>
        <v/>
      </c>
      <c r="O321" s="130"/>
      <c r="P321" s="109"/>
      <c r="Q321" s="186"/>
      <c r="R321" s="131"/>
      <c r="S321" s="109" t="s">
        <v>66</v>
      </c>
      <c r="T321" s="109" t="s">
        <v>66</v>
      </c>
      <c r="U321" s="109" t="s">
        <v>66</v>
      </c>
      <c r="V321" s="109" t="s">
        <v>66</v>
      </c>
      <c r="W321" s="109" t="s">
        <v>66</v>
      </c>
      <c r="X321" s="126" t="str">
        <f>IF(TblDetailBudget[[#This Row],[Level]]=LvlBottomHdr, IF(SUM(TblDetailBudget[[#This Row],[2021 Quant]:[2025 Quant]])&gt;0, SUM(TblDetailBudget[[#This Row],[2021 Quant]:[2025 Quant]]), ""), "")</f>
        <v/>
      </c>
      <c r="Y32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2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2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2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2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21" s="142">
        <f>SUM(TblDetailBudget[[#This Row],[2021 Cost (LCU)]:[2025 Cost (LCU)]])</f>
        <v>0</v>
      </c>
      <c r="AE321" s="135">
        <f>IFERROR(SUM(TblDetailBudget[[#This Row],[2021 Cost (LCU)]])/FX_Rate, "")</f>
        <v>0</v>
      </c>
      <c r="AF321" s="86">
        <f>IFERROR(SUM(TblDetailBudget[[#This Row],[2022 Cost (LCU)]])/FX_Rate, "")</f>
        <v>0</v>
      </c>
      <c r="AG321" s="86">
        <f>IFERROR(SUM(TblDetailBudget[[#This Row],[2023 Cost (LCU)]])/FX_Rate, "")</f>
        <v>0</v>
      </c>
      <c r="AH321" s="86">
        <f>IFERROR(SUM(TblDetailBudget[[#This Row],[2024 Cost (LCU)]])/FX_Rate, "")</f>
        <v>0</v>
      </c>
      <c r="AI321" s="86">
        <f>IFERROR(SUM(TblDetailBudget[[#This Row],[2025 Cost (LCU)]])/FX_Rate, "")</f>
        <v>0</v>
      </c>
      <c r="AJ321" s="126">
        <f>SUM(TblDetailBudget[[#This Row],[2021 Cost (USD)]:[2025 Cost (USD)]])</f>
        <v>0</v>
      </c>
      <c r="AK321" s="180"/>
    </row>
    <row r="322" spans="2:37" ht="12.75" customHeight="1">
      <c r="B322" s="123"/>
      <c r="C32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22" s="85" t="str">
        <f>IF(TblDetailBudget[[#This Row],[Level]]="", "", COUNTIFS($B$8:TblDetailBudget[[#This Row],[Level]], Lvl1Hdr))</f>
        <v/>
      </c>
      <c r="E322" s="85" t="str">
        <f>IF(TblDetailBudget[[#This Row],[Level]]="", "", COUNTIFS($B$8:TblDetailBudget[[#This Row],[Level]], Lvl2Hdr, $D$8:TblDetailBudget[[#This Row],[Lvl 1 Header]], TblDetailBudget[[#This Row],[Lvl 1 Header]]))</f>
        <v/>
      </c>
      <c r="F32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2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2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22" s="164"/>
      <c r="J322" s="164"/>
      <c r="K322" s="165"/>
      <c r="L322" s="165"/>
      <c r="M322" s="85" t="str">
        <f>IF(TblDetailBudget[[#This Row],[Level]]=LvlBottomHdr, IFERROR(INDEX(TblUnitCost[Unit], MATCH(TblDetailBudget[[#This Row],[Row Title]], TblUnitCost[Resource], 0)), "Invalid Resource"), "")</f>
        <v/>
      </c>
      <c r="N322" s="126" t="str">
        <f>IF(TblDetailBudget[[#This Row],[Level]]=LvlBottomHdr, IFERROR(INDEX(TblUnitCost[LCU], MATCH(TblDetailBudget[[#This Row],[Row Title]], TblUnitCost[Resource], 0)), "Invalid Resource"), "")</f>
        <v/>
      </c>
      <c r="O322" s="130"/>
      <c r="P322" s="109"/>
      <c r="Q322" s="186"/>
      <c r="R322" s="131"/>
      <c r="S322" s="109" t="s">
        <v>66</v>
      </c>
      <c r="T322" s="109" t="s">
        <v>66</v>
      </c>
      <c r="U322" s="109" t="s">
        <v>66</v>
      </c>
      <c r="V322" s="109" t="s">
        <v>66</v>
      </c>
      <c r="W322" s="109" t="s">
        <v>66</v>
      </c>
      <c r="X322" s="126" t="str">
        <f>IF(TblDetailBudget[[#This Row],[Level]]=LvlBottomHdr, IF(SUM(TblDetailBudget[[#This Row],[2021 Quant]:[2025 Quant]])&gt;0, SUM(TblDetailBudget[[#This Row],[2021 Quant]:[2025 Quant]]), ""), "")</f>
        <v/>
      </c>
      <c r="Y32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2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2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2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2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22" s="142">
        <f>SUM(TblDetailBudget[[#This Row],[2021 Cost (LCU)]:[2025 Cost (LCU)]])</f>
        <v>0</v>
      </c>
      <c r="AE322" s="135">
        <f>IFERROR(SUM(TblDetailBudget[[#This Row],[2021 Cost (LCU)]])/FX_Rate, "")</f>
        <v>0</v>
      </c>
      <c r="AF322" s="86">
        <f>IFERROR(SUM(TblDetailBudget[[#This Row],[2022 Cost (LCU)]])/FX_Rate, "")</f>
        <v>0</v>
      </c>
      <c r="AG322" s="86">
        <f>IFERROR(SUM(TblDetailBudget[[#This Row],[2023 Cost (LCU)]])/FX_Rate, "")</f>
        <v>0</v>
      </c>
      <c r="AH322" s="86">
        <f>IFERROR(SUM(TblDetailBudget[[#This Row],[2024 Cost (LCU)]])/FX_Rate, "")</f>
        <v>0</v>
      </c>
      <c r="AI322" s="86">
        <f>IFERROR(SUM(TblDetailBudget[[#This Row],[2025 Cost (LCU)]])/FX_Rate, "")</f>
        <v>0</v>
      </c>
      <c r="AJ322" s="126">
        <f>SUM(TblDetailBudget[[#This Row],[2021 Cost (USD)]:[2025 Cost (USD)]])</f>
        <v>0</v>
      </c>
      <c r="AK322" s="180"/>
    </row>
    <row r="323" spans="2:37" ht="12.75" customHeight="1">
      <c r="B323" s="123"/>
      <c r="C32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23" s="85" t="str">
        <f>IF(TblDetailBudget[[#This Row],[Level]]="", "", COUNTIFS($B$8:TblDetailBudget[[#This Row],[Level]], Lvl1Hdr))</f>
        <v/>
      </c>
      <c r="E323" s="85" t="str">
        <f>IF(TblDetailBudget[[#This Row],[Level]]="", "", COUNTIFS($B$8:TblDetailBudget[[#This Row],[Level]], Lvl2Hdr, $D$8:TblDetailBudget[[#This Row],[Lvl 1 Header]], TblDetailBudget[[#This Row],[Lvl 1 Header]]))</f>
        <v/>
      </c>
      <c r="F32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2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2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23" s="164"/>
      <c r="J323" s="164"/>
      <c r="K323" s="165"/>
      <c r="L323" s="165"/>
      <c r="M323" s="85" t="str">
        <f>IF(TblDetailBudget[[#This Row],[Level]]=LvlBottomHdr, IFERROR(INDEX(TblUnitCost[Unit], MATCH(TblDetailBudget[[#This Row],[Row Title]], TblUnitCost[Resource], 0)), "Invalid Resource"), "")</f>
        <v/>
      </c>
      <c r="N323" s="126" t="str">
        <f>IF(TblDetailBudget[[#This Row],[Level]]=LvlBottomHdr, IFERROR(INDEX(TblUnitCost[LCU], MATCH(TblDetailBudget[[#This Row],[Row Title]], TblUnitCost[Resource], 0)), "Invalid Resource"), "")</f>
        <v/>
      </c>
      <c r="O323" s="130"/>
      <c r="P323" s="109"/>
      <c r="Q323" s="186"/>
      <c r="R323" s="131"/>
      <c r="S323" s="109" t="s">
        <v>66</v>
      </c>
      <c r="T323" s="109" t="s">
        <v>66</v>
      </c>
      <c r="U323" s="109" t="s">
        <v>66</v>
      </c>
      <c r="V323" s="109" t="s">
        <v>66</v>
      </c>
      <c r="W323" s="109" t="s">
        <v>66</v>
      </c>
      <c r="X323" s="126" t="str">
        <f>IF(TblDetailBudget[[#This Row],[Level]]=LvlBottomHdr, IF(SUM(TblDetailBudget[[#This Row],[2021 Quant]:[2025 Quant]])&gt;0, SUM(TblDetailBudget[[#This Row],[2021 Quant]:[2025 Quant]]), ""), "")</f>
        <v/>
      </c>
      <c r="Y32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2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2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2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2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23" s="142">
        <f>SUM(TblDetailBudget[[#This Row],[2021 Cost (LCU)]:[2025 Cost (LCU)]])</f>
        <v>0</v>
      </c>
      <c r="AE323" s="135">
        <f>IFERROR(SUM(TblDetailBudget[[#This Row],[2021 Cost (LCU)]])/FX_Rate, "")</f>
        <v>0</v>
      </c>
      <c r="AF323" s="86">
        <f>IFERROR(SUM(TblDetailBudget[[#This Row],[2022 Cost (LCU)]])/FX_Rate, "")</f>
        <v>0</v>
      </c>
      <c r="AG323" s="86">
        <f>IFERROR(SUM(TblDetailBudget[[#This Row],[2023 Cost (LCU)]])/FX_Rate, "")</f>
        <v>0</v>
      </c>
      <c r="AH323" s="86">
        <f>IFERROR(SUM(TblDetailBudget[[#This Row],[2024 Cost (LCU)]])/FX_Rate, "")</f>
        <v>0</v>
      </c>
      <c r="AI323" s="86">
        <f>IFERROR(SUM(TblDetailBudget[[#This Row],[2025 Cost (LCU)]])/FX_Rate, "")</f>
        <v>0</v>
      </c>
      <c r="AJ323" s="126">
        <f>SUM(TblDetailBudget[[#This Row],[2021 Cost (USD)]:[2025 Cost (USD)]])</f>
        <v>0</v>
      </c>
      <c r="AK323" s="180"/>
    </row>
    <row r="324" spans="2:37" ht="12.75" customHeight="1">
      <c r="B324" s="123"/>
      <c r="C32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24" s="85" t="str">
        <f>IF(TblDetailBudget[[#This Row],[Level]]="", "", COUNTIFS($B$8:TblDetailBudget[[#This Row],[Level]], Lvl1Hdr))</f>
        <v/>
      </c>
      <c r="E324" s="85" t="str">
        <f>IF(TblDetailBudget[[#This Row],[Level]]="", "", COUNTIFS($B$8:TblDetailBudget[[#This Row],[Level]], Lvl2Hdr, $D$8:TblDetailBudget[[#This Row],[Lvl 1 Header]], TblDetailBudget[[#This Row],[Lvl 1 Header]]))</f>
        <v/>
      </c>
      <c r="F32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2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2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24" s="164"/>
      <c r="J324" s="164"/>
      <c r="K324" s="165"/>
      <c r="L324" s="165"/>
      <c r="M324" s="85" t="str">
        <f>IF(TblDetailBudget[[#This Row],[Level]]=LvlBottomHdr, IFERROR(INDEX(TblUnitCost[Unit], MATCH(TblDetailBudget[[#This Row],[Row Title]], TblUnitCost[Resource], 0)), "Invalid Resource"), "")</f>
        <v/>
      </c>
      <c r="N324" s="126" t="str">
        <f>IF(TblDetailBudget[[#This Row],[Level]]=LvlBottomHdr, IFERROR(INDEX(TblUnitCost[LCU], MATCH(TblDetailBudget[[#This Row],[Row Title]], TblUnitCost[Resource], 0)), "Invalid Resource"), "")</f>
        <v/>
      </c>
      <c r="O324" s="130"/>
      <c r="P324" s="109"/>
      <c r="Q324" s="186"/>
      <c r="R324" s="131"/>
      <c r="S324" s="109" t="s">
        <v>66</v>
      </c>
      <c r="T324" s="109" t="s">
        <v>66</v>
      </c>
      <c r="U324" s="109" t="s">
        <v>66</v>
      </c>
      <c r="V324" s="109" t="s">
        <v>66</v>
      </c>
      <c r="W324" s="109" t="s">
        <v>66</v>
      </c>
      <c r="X324" s="126" t="str">
        <f>IF(TblDetailBudget[[#This Row],[Level]]=LvlBottomHdr, IF(SUM(TblDetailBudget[[#This Row],[2021 Quant]:[2025 Quant]])&gt;0, SUM(TblDetailBudget[[#This Row],[2021 Quant]:[2025 Quant]]), ""), "")</f>
        <v/>
      </c>
      <c r="Y32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2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2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2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2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24" s="142">
        <f>SUM(TblDetailBudget[[#This Row],[2021 Cost (LCU)]:[2025 Cost (LCU)]])</f>
        <v>0</v>
      </c>
      <c r="AE324" s="135">
        <f>IFERROR(SUM(TblDetailBudget[[#This Row],[2021 Cost (LCU)]])/FX_Rate, "")</f>
        <v>0</v>
      </c>
      <c r="AF324" s="86">
        <f>IFERROR(SUM(TblDetailBudget[[#This Row],[2022 Cost (LCU)]])/FX_Rate, "")</f>
        <v>0</v>
      </c>
      <c r="AG324" s="86">
        <f>IFERROR(SUM(TblDetailBudget[[#This Row],[2023 Cost (LCU)]])/FX_Rate, "")</f>
        <v>0</v>
      </c>
      <c r="AH324" s="86">
        <f>IFERROR(SUM(TblDetailBudget[[#This Row],[2024 Cost (LCU)]])/FX_Rate, "")</f>
        <v>0</v>
      </c>
      <c r="AI324" s="86">
        <f>IFERROR(SUM(TblDetailBudget[[#This Row],[2025 Cost (LCU)]])/FX_Rate, "")</f>
        <v>0</v>
      </c>
      <c r="AJ324" s="126">
        <f>SUM(TblDetailBudget[[#This Row],[2021 Cost (USD)]:[2025 Cost (USD)]])</f>
        <v>0</v>
      </c>
      <c r="AK324" s="180"/>
    </row>
    <row r="325" spans="2:37" ht="12.75" customHeight="1">
      <c r="B325" s="123"/>
      <c r="C32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25" s="85" t="str">
        <f>IF(TblDetailBudget[[#This Row],[Level]]="", "", COUNTIFS($B$8:TblDetailBudget[[#This Row],[Level]], Lvl1Hdr))</f>
        <v/>
      </c>
      <c r="E325" s="85" t="str">
        <f>IF(TblDetailBudget[[#This Row],[Level]]="", "", COUNTIFS($B$8:TblDetailBudget[[#This Row],[Level]], Lvl2Hdr, $D$8:TblDetailBudget[[#This Row],[Lvl 1 Header]], TblDetailBudget[[#This Row],[Lvl 1 Header]]))</f>
        <v/>
      </c>
      <c r="F32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2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2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25" s="164"/>
      <c r="J325" s="164"/>
      <c r="K325" s="165"/>
      <c r="L325" s="165"/>
      <c r="M325" s="85" t="str">
        <f>IF(TblDetailBudget[[#This Row],[Level]]=LvlBottomHdr, IFERROR(INDEX(TblUnitCost[Unit], MATCH(TblDetailBudget[[#This Row],[Row Title]], TblUnitCost[Resource], 0)), "Invalid Resource"), "")</f>
        <v/>
      </c>
      <c r="N325" s="126" t="str">
        <f>IF(TblDetailBudget[[#This Row],[Level]]=LvlBottomHdr, IFERROR(INDEX(TblUnitCost[LCU], MATCH(TblDetailBudget[[#This Row],[Row Title]], TblUnitCost[Resource], 0)), "Invalid Resource"), "")</f>
        <v/>
      </c>
      <c r="O325" s="130"/>
      <c r="P325" s="109"/>
      <c r="Q325" s="186"/>
      <c r="R325" s="131"/>
      <c r="S325" s="109" t="s">
        <v>66</v>
      </c>
      <c r="T325" s="109" t="s">
        <v>66</v>
      </c>
      <c r="U325" s="109" t="s">
        <v>66</v>
      </c>
      <c r="V325" s="109" t="s">
        <v>66</v>
      </c>
      <c r="W325" s="109" t="s">
        <v>66</v>
      </c>
      <c r="X325" s="126" t="str">
        <f>IF(TblDetailBudget[[#This Row],[Level]]=LvlBottomHdr, IF(SUM(TblDetailBudget[[#This Row],[2021 Quant]:[2025 Quant]])&gt;0, SUM(TblDetailBudget[[#This Row],[2021 Quant]:[2025 Quant]]), ""), "")</f>
        <v/>
      </c>
      <c r="Y32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2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2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2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2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25" s="142">
        <f>SUM(TblDetailBudget[[#This Row],[2021 Cost (LCU)]:[2025 Cost (LCU)]])</f>
        <v>0</v>
      </c>
      <c r="AE325" s="135">
        <f>IFERROR(SUM(TblDetailBudget[[#This Row],[2021 Cost (LCU)]])/FX_Rate, "")</f>
        <v>0</v>
      </c>
      <c r="AF325" s="86">
        <f>IFERROR(SUM(TblDetailBudget[[#This Row],[2022 Cost (LCU)]])/FX_Rate, "")</f>
        <v>0</v>
      </c>
      <c r="AG325" s="86">
        <f>IFERROR(SUM(TblDetailBudget[[#This Row],[2023 Cost (LCU)]])/FX_Rate, "")</f>
        <v>0</v>
      </c>
      <c r="AH325" s="86">
        <f>IFERROR(SUM(TblDetailBudget[[#This Row],[2024 Cost (LCU)]])/FX_Rate, "")</f>
        <v>0</v>
      </c>
      <c r="AI325" s="86">
        <f>IFERROR(SUM(TblDetailBudget[[#This Row],[2025 Cost (LCU)]])/FX_Rate, "")</f>
        <v>0</v>
      </c>
      <c r="AJ325" s="126">
        <f>SUM(TblDetailBudget[[#This Row],[2021 Cost (USD)]:[2025 Cost (USD)]])</f>
        <v>0</v>
      </c>
      <c r="AK325" s="180"/>
    </row>
    <row r="326" spans="2:37" ht="12.75" customHeight="1">
      <c r="B326" s="123"/>
      <c r="C32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26" s="85" t="str">
        <f>IF(TblDetailBudget[[#This Row],[Level]]="", "", COUNTIFS($B$8:TblDetailBudget[[#This Row],[Level]], Lvl1Hdr))</f>
        <v/>
      </c>
      <c r="E326" s="85" t="str">
        <f>IF(TblDetailBudget[[#This Row],[Level]]="", "", COUNTIFS($B$8:TblDetailBudget[[#This Row],[Level]], Lvl2Hdr, $D$8:TblDetailBudget[[#This Row],[Lvl 1 Header]], TblDetailBudget[[#This Row],[Lvl 1 Header]]))</f>
        <v/>
      </c>
      <c r="F32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2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2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26" s="164"/>
      <c r="J326" s="164"/>
      <c r="K326" s="165"/>
      <c r="L326" s="165"/>
      <c r="M326" s="85" t="str">
        <f>IF(TblDetailBudget[[#This Row],[Level]]=LvlBottomHdr, IFERROR(INDEX(TblUnitCost[Unit], MATCH(TblDetailBudget[[#This Row],[Row Title]], TblUnitCost[Resource], 0)), "Invalid Resource"), "")</f>
        <v/>
      </c>
      <c r="N326" s="126" t="str">
        <f>IF(TblDetailBudget[[#This Row],[Level]]=LvlBottomHdr, IFERROR(INDEX(TblUnitCost[LCU], MATCH(TblDetailBudget[[#This Row],[Row Title]], TblUnitCost[Resource], 0)), "Invalid Resource"), "")</f>
        <v/>
      </c>
      <c r="O326" s="130"/>
      <c r="P326" s="109"/>
      <c r="Q326" s="186"/>
      <c r="R326" s="131"/>
      <c r="S326" s="109" t="s">
        <v>66</v>
      </c>
      <c r="T326" s="109" t="s">
        <v>66</v>
      </c>
      <c r="U326" s="109" t="s">
        <v>66</v>
      </c>
      <c r="V326" s="109" t="s">
        <v>66</v>
      </c>
      <c r="W326" s="109" t="s">
        <v>66</v>
      </c>
      <c r="X326" s="126" t="str">
        <f>IF(TblDetailBudget[[#This Row],[Level]]=LvlBottomHdr, IF(SUM(TblDetailBudget[[#This Row],[2021 Quant]:[2025 Quant]])&gt;0, SUM(TblDetailBudget[[#This Row],[2021 Quant]:[2025 Quant]]), ""), "")</f>
        <v/>
      </c>
      <c r="Y32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2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2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2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2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26" s="142">
        <f>SUM(TblDetailBudget[[#This Row],[2021 Cost (LCU)]:[2025 Cost (LCU)]])</f>
        <v>0</v>
      </c>
      <c r="AE326" s="135">
        <f>IFERROR(SUM(TblDetailBudget[[#This Row],[2021 Cost (LCU)]])/FX_Rate, "")</f>
        <v>0</v>
      </c>
      <c r="AF326" s="86">
        <f>IFERROR(SUM(TblDetailBudget[[#This Row],[2022 Cost (LCU)]])/FX_Rate, "")</f>
        <v>0</v>
      </c>
      <c r="AG326" s="86">
        <f>IFERROR(SUM(TblDetailBudget[[#This Row],[2023 Cost (LCU)]])/FX_Rate, "")</f>
        <v>0</v>
      </c>
      <c r="AH326" s="86">
        <f>IFERROR(SUM(TblDetailBudget[[#This Row],[2024 Cost (LCU)]])/FX_Rate, "")</f>
        <v>0</v>
      </c>
      <c r="AI326" s="86">
        <f>IFERROR(SUM(TblDetailBudget[[#This Row],[2025 Cost (LCU)]])/FX_Rate, "")</f>
        <v>0</v>
      </c>
      <c r="AJ326" s="126">
        <f>SUM(TblDetailBudget[[#This Row],[2021 Cost (USD)]:[2025 Cost (USD)]])</f>
        <v>0</v>
      </c>
      <c r="AK326" s="180"/>
    </row>
    <row r="327" spans="2:37" ht="12.75" customHeight="1">
      <c r="B327" s="123"/>
      <c r="C32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27" s="85" t="str">
        <f>IF(TblDetailBudget[[#This Row],[Level]]="", "", COUNTIFS($B$8:TblDetailBudget[[#This Row],[Level]], Lvl1Hdr))</f>
        <v/>
      </c>
      <c r="E327" s="85" t="str">
        <f>IF(TblDetailBudget[[#This Row],[Level]]="", "", COUNTIFS($B$8:TblDetailBudget[[#This Row],[Level]], Lvl2Hdr, $D$8:TblDetailBudget[[#This Row],[Lvl 1 Header]], TblDetailBudget[[#This Row],[Lvl 1 Header]]))</f>
        <v/>
      </c>
      <c r="F32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2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2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27" s="164"/>
      <c r="J327" s="164"/>
      <c r="K327" s="165"/>
      <c r="L327" s="165"/>
      <c r="M327" s="85" t="str">
        <f>IF(TblDetailBudget[[#This Row],[Level]]=LvlBottomHdr, IFERROR(INDEX(TblUnitCost[Unit], MATCH(TblDetailBudget[[#This Row],[Row Title]], TblUnitCost[Resource], 0)), "Invalid Resource"), "")</f>
        <v/>
      </c>
      <c r="N327" s="126" t="str">
        <f>IF(TblDetailBudget[[#This Row],[Level]]=LvlBottomHdr, IFERROR(INDEX(TblUnitCost[LCU], MATCH(TblDetailBudget[[#This Row],[Row Title]], TblUnitCost[Resource], 0)), "Invalid Resource"), "")</f>
        <v/>
      </c>
      <c r="O327" s="130"/>
      <c r="P327" s="109"/>
      <c r="Q327" s="186"/>
      <c r="R327" s="131"/>
      <c r="S327" s="109" t="s">
        <v>66</v>
      </c>
      <c r="T327" s="109" t="s">
        <v>66</v>
      </c>
      <c r="U327" s="109" t="s">
        <v>66</v>
      </c>
      <c r="V327" s="109" t="s">
        <v>66</v>
      </c>
      <c r="W327" s="109" t="s">
        <v>66</v>
      </c>
      <c r="X327" s="126" t="str">
        <f>IF(TblDetailBudget[[#This Row],[Level]]=LvlBottomHdr, IF(SUM(TblDetailBudget[[#This Row],[2021 Quant]:[2025 Quant]])&gt;0, SUM(TblDetailBudget[[#This Row],[2021 Quant]:[2025 Quant]]), ""), "")</f>
        <v/>
      </c>
      <c r="Y32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2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2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2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2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27" s="142">
        <f>SUM(TblDetailBudget[[#This Row],[2021 Cost (LCU)]:[2025 Cost (LCU)]])</f>
        <v>0</v>
      </c>
      <c r="AE327" s="135">
        <f>IFERROR(SUM(TblDetailBudget[[#This Row],[2021 Cost (LCU)]])/FX_Rate, "")</f>
        <v>0</v>
      </c>
      <c r="AF327" s="86">
        <f>IFERROR(SUM(TblDetailBudget[[#This Row],[2022 Cost (LCU)]])/FX_Rate, "")</f>
        <v>0</v>
      </c>
      <c r="AG327" s="86">
        <f>IFERROR(SUM(TblDetailBudget[[#This Row],[2023 Cost (LCU)]])/FX_Rate, "")</f>
        <v>0</v>
      </c>
      <c r="AH327" s="86">
        <f>IFERROR(SUM(TblDetailBudget[[#This Row],[2024 Cost (LCU)]])/FX_Rate, "")</f>
        <v>0</v>
      </c>
      <c r="AI327" s="86">
        <f>IFERROR(SUM(TblDetailBudget[[#This Row],[2025 Cost (LCU)]])/FX_Rate, "")</f>
        <v>0</v>
      </c>
      <c r="AJ327" s="126">
        <f>SUM(TblDetailBudget[[#This Row],[2021 Cost (USD)]:[2025 Cost (USD)]])</f>
        <v>0</v>
      </c>
      <c r="AK327" s="180"/>
    </row>
    <row r="328" spans="2:37" ht="12.75" customHeight="1">
      <c r="B328" s="123"/>
      <c r="C32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28" s="85" t="str">
        <f>IF(TblDetailBudget[[#This Row],[Level]]="", "", COUNTIFS($B$8:TblDetailBudget[[#This Row],[Level]], Lvl1Hdr))</f>
        <v/>
      </c>
      <c r="E328" s="85" t="str">
        <f>IF(TblDetailBudget[[#This Row],[Level]]="", "", COUNTIFS($B$8:TblDetailBudget[[#This Row],[Level]], Lvl2Hdr, $D$8:TblDetailBudget[[#This Row],[Lvl 1 Header]], TblDetailBudget[[#This Row],[Lvl 1 Header]]))</f>
        <v/>
      </c>
      <c r="F32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2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2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28" s="164"/>
      <c r="J328" s="164"/>
      <c r="K328" s="165"/>
      <c r="L328" s="165"/>
      <c r="M328" s="85" t="str">
        <f>IF(TblDetailBudget[[#This Row],[Level]]=LvlBottomHdr, IFERROR(INDEX(TblUnitCost[Unit], MATCH(TblDetailBudget[[#This Row],[Row Title]], TblUnitCost[Resource], 0)), "Invalid Resource"), "")</f>
        <v/>
      </c>
      <c r="N328" s="126" t="str">
        <f>IF(TblDetailBudget[[#This Row],[Level]]=LvlBottomHdr, IFERROR(INDEX(TblUnitCost[LCU], MATCH(TblDetailBudget[[#This Row],[Row Title]], TblUnitCost[Resource], 0)), "Invalid Resource"), "")</f>
        <v/>
      </c>
      <c r="O328" s="130"/>
      <c r="P328" s="109"/>
      <c r="Q328" s="186"/>
      <c r="R328" s="131"/>
      <c r="S328" s="109" t="s">
        <v>66</v>
      </c>
      <c r="T328" s="109" t="s">
        <v>66</v>
      </c>
      <c r="U328" s="109" t="s">
        <v>66</v>
      </c>
      <c r="V328" s="109" t="s">
        <v>66</v>
      </c>
      <c r="W328" s="109" t="s">
        <v>66</v>
      </c>
      <c r="X328" s="126" t="str">
        <f>IF(TblDetailBudget[[#This Row],[Level]]=LvlBottomHdr, IF(SUM(TblDetailBudget[[#This Row],[2021 Quant]:[2025 Quant]])&gt;0, SUM(TblDetailBudget[[#This Row],[2021 Quant]:[2025 Quant]]), ""), "")</f>
        <v/>
      </c>
      <c r="Y32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2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2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2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2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28" s="142">
        <f>SUM(TblDetailBudget[[#This Row],[2021 Cost (LCU)]:[2025 Cost (LCU)]])</f>
        <v>0</v>
      </c>
      <c r="AE328" s="135">
        <f>IFERROR(SUM(TblDetailBudget[[#This Row],[2021 Cost (LCU)]])/FX_Rate, "")</f>
        <v>0</v>
      </c>
      <c r="AF328" s="86">
        <f>IFERROR(SUM(TblDetailBudget[[#This Row],[2022 Cost (LCU)]])/FX_Rate, "")</f>
        <v>0</v>
      </c>
      <c r="AG328" s="86">
        <f>IFERROR(SUM(TblDetailBudget[[#This Row],[2023 Cost (LCU)]])/FX_Rate, "")</f>
        <v>0</v>
      </c>
      <c r="AH328" s="86">
        <f>IFERROR(SUM(TblDetailBudget[[#This Row],[2024 Cost (LCU)]])/FX_Rate, "")</f>
        <v>0</v>
      </c>
      <c r="AI328" s="86">
        <f>IFERROR(SUM(TblDetailBudget[[#This Row],[2025 Cost (LCU)]])/FX_Rate, "")</f>
        <v>0</v>
      </c>
      <c r="AJ328" s="126">
        <f>SUM(TblDetailBudget[[#This Row],[2021 Cost (USD)]:[2025 Cost (USD)]])</f>
        <v>0</v>
      </c>
      <c r="AK328" s="180"/>
    </row>
    <row r="329" spans="2:37" ht="12.75" customHeight="1">
      <c r="B329" s="123"/>
      <c r="C32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29" s="85" t="str">
        <f>IF(TblDetailBudget[[#This Row],[Level]]="", "", COUNTIFS($B$8:TblDetailBudget[[#This Row],[Level]], Lvl1Hdr))</f>
        <v/>
      </c>
      <c r="E329" s="85" t="str">
        <f>IF(TblDetailBudget[[#This Row],[Level]]="", "", COUNTIFS($B$8:TblDetailBudget[[#This Row],[Level]], Lvl2Hdr, $D$8:TblDetailBudget[[#This Row],[Lvl 1 Header]], TblDetailBudget[[#This Row],[Lvl 1 Header]]))</f>
        <v/>
      </c>
      <c r="F32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2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2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29" s="164"/>
      <c r="J329" s="164"/>
      <c r="K329" s="165"/>
      <c r="L329" s="165"/>
      <c r="M329" s="85" t="str">
        <f>IF(TblDetailBudget[[#This Row],[Level]]=LvlBottomHdr, IFERROR(INDEX(TblUnitCost[Unit], MATCH(TblDetailBudget[[#This Row],[Row Title]], TblUnitCost[Resource], 0)), "Invalid Resource"), "")</f>
        <v/>
      </c>
      <c r="N329" s="126" t="str">
        <f>IF(TblDetailBudget[[#This Row],[Level]]=LvlBottomHdr, IFERROR(INDEX(TblUnitCost[LCU], MATCH(TblDetailBudget[[#This Row],[Row Title]], TblUnitCost[Resource], 0)), "Invalid Resource"), "")</f>
        <v/>
      </c>
      <c r="O329" s="130"/>
      <c r="P329" s="109"/>
      <c r="Q329" s="186"/>
      <c r="R329" s="131"/>
      <c r="S329" s="109" t="s">
        <v>66</v>
      </c>
      <c r="T329" s="109" t="s">
        <v>66</v>
      </c>
      <c r="U329" s="109" t="s">
        <v>66</v>
      </c>
      <c r="V329" s="109" t="s">
        <v>66</v>
      </c>
      <c r="W329" s="109" t="s">
        <v>66</v>
      </c>
      <c r="X329" s="126" t="str">
        <f>IF(TblDetailBudget[[#This Row],[Level]]=LvlBottomHdr, IF(SUM(TblDetailBudget[[#This Row],[2021 Quant]:[2025 Quant]])&gt;0, SUM(TblDetailBudget[[#This Row],[2021 Quant]:[2025 Quant]]), ""), "")</f>
        <v/>
      </c>
      <c r="Y32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2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2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2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2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29" s="142">
        <f>SUM(TblDetailBudget[[#This Row],[2021 Cost (LCU)]:[2025 Cost (LCU)]])</f>
        <v>0</v>
      </c>
      <c r="AE329" s="135">
        <f>IFERROR(SUM(TblDetailBudget[[#This Row],[2021 Cost (LCU)]])/FX_Rate, "")</f>
        <v>0</v>
      </c>
      <c r="AF329" s="86">
        <f>IFERROR(SUM(TblDetailBudget[[#This Row],[2022 Cost (LCU)]])/FX_Rate, "")</f>
        <v>0</v>
      </c>
      <c r="AG329" s="86">
        <f>IFERROR(SUM(TblDetailBudget[[#This Row],[2023 Cost (LCU)]])/FX_Rate, "")</f>
        <v>0</v>
      </c>
      <c r="AH329" s="86">
        <f>IFERROR(SUM(TblDetailBudget[[#This Row],[2024 Cost (LCU)]])/FX_Rate, "")</f>
        <v>0</v>
      </c>
      <c r="AI329" s="86">
        <f>IFERROR(SUM(TblDetailBudget[[#This Row],[2025 Cost (LCU)]])/FX_Rate, "")</f>
        <v>0</v>
      </c>
      <c r="AJ329" s="126">
        <f>SUM(TblDetailBudget[[#This Row],[2021 Cost (USD)]:[2025 Cost (USD)]])</f>
        <v>0</v>
      </c>
      <c r="AK329" s="180"/>
    </row>
    <row r="330" spans="2:37" ht="12.75" customHeight="1">
      <c r="B330" s="123"/>
      <c r="C33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30" s="85" t="str">
        <f>IF(TblDetailBudget[[#This Row],[Level]]="", "", COUNTIFS($B$8:TblDetailBudget[[#This Row],[Level]], Lvl1Hdr))</f>
        <v/>
      </c>
      <c r="E330" s="85" t="str">
        <f>IF(TblDetailBudget[[#This Row],[Level]]="", "", COUNTIFS($B$8:TblDetailBudget[[#This Row],[Level]], Lvl2Hdr, $D$8:TblDetailBudget[[#This Row],[Lvl 1 Header]], TblDetailBudget[[#This Row],[Lvl 1 Header]]))</f>
        <v/>
      </c>
      <c r="F33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3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3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30" s="164"/>
      <c r="J330" s="164"/>
      <c r="K330" s="165"/>
      <c r="L330" s="165"/>
      <c r="M330" s="85" t="str">
        <f>IF(TblDetailBudget[[#This Row],[Level]]=LvlBottomHdr, IFERROR(INDEX(TblUnitCost[Unit], MATCH(TblDetailBudget[[#This Row],[Row Title]], TblUnitCost[Resource], 0)), "Invalid Resource"), "")</f>
        <v/>
      </c>
      <c r="N330" s="126" t="str">
        <f>IF(TblDetailBudget[[#This Row],[Level]]=LvlBottomHdr, IFERROR(INDEX(TblUnitCost[LCU], MATCH(TblDetailBudget[[#This Row],[Row Title]], TblUnitCost[Resource], 0)), "Invalid Resource"), "")</f>
        <v/>
      </c>
      <c r="O330" s="130"/>
      <c r="P330" s="109"/>
      <c r="Q330" s="186"/>
      <c r="R330" s="131"/>
      <c r="S330" s="109" t="s">
        <v>66</v>
      </c>
      <c r="T330" s="109" t="s">
        <v>66</v>
      </c>
      <c r="U330" s="109" t="s">
        <v>66</v>
      </c>
      <c r="V330" s="109" t="s">
        <v>66</v>
      </c>
      <c r="W330" s="109" t="s">
        <v>66</v>
      </c>
      <c r="X330" s="126" t="str">
        <f>IF(TblDetailBudget[[#This Row],[Level]]=LvlBottomHdr, IF(SUM(TblDetailBudget[[#This Row],[2021 Quant]:[2025 Quant]])&gt;0, SUM(TblDetailBudget[[#This Row],[2021 Quant]:[2025 Quant]]), ""), "")</f>
        <v/>
      </c>
      <c r="Y33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3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3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3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3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30" s="142">
        <f>SUM(TblDetailBudget[[#This Row],[2021 Cost (LCU)]:[2025 Cost (LCU)]])</f>
        <v>0</v>
      </c>
      <c r="AE330" s="135">
        <f>IFERROR(SUM(TblDetailBudget[[#This Row],[2021 Cost (LCU)]])/FX_Rate, "")</f>
        <v>0</v>
      </c>
      <c r="AF330" s="86">
        <f>IFERROR(SUM(TblDetailBudget[[#This Row],[2022 Cost (LCU)]])/FX_Rate, "")</f>
        <v>0</v>
      </c>
      <c r="AG330" s="86">
        <f>IFERROR(SUM(TblDetailBudget[[#This Row],[2023 Cost (LCU)]])/FX_Rate, "")</f>
        <v>0</v>
      </c>
      <c r="AH330" s="86">
        <f>IFERROR(SUM(TblDetailBudget[[#This Row],[2024 Cost (LCU)]])/FX_Rate, "")</f>
        <v>0</v>
      </c>
      <c r="AI330" s="86">
        <f>IFERROR(SUM(TblDetailBudget[[#This Row],[2025 Cost (LCU)]])/FX_Rate, "")</f>
        <v>0</v>
      </c>
      <c r="AJ330" s="126">
        <f>SUM(TblDetailBudget[[#This Row],[2021 Cost (USD)]:[2025 Cost (USD)]])</f>
        <v>0</v>
      </c>
      <c r="AK330" s="180"/>
    </row>
    <row r="331" spans="2:37" ht="12.75" customHeight="1">
      <c r="B331" s="123"/>
      <c r="C33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31" s="85" t="str">
        <f>IF(TblDetailBudget[[#This Row],[Level]]="", "", COUNTIFS($B$8:TblDetailBudget[[#This Row],[Level]], Lvl1Hdr))</f>
        <v/>
      </c>
      <c r="E331" s="85" t="str">
        <f>IF(TblDetailBudget[[#This Row],[Level]]="", "", COUNTIFS($B$8:TblDetailBudget[[#This Row],[Level]], Lvl2Hdr, $D$8:TblDetailBudget[[#This Row],[Lvl 1 Header]], TblDetailBudget[[#This Row],[Lvl 1 Header]]))</f>
        <v/>
      </c>
      <c r="F33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3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3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31" s="164"/>
      <c r="J331" s="164"/>
      <c r="K331" s="165"/>
      <c r="L331" s="165"/>
      <c r="M331" s="85" t="str">
        <f>IF(TblDetailBudget[[#This Row],[Level]]=LvlBottomHdr, IFERROR(INDEX(TblUnitCost[Unit], MATCH(TblDetailBudget[[#This Row],[Row Title]], TblUnitCost[Resource], 0)), "Invalid Resource"), "")</f>
        <v/>
      </c>
      <c r="N331" s="126" t="str">
        <f>IF(TblDetailBudget[[#This Row],[Level]]=LvlBottomHdr, IFERROR(INDEX(TblUnitCost[LCU], MATCH(TblDetailBudget[[#This Row],[Row Title]], TblUnitCost[Resource], 0)), "Invalid Resource"), "")</f>
        <v/>
      </c>
      <c r="O331" s="130"/>
      <c r="P331" s="109"/>
      <c r="Q331" s="186"/>
      <c r="R331" s="131"/>
      <c r="S331" s="109" t="s">
        <v>66</v>
      </c>
      <c r="T331" s="109" t="s">
        <v>66</v>
      </c>
      <c r="U331" s="109" t="s">
        <v>66</v>
      </c>
      <c r="V331" s="109" t="s">
        <v>66</v>
      </c>
      <c r="W331" s="109" t="s">
        <v>66</v>
      </c>
      <c r="X331" s="126" t="str">
        <f>IF(TblDetailBudget[[#This Row],[Level]]=LvlBottomHdr, IF(SUM(TblDetailBudget[[#This Row],[2021 Quant]:[2025 Quant]])&gt;0, SUM(TblDetailBudget[[#This Row],[2021 Quant]:[2025 Quant]]), ""), "")</f>
        <v/>
      </c>
      <c r="Y33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3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3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3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3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31" s="142">
        <f>SUM(TblDetailBudget[[#This Row],[2021 Cost (LCU)]:[2025 Cost (LCU)]])</f>
        <v>0</v>
      </c>
      <c r="AE331" s="135">
        <f>IFERROR(SUM(TblDetailBudget[[#This Row],[2021 Cost (LCU)]])/FX_Rate, "")</f>
        <v>0</v>
      </c>
      <c r="AF331" s="86">
        <f>IFERROR(SUM(TblDetailBudget[[#This Row],[2022 Cost (LCU)]])/FX_Rate, "")</f>
        <v>0</v>
      </c>
      <c r="AG331" s="86">
        <f>IFERROR(SUM(TblDetailBudget[[#This Row],[2023 Cost (LCU)]])/FX_Rate, "")</f>
        <v>0</v>
      </c>
      <c r="AH331" s="86">
        <f>IFERROR(SUM(TblDetailBudget[[#This Row],[2024 Cost (LCU)]])/FX_Rate, "")</f>
        <v>0</v>
      </c>
      <c r="AI331" s="86">
        <f>IFERROR(SUM(TblDetailBudget[[#This Row],[2025 Cost (LCU)]])/FX_Rate, "")</f>
        <v>0</v>
      </c>
      <c r="AJ331" s="126">
        <f>SUM(TblDetailBudget[[#This Row],[2021 Cost (USD)]:[2025 Cost (USD)]])</f>
        <v>0</v>
      </c>
      <c r="AK331" s="180"/>
    </row>
    <row r="332" spans="2:37" ht="12.75" customHeight="1">
      <c r="B332" s="123"/>
      <c r="C33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32" s="85" t="str">
        <f>IF(TblDetailBudget[[#This Row],[Level]]="", "", COUNTIFS($B$8:TblDetailBudget[[#This Row],[Level]], Lvl1Hdr))</f>
        <v/>
      </c>
      <c r="E332" s="85" t="str">
        <f>IF(TblDetailBudget[[#This Row],[Level]]="", "", COUNTIFS($B$8:TblDetailBudget[[#This Row],[Level]], Lvl2Hdr, $D$8:TblDetailBudget[[#This Row],[Lvl 1 Header]], TblDetailBudget[[#This Row],[Lvl 1 Header]]))</f>
        <v/>
      </c>
      <c r="F33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3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3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32" s="164"/>
      <c r="J332" s="164"/>
      <c r="K332" s="165"/>
      <c r="L332" s="165"/>
      <c r="M332" s="85" t="str">
        <f>IF(TblDetailBudget[[#This Row],[Level]]=LvlBottomHdr, IFERROR(INDEX(TblUnitCost[Unit], MATCH(TblDetailBudget[[#This Row],[Row Title]], TblUnitCost[Resource], 0)), "Invalid Resource"), "")</f>
        <v/>
      </c>
      <c r="N332" s="126" t="str">
        <f>IF(TblDetailBudget[[#This Row],[Level]]=LvlBottomHdr, IFERROR(INDEX(TblUnitCost[LCU], MATCH(TblDetailBudget[[#This Row],[Row Title]], TblUnitCost[Resource], 0)), "Invalid Resource"), "")</f>
        <v/>
      </c>
      <c r="O332" s="130"/>
      <c r="P332" s="109"/>
      <c r="Q332" s="186"/>
      <c r="R332" s="131"/>
      <c r="S332" s="109" t="s">
        <v>66</v>
      </c>
      <c r="T332" s="109" t="s">
        <v>66</v>
      </c>
      <c r="U332" s="109" t="s">
        <v>66</v>
      </c>
      <c r="V332" s="109" t="s">
        <v>66</v>
      </c>
      <c r="W332" s="109" t="s">
        <v>66</v>
      </c>
      <c r="X332" s="126" t="str">
        <f>IF(TblDetailBudget[[#This Row],[Level]]=LvlBottomHdr, IF(SUM(TblDetailBudget[[#This Row],[2021 Quant]:[2025 Quant]])&gt;0, SUM(TblDetailBudget[[#This Row],[2021 Quant]:[2025 Quant]]), ""), "")</f>
        <v/>
      </c>
      <c r="Y33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3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3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3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3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32" s="142">
        <f>SUM(TblDetailBudget[[#This Row],[2021 Cost (LCU)]:[2025 Cost (LCU)]])</f>
        <v>0</v>
      </c>
      <c r="AE332" s="135">
        <f>IFERROR(SUM(TblDetailBudget[[#This Row],[2021 Cost (LCU)]])/FX_Rate, "")</f>
        <v>0</v>
      </c>
      <c r="AF332" s="86">
        <f>IFERROR(SUM(TblDetailBudget[[#This Row],[2022 Cost (LCU)]])/FX_Rate, "")</f>
        <v>0</v>
      </c>
      <c r="AG332" s="86">
        <f>IFERROR(SUM(TblDetailBudget[[#This Row],[2023 Cost (LCU)]])/FX_Rate, "")</f>
        <v>0</v>
      </c>
      <c r="AH332" s="86">
        <f>IFERROR(SUM(TblDetailBudget[[#This Row],[2024 Cost (LCU)]])/FX_Rate, "")</f>
        <v>0</v>
      </c>
      <c r="AI332" s="86">
        <f>IFERROR(SUM(TblDetailBudget[[#This Row],[2025 Cost (LCU)]])/FX_Rate, "")</f>
        <v>0</v>
      </c>
      <c r="AJ332" s="126">
        <f>SUM(TblDetailBudget[[#This Row],[2021 Cost (USD)]:[2025 Cost (USD)]])</f>
        <v>0</v>
      </c>
      <c r="AK332" s="180"/>
    </row>
    <row r="333" spans="2:37" ht="12.75" customHeight="1">
      <c r="B333" s="123"/>
      <c r="C33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33" s="85" t="str">
        <f>IF(TblDetailBudget[[#This Row],[Level]]="", "", COUNTIFS($B$8:TblDetailBudget[[#This Row],[Level]], Lvl1Hdr))</f>
        <v/>
      </c>
      <c r="E333" s="85" t="str">
        <f>IF(TblDetailBudget[[#This Row],[Level]]="", "", COUNTIFS($B$8:TblDetailBudget[[#This Row],[Level]], Lvl2Hdr, $D$8:TblDetailBudget[[#This Row],[Lvl 1 Header]], TblDetailBudget[[#This Row],[Lvl 1 Header]]))</f>
        <v/>
      </c>
      <c r="F33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3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3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33" s="164"/>
      <c r="J333" s="164"/>
      <c r="K333" s="165"/>
      <c r="L333" s="165"/>
      <c r="M333" s="85" t="str">
        <f>IF(TblDetailBudget[[#This Row],[Level]]=LvlBottomHdr, IFERROR(INDEX(TblUnitCost[Unit], MATCH(TblDetailBudget[[#This Row],[Row Title]], TblUnitCost[Resource], 0)), "Invalid Resource"), "")</f>
        <v/>
      </c>
      <c r="N333" s="126" t="str">
        <f>IF(TblDetailBudget[[#This Row],[Level]]=LvlBottomHdr, IFERROR(INDEX(TblUnitCost[LCU], MATCH(TblDetailBudget[[#This Row],[Row Title]], TblUnitCost[Resource], 0)), "Invalid Resource"), "")</f>
        <v/>
      </c>
      <c r="O333" s="130"/>
      <c r="P333" s="109"/>
      <c r="Q333" s="186"/>
      <c r="R333" s="131"/>
      <c r="S333" s="109" t="s">
        <v>66</v>
      </c>
      <c r="T333" s="109" t="s">
        <v>66</v>
      </c>
      <c r="U333" s="109" t="s">
        <v>66</v>
      </c>
      <c r="V333" s="109" t="s">
        <v>66</v>
      </c>
      <c r="W333" s="109" t="s">
        <v>66</v>
      </c>
      <c r="X333" s="126" t="str">
        <f>IF(TblDetailBudget[[#This Row],[Level]]=LvlBottomHdr, IF(SUM(TblDetailBudget[[#This Row],[2021 Quant]:[2025 Quant]])&gt;0, SUM(TblDetailBudget[[#This Row],[2021 Quant]:[2025 Quant]]), ""), "")</f>
        <v/>
      </c>
      <c r="Y33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3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3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3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3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33" s="142">
        <f>SUM(TblDetailBudget[[#This Row],[2021 Cost (LCU)]:[2025 Cost (LCU)]])</f>
        <v>0</v>
      </c>
      <c r="AE333" s="135">
        <f>IFERROR(SUM(TblDetailBudget[[#This Row],[2021 Cost (LCU)]])/FX_Rate, "")</f>
        <v>0</v>
      </c>
      <c r="AF333" s="86">
        <f>IFERROR(SUM(TblDetailBudget[[#This Row],[2022 Cost (LCU)]])/FX_Rate, "")</f>
        <v>0</v>
      </c>
      <c r="AG333" s="86">
        <f>IFERROR(SUM(TblDetailBudget[[#This Row],[2023 Cost (LCU)]])/FX_Rate, "")</f>
        <v>0</v>
      </c>
      <c r="AH333" s="86">
        <f>IFERROR(SUM(TblDetailBudget[[#This Row],[2024 Cost (LCU)]])/FX_Rate, "")</f>
        <v>0</v>
      </c>
      <c r="AI333" s="86">
        <f>IFERROR(SUM(TblDetailBudget[[#This Row],[2025 Cost (LCU)]])/FX_Rate, "")</f>
        <v>0</v>
      </c>
      <c r="AJ333" s="126">
        <f>SUM(TblDetailBudget[[#This Row],[2021 Cost (USD)]:[2025 Cost (USD)]])</f>
        <v>0</v>
      </c>
      <c r="AK333" s="180"/>
    </row>
    <row r="334" spans="2:37" ht="12.75" customHeight="1">
      <c r="B334" s="123"/>
      <c r="C33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34" s="85" t="str">
        <f>IF(TblDetailBudget[[#This Row],[Level]]="", "", COUNTIFS($B$8:TblDetailBudget[[#This Row],[Level]], Lvl1Hdr))</f>
        <v/>
      </c>
      <c r="E334" s="85" t="str">
        <f>IF(TblDetailBudget[[#This Row],[Level]]="", "", COUNTIFS($B$8:TblDetailBudget[[#This Row],[Level]], Lvl2Hdr, $D$8:TblDetailBudget[[#This Row],[Lvl 1 Header]], TblDetailBudget[[#This Row],[Lvl 1 Header]]))</f>
        <v/>
      </c>
      <c r="F33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3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3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34" s="164"/>
      <c r="J334" s="164"/>
      <c r="K334" s="165"/>
      <c r="L334" s="165"/>
      <c r="M334" s="85" t="str">
        <f>IF(TblDetailBudget[[#This Row],[Level]]=LvlBottomHdr, IFERROR(INDEX(TblUnitCost[Unit], MATCH(TblDetailBudget[[#This Row],[Row Title]], TblUnitCost[Resource], 0)), "Invalid Resource"), "")</f>
        <v/>
      </c>
      <c r="N334" s="126" t="str">
        <f>IF(TblDetailBudget[[#This Row],[Level]]=LvlBottomHdr, IFERROR(INDEX(TblUnitCost[LCU], MATCH(TblDetailBudget[[#This Row],[Row Title]], TblUnitCost[Resource], 0)), "Invalid Resource"), "")</f>
        <v/>
      </c>
      <c r="O334" s="130"/>
      <c r="P334" s="109"/>
      <c r="Q334" s="186"/>
      <c r="R334" s="131"/>
      <c r="S334" s="109" t="s">
        <v>66</v>
      </c>
      <c r="T334" s="109" t="s">
        <v>66</v>
      </c>
      <c r="U334" s="109" t="s">
        <v>66</v>
      </c>
      <c r="V334" s="109" t="s">
        <v>66</v>
      </c>
      <c r="W334" s="109" t="s">
        <v>66</v>
      </c>
      <c r="X334" s="126" t="str">
        <f>IF(TblDetailBudget[[#This Row],[Level]]=LvlBottomHdr, IF(SUM(TblDetailBudget[[#This Row],[2021 Quant]:[2025 Quant]])&gt;0, SUM(TblDetailBudget[[#This Row],[2021 Quant]:[2025 Quant]]), ""), "")</f>
        <v/>
      </c>
      <c r="Y33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3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3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3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3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34" s="142">
        <f>SUM(TblDetailBudget[[#This Row],[2021 Cost (LCU)]:[2025 Cost (LCU)]])</f>
        <v>0</v>
      </c>
      <c r="AE334" s="135">
        <f>IFERROR(SUM(TblDetailBudget[[#This Row],[2021 Cost (LCU)]])/FX_Rate, "")</f>
        <v>0</v>
      </c>
      <c r="AF334" s="86">
        <f>IFERROR(SUM(TblDetailBudget[[#This Row],[2022 Cost (LCU)]])/FX_Rate, "")</f>
        <v>0</v>
      </c>
      <c r="AG334" s="86">
        <f>IFERROR(SUM(TblDetailBudget[[#This Row],[2023 Cost (LCU)]])/FX_Rate, "")</f>
        <v>0</v>
      </c>
      <c r="AH334" s="86">
        <f>IFERROR(SUM(TblDetailBudget[[#This Row],[2024 Cost (LCU)]])/FX_Rate, "")</f>
        <v>0</v>
      </c>
      <c r="AI334" s="86">
        <f>IFERROR(SUM(TblDetailBudget[[#This Row],[2025 Cost (LCU)]])/FX_Rate, "")</f>
        <v>0</v>
      </c>
      <c r="AJ334" s="126">
        <f>SUM(TblDetailBudget[[#This Row],[2021 Cost (USD)]:[2025 Cost (USD)]])</f>
        <v>0</v>
      </c>
      <c r="AK334" s="180"/>
    </row>
    <row r="335" spans="2:37" ht="12.75" customHeight="1">
      <c r="B335" s="123"/>
      <c r="C33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35" s="85" t="str">
        <f>IF(TblDetailBudget[[#This Row],[Level]]="", "", COUNTIFS($B$8:TblDetailBudget[[#This Row],[Level]], Lvl1Hdr))</f>
        <v/>
      </c>
      <c r="E335" s="85" t="str">
        <f>IF(TblDetailBudget[[#This Row],[Level]]="", "", COUNTIFS($B$8:TblDetailBudget[[#This Row],[Level]], Lvl2Hdr, $D$8:TblDetailBudget[[#This Row],[Lvl 1 Header]], TblDetailBudget[[#This Row],[Lvl 1 Header]]))</f>
        <v/>
      </c>
      <c r="F33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3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3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35" s="164"/>
      <c r="J335" s="164"/>
      <c r="K335" s="165"/>
      <c r="L335" s="165"/>
      <c r="M335" s="85" t="str">
        <f>IF(TblDetailBudget[[#This Row],[Level]]=LvlBottomHdr, IFERROR(INDEX(TblUnitCost[Unit], MATCH(TblDetailBudget[[#This Row],[Row Title]], TblUnitCost[Resource], 0)), "Invalid Resource"), "")</f>
        <v/>
      </c>
      <c r="N335" s="126" t="str">
        <f>IF(TblDetailBudget[[#This Row],[Level]]=LvlBottomHdr, IFERROR(INDEX(TblUnitCost[LCU], MATCH(TblDetailBudget[[#This Row],[Row Title]], TblUnitCost[Resource], 0)), "Invalid Resource"), "")</f>
        <v/>
      </c>
      <c r="O335" s="130"/>
      <c r="P335" s="109"/>
      <c r="Q335" s="186"/>
      <c r="R335" s="131"/>
      <c r="S335" s="109" t="s">
        <v>66</v>
      </c>
      <c r="T335" s="109" t="s">
        <v>66</v>
      </c>
      <c r="U335" s="109" t="s">
        <v>66</v>
      </c>
      <c r="V335" s="109" t="s">
        <v>66</v>
      </c>
      <c r="W335" s="109" t="s">
        <v>66</v>
      </c>
      <c r="X335" s="126" t="str">
        <f>IF(TblDetailBudget[[#This Row],[Level]]=LvlBottomHdr, IF(SUM(TblDetailBudget[[#This Row],[2021 Quant]:[2025 Quant]])&gt;0, SUM(TblDetailBudget[[#This Row],[2021 Quant]:[2025 Quant]]), ""), "")</f>
        <v/>
      </c>
      <c r="Y33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3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3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3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3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35" s="142">
        <f>SUM(TblDetailBudget[[#This Row],[2021 Cost (LCU)]:[2025 Cost (LCU)]])</f>
        <v>0</v>
      </c>
      <c r="AE335" s="135">
        <f>IFERROR(SUM(TblDetailBudget[[#This Row],[2021 Cost (LCU)]])/FX_Rate, "")</f>
        <v>0</v>
      </c>
      <c r="AF335" s="86">
        <f>IFERROR(SUM(TblDetailBudget[[#This Row],[2022 Cost (LCU)]])/FX_Rate, "")</f>
        <v>0</v>
      </c>
      <c r="AG335" s="86">
        <f>IFERROR(SUM(TblDetailBudget[[#This Row],[2023 Cost (LCU)]])/FX_Rate, "")</f>
        <v>0</v>
      </c>
      <c r="AH335" s="86">
        <f>IFERROR(SUM(TblDetailBudget[[#This Row],[2024 Cost (LCU)]])/FX_Rate, "")</f>
        <v>0</v>
      </c>
      <c r="AI335" s="86">
        <f>IFERROR(SUM(TblDetailBudget[[#This Row],[2025 Cost (LCU)]])/FX_Rate, "")</f>
        <v>0</v>
      </c>
      <c r="AJ335" s="126">
        <f>SUM(TblDetailBudget[[#This Row],[2021 Cost (USD)]:[2025 Cost (USD)]])</f>
        <v>0</v>
      </c>
      <c r="AK335" s="180"/>
    </row>
    <row r="336" spans="2:37" ht="12.75" customHeight="1">
      <c r="B336" s="123"/>
      <c r="C33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36" s="85" t="str">
        <f>IF(TblDetailBudget[[#This Row],[Level]]="", "", COUNTIFS($B$8:TblDetailBudget[[#This Row],[Level]], Lvl1Hdr))</f>
        <v/>
      </c>
      <c r="E336" s="85" t="str">
        <f>IF(TblDetailBudget[[#This Row],[Level]]="", "", COUNTIFS($B$8:TblDetailBudget[[#This Row],[Level]], Lvl2Hdr, $D$8:TblDetailBudget[[#This Row],[Lvl 1 Header]], TblDetailBudget[[#This Row],[Lvl 1 Header]]))</f>
        <v/>
      </c>
      <c r="F33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3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3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36" s="164"/>
      <c r="J336" s="164"/>
      <c r="K336" s="165"/>
      <c r="L336" s="165"/>
      <c r="M336" s="85" t="str">
        <f>IF(TblDetailBudget[[#This Row],[Level]]=LvlBottomHdr, IFERROR(INDEX(TblUnitCost[Unit], MATCH(TblDetailBudget[[#This Row],[Row Title]], TblUnitCost[Resource], 0)), "Invalid Resource"), "")</f>
        <v/>
      </c>
      <c r="N336" s="126" t="str">
        <f>IF(TblDetailBudget[[#This Row],[Level]]=LvlBottomHdr, IFERROR(INDEX(TblUnitCost[LCU], MATCH(TblDetailBudget[[#This Row],[Row Title]], TblUnitCost[Resource], 0)), "Invalid Resource"), "")</f>
        <v/>
      </c>
      <c r="O336" s="130"/>
      <c r="P336" s="109"/>
      <c r="Q336" s="186"/>
      <c r="R336" s="131"/>
      <c r="S336" s="109" t="s">
        <v>66</v>
      </c>
      <c r="T336" s="109" t="s">
        <v>66</v>
      </c>
      <c r="U336" s="109" t="s">
        <v>66</v>
      </c>
      <c r="V336" s="109" t="s">
        <v>66</v>
      </c>
      <c r="W336" s="109" t="s">
        <v>66</v>
      </c>
      <c r="X336" s="126" t="str">
        <f>IF(TblDetailBudget[[#This Row],[Level]]=LvlBottomHdr, IF(SUM(TblDetailBudget[[#This Row],[2021 Quant]:[2025 Quant]])&gt;0, SUM(TblDetailBudget[[#This Row],[2021 Quant]:[2025 Quant]]), ""), "")</f>
        <v/>
      </c>
      <c r="Y33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3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3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3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3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36" s="142">
        <f>SUM(TblDetailBudget[[#This Row],[2021 Cost (LCU)]:[2025 Cost (LCU)]])</f>
        <v>0</v>
      </c>
      <c r="AE336" s="135">
        <f>IFERROR(SUM(TblDetailBudget[[#This Row],[2021 Cost (LCU)]])/FX_Rate, "")</f>
        <v>0</v>
      </c>
      <c r="AF336" s="86">
        <f>IFERROR(SUM(TblDetailBudget[[#This Row],[2022 Cost (LCU)]])/FX_Rate, "")</f>
        <v>0</v>
      </c>
      <c r="AG336" s="86">
        <f>IFERROR(SUM(TblDetailBudget[[#This Row],[2023 Cost (LCU)]])/FX_Rate, "")</f>
        <v>0</v>
      </c>
      <c r="AH336" s="86">
        <f>IFERROR(SUM(TblDetailBudget[[#This Row],[2024 Cost (LCU)]])/FX_Rate, "")</f>
        <v>0</v>
      </c>
      <c r="AI336" s="86">
        <f>IFERROR(SUM(TblDetailBudget[[#This Row],[2025 Cost (LCU)]])/FX_Rate, "")</f>
        <v>0</v>
      </c>
      <c r="AJ336" s="126">
        <f>SUM(TblDetailBudget[[#This Row],[2021 Cost (USD)]:[2025 Cost (USD)]])</f>
        <v>0</v>
      </c>
      <c r="AK336" s="180"/>
    </row>
    <row r="337" spans="2:37" ht="12.75" customHeight="1">
      <c r="B337" s="123"/>
      <c r="C33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37" s="85" t="str">
        <f>IF(TblDetailBudget[[#This Row],[Level]]="", "", COUNTIFS($B$8:TblDetailBudget[[#This Row],[Level]], Lvl1Hdr))</f>
        <v/>
      </c>
      <c r="E337" s="85" t="str">
        <f>IF(TblDetailBudget[[#This Row],[Level]]="", "", COUNTIFS($B$8:TblDetailBudget[[#This Row],[Level]], Lvl2Hdr, $D$8:TblDetailBudget[[#This Row],[Lvl 1 Header]], TblDetailBudget[[#This Row],[Lvl 1 Header]]))</f>
        <v/>
      </c>
      <c r="F33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3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3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37" s="164"/>
      <c r="J337" s="164"/>
      <c r="K337" s="165"/>
      <c r="L337" s="165"/>
      <c r="M337" s="85" t="str">
        <f>IF(TblDetailBudget[[#This Row],[Level]]=LvlBottomHdr, IFERROR(INDEX(TblUnitCost[Unit], MATCH(TblDetailBudget[[#This Row],[Row Title]], TblUnitCost[Resource], 0)), "Invalid Resource"), "")</f>
        <v/>
      </c>
      <c r="N337" s="126" t="str">
        <f>IF(TblDetailBudget[[#This Row],[Level]]=LvlBottomHdr, IFERROR(INDEX(TblUnitCost[LCU], MATCH(TblDetailBudget[[#This Row],[Row Title]], TblUnitCost[Resource], 0)), "Invalid Resource"), "")</f>
        <v/>
      </c>
      <c r="O337" s="130"/>
      <c r="P337" s="109"/>
      <c r="Q337" s="186"/>
      <c r="R337" s="131"/>
      <c r="S337" s="109" t="s">
        <v>66</v>
      </c>
      <c r="T337" s="109" t="s">
        <v>66</v>
      </c>
      <c r="U337" s="109" t="s">
        <v>66</v>
      </c>
      <c r="V337" s="109" t="s">
        <v>66</v>
      </c>
      <c r="W337" s="109" t="s">
        <v>66</v>
      </c>
      <c r="X337" s="126" t="str">
        <f>IF(TblDetailBudget[[#This Row],[Level]]=LvlBottomHdr, IF(SUM(TblDetailBudget[[#This Row],[2021 Quant]:[2025 Quant]])&gt;0, SUM(TblDetailBudget[[#This Row],[2021 Quant]:[2025 Quant]]), ""), "")</f>
        <v/>
      </c>
      <c r="Y33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3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3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3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3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37" s="142">
        <f>SUM(TblDetailBudget[[#This Row],[2021 Cost (LCU)]:[2025 Cost (LCU)]])</f>
        <v>0</v>
      </c>
      <c r="AE337" s="135">
        <f>IFERROR(SUM(TblDetailBudget[[#This Row],[2021 Cost (LCU)]])/FX_Rate, "")</f>
        <v>0</v>
      </c>
      <c r="AF337" s="86">
        <f>IFERROR(SUM(TblDetailBudget[[#This Row],[2022 Cost (LCU)]])/FX_Rate, "")</f>
        <v>0</v>
      </c>
      <c r="AG337" s="86">
        <f>IFERROR(SUM(TblDetailBudget[[#This Row],[2023 Cost (LCU)]])/FX_Rate, "")</f>
        <v>0</v>
      </c>
      <c r="AH337" s="86">
        <f>IFERROR(SUM(TblDetailBudget[[#This Row],[2024 Cost (LCU)]])/FX_Rate, "")</f>
        <v>0</v>
      </c>
      <c r="AI337" s="86">
        <f>IFERROR(SUM(TblDetailBudget[[#This Row],[2025 Cost (LCU)]])/FX_Rate, "")</f>
        <v>0</v>
      </c>
      <c r="AJ337" s="126">
        <f>SUM(TblDetailBudget[[#This Row],[2021 Cost (USD)]:[2025 Cost (USD)]])</f>
        <v>0</v>
      </c>
      <c r="AK337" s="180"/>
    </row>
    <row r="338" spans="2:37" ht="12.75" customHeight="1">
      <c r="B338" s="123"/>
      <c r="C33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38" s="85" t="str">
        <f>IF(TblDetailBudget[[#This Row],[Level]]="", "", COUNTIFS($B$8:TblDetailBudget[[#This Row],[Level]], Lvl1Hdr))</f>
        <v/>
      </c>
      <c r="E338" s="85" t="str">
        <f>IF(TblDetailBudget[[#This Row],[Level]]="", "", COUNTIFS($B$8:TblDetailBudget[[#This Row],[Level]], Lvl2Hdr, $D$8:TblDetailBudget[[#This Row],[Lvl 1 Header]], TblDetailBudget[[#This Row],[Lvl 1 Header]]))</f>
        <v/>
      </c>
      <c r="F33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3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3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38" s="164"/>
      <c r="J338" s="164"/>
      <c r="K338" s="165"/>
      <c r="L338" s="165"/>
      <c r="M338" s="85" t="str">
        <f>IF(TblDetailBudget[[#This Row],[Level]]=LvlBottomHdr, IFERROR(INDEX(TblUnitCost[Unit], MATCH(TblDetailBudget[[#This Row],[Row Title]], TblUnitCost[Resource], 0)), "Invalid Resource"), "")</f>
        <v/>
      </c>
      <c r="N338" s="126" t="str">
        <f>IF(TblDetailBudget[[#This Row],[Level]]=LvlBottomHdr, IFERROR(INDEX(TblUnitCost[LCU], MATCH(TblDetailBudget[[#This Row],[Row Title]], TblUnitCost[Resource], 0)), "Invalid Resource"), "")</f>
        <v/>
      </c>
      <c r="O338" s="130"/>
      <c r="P338" s="109"/>
      <c r="Q338" s="186"/>
      <c r="R338" s="131"/>
      <c r="S338" s="109" t="s">
        <v>66</v>
      </c>
      <c r="T338" s="109" t="s">
        <v>66</v>
      </c>
      <c r="U338" s="109" t="s">
        <v>66</v>
      </c>
      <c r="V338" s="109" t="s">
        <v>66</v>
      </c>
      <c r="W338" s="109" t="s">
        <v>66</v>
      </c>
      <c r="X338" s="126" t="str">
        <f>IF(TblDetailBudget[[#This Row],[Level]]=LvlBottomHdr, IF(SUM(TblDetailBudget[[#This Row],[2021 Quant]:[2025 Quant]])&gt;0, SUM(TblDetailBudget[[#This Row],[2021 Quant]:[2025 Quant]]), ""), "")</f>
        <v/>
      </c>
      <c r="Y33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3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3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3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3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38" s="142">
        <f>SUM(TblDetailBudget[[#This Row],[2021 Cost (LCU)]:[2025 Cost (LCU)]])</f>
        <v>0</v>
      </c>
      <c r="AE338" s="135">
        <f>IFERROR(SUM(TblDetailBudget[[#This Row],[2021 Cost (LCU)]])/FX_Rate, "")</f>
        <v>0</v>
      </c>
      <c r="AF338" s="86">
        <f>IFERROR(SUM(TblDetailBudget[[#This Row],[2022 Cost (LCU)]])/FX_Rate, "")</f>
        <v>0</v>
      </c>
      <c r="AG338" s="86">
        <f>IFERROR(SUM(TblDetailBudget[[#This Row],[2023 Cost (LCU)]])/FX_Rate, "")</f>
        <v>0</v>
      </c>
      <c r="AH338" s="86">
        <f>IFERROR(SUM(TblDetailBudget[[#This Row],[2024 Cost (LCU)]])/FX_Rate, "")</f>
        <v>0</v>
      </c>
      <c r="AI338" s="86">
        <f>IFERROR(SUM(TblDetailBudget[[#This Row],[2025 Cost (LCU)]])/FX_Rate, "")</f>
        <v>0</v>
      </c>
      <c r="AJ338" s="126">
        <f>SUM(TblDetailBudget[[#This Row],[2021 Cost (USD)]:[2025 Cost (USD)]])</f>
        <v>0</v>
      </c>
      <c r="AK338" s="180"/>
    </row>
    <row r="339" spans="2:37" ht="12.75" customHeight="1">
      <c r="B339" s="123"/>
      <c r="C33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39" s="85" t="str">
        <f>IF(TblDetailBudget[[#This Row],[Level]]="", "", COUNTIFS($B$8:TblDetailBudget[[#This Row],[Level]], Lvl1Hdr))</f>
        <v/>
      </c>
      <c r="E339" s="85" t="str">
        <f>IF(TblDetailBudget[[#This Row],[Level]]="", "", COUNTIFS($B$8:TblDetailBudget[[#This Row],[Level]], Lvl2Hdr, $D$8:TblDetailBudget[[#This Row],[Lvl 1 Header]], TblDetailBudget[[#This Row],[Lvl 1 Header]]))</f>
        <v/>
      </c>
      <c r="F33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3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3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39" s="164"/>
      <c r="J339" s="164"/>
      <c r="K339" s="165"/>
      <c r="L339" s="165"/>
      <c r="M339" s="85" t="str">
        <f>IF(TblDetailBudget[[#This Row],[Level]]=LvlBottomHdr, IFERROR(INDEX(TblUnitCost[Unit], MATCH(TblDetailBudget[[#This Row],[Row Title]], TblUnitCost[Resource], 0)), "Invalid Resource"), "")</f>
        <v/>
      </c>
      <c r="N339" s="126" t="str">
        <f>IF(TblDetailBudget[[#This Row],[Level]]=LvlBottomHdr, IFERROR(INDEX(TblUnitCost[LCU], MATCH(TblDetailBudget[[#This Row],[Row Title]], TblUnitCost[Resource], 0)), "Invalid Resource"), "")</f>
        <v/>
      </c>
      <c r="O339" s="130"/>
      <c r="P339" s="109"/>
      <c r="Q339" s="186"/>
      <c r="R339" s="131"/>
      <c r="S339" s="109" t="s">
        <v>66</v>
      </c>
      <c r="T339" s="109" t="s">
        <v>66</v>
      </c>
      <c r="U339" s="109" t="s">
        <v>66</v>
      </c>
      <c r="V339" s="109" t="s">
        <v>66</v>
      </c>
      <c r="W339" s="109" t="s">
        <v>66</v>
      </c>
      <c r="X339" s="126" t="str">
        <f>IF(TblDetailBudget[[#This Row],[Level]]=LvlBottomHdr, IF(SUM(TblDetailBudget[[#This Row],[2021 Quant]:[2025 Quant]])&gt;0, SUM(TblDetailBudget[[#This Row],[2021 Quant]:[2025 Quant]]), ""), "")</f>
        <v/>
      </c>
      <c r="Y33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3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3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3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3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39" s="142">
        <f>SUM(TblDetailBudget[[#This Row],[2021 Cost (LCU)]:[2025 Cost (LCU)]])</f>
        <v>0</v>
      </c>
      <c r="AE339" s="135">
        <f>IFERROR(SUM(TblDetailBudget[[#This Row],[2021 Cost (LCU)]])/FX_Rate, "")</f>
        <v>0</v>
      </c>
      <c r="AF339" s="86">
        <f>IFERROR(SUM(TblDetailBudget[[#This Row],[2022 Cost (LCU)]])/FX_Rate, "")</f>
        <v>0</v>
      </c>
      <c r="AG339" s="86">
        <f>IFERROR(SUM(TblDetailBudget[[#This Row],[2023 Cost (LCU)]])/FX_Rate, "")</f>
        <v>0</v>
      </c>
      <c r="AH339" s="86">
        <f>IFERROR(SUM(TblDetailBudget[[#This Row],[2024 Cost (LCU)]])/FX_Rate, "")</f>
        <v>0</v>
      </c>
      <c r="AI339" s="86">
        <f>IFERROR(SUM(TblDetailBudget[[#This Row],[2025 Cost (LCU)]])/FX_Rate, "")</f>
        <v>0</v>
      </c>
      <c r="AJ339" s="126">
        <f>SUM(TblDetailBudget[[#This Row],[2021 Cost (USD)]:[2025 Cost (USD)]])</f>
        <v>0</v>
      </c>
      <c r="AK339" s="180"/>
    </row>
    <row r="340" spans="2:37" ht="12.75" customHeight="1">
      <c r="B340" s="123"/>
      <c r="C34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40" s="85" t="str">
        <f>IF(TblDetailBudget[[#This Row],[Level]]="", "", COUNTIFS($B$8:TblDetailBudget[[#This Row],[Level]], Lvl1Hdr))</f>
        <v/>
      </c>
      <c r="E340" s="85" t="str">
        <f>IF(TblDetailBudget[[#This Row],[Level]]="", "", COUNTIFS($B$8:TblDetailBudget[[#This Row],[Level]], Lvl2Hdr, $D$8:TblDetailBudget[[#This Row],[Lvl 1 Header]], TblDetailBudget[[#This Row],[Lvl 1 Header]]))</f>
        <v/>
      </c>
      <c r="F34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4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4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40" s="164"/>
      <c r="J340" s="164"/>
      <c r="K340" s="165"/>
      <c r="L340" s="165"/>
      <c r="M340" s="85" t="str">
        <f>IF(TblDetailBudget[[#This Row],[Level]]=LvlBottomHdr, IFERROR(INDEX(TblUnitCost[Unit], MATCH(TblDetailBudget[[#This Row],[Row Title]], TblUnitCost[Resource], 0)), "Invalid Resource"), "")</f>
        <v/>
      </c>
      <c r="N340" s="126" t="str">
        <f>IF(TblDetailBudget[[#This Row],[Level]]=LvlBottomHdr, IFERROR(INDEX(TblUnitCost[LCU], MATCH(TblDetailBudget[[#This Row],[Row Title]], TblUnitCost[Resource], 0)), "Invalid Resource"), "")</f>
        <v/>
      </c>
      <c r="O340" s="130"/>
      <c r="P340" s="109"/>
      <c r="Q340" s="186"/>
      <c r="R340" s="131"/>
      <c r="S340" s="109" t="s">
        <v>66</v>
      </c>
      <c r="T340" s="109" t="s">
        <v>66</v>
      </c>
      <c r="U340" s="109" t="s">
        <v>66</v>
      </c>
      <c r="V340" s="109" t="s">
        <v>66</v>
      </c>
      <c r="W340" s="109" t="s">
        <v>66</v>
      </c>
      <c r="X340" s="126" t="str">
        <f>IF(TblDetailBudget[[#This Row],[Level]]=LvlBottomHdr, IF(SUM(TblDetailBudget[[#This Row],[2021 Quant]:[2025 Quant]])&gt;0, SUM(TblDetailBudget[[#This Row],[2021 Quant]:[2025 Quant]]), ""), "")</f>
        <v/>
      </c>
      <c r="Y34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4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4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4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4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40" s="142">
        <f>SUM(TblDetailBudget[[#This Row],[2021 Cost (LCU)]:[2025 Cost (LCU)]])</f>
        <v>0</v>
      </c>
      <c r="AE340" s="135">
        <f>IFERROR(SUM(TblDetailBudget[[#This Row],[2021 Cost (LCU)]])/FX_Rate, "")</f>
        <v>0</v>
      </c>
      <c r="AF340" s="86">
        <f>IFERROR(SUM(TblDetailBudget[[#This Row],[2022 Cost (LCU)]])/FX_Rate, "")</f>
        <v>0</v>
      </c>
      <c r="AG340" s="86">
        <f>IFERROR(SUM(TblDetailBudget[[#This Row],[2023 Cost (LCU)]])/FX_Rate, "")</f>
        <v>0</v>
      </c>
      <c r="AH340" s="86">
        <f>IFERROR(SUM(TblDetailBudget[[#This Row],[2024 Cost (LCU)]])/FX_Rate, "")</f>
        <v>0</v>
      </c>
      <c r="AI340" s="86">
        <f>IFERROR(SUM(TblDetailBudget[[#This Row],[2025 Cost (LCU)]])/FX_Rate, "")</f>
        <v>0</v>
      </c>
      <c r="AJ340" s="126">
        <f>SUM(TblDetailBudget[[#This Row],[2021 Cost (USD)]:[2025 Cost (USD)]])</f>
        <v>0</v>
      </c>
      <c r="AK340" s="180"/>
    </row>
    <row r="341" spans="2:37" ht="12.75" customHeight="1">
      <c r="B341" s="123"/>
      <c r="C34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41" s="85" t="str">
        <f>IF(TblDetailBudget[[#This Row],[Level]]="", "", COUNTIFS($B$8:TblDetailBudget[[#This Row],[Level]], Lvl1Hdr))</f>
        <v/>
      </c>
      <c r="E341" s="85" t="str">
        <f>IF(TblDetailBudget[[#This Row],[Level]]="", "", COUNTIFS($B$8:TblDetailBudget[[#This Row],[Level]], Lvl2Hdr, $D$8:TblDetailBudget[[#This Row],[Lvl 1 Header]], TblDetailBudget[[#This Row],[Lvl 1 Header]]))</f>
        <v/>
      </c>
      <c r="F34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4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4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41" s="164"/>
      <c r="J341" s="164"/>
      <c r="K341" s="165"/>
      <c r="L341" s="165"/>
      <c r="M341" s="85" t="str">
        <f>IF(TblDetailBudget[[#This Row],[Level]]=LvlBottomHdr, IFERROR(INDEX(TblUnitCost[Unit], MATCH(TblDetailBudget[[#This Row],[Row Title]], TblUnitCost[Resource], 0)), "Invalid Resource"), "")</f>
        <v/>
      </c>
      <c r="N341" s="126" t="str">
        <f>IF(TblDetailBudget[[#This Row],[Level]]=LvlBottomHdr, IFERROR(INDEX(TblUnitCost[LCU], MATCH(TblDetailBudget[[#This Row],[Row Title]], TblUnitCost[Resource], 0)), "Invalid Resource"), "")</f>
        <v/>
      </c>
      <c r="O341" s="130"/>
      <c r="P341" s="109"/>
      <c r="Q341" s="186"/>
      <c r="R341" s="131"/>
      <c r="S341" s="109" t="s">
        <v>66</v>
      </c>
      <c r="T341" s="109" t="s">
        <v>66</v>
      </c>
      <c r="U341" s="109" t="s">
        <v>66</v>
      </c>
      <c r="V341" s="109" t="s">
        <v>66</v>
      </c>
      <c r="W341" s="109" t="s">
        <v>66</v>
      </c>
      <c r="X341" s="126" t="str">
        <f>IF(TblDetailBudget[[#This Row],[Level]]=LvlBottomHdr, IF(SUM(TblDetailBudget[[#This Row],[2021 Quant]:[2025 Quant]])&gt;0, SUM(TblDetailBudget[[#This Row],[2021 Quant]:[2025 Quant]]), ""), "")</f>
        <v/>
      </c>
      <c r="Y34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4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4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4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4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41" s="142">
        <f>SUM(TblDetailBudget[[#This Row],[2021 Cost (LCU)]:[2025 Cost (LCU)]])</f>
        <v>0</v>
      </c>
      <c r="AE341" s="135">
        <f>IFERROR(SUM(TblDetailBudget[[#This Row],[2021 Cost (LCU)]])/FX_Rate, "")</f>
        <v>0</v>
      </c>
      <c r="AF341" s="86">
        <f>IFERROR(SUM(TblDetailBudget[[#This Row],[2022 Cost (LCU)]])/FX_Rate, "")</f>
        <v>0</v>
      </c>
      <c r="AG341" s="86">
        <f>IFERROR(SUM(TblDetailBudget[[#This Row],[2023 Cost (LCU)]])/FX_Rate, "")</f>
        <v>0</v>
      </c>
      <c r="AH341" s="86">
        <f>IFERROR(SUM(TblDetailBudget[[#This Row],[2024 Cost (LCU)]])/FX_Rate, "")</f>
        <v>0</v>
      </c>
      <c r="AI341" s="86">
        <f>IFERROR(SUM(TblDetailBudget[[#This Row],[2025 Cost (LCU)]])/FX_Rate, "")</f>
        <v>0</v>
      </c>
      <c r="AJ341" s="126">
        <f>SUM(TblDetailBudget[[#This Row],[2021 Cost (USD)]:[2025 Cost (USD)]])</f>
        <v>0</v>
      </c>
      <c r="AK341" s="180"/>
    </row>
    <row r="342" spans="2:37" ht="12.75" customHeight="1">
      <c r="B342" s="123"/>
      <c r="C34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42" s="85" t="str">
        <f>IF(TblDetailBudget[[#This Row],[Level]]="", "", COUNTIFS($B$8:TblDetailBudget[[#This Row],[Level]], Lvl1Hdr))</f>
        <v/>
      </c>
      <c r="E342" s="85" t="str">
        <f>IF(TblDetailBudget[[#This Row],[Level]]="", "", COUNTIFS($B$8:TblDetailBudget[[#This Row],[Level]], Lvl2Hdr, $D$8:TblDetailBudget[[#This Row],[Lvl 1 Header]], TblDetailBudget[[#This Row],[Lvl 1 Header]]))</f>
        <v/>
      </c>
      <c r="F34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4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4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42" s="164"/>
      <c r="J342" s="164"/>
      <c r="K342" s="165"/>
      <c r="L342" s="165"/>
      <c r="M342" s="85" t="str">
        <f>IF(TblDetailBudget[[#This Row],[Level]]=LvlBottomHdr, IFERROR(INDEX(TblUnitCost[Unit], MATCH(TblDetailBudget[[#This Row],[Row Title]], TblUnitCost[Resource], 0)), "Invalid Resource"), "")</f>
        <v/>
      </c>
      <c r="N342" s="126" t="str">
        <f>IF(TblDetailBudget[[#This Row],[Level]]=LvlBottomHdr, IFERROR(INDEX(TblUnitCost[LCU], MATCH(TblDetailBudget[[#This Row],[Row Title]], TblUnitCost[Resource], 0)), "Invalid Resource"), "")</f>
        <v/>
      </c>
      <c r="O342" s="130"/>
      <c r="P342" s="109"/>
      <c r="Q342" s="186"/>
      <c r="R342" s="131"/>
      <c r="S342" s="109" t="s">
        <v>66</v>
      </c>
      <c r="T342" s="109" t="s">
        <v>66</v>
      </c>
      <c r="U342" s="109" t="s">
        <v>66</v>
      </c>
      <c r="V342" s="109" t="s">
        <v>66</v>
      </c>
      <c r="W342" s="109" t="s">
        <v>66</v>
      </c>
      <c r="X342" s="126" t="str">
        <f>IF(TblDetailBudget[[#This Row],[Level]]=LvlBottomHdr, IF(SUM(TblDetailBudget[[#This Row],[2021 Quant]:[2025 Quant]])&gt;0, SUM(TblDetailBudget[[#This Row],[2021 Quant]:[2025 Quant]]), ""), "")</f>
        <v/>
      </c>
      <c r="Y34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4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4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4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4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42" s="142">
        <f>SUM(TblDetailBudget[[#This Row],[2021 Cost (LCU)]:[2025 Cost (LCU)]])</f>
        <v>0</v>
      </c>
      <c r="AE342" s="135">
        <f>IFERROR(SUM(TblDetailBudget[[#This Row],[2021 Cost (LCU)]])/FX_Rate, "")</f>
        <v>0</v>
      </c>
      <c r="AF342" s="86">
        <f>IFERROR(SUM(TblDetailBudget[[#This Row],[2022 Cost (LCU)]])/FX_Rate, "")</f>
        <v>0</v>
      </c>
      <c r="AG342" s="86">
        <f>IFERROR(SUM(TblDetailBudget[[#This Row],[2023 Cost (LCU)]])/FX_Rate, "")</f>
        <v>0</v>
      </c>
      <c r="AH342" s="86">
        <f>IFERROR(SUM(TblDetailBudget[[#This Row],[2024 Cost (LCU)]])/FX_Rate, "")</f>
        <v>0</v>
      </c>
      <c r="AI342" s="86">
        <f>IFERROR(SUM(TblDetailBudget[[#This Row],[2025 Cost (LCU)]])/FX_Rate, "")</f>
        <v>0</v>
      </c>
      <c r="AJ342" s="126">
        <f>SUM(TblDetailBudget[[#This Row],[2021 Cost (USD)]:[2025 Cost (USD)]])</f>
        <v>0</v>
      </c>
      <c r="AK342" s="180"/>
    </row>
    <row r="343" spans="2:37" ht="12.75" customHeight="1">
      <c r="B343" s="123"/>
      <c r="C34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43" s="85" t="str">
        <f>IF(TblDetailBudget[[#This Row],[Level]]="", "", COUNTIFS($B$8:TblDetailBudget[[#This Row],[Level]], Lvl1Hdr))</f>
        <v/>
      </c>
      <c r="E343" s="85" t="str">
        <f>IF(TblDetailBudget[[#This Row],[Level]]="", "", COUNTIFS($B$8:TblDetailBudget[[#This Row],[Level]], Lvl2Hdr, $D$8:TblDetailBudget[[#This Row],[Lvl 1 Header]], TblDetailBudget[[#This Row],[Lvl 1 Header]]))</f>
        <v/>
      </c>
      <c r="F34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4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4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43" s="164"/>
      <c r="J343" s="164"/>
      <c r="K343" s="165"/>
      <c r="L343" s="165"/>
      <c r="M343" s="85" t="str">
        <f>IF(TblDetailBudget[[#This Row],[Level]]=LvlBottomHdr, IFERROR(INDEX(TblUnitCost[Unit], MATCH(TblDetailBudget[[#This Row],[Row Title]], TblUnitCost[Resource], 0)), "Invalid Resource"), "")</f>
        <v/>
      </c>
      <c r="N343" s="126" t="str">
        <f>IF(TblDetailBudget[[#This Row],[Level]]=LvlBottomHdr, IFERROR(INDEX(TblUnitCost[LCU], MATCH(TblDetailBudget[[#This Row],[Row Title]], TblUnitCost[Resource], 0)), "Invalid Resource"), "")</f>
        <v/>
      </c>
      <c r="O343" s="130"/>
      <c r="P343" s="109"/>
      <c r="Q343" s="186"/>
      <c r="R343" s="131"/>
      <c r="S343" s="109" t="s">
        <v>66</v>
      </c>
      <c r="T343" s="109" t="s">
        <v>66</v>
      </c>
      <c r="U343" s="109" t="s">
        <v>66</v>
      </c>
      <c r="V343" s="109" t="s">
        <v>66</v>
      </c>
      <c r="W343" s="109" t="s">
        <v>66</v>
      </c>
      <c r="X343" s="126" t="str">
        <f>IF(TblDetailBudget[[#This Row],[Level]]=LvlBottomHdr, IF(SUM(TblDetailBudget[[#This Row],[2021 Quant]:[2025 Quant]])&gt;0, SUM(TblDetailBudget[[#This Row],[2021 Quant]:[2025 Quant]]), ""), "")</f>
        <v/>
      </c>
      <c r="Y34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4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4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4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4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43" s="142">
        <f>SUM(TblDetailBudget[[#This Row],[2021 Cost (LCU)]:[2025 Cost (LCU)]])</f>
        <v>0</v>
      </c>
      <c r="AE343" s="135">
        <f>IFERROR(SUM(TblDetailBudget[[#This Row],[2021 Cost (LCU)]])/FX_Rate, "")</f>
        <v>0</v>
      </c>
      <c r="AF343" s="86">
        <f>IFERROR(SUM(TblDetailBudget[[#This Row],[2022 Cost (LCU)]])/FX_Rate, "")</f>
        <v>0</v>
      </c>
      <c r="AG343" s="86">
        <f>IFERROR(SUM(TblDetailBudget[[#This Row],[2023 Cost (LCU)]])/FX_Rate, "")</f>
        <v>0</v>
      </c>
      <c r="AH343" s="86">
        <f>IFERROR(SUM(TblDetailBudget[[#This Row],[2024 Cost (LCU)]])/FX_Rate, "")</f>
        <v>0</v>
      </c>
      <c r="AI343" s="86">
        <f>IFERROR(SUM(TblDetailBudget[[#This Row],[2025 Cost (LCU)]])/FX_Rate, "")</f>
        <v>0</v>
      </c>
      <c r="AJ343" s="126">
        <f>SUM(TblDetailBudget[[#This Row],[2021 Cost (USD)]:[2025 Cost (USD)]])</f>
        <v>0</v>
      </c>
      <c r="AK343" s="180"/>
    </row>
    <row r="344" spans="2:37" ht="12.75" customHeight="1">
      <c r="B344" s="123"/>
      <c r="C34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44" s="85" t="str">
        <f>IF(TblDetailBudget[[#This Row],[Level]]="", "", COUNTIFS($B$8:TblDetailBudget[[#This Row],[Level]], Lvl1Hdr))</f>
        <v/>
      </c>
      <c r="E344" s="85" t="str">
        <f>IF(TblDetailBudget[[#This Row],[Level]]="", "", COUNTIFS($B$8:TblDetailBudget[[#This Row],[Level]], Lvl2Hdr, $D$8:TblDetailBudget[[#This Row],[Lvl 1 Header]], TblDetailBudget[[#This Row],[Lvl 1 Header]]))</f>
        <v/>
      </c>
      <c r="F34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4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4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44" s="164"/>
      <c r="J344" s="164"/>
      <c r="K344" s="165"/>
      <c r="L344" s="165"/>
      <c r="M344" s="85" t="str">
        <f>IF(TblDetailBudget[[#This Row],[Level]]=LvlBottomHdr, IFERROR(INDEX(TblUnitCost[Unit], MATCH(TblDetailBudget[[#This Row],[Row Title]], TblUnitCost[Resource], 0)), "Invalid Resource"), "")</f>
        <v/>
      </c>
      <c r="N344" s="126" t="str">
        <f>IF(TblDetailBudget[[#This Row],[Level]]=LvlBottomHdr, IFERROR(INDEX(TblUnitCost[LCU], MATCH(TblDetailBudget[[#This Row],[Row Title]], TblUnitCost[Resource], 0)), "Invalid Resource"), "")</f>
        <v/>
      </c>
      <c r="O344" s="130"/>
      <c r="P344" s="109"/>
      <c r="Q344" s="186"/>
      <c r="R344" s="131"/>
      <c r="S344" s="109" t="s">
        <v>66</v>
      </c>
      <c r="T344" s="109" t="s">
        <v>66</v>
      </c>
      <c r="U344" s="109" t="s">
        <v>66</v>
      </c>
      <c r="V344" s="109" t="s">
        <v>66</v>
      </c>
      <c r="W344" s="109" t="s">
        <v>66</v>
      </c>
      <c r="X344" s="126" t="str">
        <f>IF(TblDetailBudget[[#This Row],[Level]]=LvlBottomHdr, IF(SUM(TblDetailBudget[[#This Row],[2021 Quant]:[2025 Quant]])&gt;0, SUM(TblDetailBudget[[#This Row],[2021 Quant]:[2025 Quant]]), ""), "")</f>
        <v/>
      </c>
      <c r="Y34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4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4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4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4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44" s="142">
        <f>SUM(TblDetailBudget[[#This Row],[2021 Cost (LCU)]:[2025 Cost (LCU)]])</f>
        <v>0</v>
      </c>
      <c r="AE344" s="135">
        <f>IFERROR(SUM(TblDetailBudget[[#This Row],[2021 Cost (LCU)]])/FX_Rate, "")</f>
        <v>0</v>
      </c>
      <c r="AF344" s="86">
        <f>IFERROR(SUM(TblDetailBudget[[#This Row],[2022 Cost (LCU)]])/FX_Rate, "")</f>
        <v>0</v>
      </c>
      <c r="AG344" s="86">
        <f>IFERROR(SUM(TblDetailBudget[[#This Row],[2023 Cost (LCU)]])/FX_Rate, "")</f>
        <v>0</v>
      </c>
      <c r="AH344" s="86">
        <f>IFERROR(SUM(TblDetailBudget[[#This Row],[2024 Cost (LCU)]])/FX_Rate, "")</f>
        <v>0</v>
      </c>
      <c r="AI344" s="86">
        <f>IFERROR(SUM(TblDetailBudget[[#This Row],[2025 Cost (LCU)]])/FX_Rate, "")</f>
        <v>0</v>
      </c>
      <c r="AJ344" s="126">
        <f>SUM(TblDetailBudget[[#This Row],[2021 Cost (USD)]:[2025 Cost (USD)]])</f>
        <v>0</v>
      </c>
      <c r="AK344" s="180"/>
    </row>
    <row r="345" spans="2:37" ht="12.75" customHeight="1">
      <c r="B345" s="123"/>
      <c r="C34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45" s="85" t="str">
        <f>IF(TblDetailBudget[[#This Row],[Level]]="", "", COUNTIFS($B$8:TblDetailBudget[[#This Row],[Level]], Lvl1Hdr))</f>
        <v/>
      </c>
      <c r="E345" s="85" t="str">
        <f>IF(TblDetailBudget[[#This Row],[Level]]="", "", COUNTIFS($B$8:TblDetailBudget[[#This Row],[Level]], Lvl2Hdr, $D$8:TblDetailBudget[[#This Row],[Lvl 1 Header]], TblDetailBudget[[#This Row],[Lvl 1 Header]]))</f>
        <v/>
      </c>
      <c r="F34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4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4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45" s="164"/>
      <c r="J345" s="164"/>
      <c r="K345" s="165"/>
      <c r="L345" s="165"/>
      <c r="M345" s="85" t="str">
        <f>IF(TblDetailBudget[[#This Row],[Level]]=LvlBottomHdr, IFERROR(INDEX(TblUnitCost[Unit], MATCH(TblDetailBudget[[#This Row],[Row Title]], TblUnitCost[Resource], 0)), "Invalid Resource"), "")</f>
        <v/>
      </c>
      <c r="N345" s="126" t="str">
        <f>IF(TblDetailBudget[[#This Row],[Level]]=LvlBottomHdr, IFERROR(INDEX(TblUnitCost[LCU], MATCH(TblDetailBudget[[#This Row],[Row Title]], TblUnitCost[Resource], 0)), "Invalid Resource"), "")</f>
        <v/>
      </c>
      <c r="O345" s="130"/>
      <c r="P345" s="109"/>
      <c r="Q345" s="186"/>
      <c r="R345" s="131"/>
      <c r="S345" s="109" t="s">
        <v>66</v>
      </c>
      <c r="T345" s="109" t="s">
        <v>66</v>
      </c>
      <c r="U345" s="109" t="s">
        <v>66</v>
      </c>
      <c r="V345" s="109" t="s">
        <v>66</v>
      </c>
      <c r="W345" s="109" t="s">
        <v>66</v>
      </c>
      <c r="X345" s="126" t="str">
        <f>IF(TblDetailBudget[[#This Row],[Level]]=LvlBottomHdr, IF(SUM(TblDetailBudget[[#This Row],[2021 Quant]:[2025 Quant]])&gt;0, SUM(TblDetailBudget[[#This Row],[2021 Quant]:[2025 Quant]]), ""), "")</f>
        <v/>
      </c>
      <c r="Y34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4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4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4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4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45" s="142">
        <f>SUM(TblDetailBudget[[#This Row],[2021 Cost (LCU)]:[2025 Cost (LCU)]])</f>
        <v>0</v>
      </c>
      <c r="AE345" s="135">
        <f>IFERROR(SUM(TblDetailBudget[[#This Row],[2021 Cost (LCU)]])/FX_Rate, "")</f>
        <v>0</v>
      </c>
      <c r="AF345" s="86">
        <f>IFERROR(SUM(TblDetailBudget[[#This Row],[2022 Cost (LCU)]])/FX_Rate, "")</f>
        <v>0</v>
      </c>
      <c r="AG345" s="86">
        <f>IFERROR(SUM(TblDetailBudget[[#This Row],[2023 Cost (LCU)]])/FX_Rate, "")</f>
        <v>0</v>
      </c>
      <c r="AH345" s="86">
        <f>IFERROR(SUM(TblDetailBudget[[#This Row],[2024 Cost (LCU)]])/FX_Rate, "")</f>
        <v>0</v>
      </c>
      <c r="AI345" s="86">
        <f>IFERROR(SUM(TblDetailBudget[[#This Row],[2025 Cost (LCU)]])/FX_Rate, "")</f>
        <v>0</v>
      </c>
      <c r="AJ345" s="126">
        <f>SUM(TblDetailBudget[[#This Row],[2021 Cost (USD)]:[2025 Cost (USD)]])</f>
        <v>0</v>
      </c>
      <c r="AK345" s="180"/>
    </row>
    <row r="346" spans="2:37" ht="12.75" customHeight="1">
      <c r="B346" s="123"/>
      <c r="C34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46" s="85" t="str">
        <f>IF(TblDetailBudget[[#This Row],[Level]]="", "", COUNTIFS($B$8:TblDetailBudget[[#This Row],[Level]], Lvl1Hdr))</f>
        <v/>
      </c>
      <c r="E346" s="85" t="str">
        <f>IF(TblDetailBudget[[#This Row],[Level]]="", "", COUNTIFS($B$8:TblDetailBudget[[#This Row],[Level]], Lvl2Hdr, $D$8:TblDetailBudget[[#This Row],[Lvl 1 Header]], TblDetailBudget[[#This Row],[Lvl 1 Header]]))</f>
        <v/>
      </c>
      <c r="F34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4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4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46" s="164"/>
      <c r="J346" s="164"/>
      <c r="K346" s="165"/>
      <c r="L346" s="165"/>
      <c r="M346" s="85" t="str">
        <f>IF(TblDetailBudget[[#This Row],[Level]]=LvlBottomHdr, IFERROR(INDEX(TblUnitCost[Unit], MATCH(TblDetailBudget[[#This Row],[Row Title]], TblUnitCost[Resource], 0)), "Invalid Resource"), "")</f>
        <v/>
      </c>
      <c r="N346" s="126" t="str">
        <f>IF(TblDetailBudget[[#This Row],[Level]]=LvlBottomHdr, IFERROR(INDEX(TblUnitCost[LCU], MATCH(TblDetailBudget[[#This Row],[Row Title]], TblUnitCost[Resource], 0)), "Invalid Resource"), "")</f>
        <v/>
      </c>
      <c r="O346" s="130"/>
      <c r="P346" s="109"/>
      <c r="Q346" s="186"/>
      <c r="R346" s="131"/>
      <c r="S346" s="109" t="s">
        <v>66</v>
      </c>
      <c r="T346" s="109" t="s">
        <v>66</v>
      </c>
      <c r="U346" s="109" t="s">
        <v>66</v>
      </c>
      <c r="V346" s="109" t="s">
        <v>66</v>
      </c>
      <c r="W346" s="109" t="s">
        <v>66</v>
      </c>
      <c r="X346" s="126" t="str">
        <f>IF(TblDetailBudget[[#This Row],[Level]]=LvlBottomHdr, IF(SUM(TblDetailBudget[[#This Row],[2021 Quant]:[2025 Quant]])&gt;0, SUM(TblDetailBudget[[#This Row],[2021 Quant]:[2025 Quant]]), ""), "")</f>
        <v/>
      </c>
      <c r="Y34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4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4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4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4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46" s="142">
        <f>SUM(TblDetailBudget[[#This Row],[2021 Cost (LCU)]:[2025 Cost (LCU)]])</f>
        <v>0</v>
      </c>
      <c r="AE346" s="135">
        <f>IFERROR(SUM(TblDetailBudget[[#This Row],[2021 Cost (LCU)]])/FX_Rate, "")</f>
        <v>0</v>
      </c>
      <c r="AF346" s="86">
        <f>IFERROR(SUM(TblDetailBudget[[#This Row],[2022 Cost (LCU)]])/FX_Rate, "")</f>
        <v>0</v>
      </c>
      <c r="AG346" s="86">
        <f>IFERROR(SUM(TblDetailBudget[[#This Row],[2023 Cost (LCU)]])/FX_Rate, "")</f>
        <v>0</v>
      </c>
      <c r="AH346" s="86">
        <f>IFERROR(SUM(TblDetailBudget[[#This Row],[2024 Cost (LCU)]])/FX_Rate, "")</f>
        <v>0</v>
      </c>
      <c r="AI346" s="86">
        <f>IFERROR(SUM(TblDetailBudget[[#This Row],[2025 Cost (LCU)]])/FX_Rate, "")</f>
        <v>0</v>
      </c>
      <c r="AJ346" s="126">
        <f>SUM(TblDetailBudget[[#This Row],[2021 Cost (USD)]:[2025 Cost (USD)]])</f>
        <v>0</v>
      </c>
      <c r="AK346" s="180"/>
    </row>
    <row r="347" spans="2:37" ht="12.75" customHeight="1">
      <c r="B347" s="123"/>
      <c r="C34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47" s="85" t="str">
        <f>IF(TblDetailBudget[[#This Row],[Level]]="", "", COUNTIFS($B$8:TblDetailBudget[[#This Row],[Level]], Lvl1Hdr))</f>
        <v/>
      </c>
      <c r="E347" s="85" t="str">
        <f>IF(TblDetailBudget[[#This Row],[Level]]="", "", COUNTIFS($B$8:TblDetailBudget[[#This Row],[Level]], Lvl2Hdr, $D$8:TblDetailBudget[[#This Row],[Lvl 1 Header]], TblDetailBudget[[#This Row],[Lvl 1 Header]]))</f>
        <v/>
      </c>
      <c r="F34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4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4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47" s="164"/>
      <c r="J347" s="164"/>
      <c r="K347" s="165"/>
      <c r="L347" s="165"/>
      <c r="M347" s="85" t="str">
        <f>IF(TblDetailBudget[[#This Row],[Level]]=LvlBottomHdr, IFERROR(INDEX(TblUnitCost[Unit], MATCH(TblDetailBudget[[#This Row],[Row Title]], TblUnitCost[Resource], 0)), "Invalid Resource"), "")</f>
        <v/>
      </c>
      <c r="N347" s="126" t="str">
        <f>IF(TblDetailBudget[[#This Row],[Level]]=LvlBottomHdr, IFERROR(INDEX(TblUnitCost[LCU], MATCH(TblDetailBudget[[#This Row],[Row Title]], TblUnitCost[Resource], 0)), "Invalid Resource"), "")</f>
        <v/>
      </c>
      <c r="O347" s="130"/>
      <c r="P347" s="109"/>
      <c r="Q347" s="186"/>
      <c r="R347" s="131"/>
      <c r="S347" s="109" t="s">
        <v>66</v>
      </c>
      <c r="T347" s="109" t="s">
        <v>66</v>
      </c>
      <c r="U347" s="109" t="s">
        <v>66</v>
      </c>
      <c r="V347" s="109" t="s">
        <v>66</v>
      </c>
      <c r="W347" s="109" t="s">
        <v>66</v>
      </c>
      <c r="X347" s="126" t="str">
        <f>IF(TblDetailBudget[[#This Row],[Level]]=LvlBottomHdr, IF(SUM(TblDetailBudget[[#This Row],[2021 Quant]:[2025 Quant]])&gt;0, SUM(TblDetailBudget[[#This Row],[2021 Quant]:[2025 Quant]]), ""), "")</f>
        <v/>
      </c>
      <c r="Y34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4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4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4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4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47" s="142">
        <f>SUM(TblDetailBudget[[#This Row],[2021 Cost (LCU)]:[2025 Cost (LCU)]])</f>
        <v>0</v>
      </c>
      <c r="AE347" s="135">
        <f>IFERROR(SUM(TblDetailBudget[[#This Row],[2021 Cost (LCU)]])/FX_Rate, "")</f>
        <v>0</v>
      </c>
      <c r="AF347" s="86">
        <f>IFERROR(SUM(TblDetailBudget[[#This Row],[2022 Cost (LCU)]])/FX_Rate, "")</f>
        <v>0</v>
      </c>
      <c r="AG347" s="86">
        <f>IFERROR(SUM(TblDetailBudget[[#This Row],[2023 Cost (LCU)]])/FX_Rate, "")</f>
        <v>0</v>
      </c>
      <c r="AH347" s="86">
        <f>IFERROR(SUM(TblDetailBudget[[#This Row],[2024 Cost (LCU)]])/FX_Rate, "")</f>
        <v>0</v>
      </c>
      <c r="AI347" s="86">
        <f>IFERROR(SUM(TblDetailBudget[[#This Row],[2025 Cost (LCU)]])/FX_Rate, "")</f>
        <v>0</v>
      </c>
      <c r="AJ347" s="126">
        <f>SUM(TblDetailBudget[[#This Row],[2021 Cost (USD)]:[2025 Cost (USD)]])</f>
        <v>0</v>
      </c>
      <c r="AK347" s="180"/>
    </row>
    <row r="348" spans="2:37" ht="12.75" customHeight="1">
      <c r="B348" s="123"/>
      <c r="C34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48" s="85" t="str">
        <f>IF(TblDetailBudget[[#This Row],[Level]]="", "", COUNTIFS($B$8:TblDetailBudget[[#This Row],[Level]], Lvl1Hdr))</f>
        <v/>
      </c>
      <c r="E348" s="85" t="str">
        <f>IF(TblDetailBudget[[#This Row],[Level]]="", "", COUNTIFS($B$8:TblDetailBudget[[#This Row],[Level]], Lvl2Hdr, $D$8:TblDetailBudget[[#This Row],[Lvl 1 Header]], TblDetailBudget[[#This Row],[Lvl 1 Header]]))</f>
        <v/>
      </c>
      <c r="F34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4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4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48" s="164"/>
      <c r="J348" s="164"/>
      <c r="K348" s="165"/>
      <c r="L348" s="165"/>
      <c r="M348" s="85" t="str">
        <f>IF(TblDetailBudget[[#This Row],[Level]]=LvlBottomHdr, IFERROR(INDEX(TblUnitCost[Unit], MATCH(TblDetailBudget[[#This Row],[Row Title]], TblUnitCost[Resource], 0)), "Invalid Resource"), "")</f>
        <v/>
      </c>
      <c r="N348" s="126" t="str">
        <f>IF(TblDetailBudget[[#This Row],[Level]]=LvlBottomHdr, IFERROR(INDEX(TblUnitCost[LCU], MATCH(TblDetailBudget[[#This Row],[Row Title]], TblUnitCost[Resource], 0)), "Invalid Resource"), "")</f>
        <v/>
      </c>
      <c r="O348" s="130"/>
      <c r="P348" s="109"/>
      <c r="Q348" s="186"/>
      <c r="R348" s="131"/>
      <c r="S348" s="109" t="s">
        <v>66</v>
      </c>
      <c r="T348" s="109" t="s">
        <v>66</v>
      </c>
      <c r="U348" s="109" t="s">
        <v>66</v>
      </c>
      <c r="V348" s="109" t="s">
        <v>66</v>
      </c>
      <c r="W348" s="109" t="s">
        <v>66</v>
      </c>
      <c r="X348" s="126" t="str">
        <f>IF(TblDetailBudget[[#This Row],[Level]]=LvlBottomHdr, IF(SUM(TblDetailBudget[[#This Row],[2021 Quant]:[2025 Quant]])&gt;0, SUM(TblDetailBudget[[#This Row],[2021 Quant]:[2025 Quant]]), ""), "")</f>
        <v/>
      </c>
      <c r="Y34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4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4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4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4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48" s="142">
        <f>SUM(TblDetailBudget[[#This Row],[2021 Cost (LCU)]:[2025 Cost (LCU)]])</f>
        <v>0</v>
      </c>
      <c r="AE348" s="135">
        <f>IFERROR(SUM(TblDetailBudget[[#This Row],[2021 Cost (LCU)]])/FX_Rate, "")</f>
        <v>0</v>
      </c>
      <c r="AF348" s="86">
        <f>IFERROR(SUM(TblDetailBudget[[#This Row],[2022 Cost (LCU)]])/FX_Rate, "")</f>
        <v>0</v>
      </c>
      <c r="AG348" s="86">
        <f>IFERROR(SUM(TblDetailBudget[[#This Row],[2023 Cost (LCU)]])/FX_Rate, "")</f>
        <v>0</v>
      </c>
      <c r="AH348" s="86">
        <f>IFERROR(SUM(TblDetailBudget[[#This Row],[2024 Cost (LCU)]])/FX_Rate, "")</f>
        <v>0</v>
      </c>
      <c r="AI348" s="86">
        <f>IFERROR(SUM(TblDetailBudget[[#This Row],[2025 Cost (LCU)]])/FX_Rate, "")</f>
        <v>0</v>
      </c>
      <c r="AJ348" s="126">
        <f>SUM(TblDetailBudget[[#This Row],[2021 Cost (USD)]:[2025 Cost (USD)]])</f>
        <v>0</v>
      </c>
      <c r="AK348" s="180"/>
    </row>
    <row r="349" spans="2:37" ht="12.75" customHeight="1">
      <c r="B349" s="123"/>
      <c r="C34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49" s="85" t="str">
        <f>IF(TblDetailBudget[[#This Row],[Level]]="", "", COUNTIFS($B$8:TblDetailBudget[[#This Row],[Level]], Lvl1Hdr))</f>
        <v/>
      </c>
      <c r="E349" s="85" t="str">
        <f>IF(TblDetailBudget[[#This Row],[Level]]="", "", COUNTIFS($B$8:TblDetailBudget[[#This Row],[Level]], Lvl2Hdr, $D$8:TblDetailBudget[[#This Row],[Lvl 1 Header]], TblDetailBudget[[#This Row],[Lvl 1 Header]]))</f>
        <v/>
      </c>
      <c r="F34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4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4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49" s="164"/>
      <c r="J349" s="164"/>
      <c r="K349" s="165"/>
      <c r="L349" s="165"/>
      <c r="M349" s="85" t="str">
        <f>IF(TblDetailBudget[[#This Row],[Level]]=LvlBottomHdr, IFERROR(INDEX(TblUnitCost[Unit], MATCH(TblDetailBudget[[#This Row],[Row Title]], TblUnitCost[Resource], 0)), "Invalid Resource"), "")</f>
        <v/>
      </c>
      <c r="N349" s="126" t="str">
        <f>IF(TblDetailBudget[[#This Row],[Level]]=LvlBottomHdr, IFERROR(INDEX(TblUnitCost[LCU], MATCH(TblDetailBudget[[#This Row],[Row Title]], TblUnitCost[Resource], 0)), "Invalid Resource"), "")</f>
        <v/>
      </c>
      <c r="O349" s="130"/>
      <c r="P349" s="109"/>
      <c r="Q349" s="186"/>
      <c r="R349" s="131"/>
      <c r="S349" s="109" t="s">
        <v>66</v>
      </c>
      <c r="T349" s="109" t="s">
        <v>66</v>
      </c>
      <c r="U349" s="109" t="s">
        <v>66</v>
      </c>
      <c r="V349" s="109" t="s">
        <v>66</v>
      </c>
      <c r="W349" s="109" t="s">
        <v>66</v>
      </c>
      <c r="X349" s="126" t="str">
        <f>IF(TblDetailBudget[[#This Row],[Level]]=LvlBottomHdr, IF(SUM(TblDetailBudget[[#This Row],[2021 Quant]:[2025 Quant]])&gt;0, SUM(TblDetailBudget[[#This Row],[2021 Quant]:[2025 Quant]]), ""), "")</f>
        <v/>
      </c>
      <c r="Y34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4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4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4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4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49" s="142">
        <f>SUM(TblDetailBudget[[#This Row],[2021 Cost (LCU)]:[2025 Cost (LCU)]])</f>
        <v>0</v>
      </c>
      <c r="AE349" s="135">
        <f>IFERROR(SUM(TblDetailBudget[[#This Row],[2021 Cost (LCU)]])/FX_Rate, "")</f>
        <v>0</v>
      </c>
      <c r="AF349" s="86">
        <f>IFERROR(SUM(TblDetailBudget[[#This Row],[2022 Cost (LCU)]])/FX_Rate, "")</f>
        <v>0</v>
      </c>
      <c r="AG349" s="86">
        <f>IFERROR(SUM(TblDetailBudget[[#This Row],[2023 Cost (LCU)]])/FX_Rate, "")</f>
        <v>0</v>
      </c>
      <c r="AH349" s="86">
        <f>IFERROR(SUM(TblDetailBudget[[#This Row],[2024 Cost (LCU)]])/FX_Rate, "")</f>
        <v>0</v>
      </c>
      <c r="AI349" s="86">
        <f>IFERROR(SUM(TblDetailBudget[[#This Row],[2025 Cost (LCU)]])/FX_Rate, "")</f>
        <v>0</v>
      </c>
      <c r="AJ349" s="126">
        <f>SUM(TblDetailBudget[[#This Row],[2021 Cost (USD)]:[2025 Cost (USD)]])</f>
        <v>0</v>
      </c>
      <c r="AK349" s="180"/>
    </row>
    <row r="350" spans="2:37" ht="12.75" customHeight="1">
      <c r="B350" s="123"/>
      <c r="C35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50" s="85" t="str">
        <f>IF(TblDetailBudget[[#This Row],[Level]]="", "", COUNTIFS($B$8:TblDetailBudget[[#This Row],[Level]], Lvl1Hdr))</f>
        <v/>
      </c>
      <c r="E350" s="85" t="str">
        <f>IF(TblDetailBudget[[#This Row],[Level]]="", "", COUNTIFS($B$8:TblDetailBudget[[#This Row],[Level]], Lvl2Hdr, $D$8:TblDetailBudget[[#This Row],[Lvl 1 Header]], TblDetailBudget[[#This Row],[Lvl 1 Header]]))</f>
        <v/>
      </c>
      <c r="F35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5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5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50" s="164"/>
      <c r="J350" s="164"/>
      <c r="K350" s="165"/>
      <c r="L350" s="165"/>
      <c r="M350" s="85" t="str">
        <f>IF(TblDetailBudget[[#This Row],[Level]]=LvlBottomHdr, IFERROR(INDEX(TblUnitCost[Unit], MATCH(TblDetailBudget[[#This Row],[Row Title]], TblUnitCost[Resource], 0)), "Invalid Resource"), "")</f>
        <v/>
      </c>
      <c r="N350" s="126" t="str">
        <f>IF(TblDetailBudget[[#This Row],[Level]]=LvlBottomHdr, IFERROR(INDEX(TblUnitCost[LCU], MATCH(TblDetailBudget[[#This Row],[Row Title]], TblUnitCost[Resource], 0)), "Invalid Resource"), "")</f>
        <v/>
      </c>
      <c r="O350" s="130"/>
      <c r="P350" s="109"/>
      <c r="Q350" s="186"/>
      <c r="R350" s="131"/>
      <c r="S350" s="109" t="s">
        <v>66</v>
      </c>
      <c r="T350" s="109" t="s">
        <v>66</v>
      </c>
      <c r="U350" s="109" t="s">
        <v>66</v>
      </c>
      <c r="V350" s="109" t="s">
        <v>66</v>
      </c>
      <c r="W350" s="109" t="s">
        <v>66</v>
      </c>
      <c r="X350" s="126" t="str">
        <f>IF(TblDetailBudget[[#This Row],[Level]]=LvlBottomHdr, IF(SUM(TblDetailBudget[[#This Row],[2021 Quant]:[2025 Quant]])&gt;0, SUM(TblDetailBudget[[#This Row],[2021 Quant]:[2025 Quant]]), ""), "")</f>
        <v/>
      </c>
      <c r="Y35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5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5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5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5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50" s="142">
        <f>SUM(TblDetailBudget[[#This Row],[2021 Cost (LCU)]:[2025 Cost (LCU)]])</f>
        <v>0</v>
      </c>
      <c r="AE350" s="135">
        <f>IFERROR(SUM(TblDetailBudget[[#This Row],[2021 Cost (LCU)]])/FX_Rate, "")</f>
        <v>0</v>
      </c>
      <c r="AF350" s="86">
        <f>IFERROR(SUM(TblDetailBudget[[#This Row],[2022 Cost (LCU)]])/FX_Rate, "")</f>
        <v>0</v>
      </c>
      <c r="AG350" s="86">
        <f>IFERROR(SUM(TblDetailBudget[[#This Row],[2023 Cost (LCU)]])/FX_Rate, "")</f>
        <v>0</v>
      </c>
      <c r="AH350" s="86">
        <f>IFERROR(SUM(TblDetailBudget[[#This Row],[2024 Cost (LCU)]])/FX_Rate, "")</f>
        <v>0</v>
      </c>
      <c r="AI350" s="86">
        <f>IFERROR(SUM(TblDetailBudget[[#This Row],[2025 Cost (LCU)]])/FX_Rate, "")</f>
        <v>0</v>
      </c>
      <c r="AJ350" s="126">
        <f>SUM(TblDetailBudget[[#This Row],[2021 Cost (USD)]:[2025 Cost (USD)]])</f>
        <v>0</v>
      </c>
      <c r="AK350" s="180"/>
    </row>
    <row r="351" spans="2:37" ht="12.75" customHeight="1">
      <c r="B351" s="123"/>
      <c r="C35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51" s="85" t="str">
        <f>IF(TblDetailBudget[[#This Row],[Level]]="", "", COUNTIFS($B$8:TblDetailBudget[[#This Row],[Level]], Lvl1Hdr))</f>
        <v/>
      </c>
      <c r="E351" s="85" t="str">
        <f>IF(TblDetailBudget[[#This Row],[Level]]="", "", COUNTIFS($B$8:TblDetailBudget[[#This Row],[Level]], Lvl2Hdr, $D$8:TblDetailBudget[[#This Row],[Lvl 1 Header]], TblDetailBudget[[#This Row],[Lvl 1 Header]]))</f>
        <v/>
      </c>
      <c r="F35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5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5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51" s="164"/>
      <c r="J351" s="164"/>
      <c r="K351" s="165"/>
      <c r="L351" s="165"/>
      <c r="M351" s="85" t="str">
        <f>IF(TblDetailBudget[[#This Row],[Level]]=LvlBottomHdr, IFERROR(INDEX(TblUnitCost[Unit], MATCH(TblDetailBudget[[#This Row],[Row Title]], TblUnitCost[Resource], 0)), "Invalid Resource"), "")</f>
        <v/>
      </c>
      <c r="N351" s="126" t="str">
        <f>IF(TblDetailBudget[[#This Row],[Level]]=LvlBottomHdr, IFERROR(INDEX(TblUnitCost[LCU], MATCH(TblDetailBudget[[#This Row],[Row Title]], TblUnitCost[Resource], 0)), "Invalid Resource"), "")</f>
        <v/>
      </c>
      <c r="O351" s="130"/>
      <c r="P351" s="109"/>
      <c r="Q351" s="186"/>
      <c r="R351" s="131"/>
      <c r="S351" s="109" t="s">
        <v>66</v>
      </c>
      <c r="T351" s="109" t="s">
        <v>66</v>
      </c>
      <c r="U351" s="109" t="s">
        <v>66</v>
      </c>
      <c r="V351" s="109" t="s">
        <v>66</v>
      </c>
      <c r="W351" s="109" t="s">
        <v>66</v>
      </c>
      <c r="X351" s="126" t="str">
        <f>IF(TblDetailBudget[[#This Row],[Level]]=LvlBottomHdr, IF(SUM(TblDetailBudget[[#This Row],[2021 Quant]:[2025 Quant]])&gt;0, SUM(TblDetailBudget[[#This Row],[2021 Quant]:[2025 Quant]]), ""), "")</f>
        <v/>
      </c>
      <c r="Y35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5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5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5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5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51" s="142">
        <f>SUM(TblDetailBudget[[#This Row],[2021 Cost (LCU)]:[2025 Cost (LCU)]])</f>
        <v>0</v>
      </c>
      <c r="AE351" s="135">
        <f>IFERROR(SUM(TblDetailBudget[[#This Row],[2021 Cost (LCU)]])/FX_Rate, "")</f>
        <v>0</v>
      </c>
      <c r="AF351" s="86">
        <f>IFERROR(SUM(TblDetailBudget[[#This Row],[2022 Cost (LCU)]])/FX_Rate, "")</f>
        <v>0</v>
      </c>
      <c r="AG351" s="86">
        <f>IFERROR(SUM(TblDetailBudget[[#This Row],[2023 Cost (LCU)]])/FX_Rate, "")</f>
        <v>0</v>
      </c>
      <c r="AH351" s="86">
        <f>IFERROR(SUM(TblDetailBudget[[#This Row],[2024 Cost (LCU)]])/FX_Rate, "")</f>
        <v>0</v>
      </c>
      <c r="AI351" s="86">
        <f>IFERROR(SUM(TblDetailBudget[[#This Row],[2025 Cost (LCU)]])/FX_Rate, "")</f>
        <v>0</v>
      </c>
      <c r="AJ351" s="126">
        <f>SUM(TblDetailBudget[[#This Row],[2021 Cost (USD)]:[2025 Cost (USD)]])</f>
        <v>0</v>
      </c>
      <c r="AK351" s="180"/>
    </row>
    <row r="352" spans="2:37" ht="12.75" customHeight="1">
      <c r="B352" s="123"/>
      <c r="C35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52" s="85" t="str">
        <f>IF(TblDetailBudget[[#This Row],[Level]]="", "", COUNTIFS($B$8:TblDetailBudget[[#This Row],[Level]], Lvl1Hdr))</f>
        <v/>
      </c>
      <c r="E352" s="85" t="str">
        <f>IF(TblDetailBudget[[#This Row],[Level]]="", "", COUNTIFS($B$8:TblDetailBudget[[#This Row],[Level]], Lvl2Hdr, $D$8:TblDetailBudget[[#This Row],[Lvl 1 Header]], TblDetailBudget[[#This Row],[Lvl 1 Header]]))</f>
        <v/>
      </c>
      <c r="F35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5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5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52" s="164"/>
      <c r="J352" s="164"/>
      <c r="K352" s="165"/>
      <c r="L352" s="165"/>
      <c r="M352" s="85" t="str">
        <f>IF(TblDetailBudget[[#This Row],[Level]]=LvlBottomHdr, IFERROR(INDEX(TblUnitCost[Unit], MATCH(TblDetailBudget[[#This Row],[Row Title]], TblUnitCost[Resource], 0)), "Invalid Resource"), "")</f>
        <v/>
      </c>
      <c r="N352" s="126" t="str">
        <f>IF(TblDetailBudget[[#This Row],[Level]]=LvlBottomHdr, IFERROR(INDEX(TblUnitCost[LCU], MATCH(TblDetailBudget[[#This Row],[Row Title]], TblUnitCost[Resource], 0)), "Invalid Resource"), "")</f>
        <v/>
      </c>
      <c r="O352" s="130"/>
      <c r="P352" s="109"/>
      <c r="Q352" s="186"/>
      <c r="R352" s="131"/>
      <c r="S352" s="109" t="s">
        <v>66</v>
      </c>
      <c r="T352" s="109" t="s">
        <v>66</v>
      </c>
      <c r="U352" s="109" t="s">
        <v>66</v>
      </c>
      <c r="V352" s="109" t="s">
        <v>66</v>
      </c>
      <c r="W352" s="109" t="s">
        <v>66</v>
      </c>
      <c r="X352" s="126" t="str">
        <f>IF(TblDetailBudget[[#This Row],[Level]]=LvlBottomHdr, IF(SUM(TblDetailBudget[[#This Row],[2021 Quant]:[2025 Quant]])&gt;0, SUM(TblDetailBudget[[#This Row],[2021 Quant]:[2025 Quant]]), ""), "")</f>
        <v/>
      </c>
      <c r="Y35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5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5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5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5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52" s="142">
        <f>SUM(TblDetailBudget[[#This Row],[2021 Cost (LCU)]:[2025 Cost (LCU)]])</f>
        <v>0</v>
      </c>
      <c r="AE352" s="135">
        <f>IFERROR(SUM(TblDetailBudget[[#This Row],[2021 Cost (LCU)]])/FX_Rate, "")</f>
        <v>0</v>
      </c>
      <c r="AF352" s="86">
        <f>IFERROR(SUM(TblDetailBudget[[#This Row],[2022 Cost (LCU)]])/FX_Rate, "")</f>
        <v>0</v>
      </c>
      <c r="AG352" s="86">
        <f>IFERROR(SUM(TblDetailBudget[[#This Row],[2023 Cost (LCU)]])/FX_Rate, "")</f>
        <v>0</v>
      </c>
      <c r="AH352" s="86">
        <f>IFERROR(SUM(TblDetailBudget[[#This Row],[2024 Cost (LCU)]])/FX_Rate, "")</f>
        <v>0</v>
      </c>
      <c r="AI352" s="86">
        <f>IFERROR(SUM(TblDetailBudget[[#This Row],[2025 Cost (LCU)]])/FX_Rate, "")</f>
        <v>0</v>
      </c>
      <c r="AJ352" s="126">
        <f>SUM(TblDetailBudget[[#This Row],[2021 Cost (USD)]:[2025 Cost (USD)]])</f>
        <v>0</v>
      </c>
      <c r="AK352" s="180"/>
    </row>
    <row r="353" spans="2:37" ht="12.75" customHeight="1">
      <c r="B353" s="123"/>
      <c r="C35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53" s="85" t="str">
        <f>IF(TblDetailBudget[[#This Row],[Level]]="", "", COUNTIFS($B$8:TblDetailBudget[[#This Row],[Level]], Lvl1Hdr))</f>
        <v/>
      </c>
      <c r="E353" s="85" t="str">
        <f>IF(TblDetailBudget[[#This Row],[Level]]="", "", COUNTIFS($B$8:TblDetailBudget[[#This Row],[Level]], Lvl2Hdr, $D$8:TblDetailBudget[[#This Row],[Lvl 1 Header]], TblDetailBudget[[#This Row],[Lvl 1 Header]]))</f>
        <v/>
      </c>
      <c r="F35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5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5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53" s="164"/>
      <c r="J353" s="164"/>
      <c r="K353" s="165"/>
      <c r="L353" s="165"/>
      <c r="M353" s="85" t="str">
        <f>IF(TblDetailBudget[[#This Row],[Level]]=LvlBottomHdr, IFERROR(INDEX(TblUnitCost[Unit], MATCH(TblDetailBudget[[#This Row],[Row Title]], TblUnitCost[Resource], 0)), "Invalid Resource"), "")</f>
        <v/>
      </c>
      <c r="N353" s="126" t="str">
        <f>IF(TblDetailBudget[[#This Row],[Level]]=LvlBottomHdr, IFERROR(INDEX(TblUnitCost[LCU], MATCH(TblDetailBudget[[#This Row],[Row Title]], TblUnitCost[Resource], 0)), "Invalid Resource"), "")</f>
        <v/>
      </c>
      <c r="O353" s="130"/>
      <c r="P353" s="109"/>
      <c r="Q353" s="186"/>
      <c r="R353" s="131"/>
      <c r="S353" s="109" t="s">
        <v>66</v>
      </c>
      <c r="T353" s="109" t="s">
        <v>66</v>
      </c>
      <c r="U353" s="109" t="s">
        <v>66</v>
      </c>
      <c r="V353" s="109" t="s">
        <v>66</v>
      </c>
      <c r="W353" s="109" t="s">
        <v>66</v>
      </c>
      <c r="X353" s="126" t="str">
        <f>IF(TblDetailBudget[[#This Row],[Level]]=LvlBottomHdr, IF(SUM(TblDetailBudget[[#This Row],[2021 Quant]:[2025 Quant]])&gt;0, SUM(TblDetailBudget[[#This Row],[2021 Quant]:[2025 Quant]]), ""), "")</f>
        <v/>
      </c>
      <c r="Y35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5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5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5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5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53" s="142">
        <f>SUM(TblDetailBudget[[#This Row],[2021 Cost (LCU)]:[2025 Cost (LCU)]])</f>
        <v>0</v>
      </c>
      <c r="AE353" s="135">
        <f>IFERROR(SUM(TblDetailBudget[[#This Row],[2021 Cost (LCU)]])/FX_Rate, "")</f>
        <v>0</v>
      </c>
      <c r="AF353" s="86">
        <f>IFERROR(SUM(TblDetailBudget[[#This Row],[2022 Cost (LCU)]])/FX_Rate, "")</f>
        <v>0</v>
      </c>
      <c r="AG353" s="86">
        <f>IFERROR(SUM(TblDetailBudget[[#This Row],[2023 Cost (LCU)]])/FX_Rate, "")</f>
        <v>0</v>
      </c>
      <c r="AH353" s="86">
        <f>IFERROR(SUM(TblDetailBudget[[#This Row],[2024 Cost (LCU)]])/FX_Rate, "")</f>
        <v>0</v>
      </c>
      <c r="AI353" s="86">
        <f>IFERROR(SUM(TblDetailBudget[[#This Row],[2025 Cost (LCU)]])/FX_Rate, "")</f>
        <v>0</v>
      </c>
      <c r="AJ353" s="126">
        <f>SUM(TblDetailBudget[[#This Row],[2021 Cost (USD)]:[2025 Cost (USD)]])</f>
        <v>0</v>
      </c>
      <c r="AK353" s="180"/>
    </row>
    <row r="354" spans="2:37" ht="12.75" customHeight="1">
      <c r="B354" s="123"/>
      <c r="C35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54" s="85" t="str">
        <f>IF(TblDetailBudget[[#This Row],[Level]]="", "", COUNTIFS($B$8:TblDetailBudget[[#This Row],[Level]], Lvl1Hdr))</f>
        <v/>
      </c>
      <c r="E354" s="85" t="str">
        <f>IF(TblDetailBudget[[#This Row],[Level]]="", "", COUNTIFS($B$8:TblDetailBudget[[#This Row],[Level]], Lvl2Hdr, $D$8:TblDetailBudget[[#This Row],[Lvl 1 Header]], TblDetailBudget[[#This Row],[Lvl 1 Header]]))</f>
        <v/>
      </c>
      <c r="F35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5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5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54" s="164"/>
      <c r="J354" s="164"/>
      <c r="K354" s="165"/>
      <c r="L354" s="165"/>
      <c r="M354" s="85" t="str">
        <f>IF(TblDetailBudget[[#This Row],[Level]]=LvlBottomHdr, IFERROR(INDEX(TblUnitCost[Unit], MATCH(TblDetailBudget[[#This Row],[Row Title]], TblUnitCost[Resource], 0)), "Invalid Resource"), "")</f>
        <v/>
      </c>
      <c r="N354" s="126" t="str">
        <f>IF(TblDetailBudget[[#This Row],[Level]]=LvlBottomHdr, IFERROR(INDEX(TblUnitCost[LCU], MATCH(TblDetailBudget[[#This Row],[Row Title]], TblUnitCost[Resource], 0)), "Invalid Resource"), "")</f>
        <v/>
      </c>
      <c r="O354" s="130"/>
      <c r="P354" s="109"/>
      <c r="Q354" s="186"/>
      <c r="R354" s="131"/>
      <c r="S354" s="109" t="s">
        <v>66</v>
      </c>
      <c r="T354" s="109" t="s">
        <v>66</v>
      </c>
      <c r="U354" s="109" t="s">
        <v>66</v>
      </c>
      <c r="V354" s="109" t="s">
        <v>66</v>
      </c>
      <c r="W354" s="109" t="s">
        <v>66</v>
      </c>
      <c r="X354" s="126" t="str">
        <f>IF(TblDetailBudget[[#This Row],[Level]]=LvlBottomHdr, IF(SUM(TblDetailBudget[[#This Row],[2021 Quant]:[2025 Quant]])&gt;0, SUM(TblDetailBudget[[#This Row],[2021 Quant]:[2025 Quant]]), ""), "")</f>
        <v/>
      </c>
      <c r="Y35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5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5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5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5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54" s="142">
        <f>SUM(TblDetailBudget[[#This Row],[2021 Cost (LCU)]:[2025 Cost (LCU)]])</f>
        <v>0</v>
      </c>
      <c r="AE354" s="135">
        <f>IFERROR(SUM(TblDetailBudget[[#This Row],[2021 Cost (LCU)]])/FX_Rate, "")</f>
        <v>0</v>
      </c>
      <c r="AF354" s="86">
        <f>IFERROR(SUM(TblDetailBudget[[#This Row],[2022 Cost (LCU)]])/FX_Rate, "")</f>
        <v>0</v>
      </c>
      <c r="AG354" s="86">
        <f>IFERROR(SUM(TblDetailBudget[[#This Row],[2023 Cost (LCU)]])/FX_Rate, "")</f>
        <v>0</v>
      </c>
      <c r="AH354" s="86">
        <f>IFERROR(SUM(TblDetailBudget[[#This Row],[2024 Cost (LCU)]])/FX_Rate, "")</f>
        <v>0</v>
      </c>
      <c r="AI354" s="86">
        <f>IFERROR(SUM(TblDetailBudget[[#This Row],[2025 Cost (LCU)]])/FX_Rate, "")</f>
        <v>0</v>
      </c>
      <c r="AJ354" s="126">
        <f>SUM(TblDetailBudget[[#This Row],[2021 Cost (USD)]:[2025 Cost (USD)]])</f>
        <v>0</v>
      </c>
      <c r="AK354" s="180"/>
    </row>
    <row r="355" spans="2:37" ht="12.75" customHeight="1">
      <c r="B355" s="123"/>
      <c r="C35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55" s="85" t="str">
        <f>IF(TblDetailBudget[[#This Row],[Level]]="", "", COUNTIFS($B$8:TblDetailBudget[[#This Row],[Level]], Lvl1Hdr))</f>
        <v/>
      </c>
      <c r="E355" s="85" t="str">
        <f>IF(TblDetailBudget[[#This Row],[Level]]="", "", COUNTIFS($B$8:TblDetailBudget[[#This Row],[Level]], Lvl2Hdr, $D$8:TblDetailBudget[[#This Row],[Lvl 1 Header]], TblDetailBudget[[#This Row],[Lvl 1 Header]]))</f>
        <v/>
      </c>
      <c r="F35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5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5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55" s="164"/>
      <c r="J355" s="164"/>
      <c r="K355" s="165"/>
      <c r="L355" s="165"/>
      <c r="M355" s="85" t="str">
        <f>IF(TblDetailBudget[[#This Row],[Level]]=LvlBottomHdr, IFERROR(INDEX(TblUnitCost[Unit], MATCH(TblDetailBudget[[#This Row],[Row Title]], TblUnitCost[Resource], 0)), "Invalid Resource"), "")</f>
        <v/>
      </c>
      <c r="N355" s="126" t="str">
        <f>IF(TblDetailBudget[[#This Row],[Level]]=LvlBottomHdr, IFERROR(INDEX(TblUnitCost[LCU], MATCH(TblDetailBudget[[#This Row],[Row Title]], TblUnitCost[Resource], 0)), "Invalid Resource"), "")</f>
        <v/>
      </c>
      <c r="O355" s="130"/>
      <c r="P355" s="109"/>
      <c r="Q355" s="186"/>
      <c r="R355" s="131"/>
      <c r="S355" s="109" t="s">
        <v>66</v>
      </c>
      <c r="T355" s="109" t="s">
        <v>66</v>
      </c>
      <c r="U355" s="109" t="s">
        <v>66</v>
      </c>
      <c r="V355" s="109" t="s">
        <v>66</v>
      </c>
      <c r="W355" s="109" t="s">
        <v>66</v>
      </c>
      <c r="X355" s="126" t="str">
        <f>IF(TblDetailBudget[[#This Row],[Level]]=LvlBottomHdr, IF(SUM(TblDetailBudget[[#This Row],[2021 Quant]:[2025 Quant]])&gt;0, SUM(TblDetailBudget[[#This Row],[2021 Quant]:[2025 Quant]]), ""), "")</f>
        <v/>
      </c>
      <c r="Y35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5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5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5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5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55" s="142">
        <f>SUM(TblDetailBudget[[#This Row],[2021 Cost (LCU)]:[2025 Cost (LCU)]])</f>
        <v>0</v>
      </c>
      <c r="AE355" s="135">
        <f>IFERROR(SUM(TblDetailBudget[[#This Row],[2021 Cost (LCU)]])/FX_Rate, "")</f>
        <v>0</v>
      </c>
      <c r="AF355" s="86">
        <f>IFERROR(SUM(TblDetailBudget[[#This Row],[2022 Cost (LCU)]])/FX_Rate, "")</f>
        <v>0</v>
      </c>
      <c r="AG355" s="86">
        <f>IFERROR(SUM(TblDetailBudget[[#This Row],[2023 Cost (LCU)]])/FX_Rate, "")</f>
        <v>0</v>
      </c>
      <c r="AH355" s="86">
        <f>IFERROR(SUM(TblDetailBudget[[#This Row],[2024 Cost (LCU)]])/FX_Rate, "")</f>
        <v>0</v>
      </c>
      <c r="AI355" s="86">
        <f>IFERROR(SUM(TblDetailBudget[[#This Row],[2025 Cost (LCU)]])/FX_Rate, "")</f>
        <v>0</v>
      </c>
      <c r="AJ355" s="126">
        <f>SUM(TblDetailBudget[[#This Row],[2021 Cost (USD)]:[2025 Cost (USD)]])</f>
        <v>0</v>
      </c>
      <c r="AK355" s="180"/>
    </row>
    <row r="356" spans="2:37" ht="12.75" customHeight="1">
      <c r="B356" s="123"/>
      <c r="C35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56" s="85" t="str">
        <f>IF(TblDetailBudget[[#This Row],[Level]]="", "", COUNTIFS($B$8:TblDetailBudget[[#This Row],[Level]], Lvl1Hdr))</f>
        <v/>
      </c>
      <c r="E356" s="85" t="str">
        <f>IF(TblDetailBudget[[#This Row],[Level]]="", "", COUNTIFS($B$8:TblDetailBudget[[#This Row],[Level]], Lvl2Hdr, $D$8:TblDetailBudget[[#This Row],[Lvl 1 Header]], TblDetailBudget[[#This Row],[Lvl 1 Header]]))</f>
        <v/>
      </c>
      <c r="F35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5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5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56" s="164"/>
      <c r="J356" s="164"/>
      <c r="K356" s="165"/>
      <c r="L356" s="165"/>
      <c r="M356" s="85" t="str">
        <f>IF(TblDetailBudget[[#This Row],[Level]]=LvlBottomHdr, IFERROR(INDEX(TblUnitCost[Unit], MATCH(TblDetailBudget[[#This Row],[Row Title]], TblUnitCost[Resource], 0)), "Invalid Resource"), "")</f>
        <v/>
      </c>
      <c r="N356" s="126" t="str">
        <f>IF(TblDetailBudget[[#This Row],[Level]]=LvlBottomHdr, IFERROR(INDEX(TblUnitCost[LCU], MATCH(TblDetailBudget[[#This Row],[Row Title]], TblUnitCost[Resource], 0)), "Invalid Resource"), "")</f>
        <v/>
      </c>
      <c r="O356" s="130"/>
      <c r="P356" s="109"/>
      <c r="Q356" s="186"/>
      <c r="R356" s="131"/>
      <c r="S356" s="109" t="s">
        <v>66</v>
      </c>
      <c r="T356" s="109" t="s">
        <v>66</v>
      </c>
      <c r="U356" s="109" t="s">
        <v>66</v>
      </c>
      <c r="V356" s="109" t="s">
        <v>66</v>
      </c>
      <c r="W356" s="109" t="s">
        <v>66</v>
      </c>
      <c r="X356" s="126" t="str">
        <f>IF(TblDetailBudget[[#This Row],[Level]]=LvlBottomHdr, IF(SUM(TblDetailBudget[[#This Row],[2021 Quant]:[2025 Quant]])&gt;0, SUM(TblDetailBudget[[#This Row],[2021 Quant]:[2025 Quant]]), ""), "")</f>
        <v/>
      </c>
      <c r="Y35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5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5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5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5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56" s="142">
        <f>SUM(TblDetailBudget[[#This Row],[2021 Cost (LCU)]:[2025 Cost (LCU)]])</f>
        <v>0</v>
      </c>
      <c r="AE356" s="135">
        <f>IFERROR(SUM(TblDetailBudget[[#This Row],[2021 Cost (LCU)]])/FX_Rate, "")</f>
        <v>0</v>
      </c>
      <c r="AF356" s="86">
        <f>IFERROR(SUM(TblDetailBudget[[#This Row],[2022 Cost (LCU)]])/FX_Rate, "")</f>
        <v>0</v>
      </c>
      <c r="AG356" s="86">
        <f>IFERROR(SUM(TblDetailBudget[[#This Row],[2023 Cost (LCU)]])/FX_Rate, "")</f>
        <v>0</v>
      </c>
      <c r="AH356" s="86">
        <f>IFERROR(SUM(TblDetailBudget[[#This Row],[2024 Cost (LCU)]])/FX_Rate, "")</f>
        <v>0</v>
      </c>
      <c r="AI356" s="86">
        <f>IFERROR(SUM(TblDetailBudget[[#This Row],[2025 Cost (LCU)]])/FX_Rate, "")</f>
        <v>0</v>
      </c>
      <c r="AJ356" s="126">
        <f>SUM(TblDetailBudget[[#This Row],[2021 Cost (USD)]:[2025 Cost (USD)]])</f>
        <v>0</v>
      </c>
      <c r="AK356" s="180"/>
    </row>
    <row r="357" spans="2:37" ht="12.75" customHeight="1">
      <c r="B357" s="123"/>
      <c r="C35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57" s="85" t="str">
        <f>IF(TblDetailBudget[[#This Row],[Level]]="", "", COUNTIFS($B$8:TblDetailBudget[[#This Row],[Level]], Lvl1Hdr))</f>
        <v/>
      </c>
      <c r="E357" s="85" t="str">
        <f>IF(TblDetailBudget[[#This Row],[Level]]="", "", COUNTIFS($B$8:TblDetailBudget[[#This Row],[Level]], Lvl2Hdr, $D$8:TblDetailBudget[[#This Row],[Lvl 1 Header]], TblDetailBudget[[#This Row],[Lvl 1 Header]]))</f>
        <v/>
      </c>
      <c r="F35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5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5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57" s="164"/>
      <c r="J357" s="164"/>
      <c r="K357" s="165"/>
      <c r="L357" s="165"/>
      <c r="M357" s="85" t="str">
        <f>IF(TblDetailBudget[[#This Row],[Level]]=LvlBottomHdr, IFERROR(INDEX(TblUnitCost[Unit], MATCH(TblDetailBudget[[#This Row],[Row Title]], TblUnitCost[Resource], 0)), "Invalid Resource"), "")</f>
        <v/>
      </c>
      <c r="N357" s="126" t="str">
        <f>IF(TblDetailBudget[[#This Row],[Level]]=LvlBottomHdr, IFERROR(INDEX(TblUnitCost[LCU], MATCH(TblDetailBudget[[#This Row],[Row Title]], TblUnitCost[Resource], 0)), "Invalid Resource"), "")</f>
        <v/>
      </c>
      <c r="O357" s="130"/>
      <c r="P357" s="109"/>
      <c r="Q357" s="186"/>
      <c r="R357" s="131"/>
      <c r="S357" s="109" t="s">
        <v>66</v>
      </c>
      <c r="T357" s="109" t="s">
        <v>66</v>
      </c>
      <c r="U357" s="109" t="s">
        <v>66</v>
      </c>
      <c r="V357" s="109" t="s">
        <v>66</v>
      </c>
      <c r="W357" s="109" t="s">
        <v>66</v>
      </c>
      <c r="X357" s="126" t="str">
        <f>IF(TblDetailBudget[[#This Row],[Level]]=LvlBottomHdr, IF(SUM(TblDetailBudget[[#This Row],[2021 Quant]:[2025 Quant]])&gt;0, SUM(TblDetailBudget[[#This Row],[2021 Quant]:[2025 Quant]]), ""), "")</f>
        <v/>
      </c>
      <c r="Y35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5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5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5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5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57" s="142">
        <f>SUM(TblDetailBudget[[#This Row],[2021 Cost (LCU)]:[2025 Cost (LCU)]])</f>
        <v>0</v>
      </c>
      <c r="AE357" s="135">
        <f>IFERROR(SUM(TblDetailBudget[[#This Row],[2021 Cost (LCU)]])/FX_Rate, "")</f>
        <v>0</v>
      </c>
      <c r="AF357" s="86">
        <f>IFERROR(SUM(TblDetailBudget[[#This Row],[2022 Cost (LCU)]])/FX_Rate, "")</f>
        <v>0</v>
      </c>
      <c r="AG357" s="86">
        <f>IFERROR(SUM(TblDetailBudget[[#This Row],[2023 Cost (LCU)]])/FX_Rate, "")</f>
        <v>0</v>
      </c>
      <c r="AH357" s="86">
        <f>IFERROR(SUM(TblDetailBudget[[#This Row],[2024 Cost (LCU)]])/FX_Rate, "")</f>
        <v>0</v>
      </c>
      <c r="AI357" s="86">
        <f>IFERROR(SUM(TblDetailBudget[[#This Row],[2025 Cost (LCU)]])/FX_Rate, "")</f>
        <v>0</v>
      </c>
      <c r="AJ357" s="126">
        <f>SUM(TblDetailBudget[[#This Row],[2021 Cost (USD)]:[2025 Cost (USD)]])</f>
        <v>0</v>
      </c>
      <c r="AK357" s="180"/>
    </row>
    <row r="358" spans="2:37" ht="12.75" customHeight="1">
      <c r="B358" s="123"/>
      <c r="C35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58" s="85" t="str">
        <f>IF(TblDetailBudget[[#This Row],[Level]]="", "", COUNTIFS($B$8:TblDetailBudget[[#This Row],[Level]], Lvl1Hdr))</f>
        <v/>
      </c>
      <c r="E358" s="85" t="str">
        <f>IF(TblDetailBudget[[#This Row],[Level]]="", "", COUNTIFS($B$8:TblDetailBudget[[#This Row],[Level]], Lvl2Hdr, $D$8:TblDetailBudget[[#This Row],[Lvl 1 Header]], TblDetailBudget[[#This Row],[Lvl 1 Header]]))</f>
        <v/>
      </c>
      <c r="F35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5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5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58" s="164"/>
      <c r="J358" s="164"/>
      <c r="K358" s="165"/>
      <c r="L358" s="165"/>
      <c r="M358" s="85" t="str">
        <f>IF(TblDetailBudget[[#This Row],[Level]]=LvlBottomHdr, IFERROR(INDEX(TblUnitCost[Unit], MATCH(TblDetailBudget[[#This Row],[Row Title]], TblUnitCost[Resource], 0)), "Invalid Resource"), "")</f>
        <v/>
      </c>
      <c r="N358" s="126" t="str">
        <f>IF(TblDetailBudget[[#This Row],[Level]]=LvlBottomHdr, IFERROR(INDEX(TblUnitCost[LCU], MATCH(TblDetailBudget[[#This Row],[Row Title]], TblUnitCost[Resource], 0)), "Invalid Resource"), "")</f>
        <v/>
      </c>
      <c r="O358" s="130"/>
      <c r="P358" s="109"/>
      <c r="Q358" s="186"/>
      <c r="R358" s="131"/>
      <c r="S358" s="109" t="s">
        <v>66</v>
      </c>
      <c r="T358" s="109" t="s">
        <v>66</v>
      </c>
      <c r="U358" s="109" t="s">
        <v>66</v>
      </c>
      <c r="V358" s="109" t="s">
        <v>66</v>
      </c>
      <c r="W358" s="109" t="s">
        <v>66</v>
      </c>
      <c r="X358" s="126" t="str">
        <f>IF(TblDetailBudget[[#This Row],[Level]]=LvlBottomHdr, IF(SUM(TblDetailBudget[[#This Row],[2021 Quant]:[2025 Quant]])&gt;0, SUM(TblDetailBudget[[#This Row],[2021 Quant]:[2025 Quant]]), ""), "")</f>
        <v/>
      </c>
      <c r="Y35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5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5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5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5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58" s="142">
        <f>SUM(TblDetailBudget[[#This Row],[2021 Cost (LCU)]:[2025 Cost (LCU)]])</f>
        <v>0</v>
      </c>
      <c r="AE358" s="135">
        <f>IFERROR(SUM(TblDetailBudget[[#This Row],[2021 Cost (LCU)]])/FX_Rate, "")</f>
        <v>0</v>
      </c>
      <c r="AF358" s="86">
        <f>IFERROR(SUM(TblDetailBudget[[#This Row],[2022 Cost (LCU)]])/FX_Rate, "")</f>
        <v>0</v>
      </c>
      <c r="AG358" s="86">
        <f>IFERROR(SUM(TblDetailBudget[[#This Row],[2023 Cost (LCU)]])/FX_Rate, "")</f>
        <v>0</v>
      </c>
      <c r="AH358" s="86">
        <f>IFERROR(SUM(TblDetailBudget[[#This Row],[2024 Cost (LCU)]])/FX_Rate, "")</f>
        <v>0</v>
      </c>
      <c r="AI358" s="86">
        <f>IFERROR(SUM(TblDetailBudget[[#This Row],[2025 Cost (LCU)]])/FX_Rate, "")</f>
        <v>0</v>
      </c>
      <c r="AJ358" s="126">
        <f>SUM(TblDetailBudget[[#This Row],[2021 Cost (USD)]:[2025 Cost (USD)]])</f>
        <v>0</v>
      </c>
      <c r="AK358" s="180"/>
    </row>
    <row r="359" spans="2:37" ht="12.75" customHeight="1">
      <c r="B359" s="123"/>
      <c r="C35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59" s="85" t="str">
        <f>IF(TblDetailBudget[[#This Row],[Level]]="", "", COUNTIFS($B$8:TblDetailBudget[[#This Row],[Level]], Lvl1Hdr))</f>
        <v/>
      </c>
      <c r="E359" s="85" t="str">
        <f>IF(TblDetailBudget[[#This Row],[Level]]="", "", COUNTIFS($B$8:TblDetailBudget[[#This Row],[Level]], Lvl2Hdr, $D$8:TblDetailBudget[[#This Row],[Lvl 1 Header]], TblDetailBudget[[#This Row],[Lvl 1 Header]]))</f>
        <v/>
      </c>
      <c r="F35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5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5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59" s="164"/>
      <c r="J359" s="164"/>
      <c r="K359" s="165"/>
      <c r="L359" s="165"/>
      <c r="M359" s="85" t="str">
        <f>IF(TblDetailBudget[[#This Row],[Level]]=LvlBottomHdr, IFERROR(INDEX(TblUnitCost[Unit], MATCH(TblDetailBudget[[#This Row],[Row Title]], TblUnitCost[Resource], 0)), "Invalid Resource"), "")</f>
        <v/>
      </c>
      <c r="N359" s="126" t="str">
        <f>IF(TblDetailBudget[[#This Row],[Level]]=LvlBottomHdr, IFERROR(INDEX(TblUnitCost[LCU], MATCH(TblDetailBudget[[#This Row],[Row Title]], TblUnitCost[Resource], 0)), "Invalid Resource"), "")</f>
        <v/>
      </c>
      <c r="O359" s="130"/>
      <c r="P359" s="109"/>
      <c r="Q359" s="186"/>
      <c r="R359" s="131"/>
      <c r="S359" s="109" t="s">
        <v>66</v>
      </c>
      <c r="T359" s="109" t="s">
        <v>66</v>
      </c>
      <c r="U359" s="109" t="s">
        <v>66</v>
      </c>
      <c r="V359" s="109" t="s">
        <v>66</v>
      </c>
      <c r="W359" s="109" t="s">
        <v>66</v>
      </c>
      <c r="X359" s="126" t="str">
        <f>IF(TblDetailBudget[[#This Row],[Level]]=LvlBottomHdr, IF(SUM(TblDetailBudget[[#This Row],[2021 Quant]:[2025 Quant]])&gt;0, SUM(TblDetailBudget[[#This Row],[2021 Quant]:[2025 Quant]]), ""), "")</f>
        <v/>
      </c>
      <c r="Y35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5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5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5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5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59" s="142">
        <f>SUM(TblDetailBudget[[#This Row],[2021 Cost (LCU)]:[2025 Cost (LCU)]])</f>
        <v>0</v>
      </c>
      <c r="AE359" s="135">
        <f>IFERROR(SUM(TblDetailBudget[[#This Row],[2021 Cost (LCU)]])/FX_Rate, "")</f>
        <v>0</v>
      </c>
      <c r="AF359" s="86">
        <f>IFERROR(SUM(TblDetailBudget[[#This Row],[2022 Cost (LCU)]])/FX_Rate, "")</f>
        <v>0</v>
      </c>
      <c r="AG359" s="86">
        <f>IFERROR(SUM(TblDetailBudget[[#This Row],[2023 Cost (LCU)]])/FX_Rate, "")</f>
        <v>0</v>
      </c>
      <c r="AH359" s="86">
        <f>IFERROR(SUM(TblDetailBudget[[#This Row],[2024 Cost (LCU)]])/FX_Rate, "")</f>
        <v>0</v>
      </c>
      <c r="AI359" s="86">
        <f>IFERROR(SUM(TblDetailBudget[[#This Row],[2025 Cost (LCU)]])/FX_Rate, "")</f>
        <v>0</v>
      </c>
      <c r="AJ359" s="126">
        <f>SUM(TblDetailBudget[[#This Row],[2021 Cost (USD)]:[2025 Cost (USD)]])</f>
        <v>0</v>
      </c>
      <c r="AK359" s="180"/>
    </row>
    <row r="360" spans="2:37" ht="12.75" customHeight="1">
      <c r="B360" s="123"/>
      <c r="C36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60" s="85" t="str">
        <f>IF(TblDetailBudget[[#This Row],[Level]]="", "", COUNTIFS($B$8:TblDetailBudget[[#This Row],[Level]], Lvl1Hdr))</f>
        <v/>
      </c>
      <c r="E360" s="85" t="str">
        <f>IF(TblDetailBudget[[#This Row],[Level]]="", "", COUNTIFS($B$8:TblDetailBudget[[#This Row],[Level]], Lvl2Hdr, $D$8:TblDetailBudget[[#This Row],[Lvl 1 Header]], TblDetailBudget[[#This Row],[Lvl 1 Header]]))</f>
        <v/>
      </c>
      <c r="F36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6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6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60" s="164"/>
      <c r="J360" s="164"/>
      <c r="K360" s="165"/>
      <c r="L360" s="165"/>
      <c r="M360" s="85" t="str">
        <f>IF(TblDetailBudget[[#This Row],[Level]]=LvlBottomHdr, IFERROR(INDEX(TblUnitCost[Unit], MATCH(TblDetailBudget[[#This Row],[Row Title]], TblUnitCost[Resource], 0)), "Invalid Resource"), "")</f>
        <v/>
      </c>
      <c r="N360" s="126" t="str">
        <f>IF(TblDetailBudget[[#This Row],[Level]]=LvlBottomHdr, IFERROR(INDEX(TblUnitCost[LCU], MATCH(TblDetailBudget[[#This Row],[Row Title]], TblUnitCost[Resource], 0)), "Invalid Resource"), "")</f>
        <v/>
      </c>
      <c r="O360" s="130"/>
      <c r="P360" s="109"/>
      <c r="Q360" s="186"/>
      <c r="R360" s="131"/>
      <c r="S360" s="109" t="s">
        <v>66</v>
      </c>
      <c r="T360" s="109" t="s">
        <v>66</v>
      </c>
      <c r="U360" s="109" t="s">
        <v>66</v>
      </c>
      <c r="V360" s="109" t="s">
        <v>66</v>
      </c>
      <c r="W360" s="109" t="s">
        <v>66</v>
      </c>
      <c r="X360" s="126" t="str">
        <f>IF(TblDetailBudget[[#This Row],[Level]]=LvlBottomHdr, IF(SUM(TblDetailBudget[[#This Row],[2021 Quant]:[2025 Quant]])&gt;0, SUM(TblDetailBudget[[#This Row],[2021 Quant]:[2025 Quant]]), ""), "")</f>
        <v/>
      </c>
      <c r="Y36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6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6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6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6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60" s="142">
        <f>SUM(TblDetailBudget[[#This Row],[2021 Cost (LCU)]:[2025 Cost (LCU)]])</f>
        <v>0</v>
      </c>
      <c r="AE360" s="135">
        <f>IFERROR(SUM(TblDetailBudget[[#This Row],[2021 Cost (LCU)]])/FX_Rate, "")</f>
        <v>0</v>
      </c>
      <c r="AF360" s="86">
        <f>IFERROR(SUM(TblDetailBudget[[#This Row],[2022 Cost (LCU)]])/FX_Rate, "")</f>
        <v>0</v>
      </c>
      <c r="AG360" s="86">
        <f>IFERROR(SUM(TblDetailBudget[[#This Row],[2023 Cost (LCU)]])/FX_Rate, "")</f>
        <v>0</v>
      </c>
      <c r="AH360" s="86">
        <f>IFERROR(SUM(TblDetailBudget[[#This Row],[2024 Cost (LCU)]])/FX_Rate, "")</f>
        <v>0</v>
      </c>
      <c r="AI360" s="86">
        <f>IFERROR(SUM(TblDetailBudget[[#This Row],[2025 Cost (LCU)]])/FX_Rate, "")</f>
        <v>0</v>
      </c>
      <c r="AJ360" s="126">
        <f>SUM(TblDetailBudget[[#This Row],[2021 Cost (USD)]:[2025 Cost (USD)]])</f>
        <v>0</v>
      </c>
      <c r="AK360" s="180"/>
    </row>
    <row r="361" spans="2:37" ht="12.75" customHeight="1">
      <c r="B361" s="123"/>
      <c r="C36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61" s="85" t="str">
        <f>IF(TblDetailBudget[[#This Row],[Level]]="", "", COUNTIFS($B$8:TblDetailBudget[[#This Row],[Level]], Lvl1Hdr))</f>
        <v/>
      </c>
      <c r="E361" s="85" t="str">
        <f>IF(TblDetailBudget[[#This Row],[Level]]="", "", COUNTIFS($B$8:TblDetailBudget[[#This Row],[Level]], Lvl2Hdr, $D$8:TblDetailBudget[[#This Row],[Lvl 1 Header]], TblDetailBudget[[#This Row],[Lvl 1 Header]]))</f>
        <v/>
      </c>
      <c r="F36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6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6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61" s="164"/>
      <c r="J361" s="164"/>
      <c r="K361" s="165"/>
      <c r="L361" s="165"/>
      <c r="M361" s="85" t="str">
        <f>IF(TblDetailBudget[[#This Row],[Level]]=LvlBottomHdr, IFERROR(INDEX(TblUnitCost[Unit], MATCH(TblDetailBudget[[#This Row],[Row Title]], TblUnitCost[Resource], 0)), "Invalid Resource"), "")</f>
        <v/>
      </c>
      <c r="N361" s="126" t="str">
        <f>IF(TblDetailBudget[[#This Row],[Level]]=LvlBottomHdr, IFERROR(INDEX(TblUnitCost[LCU], MATCH(TblDetailBudget[[#This Row],[Row Title]], TblUnitCost[Resource], 0)), "Invalid Resource"), "")</f>
        <v/>
      </c>
      <c r="O361" s="130"/>
      <c r="P361" s="109"/>
      <c r="Q361" s="186"/>
      <c r="R361" s="131"/>
      <c r="S361" s="109" t="s">
        <v>66</v>
      </c>
      <c r="T361" s="109" t="s">
        <v>66</v>
      </c>
      <c r="U361" s="109" t="s">
        <v>66</v>
      </c>
      <c r="V361" s="109" t="s">
        <v>66</v>
      </c>
      <c r="W361" s="109" t="s">
        <v>66</v>
      </c>
      <c r="X361" s="126" t="str">
        <f>IF(TblDetailBudget[[#This Row],[Level]]=LvlBottomHdr, IF(SUM(TblDetailBudget[[#This Row],[2021 Quant]:[2025 Quant]])&gt;0, SUM(TblDetailBudget[[#This Row],[2021 Quant]:[2025 Quant]]), ""), "")</f>
        <v/>
      </c>
      <c r="Y36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6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6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6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6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61" s="142">
        <f>SUM(TblDetailBudget[[#This Row],[2021 Cost (LCU)]:[2025 Cost (LCU)]])</f>
        <v>0</v>
      </c>
      <c r="AE361" s="135">
        <f>IFERROR(SUM(TblDetailBudget[[#This Row],[2021 Cost (LCU)]])/FX_Rate, "")</f>
        <v>0</v>
      </c>
      <c r="AF361" s="86">
        <f>IFERROR(SUM(TblDetailBudget[[#This Row],[2022 Cost (LCU)]])/FX_Rate, "")</f>
        <v>0</v>
      </c>
      <c r="AG361" s="86">
        <f>IFERROR(SUM(TblDetailBudget[[#This Row],[2023 Cost (LCU)]])/FX_Rate, "")</f>
        <v>0</v>
      </c>
      <c r="AH361" s="86">
        <f>IFERROR(SUM(TblDetailBudget[[#This Row],[2024 Cost (LCU)]])/FX_Rate, "")</f>
        <v>0</v>
      </c>
      <c r="AI361" s="86">
        <f>IFERROR(SUM(TblDetailBudget[[#This Row],[2025 Cost (LCU)]])/FX_Rate, "")</f>
        <v>0</v>
      </c>
      <c r="AJ361" s="126">
        <f>SUM(TblDetailBudget[[#This Row],[2021 Cost (USD)]:[2025 Cost (USD)]])</f>
        <v>0</v>
      </c>
      <c r="AK361" s="180"/>
    </row>
    <row r="362" spans="2:37" ht="12.75" customHeight="1">
      <c r="B362" s="123"/>
      <c r="C36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62" s="85" t="str">
        <f>IF(TblDetailBudget[[#This Row],[Level]]="", "", COUNTIFS($B$8:TblDetailBudget[[#This Row],[Level]], Lvl1Hdr))</f>
        <v/>
      </c>
      <c r="E362" s="85" t="str">
        <f>IF(TblDetailBudget[[#This Row],[Level]]="", "", COUNTIFS($B$8:TblDetailBudget[[#This Row],[Level]], Lvl2Hdr, $D$8:TblDetailBudget[[#This Row],[Lvl 1 Header]], TblDetailBudget[[#This Row],[Lvl 1 Header]]))</f>
        <v/>
      </c>
      <c r="F36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6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6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62" s="164"/>
      <c r="J362" s="164"/>
      <c r="K362" s="165"/>
      <c r="L362" s="165"/>
      <c r="M362" s="85" t="str">
        <f>IF(TblDetailBudget[[#This Row],[Level]]=LvlBottomHdr, IFERROR(INDEX(TblUnitCost[Unit], MATCH(TblDetailBudget[[#This Row],[Row Title]], TblUnitCost[Resource], 0)), "Invalid Resource"), "")</f>
        <v/>
      </c>
      <c r="N362" s="126" t="str">
        <f>IF(TblDetailBudget[[#This Row],[Level]]=LvlBottomHdr, IFERROR(INDEX(TblUnitCost[LCU], MATCH(TblDetailBudget[[#This Row],[Row Title]], TblUnitCost[Resource], 0)), "Invalid Resource"), "")</f>
        <v/>
      </c>
      <c r="O362" s="130"/>
      <c r="P362" s="109"/>
      <c r="Q362" s="186"/>
      <c r="R362" s="131"/>
      <c r="S362" s="109" t="s">
        <v>66</v>
      </c>
      <c r="T362" s="109" t="s">
        <v>66</v>
      </c>
      <c r="U362" s="109" t="s">
        <v>66</v>
      </c>
      <c r="V362" s="109" t="s">
        <v>66</v>
      </c>
      <c r="W362" s="109" t="s">
        <v>66</v>
      </c>
      <c r="X362" s="126" t="str">
        <f>IF(TblDetailBudget[[#This Row],[Level]]=LvlBottomHdr, IF(SUM(TblDetailBudget[[#This Row],[2021 Quant]:[2025 Quant]])&gt;0, SUM(TblDetailBudget[[#This Row],[2021 Quant]:[2025 Quant]]), ""), "")</f>
        <v/>
      </c>
      <c r="Y36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6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6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6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6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62" s="142">
        <f>SUM(TblDetailBudget[[#This Row],[2021 Cost (LCU)]:[2025 Cost (LCU)]])</f>
        <v>0</v>
      </c>
      <c r="AE362" s="135">
        <f>IFERROR(SUM(TblDetailBudget[[#This Row],[2021 Cost (LCU)]])/FX_Rate, "")</f>
        <v>0</v>
      </c>
      <c r="AF362" s="86">
        <f>IFERROR(SUM(TblDetailBudget[[#This Row],[2022 Cost (LCU)]])/FX_Rate, "")</f>
        <v>0</v>
      </c>
      <c r="AG362" s="86">
        <f>IFERROR(SUM(TblDetailBudget[[#This Row],[2023 Cost (LCU)]])/FX_Rate, "")</f>
        <v>0</v>
      </c>
      <c r="AH362" s="86">
        <f>IFERROR(SUM(TblDetailBudget[[#This Row],[2024 Cost (LCU)]])/FX_Rate, "")</f>
        <v>0</v>
      </c>
      <c r="AI362" s="86">
        <f>IFERROR(SUM(TblDetailBudget[[#This Row],[2025 Cost (LCU)]])/FX_Rate, "")</f>
        <v>0</v>
      </c>
      <c r="AJ362" s="126">
        <f>SUM(TblDetailBudget[[#This Row],[2021 Cost (USD)]:[2025 Cost (USD)]])</f>
        <v>0</v>
      </c>
      <c r="AK362" s="180"/>
    </row>
    <row r="363" spans="2:37" ht="12.75" customHeight="1">
      <c r="B363" s="123"/>
      <c r="C36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63" s="85" t="str">
        <f>IF(TblDetailBudget[[#This Row],[Level]]="", "", COUNTIFS($B$8:TblDetailBudget[[#This Row],[Level]], Lvl1Hdr))</f>
        <v/>
      </c>
      <c r="E363" s="85" t="str">
        <f>IF(TblDetailBudget[[#This Row],[Level]]="", "", COUNTIFS($B$8:TblDetailBudget[[#This Row],[Level]], Lvl2Hdr, $D$8:TblDetailBudget[[#This Row],[Lvl 1 Header]], TblDetailBudget[[#This Row],[Lvl 1 Header]]))</f>
        <v/>
      </c>
      <c r="F36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6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6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63" s="164"/>
      <c r="J363" s="164"/>
      <c r="K363" s="165"/>
      <c r="L363" s="165"/>
      <c r="M363" s="85" t="str">
        <f>IF(TblDetailBudget[[#This Row],[Level]]=LvlBottomHdr, IFERROR(INDEX(TblUnitCost[Unit], MATCH(TblDetailBudget[[#This Row],[Row Title]], TblUnitCost[Resource], 0)), "Invalid Resource"), "")</f>
        <v/>
      </c>
      <c r="N363" s="126" t="str">
        <f>IF(TblDetailBudget[[#This Row],[Level]]=LvlBottomHdr, IFERROR(INDEX(TblUnitCost[LCU], MATCH(TblDetailBudget[[#This Row],[Row Title]], TblUnitCost[Resource], 0)), "Invalid Resource"), "")</f>
        <v/>
      </c>
      <c r="O363" s="130"/>
      <c r="P363" s="109"/>
      <c r="Q363" s="186"/>
      <c r="R363" s="131"/>
      <c r="S363" s="109" t="s">
        <v>66</v>
      </c>
      <c r="T363" s="109" t="s">
        <v>66</v>
      </c>
      <c r="U363" s="109" t="s">
        <v>66</v>
      </c>
      <c r="V363" s="109" t="s">
        <v>66</v>
      </c>
      <c r="W363" s="109" t="s">
        <v>66</v>
      </c>
      <c r="X363" s="126" t="str">
        <f>IF(TblDetailBudget[[#This Row],[Level]]=LvlBottomHdr, IF(SUM(TblDetailBudget[[#This Row],[2021 Quant]:[2025 Quant]])&gt;0, SUM(TblDetailBudget[[#This Row],[2021 Quant]:[2025 Quant]]), ""), "")</f>
        <v/>
      </c>
      <c r="Y36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6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6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6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6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63" s="142">
        <f>SUM(TblDetailBudget[[#This Row],[2021 Cost (LCU)]:[2025 Cost (LCU)]])</f>
        <v>0</v>
      </c>
      <c r="AE363" s="135">
        <f>IFERROR(SUM(TblDetailBudget[[#This Row],[2021 Cost (LCU)]])/FX_Rate, "")</f>
        <v>0</v>
      </c>
      <c r="AF363" s="86">
        <f>IFERROR(SUM(TblDetailBudget[[#This Row],[2022 Cost (LCU)]])/FX_Rate, "")</f>
        <v>0</v>
      </c>
      <c r="AG363" s="86">
        <f>IFERROR(SUM(TblDetailBudget[[#This Row],[2023 Cost (LCU)]])/FX_Rate, "")</f>
        <v>0</v>
      </c>
      <c r="AH363" s="86">
        <f>IFERROR(SUM(TblDetailBudget[[#This Row],[2024 Cost (LCU)]])/FX_Rate, "")</f>
        <v>0</v>
      </c>
      <c r="AI363" s="86">
        <f>IFERROR(SUM(TblDetailBudget[[#This Row],[2025 Cost (LCU)]])/FX_Rate, "")</f>
        <v>0</v>
      </c>
      <c r="AJ363" s="126">
        <f>SUM(TblDetailBudget[[#This Row],[2021 Cost (USD)]:[2025 Cost (USD)]])</f>
        <v>0</v>
      </c>
      <c r="AK363" s="180"/>
    </row>
    <row r="364" spans="2:37" ht="12.75" customHeight="1">
      <c r="B364" s="123"/>
      <c r="C36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64" s="85" t="str">
        <f>IF(TblDetailBudget[[#This Row],[Level]]="", "", COUNTIFS($B$8:TblDetailBudget[[#This Row],[Level]], Lvl1Hdr))</f>
        <v/>
      </c>
      <c r="E364" s="85" t="str">
        <f>IF(TblDetailBudget[[#This Row],[Level]]="", "", COUNTIFS($B$8:TblDetailBudget[[#This Row],[Level]], Lvl2Hdr, $D$8:TblDetailBudget[[#This Row],[Lvl 1 Header]], TblDetailBudget[[#This Row],[Lvl 1 Header]]))</f>
        <v/>
      </c>
      <c r="F36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6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6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64" s="164"/>
      <c r="J364" s="164"/>
      <c r="K364" s="165"/>
      <c r="L364" s="165"/>
      <c r="M364" s="85" t="str">
        <f>IF(TblDetailBudget[[#This Row],[Level]]=LvlBottomHdr, IFERROR(INDEX(TblUnitCost[Unit], MATCH(TblDetailBudget[[#This Row],[Row Title]], TblUnitCost[Resource], 0)), "Invalid Resource"), "")</f>
        <v/>
      </c>
      <c r="N364" s="126" t="str">
        <f>IF(TblDetailBudget[[#This Row],[Level]]=LvlBottomHdr, IFERROR(INDEX(TblUnitCost[LCU], MATCH(TblDetailBudget[[#This Row],[Row Title]], TblUnitCost[Resource], 0)), "Invalid Resource"), "")</f>
        <v/>
      </c>
      <c r="O364" s="130"/>
      <c r="P364" s="109"/>
      <c r="Q364" s="186"/>
      <c r="R364" s="131"/>
      <c r="S364" s="109" t="s">
        <v>66</v>
      </c>
      <c r="T364" s="109" t="s">
        <v>66</v>
      </c>
      <c r="U364" s="109" t="s">
        <v>66</v>
      </c>
      <c r="V364" s="109" t="s">
        <v>66</v>
      </c>
      <c r="W364" s="109" t="s">
        <v>66</v>
      </c>
      <c r="X364" s="126" t="str">
        <f>IF(TblDetailBudget[[#This Row],[Level]]=LvlBottomHdr, IF(SUM(TblDetailBudget[[#This Row],[2021 Quant]:[2025 Quant]])&gt;0, SUM(TblDetailBudget[[#This Row],[2021 Quant]:[2025 Quant]]), ""), "")</f>
        <v/>
      </c>
      <c r="Y36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6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6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6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6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64" s="142">
        <f>SUM(TblDetailBudget[[#This Row],[2021 Cost (LCU)]:[2025 Cost (LCU)]])</f>
        <v>0</v>
      </c>
      <c r="AE364" s="135">
        <f>IFERROR(SUM(TblDetailBudget[[#This Row],[2021 Cost (LCU)]])/FX_Rate, "")</f>
        <v>0</v>
      </c>
      <c r="AF364" s="86">
        <f>IFERROR(SUM(TblDetailBudget[[#This Row],[2022 Cost (LCU)]])/FX_Rate, "")</f>
        <v>0</v>
      </c>
      <c r="AG364" s="86">
        <f>IFERROR(SUM(TblDetailBudget[[#This Row],[2023 Cost (LCU)]])/FX_Rate, "")</f>
        <v>0</v>
      </c>
      <c r="AH364" s="86">
        <f>IFERROR(SUM(TblDetailBudget[[#This Row],[2024 Cost (LCU)]])/FX_Rate, "")</f>
        <v>0</v>
      </c>
      <c r="AI364" s="86">
        <f>IFERROR(SUM(TblDetailBudget[[#This Row],[2025 Cost (LCU)]])/FX_Rate, "")</f>
        <v>0</v>
      </c>
      <c r="AJ364" s="126">
        <f>SUM(TblDetailBudget[[#This Row],[2021 Cost (USD)]:[2025 Cost (USD)]])</f>
        <v>0</v>
      </c>
      <c r="AK364" s="180"/>
    </row>
    <row r="365" spans="2:37" ht="12.75" customHeight="1">
      <c r="B365" s="123"/>
      <c r="C36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65" s="85" t="str">
        <f>IF(TblDetailBudget[[#This Row],[Level]]="", "", COUNTIFS($B$8:TblDetailBudget[[#This Row],[Level]], Lvl1Hdr))</f>
        <v/>
      </c>
      <c r="E365" s="85" t="str">
        <f>IF(TblDetailBudget[[#This Row],[Level]]="", "", COUNTIFS($B$8:TblDetailBudget[[#This Row],[Level]], Lvl2Hdr, $D$8:TblDetailBudget[[#This Row],[Lvl 1 Header]], TblDetailBudget[[#This Row],[Lvl 1 Header]]))</f>
        <v/>
      </c>
      <c r="F36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6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6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65" s="164"/>
      <c r="J365" s="164"/>
      <c r="K365" s="165"/>
      <c r="L365" s="165"/>
      <c r="M365" s="85" t="str">
        <f>IF(TblDetailBudget[[#This Row],[Level]]=LvlBottomHdr, IFERROR(INDEX(TblUnitCost[Unit], MATCH(TblDetailBudget[[#This Row],[Row Title]], TblUnitCost[Resource], 0)), "Invalid Resource"), "")</f>
        <v/>
      </c>
      <c r="N365" s="126" t="str">
        <f>IF(TblDetailBudget[[#This Row],[Level]]=LvlBottomHdr, IFERROR(INDEX(TblUnitCost[LCU], MATCH(TblDetailBudget[[#This Row],[Row Title]], TblUnitCost[Resource], 0)), "Invalid Resource"), "")</f>
        <v/>
      </c>
      <c r="O365" s="130"/>
      <c r="P365" s="109"/>
      <c r="Q365" s="186"/>
      <c r="R365" s="131"/>
      <c r="S365" s="109" t="s">
        <v>66</v>
      </c>
      <c r="T365" s="109" t="s">
        <v>66</v>
      </c>
      <c r="U365" s="109" t="s">
        <v>66</v>
      </c>
      <c r="V365" s="109" t="s">
        <v>66</v>
      </c>
      <c r="W365" s="109" t="s">
        <v>66</v>
      </c>
      <c r="X365" s="126" t="str">
        <f>IF(TblDetailBudget[[#This Row],[Level]]=LvlBottomHdr, IF(SUM(TblDetailBudget[[#This Row],[2021 Quant]:[2025 Quant]])&gt;0, SUM(TblDetailBudget[[#This Row],[2021 Quant]:[2025 Quant]]), ""), "")</f>
        <v/>
      </c>
      <c r="Y36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6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6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6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6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65" s="142">
        <f>SUM(TblDetailBudget[[#This Row],[2021 Cost (LCU)]:[2025 Cost (LCU)]])</f>
        <v>0</v>
      </c>
      <c r="AE365" s="135">
        <f>IFERROR(SUM(TblDetailBudget[[#This Row],[2021 Cost (LCU)]])/FX_Rate, "")</f>
        <v>0</v>
      </c>
      <c r="AF365" s="86">
        <f>IFERROR(SUM(TblDetailBudget[[#This Row],[2022 Cost (LCU)]])/FX_Rate, "")</f>
        <v>0</v>
      </c>
      <c r="AG365" s="86">
        <f>IFERROR(SUM(TblDetailBudget[[#This Row],[2023 Cost (LCU)]])/FX_Rate, "")</f>
        <v>0</v>
      </c>
      <c r="AH365" s="86">
        <f>IFERROR(SUM(TblDetailBudget[[#This Row],[2024 Cost (LCU)]])/FX_Rate, "")</f>
        <v>0</v>
      </c>
      <c r="AI365" s="86">
        <f>IFERROR(SUM(TblDetailBudget[[#This Row],[2025 Cost (LCU)]])/FX_Rate, "")</f>
        <v>0</v>
      </c>
      <c r="AJ365" s="126">
        <f>SUM(TblDetailBudget[[#This Row],[2021 Cost (USD)]:[2025 Cost (USD)]])</f>
        <v>0</v>
      </c>
      <c r="AK365" s="180"/>
    </row>
    <row r="366" spans="2:37" ht="12.75" customHeight="1">
      <c r="B366" s="123"/>
      <c r="C36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66" s="85" t="str">
        <f>IF(TblDetailBudget[[#This Row],[Level]]="", "", COUNTIFS($B$8:TblDetailBudget[[#This Row],[Level]], Lvl1Hdr))</f>
        <v/>
      </c>
      <c r="E366" s="85" t="str">
        <f>IF(TblDetailBudget[[#This Row],[Level]]="", "", COUNTIFS($B$8:TblDetailBudget[[#This Row],[Level]], Lvl2Hdr, $D$8:TblDetailBudget[[#This Row],[Lvl 1 Header]], TblDetailBudget[[#This Row],[Lvl 1 Header]]))</f>
        <v/>
      </c>
      <c r="F36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6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6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66" s="164"/>
      <c r="J366" s="164"/>
      <c r="K366" s="165"/>
      <c r="L366" s="165"/>
      <c r="M366" s="85" t="str">
        <f>IF(TblDetailBudget[[#This Row],[Level]]=LvlBottomHdr, IFERROR(INDEX(TblUnitCost[Unit], MATCH(TblDetailBudget[[#This Row],[Row Title]], TblUnitCost[Resource], 0)), "Invalid Resource"), "")</f>
        <v/>
      </c>
      <c r="N366" s="126" t="str">
        <f>IF(TblDetailBudget[[#This Row],[Level]]=LvlBottomHdr, IFERROR(INDEX(TblUnitCost[LCU], MATCH(TblDetailBudget[[#This Row],[Row Title]], TblUnitCost[Resource], 0)), "Invalid Resource"), "")</f>
        <v/>
      </c>
      <c r="O366" s="130"/>
      <c r="P366" s="109"/>
      <c r="Q366" s="186"/>
      <c r="R366" s="131"/>
      <c r="S366" s="109" t="s">
        <v>66</v>
      </c>
      <c r="T366" s="109" t="s">
        <v>66</v>
      </c>
      <c r="U366" s="109" t="s">
        <v>66</v>
      </c>
      <c r="V366" s="109" t="s">
        <v>66</v>
      </c>
      <c r="W366" s="109" t="s">
        <v>66</v>
      </c>
      <c r="X366" s="126" t="str">
        <f>IF(TblDetailBudget[[#This Row],[Level]]=LvlBottomHdr, IF(SUM(TblDetailBudget[[#This Row],[2021 Quant]:[2025 Quant]])&gt;0, SUM(TblDetailBudget[[#This Row],[2021 Quant]:[2025 Quant]]), ""), "")</f>
        <v/>
      </c>
      <c r="Y36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6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6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6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6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66" s="142">
        <f>SUM(TblDetailBudget[[#This Row],[2021 Cost (LCU)]:[2025 Cost (LCU)]])</f>
        <v>0</v>
      </c>
      <c r="AE366" s="135">
        <f>IFERROR(SUM(TblDetailBudget[[#This Row],[2021 Cost (LCU)]])/FX_Rate, "")</f>
        <v>0</v>
      </c>
      <c r="AF366" s="86">
        <f>IFERROR(SUM(TblDetailBudget[[#This Row],[2022 Cost (LCU)]])/FX_Rate, "")</f>
        <v>0</v>
      </c>
      <c r="AG366" s="86">
        <f>IFERROR(SUM(TblDetailBudget[[#This Row],[2023 Cost (LCU)]])/FX_Rate, "")</f>
        <v>0</v>
      </c>
      <c r="AH366" s="86">
        <f>IFERROR(SUM(TblDetailBudget[[#This Row],[2024 Cost (LCU)]])/FX_Rate, "")</f>
        <v>0</v>
      </c>
      <c r="AI366" s="86">
        <f>IFERROR(SUM(TblDetailBudget[[#This Row],[2025 Cost (LCU)]])/FX_Rate, "")</f>
        <v>0</v>
      </c>
      <c r="AJ366" s="126">
        <f>SUM(TblDetailBudget[[#This Row],[2021 Cost (USD)]:[2025 Cost (USD)]])</f>
        <v>0</v>
      </c>
      <c r="AK366" s="180"/>
    </row>
    <row r="367" spans="2:37" ht="12.75" customHeight="1">
      <c r="B367" s="123"/>
      <c r="C36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67" s="85" t="str">
        <f>IF(TblDetailBudget[[#This Row],[Level]]="", "", COUNTIFS($B$8:TblDetailBudget[[#This Row],[Level]], Lvl1Hdr))</f>
        <v/>
      </c>
      <c r="E367" s="85" t="str">
        <f>IF(TblDetailBudget[[#This Row],[Level]]="", "", COUNTIFS($B$8:TblDetailBudget[[#This Row],[Level]], Lvl2Hdr, $D$8:TblDetailBudget[[#This Row],[Lvl 1 Header]], TblDetailBudget[[#This Row],[Lvl 1 Header]]))</f>
        <v/>
      </c>
      <c r="F36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6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6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67" s="164"/>
      <c r="J367" s="164"/>
      <c r="K367" s="165"/>
      <c r="L367" s="165"/>
      <c r="M367" s="85" t="str">
        <f>IF(TblDetailBudget[[#This Row],[Level]]=LvlBottomHdr, IFERROR(INDEX(TblUnitCost[Unit], MATCH(TblDetailBudget[[#This Row],[Row Title]], TblUnitCost[Resource], 0)), "Invalid Resource"), "")</f>
        <v/>
      </c>
      <c r="N367" s="126" t="str">
        <f>IF(TblDetailBudget[[#This Row],[Level]]=LvlBottomHdr, IFERROR(INDEX(TblUnitCost[LCU], MATCH(TblDetailBudget[[#This Row],[Row Title]], TblUnitCost[Resource], 0)), "Invalid Resource"), "")</f>
        <v/>
      </c>
      <c r="O367" s="130"/>
      <c r="P367" s="109"/>
      <c r="Q367" s="186"/>
      <c r="R367" s="131"/>
      <c r="S367" s="109" t="s">
        <v>66</v>
      </c>
      <c r="T367" s="109" t="s">
        <v>66</v>
      </c>
      <c r="U367" s="109" t="s">
        <v>66</v>
      </c>
      <c r="V367" s="109" t="s">
        <v>66</v>
      </c>
      <c r="W367" s="109" t="s">
        <v>66</v>
      </c>
      <c r="X367" s="126" t="str">
        <f>IF(TblDetailBudget[[#This Row],[Level]]=LvlBottomHdr, IF(SUM(TblDetailBudget[[#This Row],[2021 Quant]:[2025 Quant]])&gt;0, SUM(TblDetailBudget[[#This Row],[2021 Quant]:[2025 Quant]]), ""), "")</f>
        <v/>
      </c>
      <c r="Y36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6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6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6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6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67" s="142">
        <f>SUM(TblDetailBudget[[#This Row],[2021 Cost (LCU)]:[2025 Cost (LCU)]])</f>
        <v>0</v>
      </c>
      <c r="AE367" s="135">
        <f>IFERROR(SUM(TblDetailBudget[[#This Row],[2021 Cost (LCU)]])/FX_Rate, "")</f>
        <v>0</v>
      </c>
      <c r="AF367" s="86">
        <f>IFERROR(SUM(TblDetailBudget[[#This Row],[2022 Cost (LCU)]])/FX_Rate, "")</f>
        <v>0</v>
      </c>
      <c r="AG367" s="86">
        <f>IFERROR(SUM(TblDetailBudget[[#This Row],[2023 Cost (LCU)]])/FX_Rate, "")</f>
        <v>0</v>
      </c>
      <c r="AH367" s="86">
        <f>IFERROR(SUM(TblDetailBudget[[#This Row],[2024 Cost (LCU)]])/FX_Rate, "")</f>
        <v>0</v>
      </c>
      <c r="AI367" s="86">
        <f>IFERROR(SUM(TblDetailBudget[[#This Row],[2025 Cost (LCU)]])/FX_Rate, "")</f>
        <v>0</v>
      </c>
      <c r="AJ367" s="126">
        <f>SUM(TblDetailBudget[[#This Row],[2021 Cost (USD)]:[2025 Cost (USD)]])</f>
        <v>0</v>
      </c>
      <c r="AK367" s="180"/>
    </row>
    <row r="368" spans="2:37" ht="12.75" customHeight="1">
      <c r="B368" s="123"/>
      <c r="C36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68" s="85" t="str">
        <f>IF(TblDetailBudget[[#This Row],[Level]]="", "", COUNTIFS($B$8:TblDetailBudget[[#This Row],[Level]], Lvl1Hdr))</f>
        <v/>
      </c>
      <c r="E368" s="85" t="str">
        <f>IF(TblDetailBudget[[#This Row],[Level]]="", "", COUNTIFS($B$8:TblDetailBudget[[#This Row],[Level]], Lvl2Hdr, $D$8:TblDetailBudget[[#This Row],[Lvl 1 Header]], TblDetailBudget[[#This Row],[Lvl 1 Header]]))</f>
        <v/>
      </c>
      <c r="F36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6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6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68" s="164"/>
      <c r="J368" s="164"/>
      <c r="K368" s="165"/>
      <c r="L368" s="165"/>
      <c r="M368" s="85" t="str">
        <f>IF(TblDetailBudget[[#This Row],[Level]]=LvlBottomHdr, IFERROR(INDEX(TblUnitCost[Unit], MATCH(TblDetailBudget[[#This Row],[Row Title]], TblUnitCost[Resource], 0)), "Invalid Resource"), "")</f>
        <v/>
      </c>
      <c r="N368" s="126" t="str">
        <f>IF(TblDetailBudget[[#This Row],[Level]]=LvlBottomHdr, IFERROR(INDEX(TblUnitCost[LCU], MATCH(TblDetailBudget[[#This Row],[Row Title]], TblUnitCost[Resource], 0)), "Invalid Resource"), "")</f>
        <v/>
      </c>
      <c r="O368" s="130"/>
      <c r="P368" s="109"/>
      <c r="Q368" s="186"/>
      <c r="R368" s="131"/>
      <c r="S368" s="109" t="s">
        <v>66</v>
      </c>
      <c r="T368" s="109" t="s">
        <v>66</v>
      </c>
      <c r="U368" s="109" t="s">
        <v>66</v>
      </c>
      <c r="V368" s="109" t="s">
        <v>66</v>
      </c>
      <c r="W368" s="109" t="s">
        <v>66</v>
      </c>
      <c r="X368" s="126" t="str">
        <f>IF(TblDetailBudget[[#This Row],[Level]]=LvlBottomHdr, IF(SUM(TblDetailBudget[[#This Row],[2021 Quant]:[2025 Quant]])&gt;0, SUM(TblDetailBudget[[#This Row],[2021 Quant]:[2025 Quant]]), ""), "")</f>
        <v/>
      </c>
      <c r="Y36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6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6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6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6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68" s="142">
        <f>SUM(TblDetailBudget[[#This Row],[2021 Cost (LCU)]:[2025 Cost (LCU)]])</f>
        <v>0</v>
      </c>
      <c r="AE368" s="135">
        <f>IFERROR(SUM(TblDetailBudget[[#This Row],[2021 Cost (LCU)]])/FX_Rate, "")</f>
        <v>0</v>
      </c>
      <c r="AF368" s="86">
        <f>IFERROR(SUM(TblDetailBudget[[#This Row],[2022 Cost (LCU)]])/FX_Rate, "")</f>
        <v>0</v>
      </c>
      <c r="AG368" s="86">
        <f>IFERROR(SUM(TblDetailBudget[[#This Row],[2023 Cost (LCU)]])/FX_Rate, "")</f>
        <v>0</v>
      </c>
      <c r="AH368" s="86">
        <f>IFERROR(SUM(TblDetailBudget[[#This Row],[2024 Cost (LCU)]])/FX_Rate, "")</f>
        <v>0</v>
      </c>
      <c r="AI368" s="86">
        <f>IFERROR(SUM(TblDetailBudget[[#This Row],[2025 Cost (LCU)]])/FX_Rate, "")</f>
        <v>0</v>
      </c>
      <c r="AJ368" s="126">
        <f>SUM(TblDetailBudget[[#This Row],[2021 Cost (USD)]:[2025 Cost (USD)]])</f>
        <v>0</v>
      </c>
      <c r="AK368" s="180"/>
    </row>
    <row r="369" spans="2:37" ht="12.75" customHeight="1">
      <c r="B369" s="123"/>
      <c r="C36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69" s="85" t="str">
        <f>IF(TblDetailBudget[[#This Row],[Level]]="", "", COUNTIFS($B$8:TblDetailBudget[[#This Row],[Level]], Lvl1Hdr))</f>
        <v/>
      </c>
      <c r="E369" s="85" t="str">
        <f>IF(TblDetailBudget[[#This Row],[Level]]="", "", COUNTIFS($B$8:TblDetailBudget[[#This Row],[Level]], Lvl2Hdr, $D$8:TblDetailBudget[[#This Row],[Lvl 1 Header]], TblDetailBudget[[#This Row],[Lvl 1 Header]]))</f>
        <v/>
      </c>
      <c r="F36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6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6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69" s="164"/>
      <c r="J369" s="164"/>
      <c r="K369" s="165"/>
      <c r="L369" s="165"/>
      <c r="M369" s="85" t="str">
        <f>IF(TblDetailBudget[[#This Row],[Level]]=LvlBottomHdr, IFERROR(INDEX(TblUnitCost[Unit], MATCH(TblDetailBudget[[#This Row],[Row Title]], TblUnitCost[Resource], 0)), "Invalid Resource"), "")</f>
        <v/>
      </c>
      <c r="N369" s="126" t="str">
        <f>IF(TblDetailBudget[[#This Row],[Level]]=LvlBottomHdr, IFERROR(INDEX(TblUnitCost[LCU], MATCH(TblDetailBudget[[#This Row],[Row Title]], TblUnitCost[Resource], 0)), "Invalid Resource"), "")</f>
        <v/>
      </c>
      <c r="O369" s="130"/>
      <c r="P369" s="109"/>
      <c r="Q369" s="186"/>
      <c r="R369" s="131"/>
      <c r="S369" s="109" t="s">
        <v>66</v>
      </c>
      <c r="T369" s="109" t="s">
        <v>66</v>
      </c>
      <c r="U369" s="109" t="s">
        <v>66</v>
      </c>
      <c r="V369" s="109" t="s">
        <v>66</v>
      </c>
      <c r="W369" s="109" t="s">
        <v>66</v>
      </c>
      <c r="X369" s="126" t="str">
        <f>IF(TblDetailBudget[[#This Row],[Level]]=LvlBottomHdr, IF(SUM(TblDetailBudget[[#This Row],[2021 Quant]:[2025 Quant]])&gt;0, SUM(TblDetailBudget[[#This Row],[2021 Quant]:[2025 Quant]]), ""), "")</f>
        <v/>
      </c>
      <c r="Y36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6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6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6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6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69" s="142">
        <f>SUM(TblDetailBudget[[#This Row],[2021 Cost (LCU)]:[2025 Cost (LCU)]])</f>
        <v>0</v>
      </c>
      <c r="AE369" s="135">
        <f>IFERROR(SUM(TblDetailBudget[[#This Row],[2021 Cost (LCU)]])/FX_Rate, "")</f>
        <v>0</v>
      </c>
      <c r="AF369" s="86">
        <f>IFERROR(SUM(TblDetailBudget[[#This Row],[2022 Cost (LCU)]])/FX_Rate, "")</f>
        <v>0</v>
      </c>
      <c r="AG369" s="86">
        <f>IFERROR(SUM(TblDetailBudget[[#This Row],[2023 Cost (LCU)]])/FX_Rate, "")</f>
        <v>0</v>
      </c>
      <c r="AH369" s="86">
        <f>IFERROR(SUM(TblDetailBudget[[#This Row],[2024 Cost (LCU)]])/FX_Rate, "")</f>
        <v>0</v>
      </c>
      <c r="AI369" s="86">
        <f>IFERROR(SUM(TblDetailBudget[[#This Row],[2025 Cost (LCU)]])/FX_Rate, "")</f>
        <v>0</v>
      </c>
      <c r="AJ369" s="126">
        <f>SUM(TblDetailBudget[[#This Row],[2021 Cost (USD)]:[2025 Cost (USD)]])</f>
        <v>0</v>
      </c>
      <c r="AK369" s="180"/>
    </row>
    <row r="370" spans="2:37" ht="12.75" customHeight="1">
      <c r="B370" s="123"/>
      <c r="C37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70" s="85" t="str">
        <f>IF(TblDetailBudget[[#This Row],[Level]]="", "", COUNTIFS($B$8:TblDetailBudget[[#This Row],[Level]], Lvl1Hdr))</f>
        <v/>
      </c>
      <c r="E370" s="85" t="str">
        <f>IF(TblDetailBudget[[#This Row],[Level]]="", "", COUNTIFS($B$8:TblDetailBudget[[#This Row],[Level]], Lvl2Hdr, $D$8:TblDetailBudget[[#This Row],[Lvl 1 Header]], TblDetailBudget[[#This Row],[Lvl 1 Header]]))</f>
        <v/>
      </c>
      <c r="F37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7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7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70" s="164"/>
      <c r="J370" s="164"/>
      <c r="K370" s="165"/>
      <c r="L370" s="165"/>
      <c r="M370" s="85" t="str">
        <f>IF(TblDetailBudget[[#This Row],[Level]]=LvlBottomHdr, IFERROR(INDEX(TblUnitCost[Unit], MATCH(TblDetailBudget[[#This Row],[Row Title]], TblUnitCost[Resource], 0)), "Invalid Resource"), "")</f>
        <v/>
      </c>
      <c r="N370" s="126" t="str">
        <f>IF(TblDetailBudget[[#This Row],[Level]]=LvlBottomHdr, IFERROR(INDEX(TblUnitCost[LCU], MATCH(TblDetailBudget[[#This Row],[Row Title]], TblUnitCost[Resource], 0)), "Invalid Resource"), "")</f>
        <v/>
      </c>
      <c r="O370" s="130"/>
      <c r="P370" s="109"/>
      <c r="Q370" s="186"/>
      <c r="R370" s="131"/>
      <c r="S370" s="109" t="s">
        <v>66</v>
      </c>
      <c r="T370" s="109" t="s">
        <v>66</v>
      </c>
      <c r="U370" s="109" t="s">
        <v>66</v>
      </c>
      <c r="V370" s="109" t="s">
        <v>66</v>
      </c>
      <c r="W370" s="109" t="s">
        <v>66</v>
      </c>
      <c r="X370" s="126" t="str">
        <f>IF(TblDetailBudget[[#This Row],[Level]]=LvlBottomHdr, IF(SUM(TblDetailBudget[[#This Row],[2021 Quant]:[2025 Quant]])&gt;0, SUM(TblDetailBudget[[#This Row],[2021 Quant]:[2025 Quant]]), ""), "")</f>
        <v/>
      </c>
      <c r="Y37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7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7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7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7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70" s="142">
        <f>SUM(TblDetailBudget[[#This Row],[2021 Cost (LCU)]:[2025 Cost (LCU)]])</f>
        <v>0</v>
      </c>
      <c r="AE370" s="135">
        <f>IFERROR(SUM(TblDetailBudget[[#This Row],[2021 Cost (LCU)]])/FX_Rate, "")</f>
        <v>0</v>
      </c>
      <c r="AF370" s="86">
        <f>IFERROR(SUM(TblDetailBudget[[#This Row],[2022 Cost (LCU)]])/FX_Rate, "")</f>
        <v>0</v>
      </c>
      <c r="AG370" s="86">
        <f>IFERROR(SUM(TblDetailBudget[[#This Row],[2023 Cost (LCU)]])/FX_Rate, "")</f>
        <v>0</v>
      </c>
      <c r="AH370" s="86">
        <f>IFERROR(SUM(TblDetailBudget[[#This Row],[2024 Cost (LCU)]])/FX_Rate, "")</f>
        <v>0</v>
      </c>
      <c r="AI370" s="86">
        <f>IFERROR(SUM(TblDetailBudget[[#This Row],[2025 Cost (LCU)]])/FX_Rate, "")</f>
        <v>0</v>
      </c>
      <c r="AJ370" s="126">
        <f>SUM(TblDetailBudget[[#This Row],[2021 Cost (USD)]:[2025 Cost (USD)]])</f>
        <v>0</v>
      </c>
      <c r="AK370" s="180"/>
    </row>
    <row r="371" spans="2:37" ht="12.75" customHeight="1">
      <c r="B371" s="123"/>
      <c r="C37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71" s="85" t="str">
        <f>IF(TblDetailBudget[[#This Row],[Level]]="", "", COUNTIFS($B$8:TblDetailBudget[[#This Row],[Level]], Lvl1Hdr))</f>
        <v/>
      </c>
      <c r="E371" s="85" t="str">
        <f>IF(TblDetailBudget[[#This Row],[Level]]="", "", COUNTIFS($B$8:TblDetailBudget[[#This Row],[Level]], Lvl2Hdr, $D$8:TblDetailBudget[[#This Row],[Lvl 1 Header]], TblDetailBudget[[#This Row],[Lvl 1 Header]]))</f>
        <v/>
      </c>
      <c r="F37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7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7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71" s="164"/>
      <c r="J371" s="164"/>
      <c r="K371" s="165"/>
      <c r="L371" s="165"/>
      <c r="M371" s="85" t="str">
        <f>IF(TblDetailBudget[[#This Row],[Level]]=LvlBottomHdr, IFERROR(INDEX(TblUnitCost[Unit], MATCH(TblDetailBudget[[#This Row],[Row Title]], TblUnitCost[Resource], 0)), "Invalid Resource"), "")</f>
        <v/>
      </c>
      <c r="N371" s="126" t="str">
        <f>IF(TblDetailBudget[[#This Row],[Level]]=LvlBottomHdr, IFERROR(INDEX(TblUnitCost[LCU], MATCH(TblDetailBudget[[#This Row],[Row Title]], TblUnitCost[Resource], 0)), "Invalid Resource"), "")</f>
        <v/>
      </c>
      <c r="O371" s="130"/>
      <c r="P371" s="109"/>
      <c r="Q371" s="186"/>
      <c r="R371" s="131"/>
      <c r="S371" s="109" t="s">
        <v>66</v>
      </c>
      <c r="T371" s="109" t="s">
        <v>66</v>
      </c>
      <c r="U371" s="109" t="s">
        <v>66</v>
      </c>
      <c r="V371" s="109" t="s">
        <v>66</v>
      </c>
      <c r="W371" s="109" t="s">
        <v>66</v>
      </c>
      <c r="X371" s="126" t="str">
        <f>IF(TblDetailBudget[[#This Row],[Level]]=LvlBottomHdr, IF(SUM(TblDetailBudget[[#This Row],[2021 Quant]:[2025 Quant]])&gt;0, SUM(TblDetailBudget[[#This Row],[2021 Quant]:[2025 Quant]]), ""), "")</f>
        <v/>
      </c>
      <c r="Y37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7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7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7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7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71" s="142">
        <f>SUM(TblDetailBudget[[#This Row],[2021 Cost (LCU)]:[2025 Cost (LCU)]])</f>
        <v>0</v>
      </c>
      <c r="AE371" s="135">
        <f>IFERROR(SUM(TblDetailBudget[[#This Row],[2021 Cost (LCU)]])/FX_Rate, "")</f>
        <v>0</v>
      </c>
      <c r="AF371" s="86">
        <f>IFERROR(SUM(TblDetailBudget[[#This Row],[2022 Cost (LCU)]])/FX_Rate, "")</f>
        <v>0</v>
      </c>
      <c r="AG371" s="86">
        <f>IFERROR(SUM(TblDetailBudget[[#This Row],[2023 Cost (LCU)]])/FX_Rate, "")</f>
        <v>0</v>
      </c>
      <c r="AH371" s="86">
        <f>IFERROR(SUM(TblDetailBudget[[#This Row],[2024 Cost (LCU)]])/FX_Rate, "")</f>
        <v>0</v>
      </c>
      <c r="AI371" s="86">
        <f>IFERROR(SUM(TblDetailBudget[[#This Row],[2025 Cost (LCU)]])/FX_Rate, "")</f>
        <v>0</v>
      </c>
      <c r="AJ371" s="126">
        <f>SUM(TblDetailBudget[[#This Row],[2021 Cost (USD)]:[2025 Cost (USD)]])</f>
        <v>0</v>
      </c>
      <c r="AK371" s="180"/>
    </row>
    <row r="372" spans="2:37" ht="12.75" customHeight="1">
      <c r="B372" s="123"/>
      <c r="C37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72" s="85" t="str">
        <f>IF(TblDetailBudget[[#This Row],[Level]]="", "", COUNTIFS($B$8:TblDetailBudget[[#This Row],[Level]], Lvl1Hdr))</f>
        <v/>
      </c>
      <c r="E372" s="85" t="str">
        <f>IF(TblDetailBudget[[#This Row],[Level]]="", "", COUNTIFS($B$8:TblDetailBudget[[#This Row],[Level]], Lvl2Hdr, $D$8:TblDetailBudget[[#This Row],[Lvl 1 Header]], TblDetailBudget[[#This Row],[Lvl 1 Header]]))</f>
        <v/>
      </c>
      <c r="F37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7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7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72" s="164"/>
      <c r="J372" s="164"/>
      <c r="K372" s="165"/>
      <c r="L372" s="165"/>
      <c r="M372" s="85" t="str">
        <f>IF(TblDetailBudget[[#This Row],[Level]]=LvlBottomHdr, IFERROR(INDEX(TblUnitCost[Unit], MATCH(TblDetailBudget[[#This Row],[Row Title]], TblUnitCost[Resource], 0)), "Invalid Resource"), "")</f>
        <v/>
      </c>
      <c r="N372" s="126" t="str">
        <f>IF(TblDetailBudget[[#This Row],[Level]]=LvlBottomHdr, IFERROR(INDEX(TblUnitCost[LCU], MATCH(TblDetailBudget[[#This Row],[Row Title]], TblUnitCost[Resource], 0)), "Invalid Resource"), "")</f>
        <v/>
      </c>
      <c r="O372" s="130"/>
      <c r="P372" s="109"/>
      <c r="Q372" s="186"/>
      <c r="R372" s="131"/>
      <c r="S372" s="109" t="s">
        <v>66</v>
      </c>
      <c r="T372" s="109" t="s">
        <v>66</v>
      </c>
      <c r="U372" s="109" t="s">
        <v>66</v>
      </c>
      <c r="V372" s="109" t="s">
        <v>66</v>
      </c>
      <c r="W372" s="109" t="s">
        <v>66</v>
      </c>
      <c r="X372" s="126" t="str">
        <f>IF(TblDetailBudget[[#This Row],[Level]]=LvlBottomHdr, IF(SUM(TblDetailBudget[[#This Row],[2021 Quant]:[2025 Quant]])&gt;0, SUM(TblDetailBudget[[#This Row],[2021 Quant]:[2025 Quant]]), ""), "")</f>
        <v/>
      </c>
      <c r="Y37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7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7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7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7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72" s="142">
        <f>SUM(TblDetailBudget[[#This Row],[2021 Cost (LCU)]:[2025 Cost (LCU)]])</f>
        <v>0</v>
      </c>
      <c r="AE372" s="135">
        <f>IFERROR(SUM(TblDetailBudget[[#This Row],[2021 Cost (LCU)]])/FX_Rate, "")</f>
        <v>0</v>
      </c>
      <c r="AF372" s="86">
        <f>IFERROR(SUM(TblDetailBudget[[#This Row],[2022 Cost (LCU)]])/FX_Rate, "")</f>
        <v>0</v>
      </c>
      <c r="AG372" s="86">
        <f>IFERROR(SUM(TblDetailBudget[[#This Row],[2023 Cost (LCU)]])/FX_Rate, "")</f>
        <v>0</v>
      </c>
      <c r="AH372" s="86">
        <f>IFERROR(SUM(TblDetailBudget[[#This Row],[2024 Cost (LCU)]])/FX_Rate, "")</f>
        <v>0</v>
      </c>
      <c r="AI372" s="86">
        <f>IFERROR(SUM(TblDetailBudget[[#This Row],[2025 Cost (LCU)]])/FX_Rate, "")</f>
        <v>0</v>
      </c>
      <c r="AJ372" s="126">
        <f>SUM(TblDetailBudget[[#This Row],[2021 Cost (USD)]:[2025 Cost (USD)]])</f>
        <v>0</v>
      </c>
      <c r="AK372" s="180"/>
    </row>
    <row r="373" spans="2:37" ht="12.75" customHeight="1">
      <c r="B373" s="123"/>
      <c r="C37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73" s="85" t="str">
        <f>IF(TblDetailBudget[[#This Row],[Level]]="", "", COUNTIFS($B$8:TblDetailBudget[[#This Row],[Level]], Lvl1Hdr))</f>
        <v/>
      </c>
      <c r="E373" s="85" t="str">
        <f>IF(TblDetailBudget[[#This Row],[Level]]="", "", COUNTIFS($B$8:TblDetailBudget[[#This Row],[Level]], Lvl2Hdr, $D$8:TblDetailBudget[[#This Row],[Lvl 1 Header]], TblDetailBudget[[#This Row],[Lvl 1 Header]]))</f>
        <v/>
      </c>
      <c r="F37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7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7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73" s="164"/>
      <c r="J373" s="164"/>
      <c r="K373" s="165"/>
      <c r="L373" s="165"/>
      <c r="M373" s="85" t="str">
        <f>IF(TblDetailBudget[[#This Row],[Level]]=LvlBottomHdr, IFERROR(INDEX(TblUnitCost[Unit], MATCH(TblDetailBudget[[#This Row],[Row Title]], TblUnitCost[Resource], 0)), "Invalid Resource"), "")</f>
        <v/>
      </c>
      <c r="N373" s="126" t="str">
        <f>IF(TblDetailBudget[[#This Row],[Level]]=LvlBottomHdr, IFERROR(INDEX(TblUnitCost[LCU], MATCH(TblDetailBudget[[#This Row],[Row Title]], TblUnitCost[Resource], 0)), "Invalid Resource"), "")</f>
        <v/>
      </c>
      <c r="O373" s="130"/>
      <c r="P373" s="109"/>
      <c r="Q373" s="186"/>
      <c r="R373" s="131"/>
      <c r="S373" s="109" t="s">
        <v>66</v>
      </c>
      <c r="T373" s="109" t="s">
        <v>66</v>
      </c>
      <c r="U373" s="109" t="s">
        <v>66</v>
      </c>
      <c r="V373" s="109" t="s">
        <v>66</v>
      </c>
      <c r="W373" s="109" t="s">
        <v>66</v>
      </c>
      <c r="X373" s="126" t="str">
        <f>IF(TblDetailBudget[[#This Row],[Level]]=LvlBottomHdr, IF(SUM(TblDetailBudget[[#This Row],[2021 Quant]:[2025 Quant]])&gt;0, SUM(TblDetailBudget[[#This Row],[2021 Quant]:[2025 Quant]]), ""), "")</f>
        <v/>
      </c>
      <c r="Y37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7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7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7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7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73" s="142">
        <f>SUM(TblDetailBudget[[#This Row],[2021 Cost (LCU)]:[2025 Cost (LCU)]])</f>
        <v>0</v>
      </c>
      <c r="AE373" s="135">
        <f>IFERROR(SUM(TblDetailBudget[[#This Row],[2021 Cost (LCU)]])/FX_Rate, "")</f>
        <v>0</v>
      </c>
      <c r="AF373" s="86">
        <f>IFERROR(SUM(TblDetailBudget[[#This Row],[2022 Cost (LCU)]])/FX_Rate, "")</f>
        <v>0</v>
      </c>
      <c r="AG373" s="86">
        <f>IFERROR(SUM(TblDetailBudget[[#This Row],[2023 Cost (LCU)]])/FX_Rate, "")</f>
        <v>0</v>
      </c>
      <c r="AH373" s="86">
        <f>IFERROR(SUM(TblDetailBudget[[#This Row],[2024 Cost (LCU)]])/FX_Rate, "")</f>
        <v>0</v>
      </c>
      <c r="AI373" s="86">
        <f>IFERROR(SUM(TblDetailBudget[[#This Row],[2025 Cost (LCU)]])/FX_Rate, "")</f>
        <v>0</v>
      </c>
      <c r="AJ373" s="126">
        <f>SUM(TblDetailBudget[[#This Row],[2021 Cost (USD)]:[2025 Cost (USD)]])</f>
        <v>0</v>
      </c>
      <c r="AK373" s="180"/>
    </row>
    <row r="374" spans="2:37" ht="12.75" customHeight="1">
      <c r="B374" s="123"/>
      <c r="C37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74" s="85" t="str">
        <f>IF(TblDetailBudget[[#This Row],[Level]]="", "", COUNTIFS($B$8:TblDetailBudget[[#This Row],[Level]], Lvl1Hdr))</f>
        <v/>
      </c>
      <c r="E374" s="85" t="str">
        <f>IF(TblDetailBudget[[#This Row],[Level]]="", "", COUNTIFS($B$8:TblDetailBudget[[#This Row],[Level]], Lvl2Hdr, $D$8:TblDetailBudget[[#This Row],[Lvl 1 Header]], TblDetailBudget[[#This Row],[Lvl 1 Header]]))</f>
        <v/>
      </c>
      <c r="F37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7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7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74" s="164"/>
      <c r="J374" s="164"/>
      <c r="K374" s="165"/>
      <c r="L374" s="165"/>
      <c r="M374" s="85" t="str">
        <f>IF(TblDetailBudget[[#This Row],[Level]]=LvlBottomHdr, IFERROR(INDEX(TblUnitCost[Unit], MATCH(TblDetailBudget[[#This Row],[Row Title]], TblUnitCost[Resource], 0)), "Invalid Resource"), "")</f>
        <v/>
      </c>
      <c r="N374" s="126" t="str">
        <f>IF(TblDetailBudget[[#This Row],[Level]]=LvlBottomHdr, IFERROR(INDEX(TblUnitCost[LCU], MATCH(TblDetailBudget[[#This Row],[Row Title]], TblUnitCost[Resource], 0)), "Invalid Resource"), "")</f>
        <v/>
      </c>
      <c r="O374" s="130"/>
      <c r="P374" s="109"/>
      <c r="Q374" s="186"/>
      <c r="R374" s="131"/>
      <c r="S374" s="109" t="s">
        <v>66</v>
      </c>
      <c r="T374" s="109" t="s">
        <v>66</v>
      </c>
      <c r="U374" s="109" t="s">
        <v>66</v>
      </c>
      <c r="V374" s="109" t="s">
        <v>66</v>
      </c>
      <c r="W374" s="109" t="s">
        <v>66</v>
      </c>
      <c r="X374" s="126" t="str">
        <f>IF(TblDetailBudget[[#This Row],[Level]]=LvlBottomHdr, IF(SUM(TblDetailBudget[[#This Row],[2021 Quant]:[2025 Quant]])&gt;0, SUM(TblDetailBudget[[#This Row],[2021 Quant]:[2025 Quant]]), ""), "")</f>
        <v/>
      </c>
      <c r="Y37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7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7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7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7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74" s="142">
        <f>SUM(TblDetailBudget[[#This Row],[2021 Cost (LCU)]:[2025 Cost (LCU)]])</f>
        <v>0</v>
      </c>
      <c r="AE374" s="135">
        <f>IFERROR(SUM(TblDetailBudget[[#This Row],[2021 Cost (LCU)]])/FX_Rate, "")</f>
        <v>0</v>
      </c>
      <c r="AF374" s="86">
        <f>IFERROR(SUM(TblDetailBudget[[#This Row],[2022 Cost (LCU)]])/FX_Rate, "")</f>
        <v>0</v>
      </c>
      <c r="AG374" s="86">
        <f>IFERROR(SUM(TblDetailBudget[[#This Row],[2023 Cost (LCU)]])/FX_Rate, "")</f>
        <v>0</v>
      </c>
      <c r="AH374" s="86">
        <f>IFERROR(SUM(TblDetailBudget[[#This Row],[2024 Cost (LCU)]])/FX_Rate, "")</f>
        <v>0</v>
      </c>
      <c r="AI374" s="86">
        <f>IFERROR(SUM(TblDetailBudget[[#This Row],[2025 Cost (LCU)]])/FX_Rate, "")</f>
        <v>0</v>
      </c>
      <c r="AJ374" s="126">
        <f>SUM(TblDetailBudget[[#This Row],[2021 Cost (USD)]:[2025 Cost (USD)]])</f>
        <v>0</v>
      </c>
      <c r="AK374" s="180"/>
    </row>
    <row r="375" spans="2:37" ht="12.75" customHeight="1">
      <c r="B375" s="123"/>
      <c r="C37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75" s="85" t="str">
        <f>IF(TblDetailBudget[[#This Row],[Level]]="", "", COUNTIFS($B$8:TblDetailBudget[[#This Row],[Level]], Lvl1Hdr))</f>
        <v/>
      </c>
      <c r="E375" s="85" t="str">
        <f>IF(TblDetailBudget[[#This Row],[Level]]="", "", COUNTIFS($B$8:TblDetailBudget[[#This Row],[Level]], Lvl2Hdr, $D$8:TblDetailBudget[[#This Row],[Lvl 1 Header]], TblDetailBudget[[#This Row],[Lvl 1 Header]]))</f>
        <v/>
      </c>
      <c r="F37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7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7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75" s="164"/>
      <c r="J375" s="164"/>
      <c r="K375" s="165"/>
      <c r="L375" s="165"/>
      <c r="M375" s="85" t="str">
        <f>IF(TblDetailBudget[[#This Row],[Level]]=LvlBottomHdr, IFERROR(INDEX(TblUnitCost[Unit], MATCH(TblDetailBudget[[#This Row],[Row Title]], TblUnitCost[Resource], 0)), "Invalid Resource"), "")</f>
        <v/>
      </c>
      <c r="N375" s="126" t="str">
        <f>IF(TblDetailBudget[[#This Row],[Level]]=LvlBottomHdr, IFERROR(INDEX(TblUnitCost[LCU], MATCH(TblDetailBudget[[#This Row],[Row Title]], TblUnitCost[Resource], 0)), "Invalid Resource"), "")</f>
        <v/>
      </c>
      <c r="O375" s="130"/>
      <c r="P375" s="109"/>
      <c r="Q375" s="186"/>
      <c r="R375" s="131"/>
      <c r="S375" s="109" t="s">
        <v>66</v>
      </c>
      <c r="T375" s="109" t="s">
        <v>66</v>
      </c>
      <c r="U375" s="109" t="s">
        <v>66</v>
      </c>
      <c r="V375" s="109" t="s">
        <v>66</v>
      </c>
      <c r="W375" s="109" t="s">
        <v>66</v>
      </c>
      <c r="X375" s="126" t="str">
        <f>IF(TblDetailBudget[[#This Row],[Level]]=LvlBottomHdr, IF(SUM(TblDetailBudget[[#This Row],[2021 Quant]:[2025 Quant]])&gt;0, SUM(TblDetailBudget[[#This Row],[2021 Quant]:[2025 Quant]]), ""), "")</f>
        <v/>
      </c>
      <c r="Y37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7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7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7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7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75" s="142">
        <f>SUM(TblDetailBudget[[#This Row],[2021 Cost (LCU)]:[2025 Cost (LCU)]])</f>
        <v>0</v>
      </c>
      <c r="AE375" s="135">
        <f>IFERROR(SUM(TblDetailBudget[[#This Row],[2021 Cost (LCU)]])/FX_Rate, "")</f>
        <v>0</v>
      </c>
      <c r="AF375" s="86">
        <f>IFERROR(SUM(TblDetailBudget[[#This Row],[2022 Cost (LCU)]])/FX_Rate, "")</f>
        <v>0</v>
      </c>
      <c r="AG375" s="86">
        <f>IFERROR(SUM(TblDetailBudget[[#This Row],[2023 Cost (LCU)]])/FX_Rate, "")</f>
        <v>0</v>
      </c>
      <c r="AH375" s="86">
        <f>IFERROR(SUM(TblDetailBudget[[#This Row],[2024 Cost (LCU)]])/FX_Rate, "")</f>
        <v>0</v>
      </c>
      <c r="AI375" s="86">
        <f>IFERROR(SUM(TblDetailBudget[[#This Row],[2025 Cost (LCU)]])/FX_Rate, "")</f>
        <v>0</v>
      </c>
      <c r="AJ375" s="126">
        <f>SUM(TblDetailBudget[[#This Row],[2021 Cost (USD)]:[2025 Cost (USD)]])</f>
        <v>0</v>
      </c>
      <c r="AK375" s="180"/>
    </row>
    <row r="376" spans="2:37" ht="12.75" customHeight="1">
      <c r="B376" s="123"/>
      <c r="C37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76" s="85" t="str">
        <f>IF(TblDetailBudget[[#This Row],[Level]]="", "", COUNTIFS($B$8:TblDetailBudget[[#This Row],[Level]], Lvl1Hdr))</f>
        <v/>
      </c>
      <c r="E376" s="85" t="str">
        <f>IF(TblDetailBudget[[#This Row],[Level]]="", "", COUNTIFS($B$8:TblDetailBudget[[#This Row],[Level]], Lvl2Hdr, $D$8:TblDetailBudget[[#This Row],[Lvl 1 Header]], TblDetailBudget[[#This Row],[Lvl 1 Header]]))</f>
        <v/>
      </c>
      <c r="F37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7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7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76" s="164"/>
      <c r="J376" s="164"/>
      <c r="K376" s="165"/>
      <c r="L376" s="165"/>
      <c r="M376" s="85" t="str">
        <f>IF(TblDetailBudget[[#This Row],[Level]]=LvlBottomHdr, IFERROR(INDEX(TblUnitCost[Unit], MATCH(TblDetailBudget[[#This Row],[Row Title]], TblUnitCost[Resource], 0)), "Invalid Resource"), "")</f>
        <v/>
      </c>
      <c r="N376" s="126" t="str">
        <f>IF(TblDetailBudget[[#This Row],[Level]]=LvlBottomHdr, IFERROR(INDEX(TblUnitCost[LCU], MATCH(TblDetailBudget[[#This Row],[Row Title]], TblUnitCost[Resource], 0)), "Invalid Resource"), "")</f>
        <v/>
      </c>
      <c r="O376" s="130"/>
      <c r="P376" s="109"/>
      <c r="Q376" s="186"/>
      <c r="R376" s="131"/>
      <c r="S376" s="109" t="s">
        <v>66</v>
      </c>
      <c r="T376" s="109" t="s">
        <v>66</v>
      </c>
      <c r="U376" s="109" t="s">
        <v>66</v>
      </c>
      <c r="V376" s="109" t="s">
        <v>66</v>
      </c>
      <c r="W376" s="109" t="s">
        <v>66</v>
      </c>
      <c r="X376" s="126" t="str">
        <f>IF(TblDetailBudget[[#This Row],[Level]]=LvlBottomHdr, IF(SUM(TblDetailBudget[[#This Row],[2021 Quant]:[2025 Quant]])&gt;0, SUM(TblDetailBudget[[#This Row],[2021 Quant]:[2025 Quant]]), ""), "")</f>
        <v/>
      </c>
      <c r="Y37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7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7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7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7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76" s="142">
        <f>SUM(TblDetailBudget[[#This Row],[2021 Cost (LCU)]:[2025 Cost (LCU)]])</f>
        <v>0</v>
      </c>
      <c r="AE376" s="135">
        <f>IFERROR(SUM(TblDetailBudget[[#This Row],[2021 Cost (LCU)]])/FX_Rate, "")</f>
        <v>0</v>
      </c>
      <c r="AF376" s="86">
        <f>IFERROR(SUM(TblDetailBudget[[#This Row],[2022 Cost (LCU)]])/FX_Rate, "")</f>
        <v>0</v>
      </c>
      <c r="AG376" s="86">
        <f>IFERROR(SUM(TblDetailBudget[[#This Row],[2023 Cost (LCU)]])/FX_Rate, "")</f>
        <v>0</v>
      </c>
      <c r="AH376" s="86">
        <f>IFERROR(SUM(TblDetailBudget[[#This Row],[2024 Cost (LCU)]])/FX_Rate, "")</f>
        <v>0</v>
      </c>
      <c r="AI376" s="86">
        <f>IFERROR(SUM(TblDetailBudget[[#This Row],[2025 Cost (LCU)]])/FX_Rate, "")</f>
        <v>0</v>
      </c>
      <c r="AJ376" s="126">
        <f>SUM(TblDetailBudget[[#This Row],[2021 Cost (USD)]:[2025 Cost (USD)]])</f>
        <v>0</v>
      </c>
      <c r="AK376" s="180"/>
    </row>
    <row r="377" spans="2:37" ht="12.75" customHeight="1">
      <c r="B377" s="123"/>
      <c r="C37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77" s="85" t="str">
        <f>IF(TblDetailBudget[[#This Row],[Level]]="", "", COUNTIFS($B$8:TblDetailBudget[[#This Row],[Level]], Lvl1Hdr))</f>
        <v/>
      </c>
      <c r="E377" s="85" t="str">
        <f>IF(TblDetailBudget[[#This Row],[Level]]="", "", COUNTIFS($B$8:TblDetailBudget[[#This Row],[Level]], Lvl2Hdr, $D$8:TblDetailBudget[[#This Row],[Lvl 1 Header]], TblDetailBudget[[#This Row],[Lvl 1 Header]]))</f>
        <v/>
      </c>
      <c r="F37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7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7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77" s="164"/>
      <c r="J377" s="164"/>
      <c r="K377" s="165"/>
      <c r="L377" s="165"/>
      <c r="M377" s="85" t="str">
        <f>IF(TblDetailBudget[[#This Row],[Level]]=LvlBottomHdr, IFERROR(INDEX(TblUnitCost[Unit], MATCH(TblDetailBudget[[#This Row],[Row Title]], TblUnitCost[Resource], 0)), "Invalid Resource"), "")</f>
        <v/>
      </c>
      <c r="N377" s="126" t="str">
        <f>IF(TblDetailBudget[[#This Row],[Level]]=LvlBottomHdr, IFERROR(INDEX(TblUnitCost[LCU], MATCH(TblDetailBudget[[#This Row],[Row Title]], TblUnitCost[Resource], 0)), "Invalid Resource"), "")</f>
        <v/>
      </c>
      <c r="O377" s="130"/>
      <c r="P377" s="109"/>
      <c r="Q377" s="186"/>
      <c r="R377" s="131"/>
      <c r="S377" s="109" t="s">
        <v>66</v>
      </c>
      <c r="T377" s="109" t="s">
        <v>66</v>
      </c>
      <c r="U377" s="109" t="s">
        <v>66</v>
      </c>
      <c r="V377" s="109" t="s">
        <v>66</v>
      </c>
      <c r="W377" s="109" t="s">
        <v>66</v>
      </c>
      <c r="X377" s="126" t="str">
        <f>IF(TblDetailBudget[[#This Row],[Level]]=LvlBottomHdr, IF(SUM(TblDetailBudget[[#This Row],[2021 Quant]:[2025 Quant]])&gt;0, SUM(TblDetailBudget[[#This Row],[2021 Quant]:[2025 Quant]]), ""), "")</f>
        <v/>
      </c>
      <c r="Y37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7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7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7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7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77" s="142">
        <f>SUM(TblDetailBudget[[#This Row],[2021 Cost (LCU)]:[2025 Cost (LCU)]])</f>
        <v>0</v>
      </c>
      <c r="AE377" s="135">
        <f>IFERROR(SUM(TblDetailBudget[[#This Row],[2021 Cost (LCU)]])/FX_Rate, "")</f>
        <v>0</v>
      </c>
      <c r="AF377" s="86">
        <f>IFERROR(SUM(TblDetailBudget[[#This Row],[2022 Cost (LCU)]])/FX_Rate, "")</f>
        <v>0</v>
      </c>
      <c r="AG377" s="86">
        <f>IFERROR(SUM(TblDetailBudget[[#This Row],[2023 Cost (LCU)]])/FX_Rate, "")</f>
        <v>0</v>
      </c>
      <c r="AH377" s="86">
        <f>IFERROR(SUM(TblDetailBudget[[#This Row],[2024 Cost (LCU)]])/FX_Rate, "")</f>
        <v>0</v>
      </c>
      <c r="AI377" s="86">
        <f>IFERROR(SUM(TblDetailBudget[[#This Row],[2025 Cost (LCU)]])/FX_Rate, "")</f>
        <v>0</v>
      </c>
      <c r="AJ377" s="126">
        <f>SUM(TblDetailBudget[[#This Row],[2021 Cost (USD)]:[2025 Cost (USD)]])</f>
        <v>0</v>
      </c>
      <c r="AK377" s="180"/>
    </row>
    <row r="378" spans="2:37" ht="12.75" customHeight="1">
      <c r="B378" s="123"/>
      <c r="C37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78" s="85" t="str">
        <f>IF(TblDetailBudget[[#This Row],[Level]]="", "", COUNTIFS($B$8:TblDetailBudget[[#This Row],[Level]], Lvl1Hdr))</f>
        <v/>
      </c>
      <c r="E378" s="85" t="str">
        <f>IF(TblDetailBudget[[#This Row],[Level]]="", "", COUNTIFS($B$8:TblDetailBudget[[#This Row],[Level]], Lvl2Hdr, $D$8:TblDetailBudget[[#This Row],[Lvl 1 Header]], TblDetailBudget[[#This Row],[Lvl 1 Header]]))</f>
        <v/>
      </c>
      <c r="F37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7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7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78" s="164"/>
      <c r="J378" s="164"/>
      <c r="K378" s="165"/>
      <c r="L378" s="165"/>
      <c r="M378" s="85" t="str">
        <f>IF(TblDetailBudget[[#This Row],[Level]]=LvlBottomHdr, IFERROR(INDEX(TblUnitCost[Unit], MATCH(TblDetailBudget[[#This Row],[Row Title]], TblUnitCost[Resource], 0)), "Invalid Resource"), "")</f>
        <v/>
      </c>
      <c r="N378" s="126" t="str">
        <f>IF(TblDetailBudget[[#This Row],[Level]]=LvlBottomHdr, IFERROR(INDEX(TblUnitCost[LCU], MATCH(TblDetailBudget[[#This Row],[Row Title]], TblUnitCost[Resource], 0)), "Invalid Resource"), "")</f>
        <v/>
      </c>
      <c r="O378" s="130"/>
      <c r="P378" s="109"/>
      <c r="Q378" s="186"/>
      <c r="R378" s="131"/>
      <c r="S378" s="109" t="s">
        <v>66</v>
      </c>
      <c r="T378" s="109" t="s">
        <v>66</v>
      </c>
      <c r="U378" s="109" t="s">
        <v>66</v>
      </c>
      <c r="V378" s="109" t="s">
        <v>66</v>
      </c>
      <c r="W378" s="109" t="s">
        <v>66</v>
      </c>
      <c r="X378" s="126" t="str">
        <f>IF(TblDetailBudget[[#This Row],[Level]]=LvlBottomHdr, IF(SUM(TblDetailBudget[[#This Row],[2021 Quant]:[2025 Quant]])&gt;0, SUM(TblDetailBudget[[#This Row],[2021 Quant]:[2025 Quant]]), ""), "")</f>
        <v/>
      </c>
      <c r="Y37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7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7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7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7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78" s="142">
        <f>SUM(TblDetailBudget[[#This Row],[2021 Cost (LCU)]:[2025 Cost (LCU)]])</f>
        <v>0</v>
      </c>
      <c r="AE378" s="135">
        <f>IFERROR(SUM(TblDetailBudget[[#This Row],[2021 Cost (LCU)]])/FX_Rate, "")</f>
        <v>0</v>
      </c>
      <c r="AF378" s="86">
        <f>IFERROR(SUM(TblDetailBudget[[#This Row],[2022 Cost (LCU)]])/FX_Rate, "")</f>
        <v>0</v>
      </c>
      <c r="AG378" s="86">
        <f>IFERROR(SUM(TblDetailBudget[[#This Row],[2023 Cost (LCU)]])/FX_Rate, "")</f>
        <v>0</v>
      </c>
      <c r="AH378" s="86">
        <f>IFERROR(SUM(TblDetailBudget[[#This Row],[2024 Cost (LCU)]])/FX_Rate, "")</f>
        <v>0</v>
      </c>
      <c r="AI378" s="86">
        <f>IFERROR(SUM(TblDetailBudget[[#This Row],[2025 Cost (LCU)]])/FX_Rate, "")</f>
        <v>0</v>
      </c>
      <c r="AJ378" s="126">
        <f>SUM(TblDetailBudget[[#This Row],[2021 Cost (USD)]:[2025 Cost (USD)]])</f>
        <v>0</v>
      </c>
      <c r="AK378" s="180"/>
    </row>
    <row r="379" spans="2:37" ht="12.75" customHeight="1">
      <c r="B379" s="123"/>
      <c r="C37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79" s="85" t="str">
        <f>IF(TblDetailBudget[[#This Row],[Level]]="", "", COUNTIFS($B$8:TblDetailBudget[[#This Row],[Level]], Lvl1Hdr))</f>
        <v/>
      </c>
      <c r="E379" s="85" t="str">
        <f>IF(TblDetailBudget[[#This Row],[Level]]="", "", COUNTIFS($B$8:TblDetailBudget[[#This Row],[Level]], Lvl2Hdr, $D$8:TblDetailBudget[[#This Row],[Lvl 1 Header]], TblDetailBudget[[#This Row],[Lvl 1 Header]]))</f>
        <v/>
      </c>
      <c r="F37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7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7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79" s="164"/>
      <c r="J379" s="164"/>
      <c r="K379" s="165"/>
      <c r="L379" s="165"/>
      <c r="M379" s="85" t="str">
        <f>IF(TblDetailBudget[[#This Row],[Level]]=LvlBottomHdr, IFERROR(INDEX(TblUnitCost[Unit], MATCH(TblDetailBudget[[#This Row],[Row Title]], TblUnitCost[Resource], 0)), "Invalid Resource"), "")</f>
        <v/>
      </c>
      <c r="N379" s="126" t="str">
        <f>IF(TblDetailBudget[[#This Row],[Level]]=LvlBottomHdr, IFERROR(INDEX(TblUnitCost[LCU], MATCH(TblDetailBudget[[#This Row],[Row Title]], TblUnitCost[Resource], 0)), "Invalid Resource"), "")</f>
        <v/>
      </c>
      <c r="O379" s="130"/>
      <c r="P379" s="109"/>
      <c r="Q379" s="186"/>
      <c r="R379" s="131"/>
      <c r="S379" s="109" t="s">
        <v>66</v>
      </c>
      <c r="T379" s="109" t="s">
        <v>66</v>
      </c>
      <c r="U379" s="109" t="s">
        <v>66</v>
      </c>
      <c r="V379" s="109" t="s">
        <v>66</v>
      </c>
      <c r="W379" s="109" t="s">
        <v>66</v>
      </c>
      <c r="X379" s="126" t="str">
        <f>IF(TblDetailBudget[[#This Row],[Level]]=LvlBottomHdr, IF(SUM(TblDetailBudget[[#This Row],[2021 Quant]:[2025 Quant]])&gt;0, SUM(TblDetailBudget[[#This Row],[2021 Quant]:[2025 Quant]]), ""), "")</f>
        <v/>
      </c>
      <c r="Y37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7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7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7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7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79" s="142">
        <f>SUM(TblDetailBudget[[#This Row],[2021 Cost (LCU)]:[2025 Cost (LCU)]])</f>
        <v>0</v>
      </c>
      <c r="AE379" s="135">
        <f>IFERROR(SUM(TblDetailBudget[[#This Row],[2021 Cost (LCU)]])/FX_Rate, "")</f>
        <v>0</v>
      </c>
      <c r="AF379" s="86">
        <f>IFERROR(SUM(TblDetailBudget[[#This Row],[2022 Cost (LCU)]])/FX_Rate, "")</f>
        <v>0</v>
      </c>
      <c r="AG379" s="86">
        <f>IFERROR(SUM(TblDetailBudget[[#This Row],[2023 Cost (LCU)]])/FX_Rate, "")</f>
        <v>0</v>
      </c>
      <c r="AH379" s="86">
        <f>IFERROR(SUM(TblDetailBudget[[#This Row],[2024 Cost (LCU)]])/FX_Rate, "")</f>
        <v>0</v>
      </c>
      <c r="AI379" s="86">
        <f>IFERROR(SUM(TblDetailBudget[[#This Row],[2025 Cost (LCU)]])/FX_Rate, "")</f>
        <v>0</v>
      </c>
      <c r="AJ379" s="126">
        <f>SUM(TblDetailBudget[[#This Row],[2021 Cost (USD)]:[2025 Cost (USD)]])</f>
        <v>0</v>
      </c>
      <c r="AK379" s="180"/>
    </row>
    <row r="380" spans="2:37" ht="12.75" customHeight="1">
      <c r="B380" s="123"/>
      <c r="C38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80" s="85" t="str">
        <f>IF(TblDetailBudget[[#This Row],[Level]]="", "", COUNTIFS($B$8:TblDetailBudget[[#This Row],[Level]], Lvl1Hdr))</f>
        <v/>
      </c>
      <c r="E380" s="85" t="str">
        <f>IF(TblDetailBudget[[#This Row],[Level]]="", "", COUNTIFS($B$8:TblDetailBudget[[#This Row],[Level]], Lvl2Hdr, $D$8:TblDetailBudget[[#This Row],[Lvl 1 Header]], TblDetailBudget[[#This Row],[Lvl 1 Header]]))</f>
        <v/>
      </c>
      <c r="F38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8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8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80" s="164"/>
      <c r="J380" s="164"/>
      <c r="K380" s="165"/>
      <c r="L380" s="165"/>
      <c r="M380" s="85" t="str">
        <f>IF(TblDetailBudget[[#This Row],[Level]]=LvlBottomHdr, IFERROR(INDEX(TblUnitCost[Unit], MATCH(TblDetailBudget[[#This Row],[Row Title]], TblUnitCost[Resource], 0)), "Invalid Resource"), "")</f>
        <v/>
      </c>
      <c r="N380" s="126" t="str">
        <f>IF(TblDetailBudget[[#This Row],[Level]]=LvlBottomHdr, IFERROR(INDEX(TblUnitCost[LCU], MATCH(TblDetailBudget[[#This Row],[Row Title]], TblUnitCost[Resource], 0)), "Invalid Resource"), "")</f>
        <v/>
      </c>
      <c r="O380" s="130"/>
      <c r="P380" s="109"/>
      <c r="Q380" s="186"/>
      <c r="R380" s="131"/>
      <c r="S380" s="109" t="s">
        <v>66</v>
      </c>
      <c r="T380" s="109" t="s">
        <v>66</v>
      </c>
      <c r="U380" s="109" t="s">
        <v>66</v>
      </c>
      <c r="V380" s="109" t="s">
        <v>66</v>
      </c>
      <c r="W380" s="109" t="s">
        <v>66</v>
      </c>
      <c r="X380" s="126" t="str">
        <f>IF(TblDetailBudget[[#This Row],[Level]]=LvlBottomHdr, IF(SUM(TblDetailBudget[[#This Row],[2021 Quant]:[2025 Quant]])&gt;0, SUM(TblDetailBudget[[#This Row],[2021 Quant]:[2025 Quant]]), ""), "")</f>
        <v/>
      </c>
      <c r="Y38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8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8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8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8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80" s="142">
        <f>SUM(TblDetailBudget[[#This Row],[2021 Cost (LCU)]:[2025 Cost (LCU)]])</f>
        <v>0</v>
      </c>
      <c r="AE380" s="135">
        <f>IFERROR(SUM(TblDetailBudget[[#This Row],[2021 Cost (LCU)]])/FX_Rate, "")</f>
        <v>0</v>
      </c>
      <c r="AF380" s="86">
        <f>IFERROR(SUM(TblDetailBudget[[#This Row],[2022 Cost (LCU)]])/FX_Rate, "")</f>
        <v>0</v>
      </c>
      <c r="AG380" s="86">
        <f>IFERROR(SUM(TblDetailBudget[[#This Row],[2023 Cost (LCU)]])/FX_Rate, "")</f>
        <v>0</v>
      </c>
      <c r="AH380" s="86">
        <f>IFERROR(SUM(TblDetailBudget[[#This Row],[2024 Cost (LCU)]])/FX_Rate, "")</f>
        <v>0</v>
      </c>
      <c r="AI380" s="86">
        <f>IFERROR(SUM(TblDetailBudget[[#This Row],[2025 Cost (LCU)]])/FX_Rate, "")</f>
        <v>0</v>
      </c>
      <c r="AJ380" s="126">
        <f>SUM(TblDetailBudget[[#This Row],[2021 Cost (USD)]:[2025 Cost (USD)]])</f>
        <v>0</v>
      </c>
      <c r="AK380" s="180"/>
    </row>
    <row r="381" spans="2:37" ht="12.75" customHeight="1">
      <c r="B381" s="123"/>
      <c r="C38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81" s="85" t="str">
        <f>IF(TblDetailBudget[[#This Row],[Level]]="", "", COUNTIFS($B$8:TblDetailBudget[[#This Row],[Level]], Lvl1Hdr))</f>
        <v/>
      </c>
      <c r="E381" s="85" t="str">
        <f>IF(TblDetailBudget[[#This Row],[Level]]="", "", COUNTIFS($B$8:TblDetailBudget[[#This Row],[Level]], Lvl2Hdr, $D$8:TblDetailBudget[[#This Row],[Lvl 1 Header]], TblDetailBudget[[#This Row],[Lvl 1 Header]]))</f>
        <v/>
      </c>
      <c r="F38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8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8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81" s="164"/>
      <c r="J381" s="164"/>
      <c r="K381" s="165"/>
      <c r="L381" s="165"/>
      <c r="M381" s="85" t="str">
        <f>IF(TblDetailBudget[[#This Row],[Level]]=LvlBottomHdr, IFERROR(INDEX(TblUnitCost[Unit], MATCH(TblDetailBudget[[#This Row],[Row Title]], TblUnitCost[Resource], 0)), "Invalid Resource"), "")</f>
        <v/>
      </c>
      <c r="N381" s="126" t="str">
        <f>IF(TblDetailBudget[[#This Row],[Level]]=LvlBottomHdr, IFERROR(INDEX(TblUnitCost[LCU], MATCH(TblDetailBudget[[#This Row],[Row Title]], TblUnitCost[Resource], 0)), "Invalid Resource"), "")</f>
        <v/>
      </c>
      <c r="O381" s="130"/>
      <c r="P381" s="109"/>
      <c r="Q381" s="186"/>
      <c r="R381" s="131"/>
      <c r="S381" s="109" t="s">
        <v>66</v>
      </c>
      <c r="T381" s="109" t="s">
        <v>66</v>
      </c>
      <c r="U381" s="109" t="s">
        <v>66</v>
      </c>
      <c r="V381" s="109" t="s">
        <v>66</v>
      </c>
      <c r="W381" s="109" t="s">
        <v>66</v>
      </c>
      <c r="X381" s="126" t="str">
        <f>IF(TblDetailBudget[[#This Row],[Level]]=LvlBottomHdr, IF(SUM(TblDetailBudget[[#This Row],[2021 Quant]:[2025 Quant]])&gt;0, SUM(TblDetailBudget[[#This Row],[2021 Quant]:[2025 Quant]]), ""), "")</f>
        <v/>
      </c>
      <c r="Y38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8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8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8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8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81" s="142">
        <f>SUM(TblDetailBudget[[#This Row],[2021 Cost (LCU)]:[2025 Cost (LCU)]])</f>
        <v>0</v>
      </c>
      <c r="AE381" s="135">
        <f>IFERROR(SUM(TblDetailBudget[[#This Row],[2021 Cost (LCU)]])/FX_Rate, "")</f>
        <v>0</v>
      </c>
      <c r="AF381" s="86">
        <f>IFERROR(SUM(TblDetailBudget[[#This Row],[2022 Cost (LCU)]])/FX_Rate, "")</f>
        <v>0</v>
      </c>
      <c r="AG381" s="86">
        <f>IFERROR(SUM(TblDetailBudget[[#This Row],[2023 Cost (LCU)]])/FX_Rate, "")</f>
        <v>0</v>
      </c>
      <c r="AH381" s="86">
        <f>IFERROR(SUM(TblDetailBudget[[#This Row],[2024 Cost (LCU)]])/FX_Rate, "")</f>
        <v>0</v>
      </c>
      <c r="AI381" s="86">
        <f>IFERROR(SUM(TblDetailBudget[[#This Row],[2025 Cost (LCU)]])/FX_Rate, "")</f>
        <v>0</v>
      </c>
      <c r="AJ381" s="126">
        <f>SUM(TblDetailBudget[[#This Row],[2021 Cost (USD)]:[2025 Cost (USD)]])</f>
        <v>0</v>
      </c>
      <c r="AK381" s="180"/>
    </row>
    <row r="382" spans="2:37" ht="12.75" customHeight="1">
      <c r="B382" s="123"/>
      <c r="C38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82" s="85" t="str">
        <f>IF(TblDetailBudget[[#This Row],[Level]]="", "", COUNTIFS($B$8:TblDetailBudget[[#This Row],[Level]], Lvl1Hdr))</f>
        <v/>
      </c>
      <c r="E382" s="85" t="str">
        <f>IF(TblDetailBudget[[#This Row],[Level]]="", "", COUNTIFS($B$8:TblDetailBudget[[#This Row],[Level]], Lvl2Hdr, $D$8:TblDetailBudget[[#This Row],[Lvl 1 Header]], TblDetailBudget[[#This Row],[Lvl 1 Header]]))</f>
        <v/>
      </c>
      <c r="F38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8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8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82" s="164"/>
      <c r="J382" s="164"/>
      <c r="K382" s="165"/>
      <c r="L382" s="165"/>
      <c r="M382" s="85" t="str">
        <f>IF(TblDetailBudget[[#This Row],[Level]]=LvlBottomHdr, IFERROR(INDEX(TblUnitCost[Unit], MATCH(TblDetailBudget[[#This Row],[Row Title]], TblUnitCost[Resource], 0)), "Invalid Resource"), "")</f>
        <v/>
      </c>
      <c r="N382" s="126" t="str">
        <f>IF(TblDetailBudget[[#This Row],[Level]]=LvlBottomHdr, IFERROR(INDEX(TblUnitCost[LCU], MATCH(TblDetailBudget[[#This Row],[Row Title]], TblUnitCost[Resource], 0)), "Invalid Resource"), "")</f>
        <v/>
      </c>
      <c r="O382" s="130"/>
      <c r="P382" s="109"/>
      <c r="Q382" s="186"/>
      <c r="R382" s="131"/>
      <c r="S382" s="109" t="s">
        <v>66</v>
      </c>
      <c r="T382" s="109" t="s">
        <v>66</v>
      </c>
      <c r="U382" s="109" t="s">
        <v>66</v>
      </c>
      <c r="V382" s="109" t="s">
        <v>66</v>
      </c>
      <c r="W382" s="109" t="s">
        <v>66</v>
      </c>
      <c r="X382" s="126" t="str">
        <f>IF(TblDetailBudget[[#This Row],[Level]]=LvlBottomHdr, IF(SUM(TblDetailBudget[[#This Row],[2021 Quant]:[2025 Quant]])&gt;0, SUM(TblDetailBudget[[#This Row],[2021 Quant]:[2025 Quant]]), ""), "")</f>
        <v/>
      </c>
      <c r="Y38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8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8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8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8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82" s="142">
        <f>SUM(TblDetailBudget[[#This Row],[2021 Cost (LCU)]:[2025 Cost (LCU)]])</f>
        <v>0</v>
      </c>
      <c r="AE382" s="135">
        <f>IFERROR(SUM(TblDetailBudget[[#This Row],[2021 Cost (LCU)]])/FX_Rate, "")</f>
        <v>0</v>
      </c>
      <c r="AF382" s="86">
        <f>IFERROR(SUM(TblDetailBudget[[#This Row],[2022 Cost (LCU)]])/FX_Rate, "")</f>
        <v>0</v>
      </c>
      <c r="AG382" s="86">
        <f>IFERROR(SUM(TblDetailBudget[[#This Row],[2023 Cost (LCU)]])/FX_Rate, "")</f>
        <v>0</v>
      </c>
      <c r="AH382" s="86">
        <f>IFERROR(SUM(TblDetailBudget[[#This Row],[2024 Cost (LCU)]])/FX_Rate, "")</f>
        <v>0</v>
      </c>
      <c r="AI382" s="86">
        <f>IFERROR(SUM(TblDetailBudget[[#This Row],[2025 Cost (LCU)]])/FX_Rate, "")</f>
        <v>0</v>
      </c>
      <c r="AJ382" s="126">
        <f>SUM(TblDetailBudget[[#This Row],[2021 Cost (USD)]:[2025 Cost (USD)]])</f>
        <v>0</v>
      </c>
      <c r="AK382" s="180"/>
    </row>
    <row r="383" spans="2:37" ht="12.75" customHeight="1">
      <c r="B383" s="123"/>
      <c r="C38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83" s="85" t="str">
        <f>IF(TblDetailBudget[[#This Row],[Level]]="", "", COUNTIFS($B$8:TblDetailBudget[[#This Row],[Level]], Lvl1Hdr))</f>
        <v/>
      </c>
      <c r="E383" s="85" t="str">
        <f>IF(TblDetailBudget[[#This Row],[Level]]="", "", COUNTIFS($B$8:TblDetailBudget[[#This Row],[Level]], Lvl2Hdr, $D$8:TblDetailBudget[[#This Row],[Lvl 1 Header]], TblDetailBudget[[#This Row],[Lvl 1 Header]]))</f>
        <v/>
      </c>
      <c r="F38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8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8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83" s="164"/>
      <c r="J383" s="164"/>
      <c r="K383" s="165"/>
      <c r="L383" s="165"/>
      <c r="M383" s="85" t="str">
        <f>IF(TblDetailBudget[[#This Row],[Level]]=LvlBottomHdr, IFERROR(INDEX(TblUnitCost[Unit], MATCH(TblDetailBudget[[#This Row],[Row Title]], TblUnitCost[Resource], 0)), "Invalid Resource"), "")</f>
        <v/>
      </c>
      <c r="N383" s="126" t="str">
        <f>IF(TblDetailBudget[[#This Row],[Level]]=LvlBottomHdr, IFERROR(INDEX(TblUnitCost[LCU], MATCH(TblDetailBudget[[#This Row],[Row Title]], TblUnitCost[Resource], 0)), "Invalid Resource"), "")</f>
        <v/>
      </c>
      <c r="O383" s="130"/>
      <c r="P383" s="109"/>
      <c r="Q383" s="186"/>
      <c r="R383" s="131"/>
      <c r="S383" s="109" t="s">
        <v>66</v>
      </c>
      <c r="T383" s="109" t="s">
        <v>66</v>
      </c>
      <c r="U383" s="109" t="s">
        <v>66</v>
      </c>
      <c r="V383" s="109" t="s">
        <v>66</v>
      </c>
      <c r="W383" s="109" t="s">
        <v>66</v>
      </c>
      <c r="X383" s="126" t="str">
        <f>IF(TblDetailBudget[[#This Row],[Level]]=LvlBottomHdr, IF(SUM(TblDetailBudget[[#This Row],[2021 Quant]:[2025 Quant]])&gt;0, SUM(TblDetailBudget[[#This Row],[2021 Quant]:[2025 Quant]]), ""), "")</f>
        <v/>
      </c>
      <c r="Y38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8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8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8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8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83" s="142">
        <f>SUM(TblDetailBudget[[#This Row],[2021 Cost (LCU)]:[2025 Cost (LCU)]])</f>
        <v>0</v>
      </c>
      <c r="AE383" s="135">
        <f>IFERROR(SUM(TblDetailBudget[[#This Row],[2021 Cost (LCU)]])/FX_Rate, "")</f>
        <v>0</v>
      </c>
      <c r="AF383" s="86">
        <f>IFERROR(SUM(TblDetailBudget[[#This Row],[2022 Cost (LCU)]])/FX_Rate, "")</f>
        <v>0</v>
      </c>
      <c r="AG383" s="86">
        <f>IFERROR(SUM(TblDetailBudget[[#This Row],[2023 Cost (LCU)]])/FX_Rate, "")</f>
        <v>0</v>
      </c>
      <c r="AH383" s="86">
        <f>IFERROR(SUM(TblDetailBudget[[#This Row],[2024 Cost (LCU)]])/FX_Rate, "")</f>
        <v>0</v>
      </c>
      <c r="AI383" s="86">
        <f>IFERROR(SUM(TblDetailBudget[[#This Row],[2025 Cost (LCU)]])/FX_Rate, "")</f>
        <v>0</v>
      </c>
      <c r="AJ383" s="126">
        <f>SUM(TblDetailBudget[[#This Row],[2021 Cost (USD)]:[2025 Cost (USD)]])</f>
        <v>0</v>
      </c>
      <c r="AK383" s="180"/>
    </row>
    <row r="384" spans="2:37" ht="12.75" customHeight="1">
      <c r="B384" s="123"/>
      <c r="C38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84" s="85" t="str">
        <f>IF(TblDetailBudget[[#This Row],[Level]]="", "", COUNTIFS($B$8:TblDetailBudget[[#This Row],[Level]], Lvl1Hdr))</f>
        <v/>
      </c>
      <c r="E384" s="85" t="str">
        <f>IF(TblDetailBudget[[#This Row],[Level]]="", "", COUNTIFS($B$8:TblDetailBudget[[#This Row],[Level]], Lvl2Hdr, $D$8:TblDetailBudget[[#This Row],[Lvl 1 Header]], TblDetailBudget[[#This Row],[Lvl 1 Header]]))</f>
        <v/>
      </c>
      <c r="F38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8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8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84" s="164"/>
      <c r="J384" s="164"/>
      <c r="K384" s="165"/>
      <c r="L384" s="165"/>
      <c r="M384" s="85" t="str">
        <f>IF(TblDetailBudget[[#This Row],[Level]]=LvlBottomHdr, IFERROR(INDEX(TblUnitCost[Unit], MATCH(TblDetailBudget[[#This Row],[Row Title]], TblUnitCost[Resource], 0)), "Invalid Resource"), "")</f>
        <v/>
      </c>
      <c r="N384" s="126" t="str">
        <f>IF(TblDetailBudget[[#This Row],[Level]]=LvlBottomHdr, IFERROR(INDEX(TblUnitCost[LCU], MATCH(TblDetailBudget[[#This Row],[Row Title]], TblUnitCost[Resource], 0)), "Invalid Resource"), "")</f>
        <v/>
      </c>
      <c r="O384" s="130"/>
      <c r="P384" s="109"/>
      <c r="Q384" s="186"/>
      <c r="R384" s="131"/>
      <c r="S384" s="109" t="s">
        <v>66</v>
      </c>
      <c r="T384" s="109" t="s">
        <v>66</v>
      </c>
      <c r="U384" s="109" t="s">
        <v>66</v>
      </c>
      <c r="V384" s="109" t="s">
        <v>66</v>
      </c>
      <c r="W384" s="109" t="s">
        <v>66</v>
      </c>
      <c r="X384" s="126" t="str">
        <f>IF(TblDetailBudget[[#This Row],[Level]]=LvlBottomHdr, IF(SUM(TblDetailBudget[[#This Row],[2021 Quant]:[2025 Quant]])&gt;0, SUM(TblDetailBudget[[#This Row],[2021 Quant]:[2025 Quant]]), ""), "")</f>
        <v/>
      </c>
      <c r="Y38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8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8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8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8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84" s="142">
        <f>SUM(TblDetailBudget[[#This Row],[2021 Cost (LCU)]:[2025 Cost (LCU)]])</f>
        <v>0</v>
      </c>
      <c r="AE384" s="135">
        <f>IFERROR(SUM(TblDetailBudget[[#This Row],[2021 Cost (LCU)]])/FX_Rate, "")</f>
        <v>0</v>
      </c>
      <c r="AF384" s="86">
        <f>IFERROR(SUM(TblDetailBudget[[#This Row],[2022 Cost (LCU)]])/FX_Rate, "")</f>
        <v>0</v>
      </c>
      <c r="AG384" s="86">
        <f>IFERROR(SUM(TblDetailBudget[[#This Row],[2023 Cost (LCU)]])/FX_Rate, "")</f>
        <v>0</v>
      </c>
      <c r="AH384" s="86">
        <f>IFERROR(SUM(TblDetailBudget[[#This Row],[2024 Cost (LCU)]])/FX_Rate, "")</f>
        <v>0</v>
      </c>
      <c r="AI384" s="86">
        <f>IFERROR(SUM(TblDetailBudget[[#This Row],[2025 Cost (LCU)]])/FX_Rate, "")</f>
        <v>0</v>
      </c>
      <c r="AJ384" s="126">
        <f>SUM(TblDetailBudget[[#This Row],[2021 Cost (USD)]:[2025 Cost (USD)]])</f>
        <v>0</v>
      </c>
      <c r="AK384" s="180"/>
    </row>
    <row r="385" spans="2:37" ht="12.75" customHeight="1">
      <c r="B385" s="123"/>
      <c r="C38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85" s="85" t="str">
        <f>IF(TblDetailBudget[[#This Row],[Level]]="", "", COUNTIFS($B$8:TblDetailBudget[[#This Row],[Level]], Lvl1Hdr))</f>
        <v/>
      </c>
      <c r="E385" s="85" t="str">
        <f>IF(TblDetailBudget[[#This Row],[Level]]="", "", COUNTIFS($B$8:TblDetailBudget[[#This Row],[Level]], Lvl2Hdr, $D$8:TblDetailBudget[[#This Row],[Lvl 1 Header]], TblDetailBudget[[#This Row],[Lvl 1 Header]]))</f>
        <v/>
      </c>
      <c r="F38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8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8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85" s="164"/>
      <c r="J385" s="164"/>
      <c r="K385" s="165"/>
      <c r="L385" s="165"/>
      <c r="M385" s="85" t="str">
        <f>IF(TblDetailBudget[[#This Row],[Level]]=LvlBottomHdr, IFERROR(INDEX(TblUnitCost[Unit], MATCH(TblDetailBudget[[#This Row],[Row Title]], TblUnitCost[Resource], 0)), "Invalid Resource"), "")</f>
        <v/>
      </c>
      <c r="N385" s="126" t="str">
        <f>IF(TblDetailBudget[[#This Row],[Level]]=LvlBottomHdr, IFERROR(INDEX(TblUnitCost[LCU], MATCH(TblDetailBudget[[#This Row],[Row Title]], TblUnitCost[Resource], 0)), "Invalid Resource"), "")</f>
        <v/>
      </c>
      <c r="O385" s="130"/>
      <c r="P385" s="109"/>
      <c r="Q385" s="186"/>
      <c r="R385" s="131"/>
      <c r="S385" s="109" t="s">
        <v>66</v>
      </c>
      <c r="T385" s="109" t="s">
        <v>66</v>
      </c>
      <c r="U385" s="109" t="s">
        <v>66</v>
      </c>
      <c r="V385" s="109" t="s">
        <v>66</v>
      </c>
      <c r="W385" s="109" t="s">
        <v>66</v>
      </c>
      <c r="X385" s="126" t="str">
        <f>IF(TblDetailBudget[[#This Row],[Level]]=LvlBottomHdr, IF(SUM(TblDetailBudget[[#This Row],[2021 Quant]:[2025 Quant]])&gt;0, SUM(TblDetailBudget[[#This Row],[2021 Quant]:[2025 Quant]]), ""), "")</f>
        <v/>
      </c>
      <c r="Y38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8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8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8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8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85" s="142">
        <f>SUM(TblDetailBudget[[#This Row],[2021 Cost (LCU)]:[2025 Cost (LCU)]])</f>
        <v>0</v>
      </c>
      <c r="AE385" s="135">
        <f>IFERROR(SUM(TblDetailBudget[[#This Row],[2021 Cost (LCU)]])/FX_Rate, "")</f>
        <v>0</v>
      </c>
      <c r="AF385" s="86">
        <f>IFERROR(SUM(TblDetailBudget[[#This Row],[2022 Cost (LCU)]])/FX_Rate, "")</f>
        <v>0</v>
      </c>
      <c r="AG385" s="86">
        <f>IFERROR(SUM(TblDetailBudget[[#This Row],[2023 Cost (LCU)]])/FX_Rate, "")</f>
        <v>0</v>
      </c>
      <c r="AH385" s="86">
        <f>IFERROR(SUM(TblDetailBudget[[#This Row],[2024 Cost (LCU)]])/FX_Rate, "")</f>
        <v>0</v>
      </c>
      <c r="AI385" s="86">
        <f>IFERROR(SUM(TblDetailBudget[[#This Row],[2025 Cost (LCU)]])/FX_Rate, "")</f>
        <v>0</v>
      </c>
      <c r="AJ385" s="126">
        <f>SUM(TblDetailBudget[[#This Row],[2021 Cost (USD)]:[2025 Cost (USD)]])</f>
        <v>0</v>
      </c>
      <c r="AK385" s="180"/>
    </row>
    <row r="386" spans="2:37" ht="12.75" customHeight="1">
      <c r="B386" s="123"/>
      <c r="C38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86" s="85" t="str">
        <f>IF(TblDetailBudget[[#This Row],[Level]]="", "", COUNTIFS($B$8:TblDetailBudget[[#This Row],[Level]], Lvl1Hdr))</f>
        <v/>
      </c>
      <c r="E386" s="85" t="str">
        <f>IF(TblDetailBudget[[#This Row],[Level]]="", "", COUNTIFS($B$8:TblDetailBudget[[#This Row],[Level]], Lvl2Hdr, $D$8:TblDetailBudget[[#This Row],[Lvl 1 Header]], TblDetailBudget[[#This Row],[Lvl 1 Header]]))</f>
        <v/>
      </c>
      <c r="F38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8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8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86" s="164"/>
      <c r="J386" s="164"/>
      <c r="K386" s="165"/>
      <c r="L386" s="165"/>
      <c r="M386" s="85" t="str">
        <f>IF(TblDetailBudget[[#This Row],[Level]]=LvlBottomHdr, IFERROR(INDEX(TblUnitCost[Unit], MATCH(TblDetailBudget[[#This Row],[Row Title]], TblUnitCost[Resource], 0)), "Invalid Resource"), "")</f>
        <v/>
      </c>
      <c r="N386" s="126" t="str">
        <f>IF(TblDetailBudget[[#This Row],[Level]]=LvlBottomHdr, IFERROR(INDEX(TblUnitCost[LCU], MATCH(TblDetailBudget[[#This Row],[Row Title]], TblUnitCost[Resource], 0)), "Invalid Resource"), "")</f>
        <v/>
      </c>
      <c r="O386" s="130"/>
      <c r="P386" s="109"/>
      <c r="Q386" s="186"/>
      <c r="R386" s="131"/>
      <c r="S386" s="109" t="s">
        <v>66</v>
      </c>
      <c r="T386" s="109" t="s">
        <v>66</v>
      </c>
      <c r="U386" s="109" t="s">
        <v>66</v>
      </c>
      <c r="V386" s="109" t="s">
        <v>66</v>
      </c>
      <c r="W386" s="109" t="s">
        <v>66</v>
      </c>
      <c r="X386" s="126" t="str">
        <f>IF(TblDetailBudget[[#This Row],[Level]]=LvlBottomHdr, IF(SUM(TblDetailBudget[[#This Row],[2021 Quant]:[2025 Quant]])&gt;0, SUM(TblDetailBudget[[#This Row],[2021 Quant]:[2025 Quant]]), ""), "")</f>
        <v/>
      </c>
      <c r="Y38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8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8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8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8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86" s="142">
        <f>SUM(TblDetailBudget[[#This Row],[2021 Cost (LCU)]:[2025 Cost (LCU)]])</f>
        <v>0</v>
      </c>
      <c r="AE386" s="135">
        <f>IFERROR(SUM(TblDetailBudget[[#This Row],[2021 Cost (LCU)]])/FX_Rate, "")</f>
        <v>0</v>
      </c>
      <c r="AF386" s="86">
        <f>IFERROR(SUM(TblDetailBudget[[#This Row],[2022 Cost (LCU)]])/FX_Rate, "")</f>
        <v>0</v>
      </c>
      <c r="AG386" s="86">
        <f>IFERROR(SUM(TblDetailBudget[[#This Row],[2023 Cost (LCU)]])/FX_Rate, "")</f>
        <v>0</v>
      </c>
      <c r="AH386" s="86">
        <f>IFERROR(SUM(TblDetailBudget[[#This Row],[2024 Cost (LCU)]])/FX_Rate, "")</f>
        <v>0</v>
      </c>
      <c r="AI386" s="86">
        <f>IFERROR(SUM(TblDetailBudget[[#This Row],[2025 Cost (LCU)]])/FX_Rate, "")</f>
        <v>0</v>
      </c>
      <c r="AJ386" s="126">
        <f>SUM(TblDetailBudget[[#This Row],[2021 Cost (USD)]:[2025 Cost (USD)]])</f>
        <v>0</v>
      </c>
      <c r="AK386" s="180"/>
    </row>
    <row r="387" spans="2:37" ht="12.75" customHeight="1">
      <c r="B387" s="123"/>
      <c r="C38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87" s="85" t="str">
        <f>IF(TblDetailBudget[[#This Row],[Level]]="", "", COUNTIFS($B$8:TblDetailBudget[[#This Row],[Level]], Lvl1Hdr))</f>
        <v/>
      </c>
      <c r="E387" s="85" t="str">
        <f>IF(TblDetailBudget[[#This Row],[Level]]="", "", COUNTIFS($B$8:TblDetailBudget[[#This Row],[Level]], Lvl2Hdr, $D$8:TblDetailBudget[[#This Row],[Lvl 1 Header]], TblDetailBudget[[#This Row],[Lvl 1 Header]]))</f>
        <v/>
      </c>
      <c r="F38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8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8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87" s="164"/>
      <c r="J387" s="164"/>
      <c r="K387" s="165"/>
      <c r="L387" s="165"/>
      <c r="M387" s="85" t="str">
        <f>IF(TblDetailBudget[[#This Row],[Level]]=LvlBottomHdr, IFERROR(INDEX(TblUnitCost[Unit], MATCH(TblDetailBudget[[#This Row],[Row Title]], TblUnitCost[Resource], 0)), "Invalid Resource"), "")</f>
        <v/>
      </c>
      <c r="N387" s="126" t="str">
        <f>IF(TblDetailBudget[[#This Row],[Level]]=LvlBottomHdr, IFERROR(INDEX(TblUnitCost[LCU], MATCH(TblDetailBudget[[#This Row],[Row Title]], TblUnitCost[Resource], 0)), "Invalid Resource"), "")</f>
        <v/>
      </c>
      <c r="O387" s="130"/>
      <c r="P387" s="109"/>
      <c r="Q387" s="186"/>
      <c r="R387" s="131"/>
      <c r="S387" s="109" t="s">
        <v>66</v>
      </c>
      <c r="T387" s="109" t="s">
        <v>66</v>
      </c>
      <c r="U387" s="109" t="s">
        <v>66</v>
      </c>
      <c r="V387" s="109" t="s">
        <v>66</v>
      </c>
      <c r="W387" s="109" t="s">
        <v>66</v>
      </c>
      <c r="X387" s="126" t="str">
        <f>IF(TblDetailBudget[[#This Row],[Level]]=LvlBottomHdr, IF(SUM(TblDetailBudget[[#This Row],[2021 Quant]:[2025 Quant]])&gt;0, SUM(TblDetailBudget[[#This Row],[2021 Quant]:[2025 Quant]]), ""), "")</f>
        <v/>
      </c>
      <c r="Y38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8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8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8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8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87" s="142">
        <f>SUM(TblDetailBudget[[#This Row],[2021 Cost (LCU)]:[2025 Cost (LCU)]])</f>
        <v>0</v>
      </c>
      <c r="AE387" s="135">
        <f>IFERROR(SUM(TblDetailBudget[[#This Row],[2021 Cost (LCU)]])/FX_Rate, "")</f>
        <v>0</v>
      </c>
      <c r="AF387" s="86">
        <f>IFERROR(SUM(TblDetailBudget[[#This Row],[2022 Cost (LCU)]])/FX_Rate, "")</f>
        <v>0</v>
      </c>
      <c r="AG387" s="86">
        <f>IFERROR(SUM(TblDetailBudget[[#This Row],[2023 Cost (LCU)]])/FX_Rate, "")</f>
        <v>0</v>
      </c>
      <c r="AH387" s="86">
        <f>IFERROR(SUM(TblDetailBudget[[#This Row],[2024 Cost (LCU)]])/FX_Rate, "")</f>
        <v>0</v>
      </c>
      <c r="AI387" s="86">
        <f>IFERROR(SUM(TblDetailBudget[[#This Row],[2025 Cost (LCU)]])/FX_Rate, "")</f>
        <v>0</v>
      </c>
      <c r="AJ387" s="126">
        <f>SUM(TblDetailBudget[[#This Row],[2021 Cost (USD)]:[2025 Cost (USD)]])</f>
        <v>0</v>
      </c>
      <c r="AK387" s="180"/>
    </row>
    <row r="388" spans="2:37" ht="12.75" customHeight="1">
      <c r="B388" s="123"/>
      <c r="C38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88" s="85" t="str">
        <f>IF(TblDetailBudget[[#This Row],[Level]]="", "", COUNTIFS($B$8:TblDetailBudget[[#This Row],[Level]], Lvl1Hdr))</f>
        <v/>
      </c>
      <c r="E388" s="85" t="str">
        <f>IF(TblDetailBudget[[#This Row],[Level]]="", "", COUNTIFS($B$8:TblDetailBudget[[#This Row],[Level]], Lvl2Hdr, $D$8:TblDetailBudget[[#This Row],[Lvl 1 Header]], TblDetailBudget[[#This Row],[Lvl 1 Header]]))</f>
        <v/>
      </c>
      <c r="F38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8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8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88" s="164"/>
      <c r="J388" s="164"/>
      <c r="K388" s="165"/>
      <c r="L388" s="165"/>
      <c r="M388" s="85" t="str">
        <f>IF(TblDetailBudget[[#This Row],[Level]]=LvlBottomHdr, IFERROR(INDEX(TblUnitCost[Unit], MATCH(TblDetailBudget[[#This Row],[Row Title]], TblUnitCost[Resource], 0)), "Invalid Resource"), "")</f>
        <v/>
      </c>
      <c r="N388" s="126" t="str">
        <f>IF(TblDetailBudget[[#This Row],[Level]]=LvlBottomHdr, IFERROR(INDEX(TblUnitCost[LCU], MATCH(TblDetailBudget[[#This Row],[Row Title]], TblUnitCost[Resource], 0)), "Invalid Resource"), "")</f>
        <v/>
      </c>
      <c r="O388" s="130"/>
      <c r="P388" s="109"/>
      <c r="Q388" s="186"/>
      <c r="R388" s="131"/>
      <c r="S388" s="109" t="s">
        <v>66</v>
      </c>
      <c r="T388" s="109" t="s">
        <v>66</v>
      </c>
      <c r="U388" s="109" t="s">
        <v>66</v>
      </c>
      <c r="V388" s="109" t="s">
        <v>66</v>
      </c>
      <c r="W388" s="109" t="s">
        <v>66</v>
      </c>
      <c r="X388" s="126" t="str">
        <f>IF(TblDetailBudget[[#This Row],[Level]]=LvlBottomHdr, IF(SUM(TblDetailBudget[[#This Row],[2021 Quant]:[2025 Quant]])&gt;0, SUM(TblDetailBudget[[#This Row],[2021 Quant]:[2025 Quant]]), ""), "")</f>
        <v/>
      </c>
      <c r="Y38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8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8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8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8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88" s="142">
        <f>SUM(TblDetailBudget[[#This Row],[2021 Cost (LCU)]:[2025 Cost (LCU)]])</f>
        <v>0</v>
      </c>
      <c r="AE388" s="135">
        <f>IFERROR(SUM(TblDetailBudget[[#This Row],[2021 Cost (LCU)]])/FX_Rate, "")</f>
        <v>0</v>
      </c>
      <c r="AF388" s="86">
        <f>IFERROR(SUM(TblDetailBudget[[#This Row],[2022 Cost (LCU)]])/FX_Rate, "")</f>
        <v>0</v>
      </c>
      <c r="AG388" s="86">
        <f>IFERROR(SUM(TblDetailBudget[[#This Row],[2023 Cost (LCU)]])/FX_Rate, "")</f>
        <v>0</v>
      </c>
      <c r="AH388" s="86">
        <f>IFERROR(SUM(TblDetailBudget[[#This Row],[2024 Cost (LCU)]])/FX_Rate, "")</f>
        <v>0</v>
      </c>
      <c r="AI388" s="86">
        <f>IFERROR(SUM(TblDetailBudget[[#This Row],[2025 Cost (LCU)]])/FX_Rate, "")</f>
        <v>0</v>
      </c>
      <c r="AJ388" s="126">
        <f>SUM(TblDetailBudget[[#This Row],[2021 Cost (USD)]:[2025 Cost (USD)]])</f>
        <v>0</v>
      </c>
      <c r="AK388" s="180"/>
    </row>
    <row r="389" spans="2:37" ht="12.75" customHeight="1">
      <c r="B389" s="123"/>
      <c r="C38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89" s="85" t="str">
        <f>IF(TblDetailBudget[[#This Row],[Level]]="", "", COUNTIFS($B$8:TblDetailBudget[[#This Row],[Level]], Lvl1Hdr))</f>
        <v/>
      </c>
      <c r="E389" s="85" t="str">
        <f>IF(TblDetailBudget[[#This Row],[Level]]="", "", COUNTIFS($B$8:TblDetailBudget[[#This Row],[Level]], Lvl2Hdr, $D$8:TblDetailBudget[[#This Row],[Lvl 1 Header]], TblDetailBudget[[#This Row],[Lvl 1 Header]]))</f>
        <v/>
      </c>
      <c r="F38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8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8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89" s="164"/>
      <c r="J389" s="164"/>
      <c r="K389" s="165"/>
      <c r="L389" s="165"/>
      <c r="M389" s="85" t="str">
        <f>IF(TblDetailBudget[[#This Row],[Level]]=LvlBottomHdr, IFERROR(INDEX(TblUnitCost[Unit], MATCH(TblDetailBudget[[#This Row],[Row Title]], TblUnitCost[Resource], 0)), "Invalid Resource"), "")</f>
        <v/>
      </c>
      <c r="N389" s="126" t="str">
        <f>IF(TblDetailBudget[[#This Row],[Level]]=LvlBottomHdr, IFERROR(INDEX(TblUnitCost[LCU], MATCH(TblDetailBudget[[#This Row],[Row Title]], TblUnitCost[Resource], 0)), "Invalid Resource"), "")</f>
        <v/>
      </c>
      <c r="O389" s="130"/>
      <c r="P389" s="109"/>
      <c r="Q389" s="186"/>
      <c r="R389" s="131"/>
      <c r="S389" s="109" t="s">
        <v>66</v>
      </c>
      <c r="T389" s="109" t="s">
        <v>66</v>
      </c>
      <c r="U389" s="109" t="s">
        <v>66</v>
      </c>
      <c r="V389" s="109" t="s">
        <v>66</v>
      </c>
      <c r="W389" s="109" t="s">
        <v>66</v>
      </c>
      <c r="X389" s="126" t="str">
        <f>IF(TblDetailBudget[[#This Row],[Level]]=LvlBottomHdr, IF(SUM(TblDetailBudget[[#This Row],[2021 Quant]:[2025 Quant]])&gt;0, SUM(TblDetailBudget[[#This Row],[2021 Quant]:[2025 Quant]]), ""), "")</f>
        <v/>
      </c>
      <c r="Y38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8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8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8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8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89" s="142">
        <f>SUM(TblDetailBudget[[#This Row],[2021 Cost (LCU)]:[2025 Cost (LCU)]])</f>
        <v>0</v>
      </c>
      <c r="AE389" s="135">
        <f>IFERROR(SUM(TblDetailBudget[[#This Row],[2021 Cost (LCU)]])/FX_Rate, "")</f>
        <v>0</v>
      </c>
      <c r="AF389" s="86">
        <f>IFERROR(SUM(TblDetailBudget[[#This Row],[2022 Cost (LCU)]])/FX_Rate, "")</f>
        <v>0</v>
      </c>
      <c r="AG389" s="86">
        <f>IFERROR(SUM(TblDetailBudget[[#This Row],[2023 Cost (LCU)]])/FX_Rate, "")</f>
        <v>0</v>
      </c>
      <c r="AH389" s="86">
        <f>IFERROR(SUM(TblDetailBudget[[#This Row],[2024 Cost (LCU)]])/FX_Rate, "")</f>
        <v>0</v>
      </c>
      <c r="AI389" s="86">
        <f>IFERROR(SUM(TblDetailBudget[[#This Row],[2025 Cost (LCU)]])/FX_Rate, "")</f>
        <v>0</v>
      </c>
      <c r="AJ389" s="126">
        <f>SUM(TblDetailBudget[[#This Row],[2021 Cost (USD)]:[2025 Cost (USD)]])</f>
        <v>0</v>
      </c>
      <c r="AK389" s="180"/>
    </row>
    <row r="390" spans="2:37" ht="12.75" customHeight="1">
      <c r="B390" s="123"/>
      <c r="C39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90" s="85" t="str">
        <f>IF(TblDetailBudget[[#This Row],[Level]]="", "", COUNTIFS($B$8:TblDetailBudget[[#This Row],[Level]], Lvl1Hdr))</f>
        <v/>
      </c>
      <c r="E390" s="85" t="str">
        <f>IF(TblDetailBudget[[#This Row],[Level]]="", "", COUNTIFS($B$8:TblDetailBudget[[#This Row],[Level]], Lvl2Hdr, $D$8:TblDetailBudget[[#This Row],[Lvl 1 Header]], TblDetailBudget[[#This Row],[Lvl 1 Header]]))</f>
        <v/>
      </c>
      <c r="F39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9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9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90" s="164"/>
      <c r="J390" s="164"/>
      <c r="K390" s="165"/>
      <c r="L390" s="165"/>
      <c r="M390" s="85" t="str">
        <f>IF(TblDetailBudget[[#This Row],[Level]]=LvlBottomHdr, IFERROR(INDEX(TblUnitCost[Unit], MATCH(TblDetailBudget[[#This Row],[Row Title]], TblUnitCost[Resource], 0)), "Invalid Resource"), "")</f>
        <v/>
      </c>
      <c r="N390" s="126" t="str">
        <f>IF(TblDetailBudget[[#This Row],[Level]]=LvlBottomHdr, IFERROR(INDEX(TblUnitCost[LCU], MATCH(TblDetailBudget[[#This Row],[Row Title]], TblUnitCost[Resource], 0)), "Invalid Resource"), "")</f>
        <v/>
      </c>
      <c r="O390" s="130"/>
      <c r="P390" s="109"/>
      <c r="Q390" s="186"/>
      <c r="R390" s="131"/>
      <c r="S390" s="109" t="s">
        <v>66</v>
      </c>
      <c r="T390" s="109" t="s">
        <v>66</v>
      </c>
      <c r="U390" s="109" t="s">
        <v>66</v>
      </c>
      <c r="V390" s="109" t="s">
        <v>66</v>
      </c>
      <c r="W390" s="109" t="s">
        <v>66</v>
      </c>
      <c r="X390" s="126" t="str">
        <f>IF(TblDetailBudget[[#This Row],[Level]]=LvlBottomHdr, IF(SUM(TblDetailBudget[[#This Row],[2021 Quant]:[2025 Quant]])&gt;0, SUM(TblDetailBudget[[#This Row],[2021 Quant]:[2025 Quant]]), ""), "")</f>
        <v/>
      </c>
      <c r="Y39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9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9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9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9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90" s="142">
        <f>SUM(TblDetailBudget[[#This Row],[2021 Cost (LCU)]:[2025 Cost (LCU)]])</f>
        <v>0</v>
      </c>
      <c r="AE390" s="135">
        <f>IFERROR(SUM(TblDetailBudget[[#This Row],[2021 Cost (LCU)]])/FX_Rate, "")</f>
        <v>0</v>
      </c>
      <c r="AF390" s="86">
        <f>IFERROR(SUM(TblDetailBudget[[#This Row],[2022 Cost (LCU)]])/FX_Rate, "")</f>
        <v>0</v>
      </c>
      <c r="AG390" s="86">
        <f>IFERROR(SUM(TblDetailBudget[[#This Row],[2023 Cost (LCU)]])/FX_Rate, "")</f>
        <v>0</v>
      </c>
      <c r="AH390" s="86">
        <f>IFERROR(SUM(TblDetailBudget[[#This Row],[2024 Cost (LCU)]])/FX_Rate, "")</f>
        <v>0</v>
      </c>
      <c r="AI390" s="86">
        <f>IFERROR(SUM(TblDetailBudget[[#This Row],[2025 Cost (LCU)]])/FX_Rate, "")</f>
        <v>0</v>
      </c>
      <c r="AJ390" s="126">
        <f>SUM(TblDetailBudget[[#This Row],[2021 Cost (USD)]:[2025 Cost (USD)]])</f>
        <v>0</v>
      </c>
      <c r="AK390" s="180"/>
    </row>
    <row r="391" spans="2:37" ht="12.75" customHeight="1">
      <c r="B391" s="123"/>
      <c r="C39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91" s="85" t="str">
        <f>IF(TblDetailBudget[[#This Row],[Level]]="", "", COUNTIFS($B$8:TblDetailBudget[[#This Row],[Level]], Lvl1Hdr))</f>
        <v/>
      </c>
      <c r="E391" s="85" t="str">
        <f>IF(TblDetailBudget[[#This Row],[Level]]="", "", COUNTIFS($B$8:TblDetailBudget[[#This Row],[Level]], Lvl2Hdr, $D$8:TblDetailBudget[[#This Row],[Lvl 1 Header]], TblDetailBudget[[#This Row],[Lvl 1 Header]]))</f>
        <v/>
      </c>
      <c r="F39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9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9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91" s="164"/>
      <c r="J391" s="164"/>
      <c r="K391" s="165"/>
      <c r="L391" s="165"/>
      <c r="M391" s="85" t="str">
        <f>IF(TblDetailBudget[[#This Row],[Level]]=LvlBottomHdr, IFERROR(INDEX(TblUnitCost[Unit], MATCH(TblDetailBudget[[#This Row],[Row Title]], TblUnitCost[Resource], 0)), "Invalid Resource"), "")</f>
        <v/>
      </c>
      <c r="N391" s="126" t="str">
        <f>IF(TblDetailBudget[[#This Row],[Level]]=LvlBottomHdr, IFERROR(INDEX(TblUnitCost[LCU], MATCH(TblDetailBudget[[#This Row],[Row Title]], TblUnitCost[Resource], 0)), "Invalid Resource"), "")</f>
        <v/>
      </c>
      <c r="O391" s="130"/>
      <c r="P391" s="109"/>
      <c r="Q391" s="186"/>
      <c r="R391" s="131"/>
      <c r="S391" s="109" t="s">
        <v>66</v>
      </c>
      <c r="T391" s="109" t="s">
        <v>66</v>
      </c>
      <c r="U391" s="109" t="s">
        <v>66</v>
      </c>
      <c r="V391" s="109" t="s">
        <v>66</v>
      </c>
      <c r="W391" s="109" t="s">
        <v>66</v>
      </c>
      <c r="X391" s="126" t="str">
        <f>IF(TblDetailBudget[[#This Row],[Level]]=LvlBottomHdr, IF(SUM(TblDetailBudget[[#This Row],[2021 Quant]:[2025 Quant]])&gt;0, SUM(TblDetailBudget[[#This Row],[2021 Quant]:[2025 Quant]]), ""), "")</f>
        <v/>
      </c>
      <c r="Y39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9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9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9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9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91" s="142">
        <f>SUM(TblDetailBudget[[#This Row],[2021 Cost (LCU)]:[2025 Cost (LCU)]])</f>
        <v>0</v>
      </c>
      <c r="AE391" s="135">
        <f>IFERROR(SUM(TblDetailBudget[[#This Row],[2021 Cost (LCU)]])/FX_Rate, "")</f>
        <v>0</v>
      </c>
      <c r="AF391" s="86">
        <f>IFERROR(SUM(TblDetailBudget[[#This Row],[2022 Cost (LCU)]])/FX_Rate, "")</f>
        <v>0</v>
      </c>
      <c r="AG391" s="86">
        <f>IFERROR(SUM(TblDetailBudget[[#This Row],[2023 Cost (LCU)]])/FX_Rate, "")</f>
        <v>0</v>
      </c>
      <c r="AH391" s="86">
        <f>IFERROR(SUM(TblDetailBudget[[#This Row],[2024 Cost (LCU)]])/FX_Rate, "")</f>
        <v>0</v>
      </c>
      <c r="AI391" s="86">
        <f>IFERROR(SUM(TblDetailBudget[[#This Row],[2025 Cost (LCU)]])/FX_Rate, "")</f>
        <v>0</v>
      </c>
      <c r="AJ391" s="126">
        <f>SUM(TblDetailBudget[[#This Row],[2021 Cost (USD)]:[2025 Cost (USD)]])</f>
        <v>0</v>
      </c>
      <c r="AK391" s="180"/>
    </row>
    <row r="392" spans="2:37" ht="12.75" customHeight="1">
      <c r="B392" s="123"/>
      <c r="C39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92" s="85" t="str">
        <f>IF(TblDetailBudget[[#This Row],[Level]]="", "", COUNTIFS($B$8:TblDetailBudget[[#This Row],[Level]], Lvl1Hdr))</f>
        <v/>
      </c>
      <c r="E392" s="85" t="str">
        <f>IF(TblDetailBudget[[#This Row],[Level]]="", "", COUNTIFS($B$8:TblDetailBudget[[#This Row],[Level]], Lvl2Hdr, $D$8:TblDetailBudget[[#This Row],[Lvl 1 Header]], TblDetailBudget[[#This Row],[Lvl 1 Header]]))</f>
        <v/>
      </c>
      <c r="F39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9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9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92" s="164"/>
      <c r="J392" s="164"/>
      <c r="K392" s="165"/>
      <c r="L392" s="165"/>
      <c r="M392" s="85" t="str">
        <f>IF(TblDetailBudget[[#This Row],[Level]]=LvlBottomHdr, IFERROR(INDEX(TblUnitCost[Unit], MATCH(TblDetailBudget[[#This Row],[Row Title]], TblUnitCost[Resource], 0)), "Invalid Resource"), "")</f>
        <v/>
      </c>
      <c r="N392" s="126" t="str">
        <f>IF(TblDetailBudget[[#This Row],[Level]]=LvlBottomHdr, IFERROR(INDEX(TblUnitCost[LCU], MATCH(TblDetailBudget[[#This Row],[Row Title]], TblUnitCost[Resource], 0)), "Invalid Resource"), "")</f>
        <v/>
      </c>
      <c r="O392" s="130"/>
      <c r="P392" s="109"/>
      <c r="Q392" s="186"/>
      <c r="R392" s="131"/>
      <c r="S392" s="109" t="s">
        <v>66</v>
      </c>
      <c r="T392" s="109" t="s">
        <v>66</v>
      </c>
      <c r="U392" s="109" t="s">
        <v>66</v>
      </c>
      <c r="V392" s="109" t="s">
        <v>66</v>
      </c>
      <c r="W392" s="109" t="s">
        <v>66</v>
      </c>
      <c r="X392" s="126" t="str">
        <f>IF(TblDetailBudget[[#This Row],[Level]]=LvlBottomHdr, IF(SUM(TblDetailBudget[[#This Row],[2021 Quant]:[2025 Quant]])&gt;0, SUM(TblDetailBudget[[#This Row],[2021 Quant]:[2025 Quant]]), ""), "")</f>
        <v/>
      </c>
      <c r="Y39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9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9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9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9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92" s="142">
        <f>SUM(TblDetailBudget[[#This Row],[2021 Cost (LCU)]:[2025 Cost (LCU)]])</f>
        <v>0</v>
      </c>
      <c r="AE392" s="135">
        <f>IFERROR(SUM(TblDetailBudget[[#This Row],[2021 Cost (LCU)]])/FX_Rate, "")</f>
        <v>0</v>
      </c>
      <c r="AF392" s="86">
        <f>IFERROR(SUM(TblDetailBudget[[#This Row],[2022 Cost (LCU)]])/FX_Rate, "")</f>
        <v>0</v>
      </c>
      <c r="AG392" s="86">
        <f>IFERROR(SUM(TblDetailBudget[[#This Row],[2023 Cost (LCU)]])/FX_Rate, "")</f>
        <v>0</v>
      </c>
      <c r="AH392" s="86">
        <f>IFERROR(SUM(TblDetailBudget[[#This Row],[2024 Cost (LCU)]])/FX_Rate, "")</f>
        <v>0</v>
      </c>
      <c r="AI392" s="86">
        <f>IFERROR(SUM(TblDetailBudget[[#This Row],[2025 Cost (LCU)]])/FX_Rate, "")</f>
        <v>0</v>
      </c>
      <c r="AJ392" s="126">
        <f>SUM(TblDetailBudget[[#This Row],[2021 Cost (USD)]:[2025 Cost (USD)]])</f>
        <v>0</v>
      </c>
      <c r="AK392" s="180"/>
    </row>
    <row r="393" spans="2:37" ht="12.75" customHeight="1">
      <c r="B393" s="123"/>
      <c r="C39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93" s="85" t="str">
        <f>IF(TblDetailBudget[[#This Row],[Level]]="", "", COUNTIFS($B$8:TblDetailBudget[[#This Row],[Level]], Lvl1Hdr))</f>
        <v/>
      </c>
      <c r="E393" s="85" t="str">
        <f>IF(TblDetailBudget[[#This Row],[Level]]="", "", COUNTIFS($B$8:TblDetailBudget[[#This Row],[Level]], Lvl2Hdr, $D$8:TblDetailBudget[[#This Row],[Lvl 1 Header]], TblDetailBudget[[#This Row],[Lvl 1 Header]]))</f>
        <v/>
      </c>
      <c r="F39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9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9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93" s="164"/>
      <c r="J393" s="164"/>
      <c r="K393" s="165"/>
      <c r="L393" s="165"/>
      <c r="M393" s="85" t="str">
        <f>IF(TblDetailBudget[[#This Row],[Level]]=LvlBottomHdr, IFERROR(INDEX(TblUnitCost[Unit], MATCH(TblDetailBudget[[#This Row],[Row Title]], TblUnitCost[Resource], 0)), "Invalid Resource"), "")</f>
        <v/>
      </c>
      <c r="N393" s="126" t="str">
        <f>IF(TblDetailBudget[[#This Row],[Level]]=LvlBottomHdr, IFERROR(INDEX(TblUnitCost[LCU], MATCH(TblDetailBudget[[#This Row],[Row Title]], TblUnitCost[Resource], 0)), "Invalid Resource"), "")</f>
        <v/>
      </c>
      <c r="O393" s="130"/>
      <c r="P393" s="109"/>
      <c r="Q393" s="186"/>
      <c r="R393" s="131"/>
      <c r="S393" s="109" t="s">
        <v>66</v>
      </c>
      <c r="T393" s="109" t="s">
        <v>66</v>
      </c>
      <c r="U393" s="109" t="s">
        <v>66</v>
      </c>
      <c r="V393" s="109" t="s">
        <v>66</v>
      </c>
      <c r="W393" s="109" t="s">
        <v>66</v>
      </c>
      <c r="X393" s="126" t="str">
        <f>IF(TblDetailBudget[[#This Row],[Level]]=LvlBottomHdr, IF(SUM(TblDetailBudget[[#This Row],[2021 Quant]:[2025 Quant]])&gt;0, SUM(TblDetailBudget[[#This Row],[2021 Quant]:[2025 Quant]]), ""), "")</f>
        <v/>
      </c>
      <c r="Y39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9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9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9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9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93" s="142">
        <f>SUM(TblDetailBudget[[#This Row],[2021 Cost (LCU)]:[2025 Cost (LCU)]])</f>
        <v>0</v>
      </c>
      <c r="AE393" s="135">
        <f>IFERROR(SUM(TblDetailBudget[[#This Row],[2021 Cost (LCU)]])/FX_Rate, "")</f>
        <v>0</v>
      </c>
      <c r="AF393" s="86">
        <f>IFERROR(SUM(TblDetailBudget[[#This Row],[2022 Cost (LCU)]])/FX_Rate, "")</f>
        <v>0</v>
      </c>
      <c r="AG393" s="86">
        <f>IFERROR(SUM(TblDetailBudget[[#This Row],[2023 Cost (LCU)]])/FX_Rate, "")</f>
        <v>0</v>
      </c>
      <c r="AH393" s="86">
        <f>IFERROR(SUM(TblDetailBudget[[#This Row],[2024 Cost (LCU)]])/FX_Rate, "")</f>
        <v>0</v>
      </c>
      <c r="AI393" s="86">
        <f>IFERROR(SUM(TblDetailBudget[[#This Row],[2025 Cost (LCU)]])/FX_Rate, "")</f>
        <v>0</v>
      </c>
      <c r="AJ393" s="126">
        <f>SUM(TblDetailBudget[[#This Row],[2021 Cost (USD)]:[2025 Cost (USD)]])</f>
        <v>0</v>
      </c>
      <c r="AK393" s="180"/>
    </row>
    <row r="394" spans="2:37" ht="12.75" customHeight="1">
      <c r="B394" s="123"/>
      <c r="C39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94" s="85" t="str">
        <f>IF(TblDetailBudget[[#This Row],[Level]]="", "", COUNTIFS($B$8:TblDetailBudget[[#This Row],[Level]], Lvl1Hdr))</f>
        <v/>
      </c>
      <c r="E394" s="85" t="str">
        <f>IF(TblDetailBudget[[#This Row],[Level]]="", "", COUNTIFS($B$8:TblDetailBudget[[#This Row],[Level]], Lvl2Hdr, $D$8:TblDetailBudget[[#This Row],[Lvl 1 Header]], TblDetailBudget[[#This Row],[Lvl 1 Header]]))</f>
        <v/>
      </c>
      <c r="F39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9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9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94" s="164"/>
      <c r="J394" s="164"/>
      <c r="K394" s="165"/>
      <c r="L394" s="165"/>
      <c r="M394" s="85" t="str">
        <f>IF(TblDetailBudget[[#This Row],[Level]]=LvlBottomHdr, IFERROR(INDEX(TblUnitCost[Unit], MATCH(TblDetailBudget[[#This Row],[Row Title]], TblUnitCost[Resource], 0)), "Invalid Resource"), "")</f>
        <v/>
      </c>
      <c r="N394" s="126" t="str">
        <f>IF(TblDetailBudget[[#This Row],[Level]]=LvlBottomHdr, IFERROR(INDEX(TblUnitCost[LCU], MATCH(TblDetailBudget[[#This Row],[Row Title]], TblUnitCost[Resource], 0)), "Invalid Resource"), "")</f>
        <v/>
      </c>
      <c r="O394" s="130"/>
      <c r="P394" s="109"/>
      <c r="Q394" s="186"/>
      <c r="R394" s="131"/>
      <c r="S394" s="109" t="s">
        <v>66</v>
      </c>
      <c r="T394" s="109" t="s">
        <v>66</v>
      </c>
      <c r="U394" s="109" t="s">
        <v>66</v>
      </c>
      <c r="V394" s="109" t="s">
        <v>66</v>
      </c>
      <c r="W394" s="109" t="s">
        <v>66</v>
      </c>
      <c r="X394" s="126" t="str">
        <f>IF(TblDetailBudget[[#This Row],[Level]]=LvlBottomHdr, IF(SUM(TblDetailBudget[[#This Row],[2021 Quant]:[2025 Quant]])&gt;0, SUM(TblDetailBudget[[#This Row],[2021 Quant]:[2025 Quant]]), ""), "")</f>
        <v/>
      </c>
      <c r="Y39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9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9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9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9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94" s="142">
        <f>SUM(TblDetailBudget[[#This Row],[2021 Cost (LCU)]:[2025 Cost (LCU)]])</f>
        <v>0</v>
      </c>
      <c r="AE394" s="135">
        <f>IFERROR(SUM(TblDetailBudget[[#This Row],[2021 Cost (LCU)]])/FX_Rate, "")</f>
        <v>0</v>
      </c>
      <c r="AF394" s="86">
        <f>IFERROR(SUM(TblDetailBudget[[#This Row],[2022 Cost (LCU)]])/FX_Rate, "")</f>
        <v>0</v>
      </c>
      <c r="AG394" s="86">
        <f>IFERROR(SUM(TblDetailBudget[[#This Row],[2023 Cost (LCU)]])/FX_Rate, "")</f>
        <v>0</v>
      </c>
      <c r="AH394" s="86">
        <f>IFERROR(SUM(TblDetailBudget[[#This Row],[2024 Cost (LCU)]])/FX_Rate, "")</f>
        <v>0</v>
      </c>
      <c r="AI394" s="86">
        <f>IFERROR(SUM(TblDetailBudget[[#This Row],[2025 Cost (LCU)]])/FX_Rate, "")</f>
        <v>0</v>
      </c>
      <c r="AJ394" s="126">
        <f>SUM(TblDetailBudget[[#This Row],[2021 Cost (USD)]:[2025 Cost (USD)]])</f>
        <v>0</v>
      </c>
      <c r="AK394" s="180"/>
    </row>
    <row r="395" spans="2:37" ht="12.75" customHeight="1">
      <c r="B395" s="123"/>
      <c r="C39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95" s="85" t="str">
        <f>IF(TblDetailBudget[[#This Row],[Level]]="", "", COUNTIFS($B$8:TblDetailBudget[[#This Row],[Level]], Lvl1Hdr))</f>
        <v/>
      </c>
      <c r="E395" s="85" t="str">
        <f>IF(TblDetailBudget[[#This Row],[Level]]="", "", COUNTIFS($B$8:TblDetailBudget[[#This Row],[Level]], Lvl2Hdr, $D$8:TblDetailBudget[[#This Row],[Lvl 1 Header]], TblDetailBudget[[#This Row],[Lvl 1 Header]]))</f>
        <v/>
      </c>
      <c r="F39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9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9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95" s="164"/>
      <c r="J395" s="164"/>
      <c r="K395" s="165"/>
      <c r="L395" s="165"/>
      <c r="M395" s="85" t="str">
        <f>IF(TblDetailBudget[[#This Row],[Level]]=LvlBottomHdr, IFERROR(INDEX(TblUnitCost[Unit], MATCH(TblDetailBudget[[#This Row],[Row Title]], TblUnitCost[Resource], 0)), "Invalid Resource"), "")</f>
        <v/>
      </c>
      <c r="N395" s="126" t="str">
        <f>IF(TblDetailBudget[[#This Row],[Level]]=LvlBottomHdr, IFERROR(INDEX(TblUnitCost[LCU], MATCH(TblDetailBudget[[#This Row],[Row Title]], TblUnitCost[Resource], 0)), "Invalid Resource"), "")</f>
        <v/>
      </c>
      <c r="O395" s="130"/>
      <c r="P395" s="109"/>
      <c r="Q395" s="186"/>
      <c r="R395" s="131"/>
      <c r="S395" s="109" t="s">
        <v>66</v>
      </c>
      <c r="T395" s="109" t="s">
        <v>66</v>
      </c>
      <c r="U395" s="109" t="s">
        <v>66</v>
      </c>
      <c r="V395" s="109" t="s">
        <v>66</v>
      </c>
      <c r="W395" s="109" t="s">
        <v>66</v>
      </c>
      <c r="X395" s="126" t="str">
        <f>IF(TblDetailBudget[[#This Row],[Level]]=LvlBottomHdr, IF(SUM(TblDetailBudget[[#This Row],[2021 Quant]:[2025 Quant]])&gt;0, SUM(TblDetailBudget[[#This Row],[2021 Quant]:[2025 Quant]]), ""), "")</f>
        <v/>
      </c>
      <c r="Y39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9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9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9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9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95" s="142">
        <f>SUM(TblDetailBudget[[#This Row],[2021 Cost (LCU)]:[2025 Cost (LCU)]])</f>
        <v>0</v>
      </c>
      <c r="AE395" s="135">
        <f>IFERROR(SUM(TblDetailBudget[[#This Row],[2021 Cost (LCU)]])/FX_Rate, "")</f>
        <v>0</v>
      </c>
      <c r="AF395" s="86">
        <f>IFERROR(SUM(TblDetailBudget[[#This Row],[2022 Cost (LCU)]])/FX_Rate, "")</f>
        <v>0</v>
      </c>
      <c r="AG395" s="86">
        <f>IFERROR(SUM(TblDetailBudget[[#This Row],[2023 Cost (LCU)]])/FX_Rate, "")</f>
        <v>0</v>
      </c>
      <c r="AH395" s="86">
        <f>IFERROR(SUM(TblDetailBudget[[#This Row],[2024 Cost (LCU)]])/FX_Rate, "")</f>
        <v>0</v>
      </c>
      <c r="AI395" s="86">
        <f>IFERROR(SUM(TblDetailBudget[[#This Row],[2025 Cost (LCU)]])/FX_Rate, "")</f>
        <v>0</v>
      </c>
      <c r="AJ395" s="126">
        <f>SUM(TblDetailBudget[[#This Row],[2021 Cost (USD)]:[2025 Cost (USD)]])</f>
        <v>0</v>
      </c>
      <c r="AK395" s="180"/>
    </row>
    <row r="396" spans="2:37" ht="12.75" customHeight="1">
      <c r="B396" s="123"/>
      <c r="C39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96" s="85" t="str">
        <f>IF(TblDetailBudget[[#This Row],[Level]]="", "", COUNTIFS($B$8:TblDetailBudget[[#This Row],[Level]], Lvl1Hdr))</f>
        <v/>
      </c>
      <c r="E396" s="85" t="str">
        <f>IF(TblDetailBudget[[#This Row],[Level]]="", "", COUNTIFS($B$8:TblDetailBudget[[#This Row],[Level]], Lvl2Hdr, $D$8:TblDetailBudget[[#This Row],[Lvl 1 Header]], TblDetailBudget[[#This Row],[Lvl 1 Header]]))</f>
        <v/>
      </c>
      <c r="F39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9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9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96" s="164"/>
      <c r="J396" s="164"/>
      <c r="K396" s="165"/>
      <c r="L396" s="165"/>
      <c r="M396" s="85" t="str">
        <f>IF(TblDetailBudget[[#This Row],[Level]]=LvlBottomHdr, IFERROR(INDEX(TblUnitCost[Unit], MATCH(TblDetailBudget[[#This Row],[Row Title]], TblUnitCost[Resource], 0)), "Invalid Resource"), "")</f>
        <v/>
      </c>
      <c r="N396" s="126" t="str">
        <f>IF(TblDetailBudget[[#This Row],[Level]]=LvlBottomHdr, IFERROR(INDEX(TblUnitCost[LCU], MATCH(TblDetailBudget[[#This Row],[Row Title]], TblUnitCost[Resource], 0)), "Invalid Resource"), "")</f>
        <v/>
      </c>
      <c r="O396" s="130"/>
      <c r="P396" s="109"/>
      <c r="Q396" s="186"/>
      <c r="R396" s="131"/>
      <c r="S396" s="109" t="s">
        <v>66</v>
      </c>
      <c r="T396" s="109" t="s">
        <v>66</v>
      </c>
      <c r="U396" s="109" t="s">
        <v>66</v>
      </c>
      <c r="V396" s="109" t="s">
        <v>66</v>
      </c>
      <c r="W396" s="109" t="s">
        <v>66</v>
      </c>
      <c r="X396" s="126" t="str">
        <f>IF(TblDetailBudget[[#This Row],[Level]]=LvlBottomHdr, IF(SUM(TblDetailBudget[[#This Row],[2021 Quant]:[2025 Quant]])&gt;0, SUM(TblDetailBudget[[#This Row],[2021 Quant]:[2025 Quant]]), ""), "")</f>
        <v/>
      </c>
      <c r="Y39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9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9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9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9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96" s="142">
        <f>SUM(TblDetailBudget[[#This Row],[2021 Cost (LCU)]:[2025 Cost (LCU)]])</f>
        <v>0</v>
      </c>
      <c r="AE396" s="135">
        <f>IFERROR(SUM(TblDetailBudget[[#This Row],[2021 Cost (LCU)]])/FX_Rate, "")</f>
        <v>0</v>
      </c>
      <c r="AF396" s="86">
        <f>IFERROR(SUM(TblDetailBudget[[#This Row],[2022 Cost (LCU)]])/FX_Rate, "")</f>
        <v>0</v>
      </c>
      <c r="AG396" s="86">
        <f>IFERROR(SUM(TblDetailBudget[[#This Row],[2023 Cost (LCU)]])/FX_Rate, "")</f>
        <v>0</v>
      </c>
      <c r="AH396" s="86">
        <f>IFERROR(SUM(TblDetailBudget[[#This Row],[2024 Cost (LCU)]])/FX_Rate, "")</f>
        <v>0</v>
      </c>
      <c r="AI396" s="86">
        <f>IFERROR(SUM(TblDetailBudget[[#This Row],[2025 Cost (LCU)]])/FX_Rate, "")</f>
        <v>0</v>
      </c>
      <c r="AJ396" s="126">
        <f>SUM(TblDetailBudget[[#This Row],[2021 Cost (USD)]:[2025 Cost (USD)]])</f>
        <v>0</v>
      </c>
      <c r="AK396" s="180"/>
    </row>
    <row r="397" spans="2:37" ht="12.75" customHeight="1">
      <c r="B397" s="123"/>
      <c r="C39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97" s="85" t="str">
        <f>IF(TblDetailBudget[[#This Row],[Level]]="", "", COUNTIFS($B$8:TblDetailBudget[[#This Row],[Level]], Lvl1Hdr))</f>
        <v/>
      </c>
      <c r="E397" s="85" t="str">
        <f>IF(TblDetailBudget[[#This Row],[Level]]="", "", COUNTIFS($B$8:TblDetailBudget[[#This Row],[Level]], Lvl2Hdr, $D$8:TblDetailBudget[[#This Row],[Lvl 1 Header]], TblDetailBudget[[#This Row],[Lvl 1 Header]]))</f>
        <v/>
      </c>
      <c r="F39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9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9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97" s="164"/>
      <c r="J397" s="164"/>
      <c r="K397" s="165"/>
      <c r="L397" s="165"/>
      <c r="M397" s="85" t="str">
        <f>IF(TblDetailBudget[[#This Row],[Level]]=LvlBottomHdr, IFERROR(INDEX(TblUnitCost[Unit], MATCH(TblDetailBudget[[#This Row],[Row Title]], TblUnitCost[Resource], 0)), "Invalid Resource"), "")</f>
        <v/>
      </c>
      <c r="N397" s="126" t="str">
        <f>IF(TblDetailBudget[[#This Row],[Level]]=LvlBottomHdr, IFERROR(INDEX(TblUnitCost[LCU], MATCH(TblDetailBudget[[#This Row],[Row Title]], TblUnitCost[Resource], 0)), "Invalid Resource"), "")</f>
        <v/>
      </c>
      <c r="O397" s="130"/>
      <c r="P397" s="109"/>
      <c r="Q397" s="186"/>
      <c r="R397" s="131"/>
      <c r="S397" s="109" t="s">
        <v>66</v>
      </c>
      <c r="T397" s="109" t="s">
        <v>66</v>
      </c>
      <c r="U397" s="109" t="s">
        <v>66</v>
      </c>
      <c r="V397" s="109" t="s">
        <v>66</v>
      </c>
      <c r="W397" s="109" t="s">
        <v>66</v>
      </c>
      <c r="X397" s="126" t="str">
        <f>IF(TblDetailBudget[[#This Row],[Level]]=LvlBottomHdr, IF(SUM(TblDetailBudget[[#This Row],[2021 Quant]:[2025 Quant]])&gt;0, SUM(TblDetailBudget[[#This Row],[2021 Quant]:[2025 Quant]]), ""), "")</f>
        <v/>
      </c>
      <c r="Y39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9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9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9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9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97" s="142">
        <f>SUM(TblDetailBudget[[#This Row],[2021 Cost (LCU)]:[2025 Cost (LCU)]])</f>
        <v>0</v>
      </c>
      <c r="AE397" s="135">
        <f>IFERROR(SUM(TblDetailBudget[[#This Row],[2021 Cost (LCU)]])/FX_Rate, "")</f>
        <v>0</v>
      </c>
      <c r="AF397" s="86">
        <f>IFERROR(SUM(TblDetailBudget[[#This Row],[2022 Cost (LCU)]])/FX_Rate, "")</f>
        <v>0</v>
      </c>
      <c r="AG397" s="86">
        <f>IFERROR(SUM(TblDetailBudget[[#This Row],[2023 Cost (LCU)]])/FX_Rate, "")</f>
        <v>0</v>
      </c>
      <c r="AH397" s="86">
        <f>IFERROR(SUM(TblDetailBudget[[#This Row],[2024 Cost (LCU)]])/FX_Rate, "")</f>
        <v>0</v>
      </c>
      <c r="AI397" s="86">
        <f>IFERROR(SUM(TblDetailBudget[[#This Row],[2025 Cost (LCU)]])/FX_Rate, "")</f>
        <v>0</v>
      </c>
      <c r="AJ397" s="126">
        <f>SUM(TblDetailBudget[[#This Row],[2021 Cost (USD)]:[2025 Cost (USD)]])</f>
        <v>0</v>
      </c>
      <c r="AK397" s="180"/>
    </row>
    <row r="398" spans="2:37" ht="12.75" customHeight="1">
      <c r="B398" s="123"/>
      <c r="C39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98" s="85" t="str">
        <f>IF(TblDetailBudget[[#This Row],[Level]]="", "", COUNTIFS($B$8:TblDetailBudget[[#This Row],[Level]], Lvl1Hdr))</f>
        <v/>
      </c>
      <c r="E398" s="85" t="str">
        <f>IF(TblDetailBudget[[#This Row],[Level]]="", "", COUNTIFS($B$8:TblDetailBudget[[#This Row],[Level]], Lvl2Hdr, $D$8:TblDetailBudget[[#This Row],[Lvl 1 Header]], TblDetailBudget[[#This Row],[Lvl 1 Header]]))</f>
        <v/>
      </c>
      <c r="F39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9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9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98" s="164"/>
      <c r="J398" s="164"/>
      <c r="K398" s="165"/>
      <c r="L398" s="165"/>
      <c r="M398" s="85" t="str">
        <f>IF(TblDetailBudget[[#This Row],[Level]]=LvlBottomHdr, IFERROR(INDEX(TblUnitCost[Unit], MATCH(TblDetailBudget[[#This Row],[Row Title]], TblUnitCost[Resource], 0)), "Invalid Resource"), "")</f>
        <v/>
      </c>
      <c r="N398" s="126" t="str">
        <f>IF(TblDetailBudget[[#This Row],[Level]]=LvlBottomHdr, IFERROR(INDEX(TblUnitCost[LCU], MATCH(TblDetailBudget[[#This Row],[Row Title]], TblUnitCost[Resource], 0)), "Invalid Resource"), "")</f>
        <v/>
      </c>
      <c r="O398" s="130"/>
      <c r="P398" s="109"/>
      <c r="Q398" s="186"/>
      <c r="R398" s="131"/>
      <c r="S398" s="109" t="s">
        <v>66</v>
      </c>
      <c r="T398" s="109" t="s">
        <v>66</v>
      </c>
      <c r="U398" s="109" t="s">
        <v>66</v>
      </c>
      <c r="V398" s="109" t="s">
        <v>66</v>
      </c>
      <c r="W398" s="109" t="s">
        <v>66</v>
      </c>
      <c r="X398" s="126" t="str">
        <f>IF(TblDetailBudget[[#This Row],[Level]]=LvlBottomHdr, IF(SUM(TblDetailBudget[[#This Row],[2021 Quant]:[2025 Quant]])&gt;0, SUM(TblDetailBudget[[#This Row],[2021 Quant]:[2025 Quant]]), ""), "")</f>
        <v/>
      </c>
      <c r="Y39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9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9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9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9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98" s="142">
        <f>SUM(TblDetailBudget[[#This Row],[2021 Cost (LCU)]:[2025 Cost (LCU)]])</f>
        <v>0</v>
      </c>
      <c r="AE398" s="135">
        <f>IFERROR(SUM(TblDetailBudget[[#This Row],[2021 Cost (LCU)]])/FX_Rate, "")</f>
        <v>0</v>
      </c>
      <c r="AF398" s="86">
        <f>IFERROR(SUM(TblDetailBudget[[#This Row],[2022 Cost (LCU)]])/FX_Rate, "")</f>
        <v>0</v>
      </c>
      <c r="AG398" s="86">
        <f>IFERROR(SUM(TblDetailBudget[[#This Row],[2023 Cost (LCU)]])/FX_Rate, "")</f>
        <v>0</v>
      </c>
      <c r="AH398" s="86">
        <f>IFERROR(SUM(TblDetailBudget[[#This Row],[2024 Cost (LCU)]])/FX_Rate, "")</f>
        <v>0</v>
      </c>
      <c r="AI398" s="86">
        <f>IFERROR(SUM(TblDetailBudget[[#This Row],[2025 Cost (LCU)]])/FX_Rate, "")</f>
        <v>0</v>
      </c>
      <c r="AJ398" s="126">
        <f>SUM(TblDetailBudget[[#This Row],[2021 Cost (USD)]:[2025 Cost (USD)]])</f>
        <v>0</v>
      </c>
      <c r="AK398" s="180"/>
    </row>
    <row r="399" spans="2:37" ht="12.75" customHeight="1">
      <c r="B399" s="123"/>
      <c r="C39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99" s="85" t="str">
        <f>IF(TblDetailBudget[[#This Row],[Level]]="", "", COUNTIFS($B$8:TblDetailBudget[[#This Row],[Level]], Lvl1Hdr))</f>
        <v/>
      </c>
      <c r="E399" s="85" t="str">
        <f>IF(TblDetailBudget[[#This Row],[Level]]="", "", COUNTIFS($B$8:TblDetailBudget[[#This Row],[Level]], Lvl2Hdr, $D$8:TblDetailBudget[[#This Row],[Lvl 1 Header]], TblDetailBudget[[#This Row],[Lvl 1 Header]]))</f>
        <v/>
      </c>
      <c r="F39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9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9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99" s="164"/>
      <c r="J399" s="164"/>
      <c r="K399" s="165"/>
      <c r="L399" s="165"/>
      <c r="M399" s="85" t="str">
        <f>IF(TblDetailBudget[[#This Row],[Level]]=LvlBottomHdr, IFERROR(INDEX(TblUnitCost[Unit], MATCH(TblDetailBudget[[#This Row],[Row Title]], TblUnitCost[Resource], 0)), "Invalid Resource"), "")</f>
        <v/>
      </c>
      <c r="N399" s="126" t="str">
        <f>IF(TblDetailBudget[[#This Row],[Level]]=LvlBottomHdr, IFERROR(INDEX(TblUnitCost[LCU], MATCH(TblDetailBudget[[#This Row],[Row Title]], TblUnitCost[Resource], 0)), "Invalid Resource"), "")</f>
        <v/>
      </c>
      <c r="O399" s="130"/>
      <c r="P399" s="109"/>
      <c r="Q399" s="186"/>
      <c r="R399" s="131"/>
      <c r="S399" s="109" t="s">
        <v>66</v>
      </c>
      <c r="T399" s="109" t="s">
        <v>66</v>
      </c>
      <c r="U399" s="109" t="s">
        <v>66</v>
      </c>
      <c r="V399" s="109" t="s">
        <v>66</v>
      </c>
      <c r="W399" s="109" t="s">
        <v>66</v>
      </c>
      <c r="X399" s="126" t="str">
        <f>IF(TblDetailBudget[[#This Row],[Level]]=LvlBottomHdr, IF(SUM(TblDetailBudget[[#This Row],[2021 Quant]:[2025 Quant]])&gt;0, SUM(TblDetailBudget[[#This Row],[2021 Quant]:[2025 Quant]]), ""), "")</f>
        <v/>
      </c>
      <c r="Y39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39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39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39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39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399" s="142">
        <f>SUM(TblDetailBudget[[#This Row],[2021 Cost (LCU)]:[2025 Cost (LCU)]])</f>
        <v>0</v>
      </c>
      <c r="AE399" s="135">
        <f>IFERROR(SUM(TblDetailBudget[[#This Row],[2021 Cost (LCU)]])/FX_Rate, "")</f>
        <v>0</v>
      </c>
      <c r="AF399" s="86">
        <f>IFERROR(SUM(TblDetailBudget[[#This Row],[2022 Cost (LCU)]])/FX_Rate, "")</f>
        <v>0</v>
      </c>
      <c r="AG399" s="86">
        <f>IFERROR(SUM(TblDetailBudget[[#This Row],[2023 Cost (LCU)]])/FX_Rate, "")</f>
        <v>0</v>
      </c>
      <c r="AH399" s="86">
        <f>IFERROR(SUM(TblDetailBudget[[#This Row],[2024 Cost (LCU)]])/FX_Rate, "")</f>
        <v>0</v>
      </c>
      <c r="AI399" s="86">
        <f>IFERROR(SUM(TblDetailBudget[[#This Row],[2025 Cost (LCU)]])/FX_Rate, "")</f>
        <v>0</v>
      </c>
      <c r="AJ399" s="126">
        <f>SUM(TblDetailBudget[[#This Row],[2021 Cost (USD)]:[2025 Cost (USD)]])</f>
        <v>0</v>
      </c>
      <c r="AK399" s="180"/>
    </row>
    <row r="400" spans="2:37" ht="12.75" customHeight="1">
      <c r="B400" s="123"/>
      <c r="C40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00" s="85" t="str">
        <f>IF(TblDetailBudget[[#This Row],[Level]]="", "", COUNTIFS($B$8:TblDetailBudget[[#This Row],[Level]], Lvl1Hdr))</f>
        <v/>
      </c>
      <c r="E400" s="85" t="str">
        <f>IF(TblDetailBudget[[#This Row],[Level]]="", "", COUNTIFS($B$8:TblDetailBudget[[#This Row],[Level]], Lvl2Hdr, $D$8:TblDetailBudget[[#This Row],[Lvl 1 Header]], TblDetailBudget[[#This Row],[Lvl 1 Header]]))</f>
        <v/>
      </c>
      <c r="F40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0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0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00" s="164"/>
      <c r="J400" s="164"/>
      <c r="K400" s="165"/>
      <c r="L400" s="165"/>
      <c r="M400" s="85" t="str">
        <f>IF(TblDetailBudget[[#This Row],[Level]]=LvlBottomHdr, IFERROR(INDEX(TblUnitCost[Unit], MATCH(TblDetailBudget[[#This Row],[Row Title]], TblUnitCost[Resource], 0)), "Invalid Resource"), "")</f>
        <v/>
      </c>
      <c r="N400" s="126" t="str">
        <f>IF(TblDetailBudget[[#This Row],[Level]]=LvlBottomHdr, IFERROR(INDEX(TblUnitCost[LCU], MATCH(TblDetailBudget[[#This Row],[Row Title]], TblUnitCost[Resource], 0)), "Invalid Resource"), "")</f>
        <v/>
      </c>
      <c r="O400" s="130"/>
      <c r="P400" s="109"/>
      <c r="Q400" s="186"/>
      <c r="R400" s="131"/>
      <c r="S400" s="109" t="s">
        <v>66</v>
      </c>
      <c r="T400" s="109" t="s">
        <v>66</v>
      </c>
      <c r="U400" s="109" t="s">
        <v>66</v>
      </c>
      <c r="V400" s="109" t="s">
        <v>66</v>
      </c>
      <c r="W400" s="109" t="s">
        <v>66</v>
      </c>
      <c r="X400" s="126" t="str">
        <f>IF(TblDetailBudget[[#This Row],[Level]]=LvlBottomHdr, IF(SUM(TblDetailBudget[[#This Row],[2021 Quant]:[2025 Quant]])&gt;0, SUM(TblDetailBudget[[#This Row],[2021 Quant]:[2025 Quant]]), ""), "")</f>
        <v/>
      </c>
      <c r="Y40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0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0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0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0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00" s="142">
        <f>SUM(TblDetailBudget[[#This Row],[2021 Cost (LCU)]:[2025 Cost (LCU)]])</f>
        <v>0</v>
      </c>
      <c r="AE400" s="135">
        <f>IFERROR(SUM(TblDetailBudget[[#This Row],[2021 Cost (LCU)]])/FX_Rate, "")</f>
        <v>0</v>
      </c>
      <c r="AF400" s="86">
        <f>IFERROR(SUM(TblDetailBudget[[#This Row],[2022 Cost (LCU)]])/FX_Rate, "")</f>
        <v>0</v>
      </c>
      <c r="AG400" s="86">
        <f>IFERROR(SUM(TblDetailBudget[[#This Row],[2023 Cost (LCU)]])/FX_Rate, "")</f>
        <v>0</v>
      </c>
      <c r="AH400" s="86">
        <f>IFERROR(SUM(TblDetailBudget[[#This Row],[2024 Cost (LCU)]])/FX_Rate, "")</f>
        <v>0</v>
      </c>
      <c r="AI400" s="86">
        <f>IFERROR(SUM(TblDetailBudget[[#This Row],[2025 Cost (LCU)]])/FX_Rate, "")</f>
        <v>0</v>
      </c>
      <c r="AJ400" s="126">
        <f>SUM(TblDetailBudget[[#This Row],[2021 Cost (USD)]:[2025 Cost (USD)]])</f>
        <v>0</v>
      </c>
      <c r="AK400" s="180"/>
    </row>
    <row r="401" spans="2:37" ht="12.75" customHeight="1">
      <c r="B401" s="123"/>
      <c r="C40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01" s="85" t="str">
        <f>IF(TblDetailBudget[[#This Row],[Level]]="", "", COUNTIFS($B$8:TblDetailBudget[[#This Row],[Level]], Lvl1Hdr))</f>
        <v/>
      </c>
      <c r="E401" s="85" t="str">
        <f>IF(TblDetailBudget[[#This Row],[Level]]="", "", COUNTIFS($B$8:TblDetailBudget[[#This Row],[Level]], Lvl2Hdr, $D$8:TblDetailBudget[[#This Row],[Lvl 1 Header]], TblDetailBudget[[#This Row],[Lvl 1 Header]]))</f>
        <v/>
      </c>
      <c r="F40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0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0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01" s="164"/>
      <c r="J401" s="164"/>
      <c r="K401" s="165"/>
      <c r="L401" s="165"/>
      <c r="M401" s="85" t="str">
        <f>IF(TblDetailBudget[[#This Row],[Level]]=LvlBottomHdr, IFERROR(INDEX(TblUnitCost[Unit], MATCH(TblDetailBudget[[#This Row],[Row Title]], TblUnitCost[Resource], 0)), "Invalid Resource"), "")</f>
        <v/>
      </c>
      <c r="N401" s="126" t="str">
        <f>IF(TblDetailBudget[[#This Row],[Level]]=LvlBottomHdr, IFERROR(INDEX(TblUnitCost[LCU], MATCH(TblDetailBudget[[#This Row],[Row Title]], TblUnitCost[Resource], 0)), "Invalid Resource"), "")</f>
        <v/>
      </c>
      <c r="O401" s="130"/>
      <c r="P401" s="109"/>
      <c r="Q401" s="186"/>
      <c r="R401" s="131"/>
      <c r="S401" s="109" t="s">
        <v>66</v>
      </c>
      <c r="T401" s="109" t="s">
        <v>66</v>
      </c>
      <c r="U401" s="109" t="s">
        <v>66</v>
      </c>
      <c r="V401" s="109" t="s">
        <v>66</v>
      </c>
      <c r="W401" s="109" t="s">
        <v>66</v>
      </c>
      <c r="X401" s="126" t="str">
        <f>IF(TblDetailBudget[[#This Row],[Level]]=LvlBottomHdr, IF(SUM(TblDetailBudget[[#This Row],[2021 Quant]:[2025 Quant]])&gt;0, SUM(TblDetailBudget[[#This Row],[2021 Quant]:[2025 Quant]]), ""), "")</f>
        <v/>
      </c>
      <c r="Y40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0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0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0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0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01" s="142">
        <f>SUM(TblDetailBudget[[#This Row],[2021 Cost (LCU)]:[2025 Cost (LCU)]])</f>
        <v>0</v>
      </c>
      <c r="AE401" s="135">
        <f>IFERROR(SUM(TblDetailBudget[[#This Row],[2021 Cost (LCU)]])/FX_Rate, "")</f>
        <v>0</v>
      </c>
      <c r="AF401" s="86">
        <f>IFERROR(SUM(TblDetailBudget[[#This Row],[2022 Cost (LCU)]])/FX_Rate, "")</f>
        <v>0</v>
      </c>
      <c r="AG401" s="86">
        <f>IFERROR(SUM(TblDetailBudget[[#This Row],[2023 Cost (LCU)]])/FX_Rate, "")</f>
        <v>0</v>
      </c>
      <c r="AH401" s="86">
        <f>IFERROR(SUM(TblDetailBudget[[#This Row],[2024 Cost (LCU)]])/FX_Rate, "")</f>
        <v>0</v>
      </c>
      <c r="AI401" s="86">
        <f>IFERROR(SUM(TblDetailBudget[[#This Row],[2025 Cost (LCU)]])/FX_Rate, "")</f>
        <v>0</v>
      </c>
      <c r="AJ401" s="126">
        <f>SUM(TblDetailBudget[[#This Row],[2021 Cost (USD)]:[2025 Cost (USD)]])</f>
        <v>0</v>
      </c>
      <c r="AK401" s="180"/>
    </row>
    <row r="402" spans="2:37" ht="12.75" customHeight="1">
      <c r="B402" s="123"/>
      <c r="C40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02" s="85" t="str">
        <f>IF(TblDetailBudget[[#This Row],[Level]]="", "", COUNTIFS($B$8:TblDetailBudget[[#This Row],[Level]], Lvl1Hdr))</f>
        <v/>
      </c>
      <c r="E402" s="85" t="str">
        <f>IF(TblDetailBudget[[#This Row],[Level]]="", "", COUNTIFS($B$8:TblDetailBudget[[#This Row],[Level]], Lvl2Hdr, $D$8:TblDetailBudget[[#This Row],[Lvl 1 Header]], TblDetailBudget[[#This Row],[Lvl 1 Header]]))</f>
        <v/>
      </c>
      <c r="F40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0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0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02" s="164"/>
      <c r="J402" s="164"/>
      <c r="K402" s="165"/>
      <c r="L402" s="165"/>
      <c r="M402" s="85" t="str">
        <f>IF(TblDetailBudget[[#This Row],[Level]]=LvlBottomHdr, IFERROR(INDEX(TblUnitCost[Unit], MATCH(TblDetailBudget[[#This Row],[Row Title]], TblUnitCost[Resource], 0)), "Invalid Resource"), "")</f>
        <v/>
      </c>
      <c r="N402" s="126" t="str">
        <f>IF(TblDetailBudget[[#This Row],[Level]]=LvlBottomHdr, IFERROR(INDEX(TblUnitCost[LCU], MATCH(TblDetailBudget[[#This Row],[Row Title]], TblUnitCost[Resource], 0)), "Invalid Resource"), "")</f>
        <v/>
      </c>
      <c r="O402" s="130"/>
      <c r="P402" s="109"/>
      <c r="Q402" s="186"/>
      <c r="R402" s="131"/>
      <c r="S402" s="109" t="s">
        <v>66</v>
      </c>
      <c r="T402" s="109" t="s">
        <v>66</v>
      </c>
      <c r="U402" s="109" t="s">
        <v>66</v>
      </c>
      <c r="V402" s="109" t="s">
        <v>66</v>
      </c>
      <c r="W402" s="109" t="s">
        <v>66</v>
      </c>
      <c r="X402" s="126" t="str">
        <f>IF(TblDetailBudget[[#This Row],[Level]]=LvlBottomHdr, IF(SUM(TblDetailBudget[[#This Row],[2021 Quant]:[2025 Quant]])&gt;0, SUM(TblDetailBudget[[#This Row],[2021 Quant]:[2025 Quant]]), ""), "")</f>
        <v/>
      </c>
      <c r="Y40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0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0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0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0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02" s="142">
        <f>SUM(TblDetailBudget[[#This Row],[2021 Cost (LCU)]:[2025 Cost (LCU)]])</f>
        <v>0</v>
      </c>
      <c r="AE402" s="135">
        <f>IFERROR(SUM(TblDetailBudget[[#This Row],[2021 Cost (LCU)]])/FX_Rate, "")</f>
        <v>0</v>
      </c>
      <c r="AF402" s="86">
        <f>IFERROR(SUM(TblDetailBudget[[#This Row],[2022 Cost (LCU)]])/FX_Rate, "")</f>
        <v>0</v>
      </c>
      <c r="AG402" s="86">
        <f>IFERROR(SUM(TblDetailBudget[[#This Row],[2023 Cost (LCU)]])/FX_Rate, "")</f>
        <v>0</v>
      </c>
      <c r="AH402" s="86">
        <f>IFERROR(SUM(TblDetailBudget[[#This Row],[2024 Cost (LCU)]])/FX_Rate, "")</f>
        <v>0</v>
      </c>
      <c r="AI402" s="86">
        <f>IFERROR(SUM(TblDetailBudget[[#This Row],[2025 Cost (LCU)]])/FX_Rate, "")</f>
        <v>0</v>
      </c>
      <c r="AJ402" s="126">
        <f>SUM(TblDetailBudget[[#This Row],[2021 Cost (USD)]:[2025 Cost (USD)]])</f>
        <v>0</v>
      </c>
      <c r="AK402" s="180"/>
    </row>
    <row r="403" spans="2:37" ht="12.75" customHeight="1">
      <c r="B403" s="123"/>
      <c r="C40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03" s="85" t="str">
        <f>IF(TblDetailBudget[[#This Row],[Level]]="", "", COUNTIFS($B$8:TblDetailBudget[[#This Row],[Level]], Lvl1Hdr))</f>
        <v/>
      </c>
      <c r="E403" s="85" t="str">
        <f>IF(TblDetailBudget[[#This Row],[Level]]="", "", COUNTIFS($B$8:TblDetailBudget[[#This Row],[Level]], Lvl2Hdr, $D$8:TblDetailBudget[[#This Row],[Lvl 1 Header]], TblDetailBudget[[#This Row],[Lvl 1 Header]]))</f>
        <v/>
      </c>
      <c r="F40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0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0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03" s="164"/>
      <c r="J403" s="164"/>
      <c r="K403" s="165"/>
      <c r="L403" s="165"/>
      <c r="M403" s="85" t="str">
        <f>IF(TblDetailBudget[[#This Row],[Level]]=LvlBottomHdr, IFERROR(INDEX(TblUnitCost[Unit], MATCH(TblDetailBudget[[#This Row],[Row Title]], TblUnitCost[Resource], 0)), "Invalid Resource"), "")</f>
        <v/>
      </c>
      <c r="N403" s="126" t="str">
        <f>IF(TblDetailBudget[[#This Row],[Level]]=LvlBottomHdr, IFERROR(INDEX(TblUnitCost[LCU], MATCH(TblDetailBudget[[#This Row],[Row Title]], TblUnitCost[Resource], 0)), "Invalid Resource"), "")</f>
        <v/>
      </c>
      <c r="O403" s="130"/>
      <c r="P403" s="109"/>
      <c r="Q403" s="186"/>
      <c r="R403" s="131"/>
      <c r="S403" s="109" t="s">
        <v>66</v>
      </c>
      <c r="T403" s="109" t="s">
        <v>66</v>
      </c>
      <c r="U403" s="109" t="s">
        <v>66</v>
      </c>
      <c r="V403" s="109" t="s">
        <v>66</v>
      </c>
      <c r="W403" s="109" t="s">
        <v>66</v>
      </c>
      <c r="X403" s="126" t="str">
        <f>IF(TblDetailBudget[[#This Row],[Level]]=LvlBottomHdr, IF(SUM(TblDetailBudget[[#This Row],[2021 Quant]:[2025 Quant]])&gt;0, SUM(TblDetailBudget[[#This Row],[2021 Quant]:[2025 Quant]]), ""), "")</f>
        <v/>
      </c>
      <c r="Y40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0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0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0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0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03" s="142">
        <f>SUM(TblDetailBudget[[#This Row],[2021 Cost (LCU)]:[2025 Cost (LCU)]])</f>
        <v>0</v>
      </c>
      <c r="AE403" s="135">
        <f>IFERROR(SUM(TblDetailBudget[[#This Row],[2021 Cost (LCU)]])/FX_Rate, "")</f>
        <v>0</v>
      </c>
      <c r="AF403" s="86">
        <f>IFERROR(SUM(TblDetailBudget[[#This Row],[2022 Cost (LCU)]])/FX_Rate, "")</f>
        <v>0</v>
      </c>
      <c r="AG403" s="86">
        <f>IFERROR(SUM(TblDetailBudget[[#This Row],[2023 Cost (LCU)]])/FX_Rate, "")</f>
        <v>0</v>
      </c>
      <c r="AH403" s="86">
        <f>IFERROR(SUM(TblDetailBudget[[#This Row],[2024 Cost (LCU)]])/FX_Rate, "")</f>
        <v>0</v>
      </c>
      <c r="AI403" s="86">
        <f>IFERROR(SUM(TblDetailBudget[[#This Row],[2025 Cost (LCU)]])/FX_Rate, "")</f>
        <v>0</v>
      </c>
      <c r="AJ403" s="126">
        <f>SUM(TblDetailBudget[[#This Row],[2021 Cost (USD)]:[2025 Cost (USD)]])</f>
        <v>0</v>
      </c>
      <c r="AK403" s="180"/>
    </row>
    <row r="404" spans="2:37" ht="12.75" customHeight="1">
      <c r="B404" s="123"/>
      <c r="C40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04" s="85" t="str">
        <f>IF(TblDetailBudget[[#This Row],[Level]]="", "", COUNTIFS($B$8:TblDetailBudget[[#This Row],[Level]], Lvl1Hdr))</f>
        <v/>
      </c>
      <c r="E404" s="85" t="str">
        <f>IF(TblDetailBudget[[#This Row],[Level]]="", "", COUNTIFS($B$8:TblDetailBudget[[#This Row],[Level]], Lvl2Hdr, $D$8:TblDetailBudget[[#This Row],[Lvl 1 Header]], TblDetailBudget[[#This Row],[Lvl 1 Header]]))</f>
        <v/>
      </c>
      <c r="F40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0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0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04" s="164"/>
      <c r="J404" s="164"/>
      <c r="K404" s="165"/>
      <c r="L404" s="165"/>
      <c r="M404" s="85" t="str">
        <f>IF(TblDetailBudget[[#This Row],[Level]]=LvlBottomHdr, IFERROR(INDEX(TblUnitCost[Unit], MATCH(TblDetailBudget[[#This Row],[Row Title]], TblUnitCost[Resource], 0)), "Invalid Resource"), "")</f>
        <v/>
      </c>
      <c r="N404" s="126" t="str">
        <f>IF(TblDetailBudget[[#This Row],[Level]]=LvlBottomHdr, IFERROR(INDEX(TblUnitCost[LCU], MATCH(TblDetailBudget[[#This Row],[Row Title]], TblUnitCost[Resource], 0)), "Invalid Resource"), "")</f>
        <v/>
      </c>
      <c r="O404" s="130"/>
      <c r="P404" s="109"/>
      <c r="Q404" s="186"/>
      <c r="R404" s="131"/>
      <c r="S404" s="109" t="s">
        <v>66</v>
      </c>
      <c r="T404" s="109" t="s">
        <v>66</v>
      </c>
      <c r="U404" s="109" t="s">
        <v>66</v>
      </c>
      <c r="V404" s="109" t="s">
        <v>66</v>
      </c>
      <c r="W404" s="109" t="s">
        <v>66</v>
      </c>
      <c r="X404" s="126" t="str">
        <f>IF(TblDetailBudget[[#This Row],[Level]]=LvlBottomHdr, IF(SUM(TblDetailBudget[[#This Row],[2021 Quant]:[2025 Quant]])&gt;0, SUM(TblDetailBudget[[#This Row],[2021 Quant]:[2025 Quant]]), ""), "")</f>
        <v/>
      </c>
      <c r="Y40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0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0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0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0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04" s="142">
        <f>SUM(TblDetailBudget[[#This Row],[2021 Cost (LCU)]:[2025 Cost (LCU)]])</f>
        <v>0</v>
      </c>
      <c r="AE404" s="135">
        <f>IFERROR(SUM(TblDetailBudget[[#This Row],[2021 Cost (LCU)]])/FX_Rate, "")</f>
        <v>0</v>
      </c>
      <c r="AF404" s="86">
        <f>IFERROR(SUM(TblDetailBudget[[#This Row],[2022 Cost (LCU)]])/FX_Rate, "")</f>
        <v>0</v>
      </c>
      <c r="AG404" s="86">
        <f>IFERROR(SUM(TblDetailBudget[[#This Row],[2023 Cost (LCU)]])/FX_Rate, "")</f>
        <v>0</v>
      </c>
      <c r="AH404" s="86">
        <f>IFERROR(SUM(TblDetailBudget[[#This Row],[2024 Cost (LCU)]])/FX_Rate, "")</f>
        <v>0</v>
      </c>
      <c r="AI404" s="86">
        <f>IFERROR(SUM(TblDetailBudget[[#This Row],[2025 Cost (LCU)]])/FX_Rate, "")</f>
        <v>0</v>
      </c>
      <c r="AJ404" s="126">
        <f>SUM(TblDetailBudget[[#This Row],[2021 Cost (USD)]:[2025 Cost (USD)]])</f>
        <v>0</v>
      </c>
      <c r="AK404" s="180"/>
    </row>
    <row r="405" spans="2:37" ht="12.75" customHeight="1">
      <c r="B405" s="123"/>
      <c r="C40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05" s="85" t="str">
        <f>IF(TblDetailBudget[[#This Row],[Level]]="", "", COUNTIFS($B$8:TblDetailBudget[[#This Row],[Level]], Lvl1Hdr))</f>
        <v/>
      </c>
      <c r="E405" s="85" t="str">
        <f>IF(TblDetailBudget[[#This Row],[Level]]="", "", COUNTIFS($B$8:TblDetailBudget[[#This Row],[Level]], Lvl2Hdr, $D$8:TblDetailBudget[[#This Row],[Lvl 1 Header]], TblDetailBudget[[#This Row],[Lvl 1 Header]]))</f>
        <v/>
      </c>
      <c r="F40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0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0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05" s="164"/>
      <c r="J405" s="164"/>
      <c r="K405" s="165"/>
      <c r="L405" s="165"/>
      <c r="M405" s="85" t="str">
        <f>IF(TblDetailBudget[[#This Row],[Level]]=LvlBottomHdr, IFERROR(INDEX(TblUnitCost[Unit], MATCH(TblDetailBudget[[#This Row],[Row Title]], TblUnitCost[Resource], 0)), "Invalid Resource"), "")</f>
        <v/>
      </c>
      <c r="N405" s="126" t="str">
        <f>IF(TblDetailBudget[[#This Row],[Level]]=LvlBottomHdr, IFERROR(INDEX(TblUnitCost[LCU], MATCH(TblDetailBudget[[#This Row],[Row Title]], TblUnitCost[Resource], 0)), "Invalid Resource"), "")</f>
        <v/>
      </c>
      <c r="O405" s="130"/>
      <c r="P405" s="109"/>
      <c r="Q405" s="186"/>
      <c r="R405" s="131"/>
      <c r="S405" s="109" t="s">
        <v>66</v>
      </c>
      <c r="T405" s="109" t="s">
        <v>66</v>
      </c>
      <c r="U405" s="109" t="s">
        <v>66</v>
      </c>
      <c r="V405" s="109" t="s">
        <v>66</v>
      </c>
      <c r="W405" s="109" t="s">
        <v>66</v>
      </c>
      <c r="X405" s="126" t="str">
        <f>IF(TblDetailBudget[[#This Row],[Level]]=LvlBottomHdr, IF(SUM(TblDetailBudget[[#This Row],[2021 Quant]:[2025 Quant]])&gt;0, SUM(TblDetailBudget[[#This Row],[2021 Quant]:[2025 Quant]]), ""), "")</f>
        <v/>
      </c>
      <c r="Y40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0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0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0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0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05" s="142">
        <f>SUM(TblDetailBudget[[#This Row],[2021 Cost (LCU)]:[2025 Cost (LCU)]])</f>
        <v>0</v>
      </c>
      <c r="AE405" s="135">
        <f>IFERROR(SUM(TblDetailBudget[[#This Row],[2021 Cost (LCU)]])/FX_Rate, "")</f>
        <v>0</v>
      </c>
      <c r="AF405" s="86">
        <f>IFERROR(SUM(TblDetailBudget[[#This Row],[2022 Cost (LCU)]])/FX_Rate, "")</f>
        <v>0</v>
      </c>
      <c r="AG405" s="86">
        <f>IFERROR(SUM(TblDetailBudget[[#This Row],[2023 Cost (LCU)]])/FX_Rate, "")</f>
        <v>0</v>
      </c>
      <c r="AH405" s="86">
        <f>IFERROR(SUM(TblDetailBudget[[#This Row],[2024 Cost (LCU)]])/FX_Rate, "")</f>
        <v>0</v>
      </c>
      <c r="AI405" s="86">
        <f>IFERROR(SUM(TblDetailBudget[[#This Row],[2025 Cost (LCU)]])/FX_Rate, "")</f>
        <v>0</v>
      </c>
      <c r="AJ405" s="126">
        <f>SUM(TblDetailBudget[[#This Row],[2021 Cost (USD)]:[2025 Cost (USD)]])</f>
        <v>0</v>
      </c>
      <c r="AK405" s="180"/>
    </row>
    <row r="406" spans="2:37" ht="12.75" customHeight="1">
      <c r="B406" s="123"/>
      <c r="C40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06" s="85" t="str">
        <f>IF(TblDetailBudget[[#This Row],[Level]]="", "", COUNTIFS($B$8:TblDetailBudget[[#This Row],[Level]], Lvl1Hdr))</f>
        <v/>
      </c>
      <c r="E406" s="85" t="str">
        <f>IF(TblDetailBudget[[#This Row],[Level]]="", "", COUNTIFS($B$8:TblDetailBudget[[#This Row],[Level]], Lvl2Hdr, $D$8:TblDetailBudget[[#This Row],[Lvl 1 Header]], TblDetailBudget[[#This Row],[Lvl 1 Header]]))</f>
        <v/>
      </c>
      <c r="F40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0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0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06" s="164"/>
      <c r="J406" s="164"/>
      <c r="K406" s="165"/>
      <c r="L406" s="165"/>
      <c r="M406" s="85" t="str">
        <f>IF(TblDetailBudget[[#This Row],[Level]]=LvlBottomHdr, IFERROR(INDEX(TblUnitCost[Unit], MATCH(TblDetailBudget[[#This Row],[Row Title]], TblUnitCost[Resource], 0)), "Invalid Resource"), "")</f>
        <v/>
      </c>
      <c r="N406" s="126" t="str">
        <f>IF(TblDetailBudget[[#This Row],[Level]]=LvlBottomHdr, IFERROR(INDEX(TblUnitCost[LCU], MATCH(TblDetailBudget[[#This Row],[Row Title]], TblUnitCost[Resource], 0)), "Invalid Resource"), "")</f>
        <v/>
      </c>
      <c r="O406" s="130"/>
      <c r="P406" s="109"/>
      <c r="Q406" s="186"/>
      <c r="R406" s="131"/>
      <c r="S406" s="109" t="s">
        <v>66</v>
      </c>
      <c r="T406" s="109" t="s">
        <v>66</v>
      </c>
      <c r="U406" s="109" t="s">
        <v>66</v>
      </c>
      <c r="V406" s="109" t="s">
        <v>66</v>
      </c>
      <c r="W406" s="109" t="s">
        <v>66</v>
      </c>
      <c r="X406" s="126" t="str">
        <f>IF(TblDetailBudget[[#This Row],[Level]]=LvlBottomHdr, IF(SUM(TblDetailBudget[[#This Row],[2021 Quant]:[2025 Quant]])&gt;0, SUM(TblDetailBudget[[#This Row],[2021 Quant]:[2025 Quant]]), ""), "")</f>
        <v/>
      </c>
      <c r="Y40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0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0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0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0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06" s="142">
        <f>SUM(TblDetailBudget[[#This Row],[2021 Cost (LCU)]:[2025 Cost (LCU)]])</f>
        <v>0</v>
      </c>
      <c r="AE406" s="135">
        <f>IFERROR(SUM(TblDetailBudget[[#This Row],[2021 Cost (LCU)]])/FX_Rate, "")</f>
        <v>0</v>
      </c>
      <c r="AF406" s="86">
        <f>IFERROR(SUM(TblDetailBudget[[#This Row],[2022 Cost (LCU)]])/FX_Rate, "")</f>
        <v>0</v>
      </c>
      <c r="AG406" s="86">
        <f>IFERROR(SUM(TblDetailBudget[[#This Row],[2023 Cost (LCU)]])/FX_Rate, "")</f>
        <v>0</v>
      </c>
      <c r="AH406" s="86">
        <f>IFERROR(SUM(TblDetailBudget[[#This Row],[2024 Cost (LCU)]])/FX_Rate, "")</f>
        <v>0</v>
      </c>
      <c r="AI406" s="86">
        <f>IFERROR(SUM(TblDetailBudget[[#This Row],[2025 Cost (LCU)]])/FX_Rate, "")</f>
        <v>0</v>
      </c>
      <c r="AJ406" s="126">
        <f>SUM(TblDetailBudget[[#This Row],[2021 Cost (USD)]:[2025 Cost (USD)]])</f>
        <v>0</v>
      </c>
      <c r="AK406" s="180"/>
    </row>
    <row r="407" spans="2:37" ht="12.75" customHeight="1">
      <c r="B407" s="123"/>
      <c r="C40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07" s="85" t="str">
        <f>IF(TblDetailBudget[[#This Row],[Level]]="", "", COUNTIFS($B$8:TblDetailBudget[[#This Row],[Level]], Lvl1Hdr))</f>
        <v/>
      </c>
      <c r="E407" s="85" t="str">
        <f>IF(TblDetailBudget[[#This Row],[Level]]="", "", COUNTIFS($B$8:TblDetailBudget[[#This Row],[Level]], Lvl2Hdr, $D$8:TblDetailBudget[[#This Row],[Lvl 1 Header]], TblDetailBudget[[#This Row],[Lvl 1 Header]]))</f>
        <v/>
      </c>
      <c r="F40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0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0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07" s="164"/>
      <c r="J407" s="164"/>
      <c r="K407" s="165"/>
      <c r="L407" s="165"/>
      <c r="M407" s="85" t="str">
        <f>IF(TblDetailBudget[[#This Row],[Level]]=LvlBottomHdr, IFERROR(INDEX(TblUnitCost[Unit], MATCH(TblDetailBudget[[#This Row],[Row Title]], TblUnitCost[Resource], 0)), "Invalid Resource"), "")</f>
        <v/>
      </c>
      <c r="N407" s="126" t="str">
        <f>IF(TblDetailBudget[[#This Row],[Level]]=LvlBottomHdr, IFERROR(INDEX(TblUnitCost[LCU], MATCH(TblDetailBudget[[#This Row],[Row Title]], TblUnitCost[Resource], 0)), "Invalid Resource"), "")</f>
        <v/>
      </c>
      <c r="O407" s="130"/>
      <c r="P407" s="109"/>
      <c r="Q407" s="186"/>
      <c r="R407" s="131"/>
      <c r="S407" s="109" t="s">
        <v>66</v>
      </c>
      <c r="T407" s="109" t="s">
        <v>66</v>
      </c>
      <c r="U407" s="109" t="s">
        <v>66</v>
      </c>
      <c r="V407" s="109" t="s">
        <v>66</v>
      </c>
      <c r="W407" s="109" t="s">
        <v>66</v>
      </c>
      <c r="X407" s="126" t="str">
        <f>IF(TblDetailBudget[[#This Row],[Level]]=LvlBottomHdr, IF(SUM(TblDetailBudget[[#This Row],[2021 Quant]:[2025 Quant]])&gt;0, SUM(TblDetailBudget[[#This Row],[2021 Quant]:[2025 Quant]]), ""), "")</f>
        <v/>
      </c>
      <c r="Y40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0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0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0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0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07" s="142">
        <f>SUM(TblDetailBudget[[#This Row],[2021 Cost (LCU)]:[2025 Cost (LCU)]])</f>
        <v>0</v>
      </c>
      <c r="AE407" s="135">
        <f>IFERROR(SUM(TblDetailBudget[[#This Row],[2021 Cost (LCU)]])/FX_Rate, "")</f>
        <v>0</v>
      </c>
      <c r="AF407" s="86">
        <f>IFERROR(SUM(TblDetailBudget[[#This Row],[2022 Cost (LCU)]])/FX_Rate, "")</f>
        <v>0</v>
      </c>
      <c r="AG407" s="86">
        <f>IFERROR(SUM(TblDetailBudget[[#This Row],[2023 Cost (LCU)]])/FX_Rate, "")</f>
        <v>0</v>
      </c>
      <c r="AH407" s="86">
        <f>IFERROR(SUM(TblDetailBudget[[#This Row],[2024 Cost (LCU)]])/FX_Rate, "")</f>
        <v>0</v>
      </c>
      <c r="AI407" s="86">
        <f>IFERROR(SUM(TblDetailBudget[[#This Row],[2025 Cost (LCU)]])/FX_Rate, "")</f>
        <v>0</v>
      </c>
      <c r="AJ407" s="126">
        <f>SUM(TblDetailBudget[[#This Row],[2021 Cost (USD)]:[2025 Cost (USD)]])</f>
        <v>0</v>
      </c>
      <c r="AK407" s="180"/>
    </row>
    <row r="408" spans="2:37" ht="12.75" customHeight="1">
      <c r="B408" s="123"/>
      <c r="C40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08" s="85" t="str">
        <f>IF(TblDetailBudget[[#This Row],[Level]]="", "", COUNTIFS($B$8:TblDetailBudget[[#This Row],[Level]], Lvl1Hdr))</f>
        <v/>
      </c>
      <c r="E408" s="85" t="str">
        <f>IF(TblDetailBudget[[#This Row],[Level]]="", "", COUNTIFS($B$8:TblDetailBudget[[#This Row],[Level]], Lvl2Hdr, $D$8:TblDetailBudget[[#This Row],[Lvl 1 Header]], TblDetailBudget[[#This Row],[Lvl 1 Header]]))</f>
        <v/>
      </c>
      <c r="F40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0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0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08" s="164"/>
      <c r="J408" s="164"/>
      <c r="K408" s="165"/>
      <c r="L408" s="165"/>
      <c r="M408" s="85" t="str">
        <f>IF(TblDetailBudget[[#This Row],[Level]]=LvlBottomHdr, IFERROR(INDEX(TblUnitCost[Unit], MATCH(TblDetailBudget[[#This Row],[Row Title]], TblUnitCost[Resource], 0)), "Invalid Resource"), "")</f>
        <v/>
      </c>
      <c r="N408" s="126" t="str">
        <f>IF(TblDetailBudget[[#This Row],[Level]]=LvlBottomHdr, IFERROR(INDEX(TblUnitCost[LCU], MATCH(TblDetailBudget[[#This Row],[Row Title]], TblUnitCost[Resource], 0)), "Invalid Resource"), "")</f>
        <v/>
      </c>
      <c r="O408" s="130"/>
      <c r="P408" s="109"/>
      <c r="Q408" s="186"/>
      <c r="R408" s="131"/>
      <c r="S408" s="109" t="s">
        <v>66</v>
      </c>
      <c r="T408" s="109" t="s">
        <v>66</v>
      </c>
      <c r="U408" s="109" t="s">
        <v>66</v>
      </c>
      <c r="V408" s="109" t="s">
        <v>66</v>
      </c>
      <c r="W408" s="109" t="s">
        <v>66</v>
      </c>
      <c r="X408" s="126" t="str">
        <f>IF(TblDetailBudget[[#This Row],[Level]]=LvlBottomHdr, IF(SUM(TblDetailBudget[[#This Row],[2021 Quant]:[2025 Quant]])&gt;0, SUM(TblDetailBudget[[#This Row],[2021 Quant]:[2025 Quant]]), ""), "")</f>
        <v/>
      </c>
      <c r="Y40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0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0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0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0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08" s="142">
        <f>SUM(TblDetailBudget[[#This Row],[2021 Cost (LCU)]:[2025 Cost (LCU)]])</f>
        <v>0</v>
      </c>
      <c r="AE408" s="135">
        <f>IFERROR(SUM(TblDetailBudget[[#This Row],[2021 Cost (LCU)]])/FX_Rate, "")</f>
        <v>0</v>
      </c>
      <c r="AF408" s="86">
        <f>IFERROR(SUM(TblDetailBudget[[#This Row],[2022 Cost (LCU)]])/FX_Rate, "")</f>
        <v>0</v>
      </c>
      <c r="AG408" s="86">
        <f>IFERROR(SUM(TblDetailBudget[[#This Row],[2023 Cost (LCU)]])/FX_Rate, "")</f>
        <v>0</v>
      </c>
      <c r="AH408" s="86">
        <f>IFERROR(SUM(TblDetailBudget[[#This Row],[2024 Cost (LCU)]])/FX_Rate, "")</f>
        <v>0</v>
      </c>
      <c r="AI408" s="86">
        <f>IFERROR(SUM(TblDetailBudget[[#This Row],[2025 Cost (LCU)]])/FX_Rate, "")</f>
        <v>0</v>
      </c>
      <c r="AJ408" s="126">
        <f>SUM(TblDetailBudget[[#This Row],[2021 Cost (USD)]:[2025 Cost (USD)]])</f>
        <v>0</v>
      </c>
      <c r="AK408" s="180"/>
    </row>
    <row r="409" spans="2:37" ht="12.75" customHeight="1">
      <c r="B409" s="123"/>
      <c r="C40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09" s="85" t="str">
        <f>IF(TblDetailBudget[[#This Row],[Level]]="", "", COUNTIFS($B$8:TblDetailBudget[[#This Row],[Level]], Lvl1Hdr))</f>
        <v/>
      </c>
      <c r="E409" s="85" t="str">
        <f>IF(TblDetailBudget[[#This Row],[Level]]="", "", COUNTIFS($B$8:TblDetailBudget[[#This Row],[Level]], Lvl2Hdr, $D$8:TblDetailBudget[[#This Row],[Lvl 1 Header]], TblDetailBudget[[#This Row],[Lvl 1 Header]]))</f>
        <v/>
      </c>
      <c r="F40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0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0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09" s="164"/>
      <c r="J409" s="164"/>
      <c r="K409" s="165"/>
      <c r="L409" s="165"/>
      <c r="M409" s="85" t="str">
        <f>IF(TblDetailBudget[[#This Row],[Level]]=LvlBottomHdr, IFERROR(INDEX(TblUnitCost[Unit], MATCH(TblDetailBudget[[#This Row],[Row Title]], TblUnitCost[Resource], 0)), "Invalid Resource"), "")</f>
        <v/>
      </c>
      <c r="N409" s="126" t="str">
        <f>IF(TblDetailBudget[[#This Row],[Level]]=LvlBottomHdr, IFERROR(INDEX(TblUnitCost[LCU], MATCH(TblDetailBudget[[#This Row],[Row Title]], TblUnitCost[Resource], 0)), "Invalid Resource"), "")</f>
        <v/>
      </c>
      <c r="O409" s="130"/>
      <c r="P409" s="109"/>
      <c r="Q409" s="186"/>
      <c r="R409" s="131"/>
      <c r="S409" s="109" t="s">
        <v>66</v>
      </c>
      <c r="T409" s="109" t="s">
        <v>66</v>
      </c>
      <c r="U409" s="109" t="s">
        <v>66</v>
      </c>
      <c r="V409" s="109" t="s">
        <v>66</v>
      </c>
      <c r="W409" s="109" t="s">
        <v>66</v>
      </c>
      <c r="X409" s="126" t="str">
        <f>IF(TblDetailBudget[[#This Row],[Level]]=LvlBottomHdr, IF(SUM(TblDetailBudget[[#This Row],[2021 Quant]:[2025 Quant]])&gt;0, SUM(TblDetailBudget[[#This Row],[2021 Quant]:[2025 Quant]]), ""), "")</f>
        <v/>
      </c>
      <c r="Y40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0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0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0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0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09" s="142">
        <f>SUM(TblDetailBudget[[#This Row],[2021 Cost (LCU)]:[2025 Cost (LCU)]])</f>
        <v>0</v>
      </c>
      <c r="AE409" s="135">
        <f>IFERROR(SUM(TblDetailBudget[[#This Row],[2021 Cost (LCU)]])/FX_Rate, "")</f>
        <v>0</v>
      </c>
      <c r="AF409" s="86">
        <f>IFERROR(SUM(TblDetailBudget[[#This Row],[2022 Cost (LCU)]])/FX_Rate, "")</f>
        <v>0</v>
      </c>
      <c r="AG409" s="86">
        <f>IFERROR(SUM(TblDetailBudget[[#This Row],[2023 Cost (LCU)]])/FX_Rate, "")</f>
        <v>0</v>
      </c>
      <c r="AH409" s="86">
        <f>IFERROR(SUM(TblDetailBudget[[#This Row],[2024 Cost (LCU)]])/FX_Rate, "")</f>
        <v>0</v>
      </c>
      <c r="AI409" s="86">
        <f>IFERROR(SUM(TblDetailBudget[[#This Row],[2025 Cost (LCU)]])/FX_Rate, "")</f>
        <v>0</v>
      </c>
      <c r="AJ409" s="126">
        <f>SUM(TblDetailBudget[[#This Row],[2021 Cost (USD)]:[2025 Cost (USD)]])</f>
        <v>0</v>
      </c>
      <c r="AK409" s="180"/>
    </row>
    <row r="410" spans="2:37" ht="12.75" customHeight="1">
      <c r="B410" s="123"/>
      <c r="C41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10" s="85" t="str">
        <f>IF(TblDetailBudget[[#This Row],[Level]]="", "", COUNTIFS($B$8:TblDetailBudget[[#This Row],[Level]], Lvl1Hdr))</f>
        <v/>
      </c>
      <c r="E410" s="85" t="str">
        <f>IF(TblDetailBudget[[#This Row],[Level]]="", "", COUNTIFS($B$8:TblDetailBudget[[#This Row],[Level]], Lvl2Hdr, $D$8:TblDetailBudget[[#This Row],[Lvl 1 Header]], TblDetailBudget[[#This Row],[Lvl 1 Header]]))</f>
        <v/>
      </c>
      <c r="F41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1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1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10" s="164"/>
      <c r="J410" s="164"/>
      <c r="K410" s="165"/>
      <c r="L410" s="165"/>
      <c r="M410" s="85" t="str">
        <f>IF(TblDetailBudget[[#This Row],[Level]]=LvlBottomHdr, IFERROR(INDEX(TblUnitCost[Unit], MATCH(TblDetailBudget[[#This Row],[Row Title]], TblUnitCost[Resource], 0)), "Invalid Resource"), "")</f>
        <v/>
      </c>
      <c r="N410" s="126" t="str">
        <f>IF(TblDetailBudget[[#This Row],[Level]]=LvlBottomHdr, IFERROR(INDEX(TblUnitCost[LCU], MATCH(TblDetailBudget[[#This Row],[Row Title]], TblUnitCost[Resource], 0)), "Invalid Resource"), "")</f>
        <v/>
      </c>
      <c r="O410" s="130"/>
      <c r="P410" s="109"/>
      <c r="Q410" s="186"/>
      <c r="R410" s="131"/>
      <c r="S410" s="109" t="s">
        <v>66</v>
      </c>
      <c r="T410" s="109" t="s">
        <v>66</v>
      </c>
      <c r="U410" s="109" t="s">
        <v>66</v>
      </c>
      <c r="V410" s="109" t="s">
        <v>66</v>
      </c>
      <c r="W410" s="109" t="s">
        <v>66</v>
      </c>
      <c r="X410" s="126" t="str">
        <f>IF(TblDetailBudget[[#This Row],[Level]]=LvlBottomHdr, IF(SUM(TblDetailBudget[[#This Row],[2021 Quant]:[2025 Quant]])&gt;0, SUM(TblDetailBudget[[#This Row],[2021 Quant]:[2025 Quant]]), ""), "")</f>
        <v/>
      </c>
      <c r="Y41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1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1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1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1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10" s="142">
        <f>SUM(TblDetailBudget[[#This Row],[2021 Cost (LCU)]:[2025 Cost (LCU)]])</f>
        <v>0</v>
      </c>
      <c r="AE410" s="135">
        <f>IFERROR(SUM(TblDetailBudget[[#This Row],[2021 Cost (LCU)]])/FX_Rate, "")</f>
        <v>0</v>
      </c>
      <c r="AF410" s="86">
        <f>IFERROR(SUM(TblDetailBudget[[#This Row],[2022 Cost (LCU)]])/FX_Rate, "")</f>
        <v>0</v>
      </c>
      <c r="AG410" s="86">
        <f>IFERROR(SUM(TblDetailBudget[[#This Row],[2023 Cost (LCU)]])/FX_Rate, "")</f>
        <v>0</v>
      </c>
      <c r="AH410" s="86">
        <f>IFERROR(SUM(TblDetailBudget[[#This Row],[2024 Cost (LCU)]])/FX_Rate, "")</f>
        <v>0</v>
      </c>
      <c r="AI410" s="86">
        <f>IFERROR(SUM(TblDetailBudget[[#This Row],[2025 Cost (LCU)]])/FX_Rate, "")</f>
        <v>0</v>
      </c>
      <c r="AJ410" s="126">
        <f>SUM(TblDetailBudget[[#This Row],[2021 Cost (USD)]:[2025 Cost (USD)]])</f>
        <v>0</v>
      </c>
      <c r="AK410" s="180"/>
    </row>
    <row r="411" spans="2:37" ht="12.75" customHeight="1">
      <c r="B411" s="123"/>
      <c r="C41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11" s="85" t="str">
        <f>IF(TblDetailBudget[[#This Row],[Level]]="", "", COUNTIFS($B$8:TblDetailBudget[[#This Row],[Level]], Lvl1Hdr))</f>
        <v/>
      </c>
      <c r="E411" s="85" t="str">
        <f>IF(TblDetailBudget[[#This Row],[Level]]="", "", COUNTIFS($B$8:TblDetailBudget[[#This Row],[Level]], Lvl2Hdr, $D$8:TblDetailBudget[[#This Row],[Lvl 1 Header]], TblDetailBudget[[#This Row],[Lvl 1 Header]]))</f>
        <v/>
      </c>
      <c r="F41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1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1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11" s="164"/>
      <c r="J411" s="164"/>
      <c r="K411" s="165"/>
      <c r="L411" s="165"/>
      <c r="M411" s="85" t="str">
        <f>IF(TblDetailBudget[[#This Row],[Level]]=LvlBottomHdr, IFERROR(INDEX(TblUnitCost[Unit], MATCH(TblDetailBudget[[#This Row],[Row Title]], TblUnitCost[Resource], 0)), "Invalid Resource"), "")</f>
        <v/>
      </c>
      <c r="N411" s="126" t="str">
        <f>IF(TblDetailBudget[[#This Row],[Level]]=LvlBottomHdr, IFERROR(INDEX(TblUnitCost[LCU], MATCH(TblDetailBudget[[#This Row],[Row Title]], TblUnitCost[Resource], 0)), "Invalid Resource"), "")</f>
        <v/>
      </c>
      <c r="O411" s="130"/>
      <c r="P411" s="109"/>
      <c r="Q411" s="186"/>
      <c r="R411" s="131"/>
      <c r="S411" s="109" t="s">
        <v>66</v>
      </c>
      <c r="T411" s="109" t="s">
        <v>66</v>
      </c>
      <c r="U411" s="109" t="s">
        <v>66</v>
      </c>
      <c r="V411" s="109" t="s">
        <v>66</v>
      </c>
      <c r="W411" s="109" t="s">
        <v>66</v>
      </c>
      <c r="X411" s="126" t="str">
        <f>IF(TblDetailBudget[[#This Row],[Level]]=LvlBottomHdr, IF(SUM(TblDetailBudget[[#This Row],[2021 Quant]:[2025 Quant]])&gt;0, SUM(TblDetailBudget[[#This Row],[2021 Quant]:[2025 Quant]]), ""), "")</f>
        <v/>
      </c>
      <c r="Y41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1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1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1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1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11" s="142">
        <f>SUM(TblDetailBudget[[#This Row],[2021 Cost (LCU)]:[2025 Cost (LCU)]])</f>
        <v>0</v>
      </c>
      <c r="AE411" s="135">
        <f>IFERROR(SUM(TblDetailBudget[[#This Row],[2021 Cost (LCU)]])/FX_Rate, "")</f>
        <v>0</v>
      </c>
      <c r="AF411" s="86">
        <f>IFERROR(SUM(TblDetailBudget[[#This Row],[2022 Cost (LCU)]])/FX_Rate, "")</f>
        <v>0</v>
      </c>
      <c r="AG411" s="86">
        <f>IFERROR(SUM(TblDetailBudget[[#This Row],[2023 Cost (LCU)]])/FX_Rate, "")</f>
        <v>0</v>
      </c>
      <c r="AH411" s="86">
        <f>IFERROR(SUM(TblDetailBudget[[#This Row],[2024 Cost (LCU)]])/FX_Rate, "")</f>
        <v>0</v>
      </c>
      <c r="AI411" s="86">
        <f>IFERROR(SUM(TblDetailBudget[[#This Row],[2025 Cost (LCU)]])/FX_Rate, "")</f>
        <v>0</v>
      </c>
      <c r="AJ411" s="126">
        <f>SUM(TblDetailBudget[[#This Row],[2021 Cost (USD)]:[2025 Cost (USD)]])</f>
        <v>0</v>
      </c>
      <c r="AK411" s="180"/>
    </row>
    <row r="412" spans="2:37" ht="12.75" customHeight="1">
      <c r="B412" s="123"/>
      <c r="C41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12" s="85" t="str">
        <f>IF(TblDetailBudget[[#This Row],[Level]]="", "", COUNTIFS($B$8:TblDetailBudget[[#This Row],[Level]], Lvl1Hdr))</f>
        <v/>
      </c>
      <c r="E412" s="85" t="str">
        <f>IF(TblDetailBudget[[#This Row],[Level]]="", "", COUNTIFS($B$8:TblDetailBudget[[#This Row],[Level]], Lvl2Hdr, $D$8:TblDetailBudget[[#This Row],[Lvl 1 Header]], TblDetailBudget[[#This Row],[Lvl 1 Header]]))</f>
        <v/>
      </c>
      <c r="F41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1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1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12" s="164"/>
      <c r="J412" s="164"/>
      <c r="K412" s="165"/>
      <c r="L412" s="165"/>
      <c r="M412" s="85" t="str">
        <f>IF(TblDetailBudget[[#This Row],[Level]]=LvlBottomHdr, IFERROR(INDEX(TblUnitCost[Unit], MATCH(TblDetailBudget[[#This Row],[Row Title]], TblUnitCost[Resource], 0)), "Invalid Resource"), "")</f>
        <v/>
      </c>
      <c r="N412" s="126" t="str">
        <f>IF(TblDetailBudget[[#This Row],[Level]]=LvlBottomHdr, IFERROR(INDEX(TblUnitCost[LCU], MATCH(TblDetailBudget[[#This Row],[Row Title]], TblUnitCost[Resource], 0)), "Invalid Resource"), "")</f>
        <v/>
      </c>
      <c r="O412" s="130"/>
      <c r="P412" s="109"/>
      <c r="Q412" s="186"/>
      <c r="R412" s="131"/>
      <c r="S412" s="109" t="s">
        <v>66</v>
      </c>
      <c r="T412" s="109" t="s">
        <v>66</v>
      </c>
      <c r="U412" s="109" t="s">
        <v>66</v>
      </c>
      <c r="V412" s="109" t="s">
        <v>66</v>
      </c>
      <c r="W412" s="109" t="s">
        <v>66</v>
      </c>
      <c r="X412" s="126" t="str">
        <f>IF(TblDetailBudget[[#This Row],[Level]]=LvlBottomHdr, IF(SUM(TblDetailBudget[[#This Row],[2021 Quant]:[2025 Quant]])&gt;0, SUM(TblDetailBudget[[#This Row],[2021 Quant]:[2025 Quant]]), ""), "")</f>
        <v/>
      </c>
      <c r="Y41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1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1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1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1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12" s="142">
        <f>SUM(TblDetailBudget[[#This Row],[2021 Cost (LCU)]:[2025 Cost (LCU)]])</f>
        <v>0</v>
      </c>
      <c r="AE412" s="135">
        <f>IFERROR(SUM(TblDetailBudget[[#This Row],[2021 Cost (LCU)]])/FX_Rate, "")</f>
        <v>0</v>
      </c>
      <c r="AF412" s="86">
        <f>IFERROR(SUM(TblDetailBudget[[#This Row],[2022 Cost (LCU)]])/FX_Rate, "")</f>
        <v>0</v>
      </c>
      <c r="AG412" s="86">
        <f>IFERROR(SUM(TblDetailBudget[[#This Row],[2023 Cost (LCU)]])/FX_Rate, "")</f>
        <v>0</v>
      </c>
      <c r="AH412" s="86">
        <f>IFERROR(SUM(TblDetailBudget[[#This Row],[2024 Cost (LCU)]])/FX_Rate, "")</f>
        <v>0</v>
      </c>
      <c r="AI412" s="86">
        <f>IFERROR(SUM(TblDetailBudget[[#This Row],[2025 Cost (LCU)]])/FX_Rate, "")</f>
        <v>0</v>
      </c>
      <c r="AJ412" s="126">
        <f>SUM(TblDetailBudget[[#This Row],[2021 Cost (USD)]:[2025 Cost (USD)]])</f>
        <v>0</v>
      </c>
      <c r="AK412" s="180"/>
    </row>
    <row r="413" spans="2:37" ht="12.75" customHeight="1">
      <c r="B413" s="123"/>
      <c r="C41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13" s="85" t="str">
        <f>IF(TblDetailBudget[[#This Row],[Level]]="", "", COUNTIFS($B$8:TblDetailBudget[[#This Row],[Level]], Lvl1Hdr))</f>
        <v/>
      </c>
      <c r="E413" s="85" t="str">
        <f>IF(TblDetailBudget[[#This Row],[Level]]="", "", COUNTIFS($B$8:TblDetailBudget[[#This Row],[Level]], Lvl2Hdr, $D$8:TblDetailBudget[[#This Row],[Lvl 1 Header]], TblDetailBudget[[#This Row],[Lvl 1 Header]]))</f>
        <v/>
      </c>
      <c r="F41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1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1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13" s="164"/>
      <c r="J413" s="164"/>
      <c r="K413" s="165"/>
      <c r="L413" s="165"/>
      <c r="M413" s="85" t="str">
        <f>IF(TblDetailBudget[[#This Row],[Level]]=LvlBottomHdr, IFERROR(INDEX(TblUnitCost[Unit], MATCH(TblDetailBudget[[#This Row],[Row Title]], TblUnitCost[Resource], 0)), "Invalid Resource"), "")</f>
        <v/>
      </c>
      <c r="N413" s="126" t="str">
        <f>IF(TblDetailBudget[[#This Row],[Level]]=LvlBottomHdr, IFERROR(INDEX(TblUnitCost[LCU], MATCH(TblDetailBudget[[#This Row],[Row Title]], TblUnitCost[Resource], 0)), "Invalid Resource"), "")</f>
        <v/>
      </c>
      <c r="O413" s="130"/>
      <c r="P413" s="109"/>
      <c r="Q413" s="186"/>
      <c r="R413" s="131"/>
      <c r="S413" s="109" t="s">
        <v>66</v>
      </c>
      <c r="T413" s="109" t="s">
        <v>66</v>
      </c>
      <c r="U413" s="109" t="s">
        <v>66</v>
      </c>
      <c r="V413" s="109" t="s">
        <v>66</v>
      </c>
      <c r="W413" s="109" t="s">
        <v>66</v>
      </c>
      <c r="X413" s="126" t="str">
        <f>IF(TblDetailBudget[[#This Row],[Level]]=LvlBottomHdr, IF(SUM(TblDetailBudget[[#This Row],[2021 Quant]:[2025 Quant]])&gt;0, SUM(TblDetailBudget[[#This Row],[2021 Quant]:[2025 Quant]]), ""), "")</f>
        <v/>
      </c>
      <c r="Y41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1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1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1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1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13" s="142">
        <f>SUM(TblDetailBudget[[#This Row],[2021 Cost (LCU)]:[2025 Cost (LCU)]])</f>
        <v>0</v>
      </c>
      <c r="AE413" s="135">
        <f>IFERROR(SUM(TblDetailBudget[[#This Row],[2021 Cost (LCU)]])/FX_Rate, "")</f>
        <v>0</v>
      </c>
      <c r="AF413" s="86">
        <f>IFERROR(SUM(TblDetailBudget[[#This Row],[2022 Cost (LCU)]])/FX_Rate, "")</f>
        <v>0</v>
      </c>
      <c r="AG413" s="86">
        <f>IFERROR(SUM(TblDetailBudget[[#This Row],[2023 Cost (LCU)]])/FX_Rate, "")</f>
        <v>0</v>
      </c>
      <c r="AH413" s="86">
        <f>IFERROR(SUM(TblDetailBudget[[#This Row],[2024 Cost (LCU)]])/FX_Rate, "")</f>
        <v>0</v>
      </c>
      <c r="AI413" s="86">
        <f>IFERROR(SUM(TblDetailBudget[[#This Row],[2025 Cost (LCU)]])/FX_Rate, "")</f>
        <v>0</v>
      </c>
      <c r="AJ413" s="126">
        <f>SUM(TblDetailBudget[[#This Row],[2021 Cost (USD)]:[2025 Cost (USD)]])</f>
        <v>0</v>
      </c>
      <c r="AK413" s="180"/>
    </row>
    <row r="414" spans="2:37" ht="12.75" customHeight="1">
      <c r="B414" s="123"/>
      <c r="C41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14" s="85" t="str">
        <f>IF(TblDetailBudget[[#This Row],[Level]]="", "", COUNTIFS($B$8:TblDetailBudget[[#This Row],[Level]], Lvl1Hdr))</f>
        <v/>
      </c>
      <c r="E414" s="85" t="str">
        <f>IF(TblDetailBudget[[#This Row],[Level]]="", "", COUNTIFS($B$8:TblDetailBudget[[#This Row],[Level]], Lvl2Hdr, $D$8:TblDetailBudget[[#This Row],[Lvl 1 Header]], TblDetailBudget[[#This Row],[Lvl 1 Header]]))</f>
        <v/>
      </c>
      <c r="F41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1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1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14" s="164"/>
      <c r="J414" s="164"/>
      <c r="K414" s="165"/>
      <c r="L414" s="165"/>
      <c r="M414" s="85" t="str">
        <f>IF(TblDetailBudget[[#This Row],[Level]]=LvlBottomHdr, IFERROR(INDEX(TblUnitCost[Unit], MATCH(TblDetailBudget[[#This Row],[Row Title]], TblUnitCost[Resource], 0)), "Invalid Resource"), "")</f>
        <v/>
      </c>
      <c r="N414" s="126" t="str">
        <f>IF(TblDetailBudget[[#This Row],[Level]]=LvlBottomHdr, IFERROR(INDEX(TblUnitCost[LCU], MATCH(TblDetailBudget[[#This Row],[Row Title]], TblUnitCost[Resource], 0)), "Invalid Resource"), "")</f>
        <v/>
      </c>
      <c r="O414" s="130"/>
      <c r="P414" s="109"/>
      <c r="Q414" s="186"/>
      <c r="R414" s="131"/>
      <c r="S414" s="109" t="s">
        <v>66</v>
      </c>
      <c r="T414" s="109" t="s">
        <v>66</v>
      </c>
      <c r="U414" s="109" t="s">
        <v>66</v>
      </c>
      <c r="V414" s="109" t="s">
        <v>66</v>
      </c>
      <c r="W414" s="109" t="s">
        <v>66</v>
      </c>
      <c r="X414" s="126" t="str">
        <f>IF(TblDetailBudget[[#This Row],[Level]]=LvlBottomHdr, IF(SUM(TblDetailBudget[[#This Row],[2021 Quant]:[2025 Quant]])&gt;0, SUM(TblDetailBudget[[#This Row],[2021 Quant]:[2025 Quant]]), ""), "")</f>
        <v/>
      </c>
      <c r="Y41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1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1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1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1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14" s="142">
        <f>SUM(TblDetailBudget[[#This Row],[2021 Cost (LCU)]:[2025 Cost (LCU)]])</f>
        <v>0</v>
      </c>
      <c r="AE414" s="135">
        <f>IFERROR(SUM(TblDetailBudget[[#This Row],[2021 Cost (LCU)]])/FX_Rate, "")</f>
        <v>0</v>
      </c>
      <c r="AF414" s="86">
        <f>IFERROR(SUM(TblDetailBudget[[#This Row],[2022 Cost (LCU)]])/FX_Rate, "")</f>
        <v>0</v>
      </c>
      <c r="AG414" s="86">
        <f>IFERROR(SUM(TblDetailBudget[[#This Row],[2023 Cost (LCU)]])/FX_Rate, "")</f>
        <v>0</v>
      </c>
      <c r="AH414" s="86">
        <f>IFERROR(SUM(TblDetailBudget[[#This Row],[2024 Cost (LCU)]])/FX_Rate, "")</f>
        <v>0</v>
      </c>
      <c r="AI414" s="86">
        <f>IFERROR(SUM(TblDetailBudget[[#This Row],[2025 Cost (LCU)]])/FX_Rate, "")</f>
        <v>0</v>
      </c>
      <c r="AJ414" s="126">
        <f>SUM(TblDetailBudget[[#This Row],[2021 Cost (USD)]:[2025 Cost (USD)]])</f>
        <v>0</v>
      </c>
      <c r="AK414" s="180"/>
    </row>
    <row r="415" spans="2:37" ht="12.75" customHeight="1">
      <c r="B415" s="123"/>
      <c r="C41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15" s="85" t="str">
        <f>IF(TblDetailBudget[[#This Row],[Level]]="", "", COUNTIFS($B$8:TblDetailBudget[[#This Row],[Level]], Lvl1Hdr))</f>
        <v/>
      </c>
      <c r="E415" s="85" t="str">
        <f>IF(TblDetailBudget[[#This Row],[Level]]="", "", COUNTIFS($B$8:TblDetailBudget[[#This Row],[Level]], Lvl2Hdr, $D$8:TblDetailBudget[[#This Row],[Lvl 1 Header]], TblDetailBudget[[#This Row],[Lvl 1 Header]]))</f>
        <v/>
      </c>
      <c r="F41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1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1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15" s="164"/>
      <c r="J415" s="164"/>
      <c r="K415" s="165"/>
      <c r="L415" s="165"/>
      <c r="M415" s="85" t="str">
        <f>IF(TblDetailBudget[[#This Row],[Level]]=LvlBottomHdr, IFERROR(INDEX(TblUnitCost[Unit], MATCH(TblDetailBudget[[#This Row],[Row Title]], TblUnitCost[Resource], 0)), "Invalid Resource"), "")</f>
        <v/>
      </c>
      <c r="N415" s="126" t="str">
        <f>IF(TblDetailBudget[[#This Row],[Level]]=LvlBottomHdr, IFERROR(INDEX(TblUnitCost[LCU], MATCH(TblDetailBudget[[#This Row],[Row Title]], TblUnitCost[Resource], 0)), "Invalid Resource"), "")</f>
        <v/>
      </c>
      <c r="O415" s="130"/>
      <c r="P415" s="109"/>
      <c r="Q415" s="186"/>
      <c r="R415" s="131"/>
      <c r="S415" s="109" t="s">
        <v>66</v>
      </c>
      <c r="T415" s="109" t="s">
        <v>66</v>
      </c>
      <c r="U415" s="109" t="s">
        <v>66</v>
      </c>
      <c r="V415" s="109" t="s">
        <v>66</v>
      </c>
      <c r="W415" s="109" t="s">
        <v>66</v>
      </c>
      <c r="X415" s="126" t="str">
        <f>IF(TblDetailBudget[[#This Row],[Level]]=LvlBottomHdr, IF(SUM(TblDetailBudget[[#This Row],[2021 Quant]:[2025 Quant]])&gt;0, SUM(TblDetailBudget[[#This Row],[2021 Quant]:[2025 Quant]]), ""), "")</f>
        <v/>
      </c>
      <c r="Y41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1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1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1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1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15" s="142">
        <f>SUM(TblDetailBudget[[#This Row],[2021 Cost (LCU)]:[2025 Cost (LCU)]])</f>
        <v>0</v>
      </c>
      <c r="AE415" s="135">
        <f>IFERROR(SUM(TblDetailBudget[[#This Row],[2021 Cost (LCU)]])/FX_Rate, "")</f>
        <v>0</v>
      </c>
      <c r="AF415" s="86">
        <f>IFERROR(SUM(TblDetailBudget[[#This Row],[2022 Cost (LCU)]])/FX_Rate, "")</f>
        <v>0</v>
      </c>
      <c r="AG415" s="86">
        <f>IFERROR(SUM(TblDetailBudget[[#This Row],[2023 Cost (LCU)]])/FX_Rate, "")</f>
        <v>0</v>
      </c>
      <c r="AH415" s="86">
        <f>IFERROR(SUM(TblDetailBudget[[#This Row],[2024 Cost (LCU)]])/FX_Rate, "")</f>
        <v>0</v>
      </c>
      <c r="AI415" s="86">
        <f>IFERROR(SUM(TblDetailBudget[[#This Row],[2025 Cost (LCU)]])/FX_Rate, "")</f>
        <v>0</v>
      </c>
      <c r="AJ415" s="126">
        <f>SUM(TblDetailBudget[[#This Row],[2021 Cost (USD)]:[2025 Cost (USD)]])</f>
        <v>0</v>
      </c>
      <c r="AK415" s="180"/>
    </row>
    <row r="416" spans="2:37" ht="12.75" customHeight="1">
      <c r="B416" s="123"/>
      <c r="C41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16" s="85" t="str">
        <f>IF(TblDetailBudget[[#This Row],[Level]]="", "", COUNTIFS($B$8:TblDetailBudget[[#This Row],[Level]], Lvl1Hdr))</f>
        <v/>
      </c>
      <c r="E416" s="85" t="str">
        <f>IF(TblDetailBudget[[#This Row],[Level]]="", "", COUNTIFS($B$8:TblDetailBudget[[#This Row],[Level]], Lvl2Hdr, $D$8:TblDetailBudget[[#This Row],[Lvl 1 Header]], TblDetailBudget[[#This Row],[Lvl 1 Header]]))</f>
        <v/>
      </c>
      <c r="F41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1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1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16" s="164"/>
      <c r="J416" s="164"/>
      <c r="K416" s="165"/>
      <c r="L416" s="165"/>
      <c r="M416" s="85" t="str">
        <f>IF(TblDetailBudget[[#This Row],[Level]]=LvlBottomHdr, IFERROR(INDEX(TblUnitCost[Unit], MATCH(TblDetailBudget[[#This Row],[Row Title]], TblUnitCost[Resource], 0)), "Invalid Resource"), "")</f>
        <v/>
      </c>
      <c r="N416" s="126" t="str">
        <f>IF(TblDetailBudget[[#This Row],[Level]]=LvlBottomHdr, IFERROR(INDEX(TblUnitCost[LCU], MATCH(TblDetailBudget[[#This Row],[Row Title]], TblUnitCost[Resource], 0)), "Invalid Resource"), "")</f>
        <v/>
      </c>
      <c r="O416" s="130"/>
      <c r="P416" s="109"/>
      <c r="Q416" s="186"/>
      <c r="R416" s="131"/>
      <c r="S416" s="109" t="s">
        <v>66</v>
      </c>
      <c r="T416" s="109" t="s">
        <v>66</v>
      </c>
      <c r="U416" s="109" t="s">
        <v>66</v>
      </c>
      <c r="V416" s="109" t="s">
        <v>66</v>
      </c>
      <c r="W416" s="109" t="s">
        <v>66</v>
      </c>
      <c r="X416" s="126" t="str">
        <f>IF(TblDetailBudget[[#This Row],[Level]]=LvlBottomHdr, IF(SUM(TblDetailBudget[[#This Row],[2021 Quant]:[2025 Quant]])&gt;0, SUM(TblDetailBudget[[#This Row],[2021 Quant]:[2025 Quant]]), ""), "")</f>
        <v/>
      </c>
      <c r="Y41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1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1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1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1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16" s="142">
        <f>SUM(TblDetailBudget[[#This Row],[2021 Cost (LCU)]:[2025 Cost (LCU)]])</f>
        <v>0</v>
      </c>
      <c r="AE416" s="135">
        <f>IFERROR(SUM(TblDetailBudget[[#This Row],[2021 Cost (LCU)]])/FX_Rate, "")</f>
        <v>0</v>
      </c>
      <c r="AF416" s="86">
        <f>IFERROR(SUM(TblDetailBudget[[#This Row],[2022 Cost (LCU)]])/FX_Rate, "")</f>
        <v>0</v>
      </c>
      <c r="AG416" s="86">
        <f>IFERROR(SUM(TblDetailBudget[[#This Row],[2023 Cost (LCU)]])/FX_Rate, "")</f>
        <v>0</v>
      </c>
      <c r="AH416" s="86">
        <f>IFERROR(SUM(TblDetailBudget[[#This Row],[2024 Cost (LCU)]])/FX_Rate, "")</f>
        <v>0</v>
      </c>
      <c r="AI416" s="86">
        <f>IFERROR(SUM(TblDetailBudget[[#This Row],[2025 Cost (LCU)]])/FX_Rate, "")</f>
        <v>0</v>
      </c>
      <c r="AJ416" s="126">
        <f>SUM(TblDetailBudget[[#This Row],[2021 Cost (USD)]:[2025 Cost (USD)]])</f>
        <v>0</v>
      </c>
      <c r="AK416" s="180"/>
    </row>
    <row r="417" spans="2:37" ht="12.75" customHeight="1">
      <c r="B417" s="123"/>
      <c r="C41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17" s="85" t="str">
        <f>IF(TblDetailBudget[[#This Row],[Level]]="", "", COUNTIFS($B$8:TblDetailBudget[[#This Row],[Level]], Lvl1Hdr))</f>
        <v/>
      </c>
      <c r="E417" s="85" t="str">
        <f>IF(TblDetailBudget[[#This Row],[Level]]="", "", COUNTIFS($B$8:TblDetailBudget[[#This Row],[Level]], Lvl2Hdr, $D$8:TblDetailBudget[[#This Row],[Lvl 1 Header]], TblDetailBudget[[#This Row],[Lvl 1 Header]]))</f>
        <v/>
      </c>
      <c r="F41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1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1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17" s="164"/>
      <c r="J417" s="164"/>
      <c r="K417" s="165"/>
      <c r="L417" s="165"/>
      <c r="M417" s="85" t="str">
        <f>IF(TblDetailBudget[[#This Row],[Level]]=LvlBottomHdr, IFERROR(INDEX(TblUnitCost[Unit], MATCH(TblDetailBudget[[#This Row],[Row Title]], TblUnitCost[Resource], 0)), "Invalid Resource"), "")</f>
        <v/>
      </c>
      <c r="N417" s="126" t="str">
        <f>IF(TblDetailBudget[[#This Row],[Level]]=LvlBottomHdr, IFERROR(INDEX(TblUnitCost[LCU], MATCH(TblDetailBudget[[#This Row],[Row Title]], TblUnitCost[Resource], 0)), "Invalid Resource"), "")</f>
        <v/>
      </c>
      <c r="O417" s="130"/>
      <c r="P417" s="109"/>
      <c r="Q417" s="186"/>
      <c r="R417" s="131"/>
      <c r="S417" s="109" t="s">
        <v>66</v>
      </c>
      <c r="T417" s="109" t="s">
        <v>66</v>
      </c>
      <c r="U417" s="109" t="s">
        <v>66</v>
      </c>
      <c r="V417" s="109" t="s">
        <v>66</v>
      </c>
      <c r="W417" s="109" t="s">
        <v>66</v>
      </c>
      <c r="X417" s="126" t="str">
        <f>IF(TblDetailBudget[[#This Row],[Level]]=LvlBottomHdr, IF(SUM(TblDetailBudget[[#This Row],[2021 Quant]:[2025 Quant]])&gt;0, SUM(TblDetailBudget[[#This Row],[2021 Quant]:[2025 Quant]]), ""), "")</f>
        <v/>
      </c>
      <c r="Y41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1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1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1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1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17" s="142">
        <f>SUM(TblDetailBudget[[#This Row],[2021 Cost (LCU)]:[2025 Cost (LCU)]])</f>
        <v>0</v>
      </c>
      <c r="AE417" s="135">
        <f>IFERROR(SUM(TblDetailBudget[[#This Row],[2021 Cost (LCU)]])/FX_Rate, "")</f>
        <v>0</v>
      </c>
      <c r="AF417" s="86">
        <f>IFERROR(SUM(TblDetailBudget[[#This Row],[2022 Cost (LCU)]])/FX_Rate, "")</f>
        <v>0</v>
      </c>
      <c r="AG417" s="86">
        <f>IFERROR(SUM(TblDetailBudget[[#This Row],[2023 Cost (LCU)]])/FX_Rate, "")</f>
        <v>0</v>
      </c>
      <c r="AH417" s="86">
        <f>IFERROR(SUM(TblDetailBudget[[#This Row],[2024 Cost (LCU)]])/FX_Rate, "")</f>
        <v>0</v>
      </c>
      <c r="AI417" s="86">
        <f>IFERROR(SUM(TblDetailBudget[[#This Row],[2025 Cost (LCU)]])/FX_Rate, "")</f>
        <v>0</v>
      </c>
      <c r="AJ417" s="126">
        <f>SUM(TblDetailBudget[[#This Row],[2021 Cost (USD)]:[2025 Cost (USD)]])</f>
        <v>0</v>
      </c>
      <c r="AK417" s="180"/>
    </row>
    <row r="418" spans="2:37" ht="12.75" customHeight="1">
      <c r="B418" s="123"/>
      <c r="C41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18" s="85" t="str">
        <f>IF(TblDetailBudget[[#This Row],[Level]]="", "", COUNTIFS($B$8:TblDetailBudget[[#This Row],[Level]], Lvl1Hdr))</f>
        <v/>
      </c>
      <c r="E418" s="85" t="str">
        <f>IF(TblDetailBudget[[#This Row],[Level]]="", "", COUNTIFS($B$8:TblDetailBudget[[#This Row],[Level]], Lvl2Hdr, $D$8:TblDetailBudget[[#This Row],[Lvl 1 Header]], TblDetailBudget[[#This Row],[Lvl 1 Header]]))</f>
        <v/>
      </c>
      <c r="F41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1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1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18" s="164"/>
      <c r="J418" s="164"/>
      <c r="K418" s="165"/>
      <c r="L418" s="165"/>
      <c r="M418" s="85" t="str">
        <f>IF(TblDetailBudget[[#This Row],[Level]]=LvlBottomHdr, IFERROR(INDEX(TblUnitCost[Unit], MATCH(TblDetailBudget[[#This Row],[Row Title]], TblUnitCost[Resource], 0)), "Invalid Resource"), "")</f>
        <v/>
      </c>
      <c r="N418" s="126" t="str">
        <f>IF(TblDetailBudget[[#This Row],[Level]]=LvlBottomHdr, IFERROR(INDEX(TblUnitCost[LCU], MATCH(TblDetailBudget[[#This Row],[Row Title]], TblUnitCost[Resource], 0)), "Invalid Resource"), "")</f>
        <v/>
      </c>
      <c r="O418" s="130"/>
      <c r="P418" s="109"/>
      <c r="Q418" s="186"/>
      <c r="R418" s="131"/>
      <c r="S418" s="109" t="s">
        <v>66</v>
      </c>
      <c r="T418" s="109" t="s">
        <v>66</v>
      </c>
      <c r="U418" s="109" t="s">
        <v>66</v>
      </c>
      <c r="V418" s="109" t="s">
        <v>66</v>
      </c>
      <c r="W418" s="109" t="s">
        <v>66</v>
      </c>
      <c r="X418" s="126" t="str">
        <f>IF(TblDetailBudget[[#This Row],[Level]]=LvlBottomHdr, IF(SUM(TblDetailBudget[[#This Row],[2021 Quant]:[2025 Quant]])&gt;0, SUM(TblDetailBudget[[#This Row],[2021 Quant]:[2025 Quant]]), ""), "")</f>
        <v/>
      </c>
      <c r="Y41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1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1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1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1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18" s="142">
        <f>SUM(TblDetailBudget[[#This Row],[2021 Cost (LCU)]:[2025 Cost (LCU)]])</f>
        <v>0</v>
      </c>
      <c r="AE418" s="135">
        <f>IFERROR(SUM(TblDetailBudget[[#This Row],[2021 Cost (LCU)]])/FX_Rate, "")</f>
        <v>0</v>
      </c>
      <c r="AF418" s="86">
        <f>IFERROR(SUM(TblDetailBudget[[#This Row],[2022 Cost (LCU)]])/FX_Rate, "")</f>
        <v>0</v>
      </c>
      <c r="AG418" s="86">
        <f>IFERROR(SUM(TblDetailBudget[[#This Row],[2023 Cost (LCU)]])/FX_Rate, "")</f>
        <v>0</v>
      </c>
      <c r="AH418" s="86">
        <f>IFERROR(SUM(TblDetailBudget[[#This Row],[2024 Cost (LCU)]])/FX_Rate, "")</f>
        <v>0</v>
      </c>
      <c r="AI418" s="86">
        <f>IFERROR(SUM(TblDetailBudget[[#This Row],[2025 Cost (LCU)]])/FX_Rate, "")</f>
        <v>0</v>
      </c>
      <c r="AJ418" s="126">
        <f>SUM(TblDetailBudget[[#This Row],[2021 Cost (USD)]:[2025 Cost (USD)]])</f>
        <v>0</v>
      </c>
      <c r="AK418" s="180"/>
    </row>
    <row r="419" spans="2:37" ht="12.75" customHeight="1">
      <c r="B419" s="123"/>
      <c r="C41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19" s="85" t="str">
        <f>IF(TblDetailBudget[[#This Row],[Level]]="", "", COUNTIFS($B$8:TblDetailBudget[[#This Row],[Level]], Lvl1Hdr))</f>
        <v/>
      </c>
      <c r="E419" s="85" t="str">
        <f>IF(TblDetailBudget[[#This Row],[Level]]="", "", COUNTIFS($B$8:TblDetailBudget[[#This Row],[Level]], Lvl2Hdr, $D$8:TblDetailBudget[[#This Row],[Lvl 1 Header]], TblDetailBudget[[#This Row],[Lvl 1 Header]]))</f>
        <v/>
      </c>
      <c r="F41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1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1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19" s="164"/>
      <c r="J419" s="164"/>
      <c r="K419" s="165"/>
      <c r="L419" s="165"/>
      <c r="M419" s="85" t="str">
        <f>IF(TblDetailBudget[[#This Row],[Level]]=LvlBottomHdr, IFERROR(INDEX(TblUnitCost[Unit], MATCH(TblDetailBudget[[#This Row],[Row Title]], TblUnitCost[Resource], 0)), "Invalid Resource"), "")</f>
        <v/>
      </c>
      <c r="N419" s="126" t="str">
        <f>IF(TblDetailBudget[[#This Row],[Level]]=LvlBottomHdr, IFERROR(INDEX(TblUnitCost[LCU], MATCH(TblDetailBudget[[#This Row],[Row Title]], TblUnitCost[Resource], 0)), "Invalid Resource"), "")</f>
        <v/>
      </c>
      <c r="O419" s="130"/>
      <c r="P419" s="109"/>
      <c r="Q419" s="186"/>
      <c r="R419" s="131"/>
      <c r="S419" s="109" t="s">
        <v>66</v>
      </c>
      <c r="T419" s="109" t="s">
        <v>66</v>
      </c>
      <c r="U419" s="109" t="s">
        <v>66</v>
      </c>
      <c r="V419" s="109" t="s">
        <v>66</v>
      </c>
      <c r="W419" s="109" t="s">
        <v>66</v>
      </c>
      <c r="X419" s="126" t="str">
        <f>IF(TblDetailBudget[[#This Row],[Level]]=LvlBottomHdr, IF(SUM(TblDetailBudget[[#This Row],[2021 Quant]:[2025 Quant]])&gt;0, SUM(TblDetailBudget[[#This Row],[2021 Quant]:[2025 Quant]]), ""), "")</f>
        <v/>
      </c>
      <c r="Y41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1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1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1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1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19" s="142">
        <f>SUM(TblDetailBudget[[#This Row],[2021 Cost (LCU)]:[2025 Cost (LCU)]])</f>
        <v>0</v>
      </c>
      <c r="AE419" s="135">
        <f>IFERROR(SUM(TblDetailBudget[[#This Row],[2021 Cost (LCU)]])/FX_Rate, "")</f>
        <v>0</v>
      </c>
      <c r="AF419" s="86">
        <f>IFERROR(SUM(TblDetailBudget[[#This Row],[2022 Cost (LCU)]])/FX_Rate, "")</f>
        <v>0</v>
      </c>
      <c r="AG419" s="86">
        <f>IFERROR(SUM(TblDetailBudget[[#This Row],[2023 Cost (LCU)]])/FX_Rate, "")</f>
        <v>0</v>
      </c>
      <c r="AH419" s="86">
        <f>IFERROR(SUM(TblDetailBudget[[#This Row],[2024 Cost (LCU)]])/FX_Rate, "")</f>
        <v>0</v>
      </c>
      <c r="AI419" s="86">
        <f>IFERROR(SUM(TblDetailBudget[[#This Row],[2025 Cost (LCU)]])/FX_Rate, "")</f>
        <v>0</v>
      </c>
      <c r="AJ419" s="126">
        <f>SUM(TblDetailBudget[[#This Row],[2021 Cost (USD)]:[2025 Cost (USD)]])</f>
        <v>0</v>
      </c>
      <c r="AK419" s="180"/>
    </row>
    <row r="420" spans="2:37" ht="12.75" customHeight="1">
      <c r="B420" s="123"/>
      <c r="C42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20" s="85" t="str">
        <f>IF(TblDetailBudget[[#This Row],[Level]]="", "", COUNTIFS($B$8:TblDetailBudget[[#This Row],[Level]], Lvl1Hdr))</f>
        <v/>
      </c>
      <c r="E420" s="85" t="str">
        <f>IF(TblDetailBudget[[#This Row],[Level]]="", "", COUNTIFS($B$8:TblDetailBudget[[#This Row],[Level]], Lvl2Hdr, $D$8:TblDetailBudget[[#This Row],[Lvl 1 Header]], TblDetailBudget[[#This Row],[Lvl 1 Header]]))</f>
        <v/>
      </c>
      <c r="F42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2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2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20" s="164"/>
      <c r="J420" s="164"/>
      <c r="K420" s="165"/>
      <c r="L420" s="165"/>
      <c r="M420" s="85" t="str">
        <f>IF(TblDetailBudget[[#This Row],[Level]]=LvlBottomHdr, IFERROR(INDEX(TblUnitCost[Unit], MATCH(TblDetailBudget[[#This Row],[Row Title]], TblUnitCost[Resource], 0)), "Invalid Resource"), "")</f>
        <v/>
      </c>
      <c r="N420" s="126" t="str">
        <f>IF(TblDetailBudget[[#This Row],[Level]]=LvlBottomHdr, IFERROR(INDEX(TblUnitCost[LCU], MATCH(TblDetailBudget[[#This Row],[Row Title]], TblUnitCost[Resource], 0)), "Invalid Resource"), "")</f>
        <v/>
      </c>
      <c r="O420" s="130"/>
      <c r="P420" s="109"/>
      <c r="Q420" s="186"/>
      <c r="R420" s="131"/>
      <c r="S420" s="109" t="s">
        <v>66</v>
      </c>
      <c r="T420" s="109" t="s">
        <v>66</v>
      </c>
      <c r="U420" s="109" t="s">
        <v>66</v>
      </c>
      <c r="V420" s="109" t="s">
        <v>66</v>
      </c>
      <c r="W420" s="109" t="s">
        <v>66</v>
      </c>
      <c r="X420" s="126" t="str">
        <f>IF(TblDetailBudget[[#This Row],[Level]]=LvlBottomHdr, IF(SUM(TblDetailBudget[[#This Row],[2021 Quant]:[2025 Quant]])&gt;0, SUM(TblDetailBudget[[#This Row],[2021 Quant]:[2025 Quant]]), ""), "")</f>
        <v/>
      </c>
      <c r="Y42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2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2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2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2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20" s="142">
        <f>SUM(TblDetailBudget[[#This Row],[2021 Cost (LCU)]:[2025 Cost (LCU)]])</f>
        <v>0</v>
      </c>
      <c r="AE420" s="135">
        <f>IFERROR(SUM(TblDetailBudget[[#This Row],[2021 Cost (LCU)]])/FX_Rate, "")</f>
        <v>0</v>
      </c>
      <c r="AF420" s="86">
        <f>IFERROR(SUM(TblDetailBudget[[#This Row],[2022 Cost (LCU)]])/FX_Rate, "")</f>
        <v>0</v>
      </c>
      <c r="AG420" s="86">
        <f>IFERROR(SUM(TblDetailBudget[[#This Row],[2023 Cost (LCU)]])/FX_Rate, "")</f>
        <v>0</v>
      </c>
      <c r="AH420" s="86">
        <f>IFERROR(SUM(TblDetailBudget[[#This Row],[2024 Cost (LCU)]])/FX_Rate, "")</f>
        <v>0</v>
      </c>
      <c r="AI420" s="86">
        <f>IFERROR(SUM(TblDetailBudget[[#This Row],[2025 Cost (LCU)]])/FX_Rate, "")</f>
        <v>0</v>
      </c>
      <c r="AJ420" s="126">
        <f>SUM(TblDetailBudget[[#This Row],[2021 Cost (USD)]:[2025 Cost (USD)]])</f>
        <v>0</v>
      </c>
      <c r="AK420" s="180"/>
    </row>
    <row r="421" spans="2:37" ht="12.75" customHeight="1">
      <c r="B421" s="123"/>
      <c r="C42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21" s="85" t="str">
        <f>IF(TblDetailBudget[[#This Row],[Level]]="", "", COUNTIFS($B$8:TblDetailBudget[[#This Row],[Level]], Lvl1Hdr))</f>
        <v/>
      </c>
      <c r="E421" s="85" t="str">
        <f>IF(TblDetailBudget[[#This Row],[Level]]="", "", COUNTIFS($B$8:TblDetailBudget[[#This Row],[Level]], Lvl2Hdr, $D$8:TblDetailBudget[[#This Row],[Lvl 1 Header]], TblDetailBudget[[#This Row],[Lvl 1 Header]]))</f>
        <v/>
      </c>
      <c r="F42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2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2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21" s="164"/>
      <c r="J421" s="164"/>
      <c r="K421" s="165"/>
      <c r="L421" s="165"/>
      <c r="M421" s="85" t="str">
        <f>IF(TblDetailBudget[[#This Row],[Level]]=LvlBottomHdr, IFERROR(INDEX(TblUnitCost[Unit], MATCH(TblDetailBudget[[#This Row],[Row Title]], TblUnitCost[Resource], 0)), "Invalid Resource"), "")</f>
        <v/>
      </c>
      <c r="N421" s="126" t="str">
        <f>IF(TblDetailBudget[[#This Row],[Level]]=LvlBottomHdr, IFERROR(INDEX(TblUnitCost[LCU], MATCH(TblDetailBudget[[#This Row],[Row Title]], TblUnitCost[Resource], 0)), "Invalid Resource"), "")</f>
        <v/>
      </c>
      <c r="O421" s="130"/>
      <c r="P421" s="109"/>
      <c r="Q421" s="186"/>
      <c r="R421" s="131"/>
      <c r="S421" s="109" t="s">
        <v>66</v>
      </c>
      <c r="T421" s="109" t="s">
        <v>66</v>
      </c>
      <c r="U421" s="109" t="s">
        <v>66</v>
      </c>
      <c r="V421" s="109" t="s">
        <v>66</v>
      </c>
      <c r="W421" s="109" t="s">
        <v>66</v>
      </c>
      <c r="X421" s="126" t="str">
        <f>IF(TblDetailBudget[[#This Row],[Level]]=LvlBottomHdr, IF(SUM(TblDetailBudget[[#This Row],[2021 Quant]:[2025 Quant]])&gt;0, SUM(TblDetailBudget[[#This Row],[2021 Quant]:[2025 Quant]]), ""), "")</f>
        <v/>
      </c>
      <c r="Y42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2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2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2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2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21" s="142">
        <f>SUM(TblDetailBudget[[#This Row],[2021 Cost (LCU)]:[2025 Cost (LCU)]])</f>
        <v>0</v>
      </c>
      <c r="AE421" s="135">
        <f>IFERROR(SUM(TblDetailBudget[[#This Row],[2021 Cost (LCU)]])/FX_Rate, "")</f>
        <v>0</v>
      </c>
      <c r="AF421" s="86">
        <f>IFERROR(SUM(TblDetailBudget[[#This Row],[2022 Cost (LCU)]])/FX_Rate, "")</f>
        <v>0</v>
      </c>
      <c r="AG421" s="86">
        <f>IFERROR(SUM(TblDetailBudget[[#This Row],[2023 Cost (LCU)]])/FX_Rate, "")</f>
        <v>0</v>
      </c>
      <c r="AH421" s="86">
        <f>IFERROR(SUM(TblDetailBudget[[#This Row],[2024 Cost (LCU)]])/FX_Rate, "")</f>
        <v>0</v>
      </c>
      <c r="AI421" s="86">
        <f>IFERROR(SUM(TblDetailBudget[[#This Row],[2025 Cost (LCU)]])/FX_Rate, "")</f>
        <v>0</v>
      </c>
      <c r="AJ421" s="126">
        <f>SUM(TblDetailBudget[[#This Row],[2021 Cost (USD)]:[2025 Cost (USD)]])</f>
        <v>0</v>
      </c>
      <c r="AK421" s="180"/>
    </row>
    <row r="422" spans="2:37" ht="12.75" customHeight="1">
      <c r="B422" s="123"/>
      <c r="C42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22" s="85" t="str">
        <f>IF(TblDetailBudget[[#This Row],[Level]]="", "", COUNTIFS($B$8:TblDetailBudget[[#This Row],[Level]], Lvl1Hdr))</f>
        <v/>
      </c>
      <c r="E422" s="85" t="str">
        <f>IF(TblDetailBudget[[#This Row],[Level]]="", "", COUNTIFS($B$8:TblDetailBudget[[#This Row],[Level]], Lvl2Hdr, $D$8:TblDetailBudget[[#This Row],[Lvl 1 Header]], TblDetailBudget[[#This Row],[Lvl 1 Header]]))</f>
        <v/>
      </c>
      <c r="F42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2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2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22" s="164"/>
      <c r="J422" s="164"/>
      <c r="K422" s="165"/>
      <c r="L422" s="165"/>
      <c r="M422" s="85" t="str">
        <f>IF(TblDetailBudget[[#This Row],[Level]]=LvlBottomHdr, IFERROR(INDEX(TblUnitCost[Unit], MATCH(TblDetailBudget[[#This Row],[Row Title]], TblUnitCost[Resource], 0)), "Invalid Resource"), "")</f>
        <v/>
      </c>
      <c r="N422" s="126" t="str">
        <f>IF(TblDetailBudget[[#This Row],[Level]]=LvlBottomHdr, IFERROR(INDEX(TblUnitCost[LCU], MATCH(TblDetailBudget[[#This Row],[Row Title]], TblUnitCost[Resource], 0)), "Invalid Resource"), "")</f>
        <v/>
      </c>
      <c r="O422" s="130"/>
      <c r="P422" s="109"/>
      <c r="Q422" s="186"/>
      <c r="R422" s="131"/>
      <c r="S422" s="109" t="s">
        <v>66</v>
      </c>
      <c r="T422" s="109" t="s">
        <v>66</v>
      </c>
      <c r="U422" s="109" t="s">
        <v>66</v>
      </c>
      <c r="V422" s="109" t="s">
        <v>66</v>
      </c>
      <c r="W422" s="109" t="s">
        <v>66</v>
      </c>
      <c r="X422" s="126" t="str">
        <f>IF(TblDetailBudget[[#This Row],[Level]]=LvlBottomHdr, IF(SUM(TblDetailBudget[[#This Row],[2021 Quant]:[2025 Quant]])&gt;0, SUM(TblDetailBudget[[#This Row],[2021 Quant]:[2025 Quant]]), ""), "")</f>
        <v/>
      </c>
      <c r="Y42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2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2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2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2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22" s="142">
        <f>SUM(TblDetailBudget[[#This Row],[2021 Cost (LCU)]:[2025 Cost (LCU)]])</f>
        <v>0</v>
      </c>
      <c r="AE422" s="135">
        <f>IFERROR(SUM(TblDetailBudget[[#This Row],[2021 Cost (LCU)]])/FX_Rate, "")</f>
        <v>0</v>
      </c>
      <c r="AF422" s="86">
        <f>IFERROR(SUM(TblDetailBudget[[#This Row],[2022 Cost (LCU)]])/FX_Rate, "")</f>
        <v>0</v>
      </c>
      <c r="AG422" s="86">
        <f>IFERROR(SUM(TblDetailBudget[[#This Row],[2023 Cost (LCU)]])/FX_Rate, "")</f>
        <v>0</v>
      </c>
      <c r="AH422" s="86">
        <f>IFERROR(SUM(TblDetailBudget[[#This Row],[2024 Cost (LCU)]])/FX_Rate, "")</f>
        <v>0</v>
      </c>
      <c r="AI422" s="86">
        <f>IFERROR(SUM(TblDetailBudget[[#This Row],[2025 Cost (LCU)]])/FX_Rate, "")</f>
        <v>0</v>
      </c>
      <c r="AJ422" s="126">
        <f>SUM(TblDetailBudget[[#This Row],[2021 Cost (USD)]:[2025 Cost (USD)]])</f>
        <v>0</v>
      </c>
      <c r="AK422" s="180"/>
    </row>
    <row r="423" spans="2:37" ht="12.75" customHeight="1">
      <c r="B423" s="123"/>
      <c r="C42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23" s="85" t="str">
        <f>IF(TblDetailBudget[[#This Row],[Level]]="", "", COUNTIFS($B$8:TblDetailBudget[[#This Row],[Level]], Lvl1Hdr))</f>
        <v/>
      </c>
      <c r="E423" s="85" t="str">
        <f>IF(TblDetailBudget[[#This Row],[Level]]="", "", COUNTIFS($B$8:TblDetailBudget[[#This Row],[Level]], Lvl2Hdr, $D$8:TblDetailBudget[[#This Row],[Lvl 1 Header]], TblDetailBudget[[#This Row],[Lvl 1 Header]]))</f>
        <v/>
      </c>
      <c r="F42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2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2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23" s="164"/>
      <c r="J423" s="164"/>
      <c r="K423" s="165"/>
      <c r="L423" s="165"/>
      <c r="M423" s="85" t="str">
        <f>IF(TblDetailBudget[[#This Row],[Level]]=LvlBottomHdr, IFERROR(INDEX(TblUnitCost[Unit], MATCH(TblDetailBudget[[#This Row],[Row Title]], TblUnitCost[Resource], 0)), "Invalid Resource"), "")</f>
        <v/>
      </c>
      <c r="N423" s="126" t="str">
        <f>IF(TblDetailBudget[[#This Row],[Level]]=LvlBottomHdr, IFERROR(INDEX(TblUnitCost[LCU], MATCH(TblDetailBudget[[#This Row],[Row Title]], TblUnitCost[Resource], 0)), "Invalid Resource"), "")</f>
        <v/>
      </c>
      <c r="O423" s="130"/>
      <c r="P423" s="109"/>
      <c r="Q423" s="186"/>
      <c r="R423" s="131"/>
      <c r="S423" s="109" t="s">
        <v>66</v>
      </c>
      <c r="T423" s="109" t="s">
        <v>66</v>
      </c>
      <c r="U423" s="109" t="s">
        <v>66</v>
      </c>
      <c r="V423" s="109" t="s">
        <v>66</v>
      </c>
      <c r="W423" s="109" t="s">
        <v>66</v>
      </c>
      <c r="X423" s="126" t="str">
        <f>IF(TblDetailBudget[[#This Row],[Level]]=LvlBottomHdr, IF(SUM(TblDetailBudget[[#This Row],[2021 Quant]:[2025 Quant]])&gt;0, SUM(TblDetailBudget[[#This Row],[2021 Quant]:[2025 Quant]]), ""), "")</f>
        <v/>
      </c>
      <c r="Y42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2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2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2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2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23" s="142">
        <f>SUM(TblDetailBudget[[#This Row],[2021 Cost (LCU)]:[2025 Cost (LCU)]])</f>
        <v>0</v>
      </c>
      <c r="AE423" s="135">
        <f>IFERROR(SUM(TblDetailBudget[[#This Row],[2021 Cost (LCU)]])/FX_Rate, "")</f>
        <v>0</v>
      </c>
      <c r="AF423" s="86">
        <f>IFERROR(SUM(TblDetailBudget[[#This Row],[2022 Cost (LCU)]])/FX_Rate, "")</f>
        <v>0</v>
      </c>
      <c r="AG423" s="86">
        <f>IFERROR(SUM(TblDetailBudget[[#This Row],[2023 Cost (LCU)]])/FX_Rate, "")</f>
        <v>0</v>
      </c>
      <c r="AH423" s="86">
        <f>IFERROR(SUM(TblDetailBudget[[#This Row],[2024 Cost (LCU)]])/FX_Rate, "")</f>
        <v>0</v>
      </c>
      <c r="AI423" s="86">
        <f>IFERROR(SUM(TblDetailBudget[[#This Row],[2025 Cost (LCU)]])/FX_Rate, "")</f>
        <v>0</v>
      </c>
      <c r="AJ423" s="126">
        <f>SUM(TblDetailBudget[[#This Row],[2021 Cost (USD)]:[2025 Cost (USD)]])</f>
        <v>0</v>
      </c>
      <c r="AK423" s="180"/>
    </row>
    <row r="424" spans="2:37" ht="12.75" customHeight="1">
      <c r="B424" s="123"/>
      <c r="C42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24" s="85" t="str">
        <f>IF(TblDetailBudget[[#This Row],[Level]]="", "", COUNTIFS($B$8:TblDetailBudget[[#This Row],[Level]], Lvl1Hdr))</f>
        <v/>
      </c>
      <c r="E424" s="85" t="str">
        <f>IF(TblDetailBudget[[#This Row],[Level]]="", "", COUNTIFS($B$8:TblDetailBudget[[#This Row],[Level]], Lvl2Hdr, $D$8:TblDetailBudget[[#This Row],[Lvl 1 Header]], TblDetailBudget[[#This Row],[Lvl 1 Header]]))</f>
        <v/>
      </c>
      <c r="F42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2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2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24" s="164"/>
      <c r="J424" s="164"/>
      <c r="K424" s="165"/>
      <c r="L424" s="165"/>
      <c r="M424" s="85" t="str">
        <f>IF(TblDetailBudget[[#This Row],[Level]]=LvlBottomHdr, IFERROR(INDEX(TblUnitCost[Unit], MATCH(TblDetailBudget[[#This Row],[Row Title]], TblUnitCost[Resource], 0)), "Invalid Resource"), "")</f>
        <v/>
      </c>
      <c r="N424" s="126" t="str">
        <f>IF(TblDetailBudget[[#This Row],[Level]]=LvlBottomHdr, IFERROR(INDEX(TblUnitCost[LCU], MATCH(TblDetailBudget[[#This Row],[Row Title]], TblUnitCost[Resource], 0)), "Invalid Resource"), "")</f>
        <v/>
      </c>
      <c r="O424" s="130"/>
      <c r="P424" s="109"/>
      <c r="Q424" s="186"/>
      <c r="R424" s="131"/>
      <c r="S424" s="109" t="s">
        <v>66</v>
      </c>
      <c r="T424" s="109" t="s">
        <v>66</v>
      </c>
      <c r="U424" s="109" t="s">
        <v>66</v>
      </c>
      <c r="V424" s="109" t="s">
        <v>66</v>
      </c>
      <c r="W424" s="109" t="s">
        <v>66</v>
      </c>
      <c r="X424" s="126" t="str">
        <f>IF(TblDetailBudget[[#This Row],[Level]]=LvlBottomHdr, IF(SUM(TblDetailBudget[[#This Row],[2021 Quant]:[2025 Quant]])&gt;0, SUM(TblDetailBudget[[#This Row],[2021 Quant]:[2025 Quant]]), ""), "")</f>
        <v/>
      </c>
      <c r="Y42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2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2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2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2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24" s="142">
        <f>SUM(TblDetailBudget[[#This Row],[2021 Cost (LCU)]:[2025 Cost (LCU)]])</f>
        <v>0</v>
      </c>
      <c r="AE424" s="135">
        <f>IFERROR(SUM(TblDetailBudget[[#This Row],[2021 Cost (LCU)]])/FX_Rate, "")</f>
        <v>0</v>
      </c>
      <c r="AF424" s="86">
        <f>IFERROR(SUM(TblDetailBudget[[#This Row],[2022 Cost (LCU)]])/FX_Rate, "")</f>
        <v>0</v>
      </c>
      <c r="AG424" s="86">
        <f>IFERROR(SUM(TblDetailBudget[[#This Row],[2023 Cost (LCU)]])/FX_Rate, "")</f>
        <v>0</v>
      </c>
      <c r="AH424" s="86">
        <f>IFERROR(SUM(TblDetailBudget[[#This Row],[2024 Cost (LCU)]])/FX_Rate, "")</f>
        <v>0</v>
      </c>
      <c r="AI424" s="86">
        <f>IFERROR(SUM(TblDetailBudget[[#This Row],[2025 Cost (LCU)]])/FX_Rate, "")</f>
        <v>0</v>
      </c>
      <c r="AJ424" s="126">
        <f>SUM(TblDetailBudget[[#This Row],[2021 Cost (USD)]:[2025 Cost (USD)]])</f>
        <v>0</v>
      </c>
      <c r="AK424" s="180"/>
    </row>
    <row r="425" spans="2:37" ht="12.75" customHeight="1">
      <c r="B425" s="123"/>
      <c r="C42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25" s="85" t="str">
        <f>IF(TblDetailBudget[[#This Row],[Level]]="", "", COUNTIFS($B$8:TblDetailBudget[[#This Row],[Level]], Lvl1Hdr))</f>
        <v/>
      </c>
      <c r="E425" s="85" t="str">
        <f>IF(TblDetailBudget[[#This Row],[Level]]="", "", COUNTIFS($B$8:TblDetailBudget[[#This Row],[Level]], Lvl2Hdr, $D$8:TblDetailBudget[[#This Row],[Lvl 1 Header]], TblDetailBudget[[#This Row],[Lvl 1 Header]]))</f>
        <v/>
      </c>
      <c r="F42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2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2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25" s="164"/>
      <c r="J425" s="164"/>
      <c r="K425" s="165"/>
      <c r="L425" s="165"/>
      <c r="M425" s="85" t="str">
        <f>IF(TblDetailBudget[[#This Row],[Level]]=LvlBottomHdr, IFERROR(INDEX(TblUnitCost[Unit], MATCH(TblDetailBudget[[#This Row],[Row Title]], TblUnitCost[Resource], 0)), "Invalid Resource"), "")</f>
        <v/>
      </c>
      <c r="N425" s="126" t="str">
        <f>IF(TblDetailBudget[[#This Row],[Level]]=LvlBottomHdr, IFERROR(INDEX(TblUnitCost[LCU], MATCH(TblDetailBudget[[#This Row],[Row Title]], TblUnitCost[Resource], 0)), "Invalid Resource"), "")</f>
        <v/>
      </c>
      <c r="O425" s="130"/>
      <c r="P425" s="109"/>
      <c r="Q425" s="186"/>
      <c r="R425" s="131"/>
      <c r="S425" s="109" t="s">
        <v>66</v>
      </c>
      <c r="T425" s="109" t="s">
        <v>66</v>
      </c>
      <c r="U425" s="109" t="s">
        <v>66</v>
      </c>
      <c r="V425" s="109" t="s">
        <v>66</v>
      </c>
      <c r="W425" s="109" t="s">
        <v>66</v>
      </c>
      <c r="X425" s="126" t="str">
        <f>IF(TblDetailBudget[[#This Row],[Level]]=LvlBottomHdr, IF(SUM(TblDetailBudget[[#This Row],[2021 Quant]:[2025 Quant]])&gt;0, SUM(TblDetailBudget[[#This Row],[2021 Quant]:[2025 Quant]]), ""), "")</f>
        <v/>
      </c>
      <c r="Y42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2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2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2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2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25" s="142">
        <f>SUM(TblDetailBudget[[#This Row],[2021 Cost (LCU)]:[2025 Cost (LCU)]])</f>
        <v>0</v>
      </c>
      <c r="AE425" s="135">
        <f>IFERROR(SUM(TblDetailBudget[[#This Row],[2021 Cost (LCU)]])/FX_Rate, "")</f>
        <v>0</v>
      </c>
      <c r="AF425" s="86">
        <f>IFERROR(SUM(TblDetailBudget[[#This Row],[2022 Cost (LCU)]])/FX_Rate, "")</f>
        <v>0</v>
      </c>
      <c r="AG425" s="86">
        <f>IFERROR(SUM(TblDetailBudget[[#This Row],[2023 Cost (LCU)]])/FX_Rate, "")</f>
        <v>0</v>
      </c>
      <c r="AH425" s="86">
        <f>IFERROR(SUM(TblDetailBudget[[#This Row],[2024 Cost (LCU)]])/FX_Rate, "")</f>
        <v>0</v>
      </c>
      <c r="AI425" s="86">
        <f>IFERROR(SUM(TblDetailBudget[[#This Row],[2025 Cost (LCU)]])/FX_Rate, "")</f>
        <v>0</v>
      </c>
      <c r="AJ425" s="126">
        <f>SUM(TblDetailBudget[[#This Row],[2021 Cost (USD)]:[2025 Cost (USD)]])</f>
        <v>0</v>
      </c>
      <c r="AK425" s="180"/>
    </row>
    <row r="426" spans="2:37" ht="12.75" customHeight="1">
      <c r="B426" s="123"/>
      <c r="C42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26" s="85" t="str">
        <f>IF(TblDetailBudget[[#This Row],[Level]]="", "", COUNTIFS($B$8:TblDetailBudget[[#This Row],[Level]], Lvl1Hdr))</f>
        <v/>
      </c>
      <c r="E426" s="85" t="str">
        <f>IF(TblDetailBudget[[#This Row],[Level]]="", "", COUNTIFS($B$8:TblDetailBudget[[#This Row],[Level]], Lvl2Hdr, $D$8:TblDetailBudget[[#This Row],[Lvl 1 Header]], TblDetailBudget[[#This Row],[Lvl 1 Header]]))</f>
        <v/>
      </c>
      <c r="F42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2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2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26" s="164"/>
      <c r="J426" s="164"/>
      <c r="K426" s="165"/>
      <c r="L426" s="165"/>
      <c r="M426" s="85" t="str">
        <f>IF(TblDetailBudget[[#This Row],[Level]]=LvlBottomHdr, IFERROR(INDEX(TblUnitCost[Unit], MATCH(TblDetailBudget[[#This Row],[Row Title]], TblUnitCost[Resource], 0)), "Invalid Resource"), "")</f>
        <v/>
      </c>
      <c r="N426" s="126" t="str">
        <f>IF(TblDetailBudget[[#This Row],[Level]]=LvlBottomHdr, IFERROR(INDEX(TblUnitCost[LCU], MATCH(TblDetailBudget[[#This Row],[Row Title]], TblUnitCost[Resource], 0)), "Invalid Resource"), "")</f>
        <v/>
      </c>
      <c r="O426" s="130"/>
      <c r="P426" s="109"/>
      <c r="Q426" s="186"/>
      <c r="R426" s="131"/>
      <c r="S426" s="109" t="s">
        <v>66</v>
      </c>
      <c r="T426" s="109" t="s">
        <v>66</v>
      </c>
      <c r="U426" s="109" t="s">
        <v>66</v>
      </c>
      <c r="V426" s="109" t="s">
        <v>66</v>
      </c>
      <c r="W426" s="109" t="s">
        <v>66</v>
      </c>
      <c r="X426" s="126" t="str">
        <f>IF(TblDetailBudget[[#This Row],[Level]]=LvlBottomHdr, IF(SUM(TblDetailBudget[[#This Row],[2021 Quant]:[2025 Quant]])&gt;0, SUM(TblDetailBudget[[#This Row],[2021 Quant]:[2025 Quant]]), ""), "")</f>
        <v/>
      </c>
      <c r="Y42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2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2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2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2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26" s="142">
        <f>SUM(TblDetailBudget[[#This Row],[2021 Cost (LCU)]:[2025 Cost (LCU)]])</f>
        <v>0</v>
      </c>
      <c r="AE426" s="135">
        <f>IFERROR(SUM(TblDetailBudget[[#This Row],[2021 Cost (LCU)]])/FX_Rate, "")</f>
        <v>0</v>
      </c>
      <c r="AF426" s="86">
        <f>IFERROR(SUM(TblDetailBudget[[#This Row],[2022 Cost (LCU)]])/FX_Rate, "")</f>
        <v>0</v>
      </c>
      <c r="AG426" s="86">
        <f>IFERROR(SUM(TblDetailBudget[[#This Row],[2023 Cost (LCU)]])/FX_Rate, "")</f>
        <v>0</v>
      </c>
      <c r="AH426" s="86">
        <f>IFERROR(SUM(TblDetailBudget[[#This Row],[2024 Cost (LCU)]])/FX_Rate, "")</f>
        <v>0</v>
      </c>
      <c r="AI426" s="86">
        <f>IFERROR(SUM(TblDetailBudget[[#This Row],[2025 Cost (LCU)]])/FX_Rate, "")</f>
        <v>0</v>
      </c>
      <c r="AJ426" s="126">
        <f>SUM(TblDetailBudget[[#This Row],[2021 Cost (USD)]:[2025 Cost (USD)]])</f>
        <v>0</v>
      </c>
      <c r="AK426" s="180"/>
    </row>
    <row r="427" spans="2:37" ht="12.75" customHeight="1">
      <c r="B427" s="123"/>
      <c r="C42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27" s="85" t="str">
        <f>IF(TblDetailBudget[[#This Row],[Level]]="", "", COUNTIFS($B$8:TblDetailBudget[[#This Row],[Level]], Lvl1Hdr))</f>
        <v/>
      </c>
      <c r="E427" s="85" t="str">
        <f>IF(TblDetailBudget[[#This Row],[Level]]="", "", COUNTIFS($B$8:TblDetailBudget[[#This Row],[Level]], Lvl2Hdr, $D$8:TblDetailBudget[[#This Row],[Lvl 1 Header]], TblDetailBudget[[#This Row],[Lvl 1 Header]]))</f>
        <v/>
      </c>
      <c r="F42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2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2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27" s="164"/>
      <c r="J427" s="164"/>
      <c r="K427" s="165"/>
      <c r="L427" s="165"/>
      <c r="M427" s="85" t="str">
        <f>IF(TblDetailBudget[[#This Row],[Level]]=LvlBottomHdr, IFERROR(INDEX(TblUnitCost[Unit], MATCH(TblDetailBudget[[#This Row],[Row Title]], TblUnitCost[Resource], 0)), "Invalid Resource"), "")</f>
        <v/>
      </c>
      <c r="N427" s="126" t="str">
        <f>IF(TblDetailBudget[[#This Row],[Level]]=LvlBottomHdr, IFERROR(INDEX(TblUnitCost[LCU], MATCH(TblDetailBudget[[#This Row],[Row Title]], TblUnitCost[Resource], 0)), "Invalid Resource"), "")</f>
        <v/>
      </c>
      <c r="O427" s="130"/>
      <c r="P427" s="109"/>
      <c r="Q427" s="186"/>
      <c r="R427" s="131"/>
      <c r="S427" s="109" t="s">
        <v>66</v>
      </c>
      <c r="T427" s="109" t="s">
        <v>66</v>
      </c>
      <c r="U427" s="109" t="s">
        <v>66</v>
      </c>
      <c r="V427" s="109" t="s">
        <v>66</v>
      </c>
      <c r="W427" s="109" t="s">
        <v>66</v>
      </c>
      <c r="X427" s="126" t="str">
        <f>IF(TblDetailBudget[[#This Row],[Level]]=LvlBottomHdr, IF(SUM(TblDetailBudget[[#This Row],[2021 Quant]:[2025 Quant]])&gt;0, SUM(TblDetailBudget[[#This Row],[2021 Quant]:[2025 Quant]]), ""), "")</f>
        <v/>
      </c>
      <c r="Y42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2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2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2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2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27" s="142">
        <f>SUM(TblDetailBudget[[#This Row],[2021 Cost (LCU)]:[2025 Cost (LCU)]])</f>
        <v>0</v>
      </c>
      <c r="AE427" s="135">
        <f>IFERROR(SUM(TblDetailBudget[[#This Row],[2021 Cost (LCU)]])/FX_Rate, "")</f>
        <v>0</v>
      </c>
      <c r="AF427" s="86">
        <f>IFERROR(SUM(TblDetailBudget[[#This Row],[2022 Cost (LCU)]])/FX_Rate, "")</f>
        <v>0</v>
      </c>
      <c r="AG427" s="86">
        <f>IFERROR(SUM(TblDetailBudget[[#This Row],[2023 Cost (LCU)]])/FX_Rate, "")</f>
        <v>0</v>
      </c>
      <c r="AH427" s="86">
        <f>IFERROR(SUM(TblDetailBudget[[#This Row],[2024 Cost (LCU)]])/FX_Rate, "")</f>
        <v>0</v>
      </c>
      <c r="AI427" s="86">
        <f>IFERROR(SUM(TblDetailBudget[[#This Row],[2025 Cost (LCU)]])/FX_Rate, "")</f>
        <v>0</v>
      </c>
      <c r="AJ427" s="126">
        <f>SUM(TblDetailBudget[[#This Row],[2021 Cost (USD)]:[2025 Cost (USD)]])</f>
        <v>0</v>
      </c>
      <c r="AK427" s="180"/>
    </row>
    <row r="428" spans="2:37" ht="12.75" customHeight="1">
      <c r="B428" s="123"/>
      <c r="C42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28" s="85" t="str">
        <f>IF(TblDetailBudget[[#This Row],[Level]]="", "", COUNTIFS($B$8:TblDetailBudget[[#This Row],[Level]], Lvl1Hdr))</f>
        <v/>
      </c>
      <c r="E428" s="85" t="str">
        <f>IF(TblDetailBudget[[#This Row],[Level]]="", "", COUNTIFS($B$8:TblDetailBudget[[#This Row],[Level]], Lvl2Hdr, $D$8:TblDetailBudget[[#This Row],[Lvl 1 Header]], TblDetailBudget[[#This Row],[Lvl 1 Header]]))</f>
        <v/>
      </c>
      <c r="F42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2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2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28" s="164"/>
      <c r="J428" s="164"/>
      <c r="K428" s="165"/>
      <c r="L428" s="165"/>
      <c r="M428" s="85" t="str">
        <f>IF(TblDetailBudget[[#This Row],[Level]]=LvlBottomHdr, IFERROR(INDEX(TblUnitCost[Unit], MATCH(TblDetailBudget[[#This Row],[Row Title]], TblUnitCost[Resource], 0)), "Invalid Resource"), "")</f>
        <v/>
      </c>
      <c r="N428" s="126" t="str">
        <f>IF(TblDetailBudget[[#This Row],[Level]]=LvlBottomHdr, IFERROR(INDEX(TblUnitCost[LCU], MATCH(TblDetailBudget[[#This Row],[Row Title]], TblUnitCost[Resource], 0)), "Invalid Resource"), "")</f>
        <v/>
      </c>
      <c r="O428" s="130"/>
      <c r="P428" s="109"/>
      <c r="Q428" s="186"/>
      <c r="R428" s="131"/>
      <c r="S428" s="109" t="s">
        <v>66</v>
      </c>
      <c r="T428" s="109" t="s">
        <v>66</v>
      </c>
      <c r="U428" s="109" t="s">
        <v>66</v>
      </c>
      <c r="V428" s="109" t="s">
        <v>66</v>
      </c>
      <c r="W428" s="109" t="s">
        <v>66</v>
      </c>
      <c r="X428" s="126" t="str">
        <f>IF(TblDetailBudget[[#This Row],[Level]]=LvlBottomHdr, IF(SUM(TblDetailBudget[[#This Row],[2021 Quant]:[2025 Quant]])&gt;0, SUM(TblDetailBudget[[#This Row],[2021 Quant]:[2025 Quant]]), ""), "")</f>
        <v/>
      </c>
      <c r="Y42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2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2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2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2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28" s="142">
        <f>SUM(TblDetailBudget[[#This Row],[2021 Cost (LCU)]:[2025 Cost (LCU)]])</f>
        <v>0</v>
      </c>
      <c r="AE428" s="135">
        <f>IFERROR(SUM(TblDetailBudget[[#This Row],[2021 Cost (LCU)]])/FX_Rate, "")</f>
        <v>0</v>
      </c>
      <c r="AF428" s="86">
        <f>IFERROR(SUM(TblDetailBudget[[#This Row],[2022 Cost (LCU)]])/FX_Rate, "")</f>
        <v>0</v>
      </c>
      <c r="AG428" s="86">
        <f>IFERROR(SUM(TblDetailBudget[[#This Row],[2023 Cost (LCU)]])/FX_Rate, "")</f>
        <v>0</v>
      </c>
      <c r="AH428" s="86">
        <f>IFERROR(SUM(TblDetailBudget[[#This Row],[2024 Cost (LCU)]])/FX_Rate, "")</f>
        <v>0</v>
      </c>
      <c r="AI428" s="86">
        <f>IFERROR(SUM(TblDetailBudget[[#This Row],[2025 Cost (LCU)]])/FX_Rate, "")</f>
        <v>0</v>
      </c>
      <c r="AJ428" s="126">
        <f>SUM(TblDetailBudget[[#This Row],[2021 Cost (USD)]:[2025 Cost (USD)]])</f>
        <v>0</v>
      </c>
      <c r="AK428" s="180"/>
    </row>
    <row r="429" spans="2:37" ht="12.75" customHeight="1">
      <c r="B429" s="123"/>
      <c r="C42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29" s="85" t="str">
        <f>IF(TblDetailBudget[[#This Row],[Level]]="", "", COUNTIFS($B$8:TblDetailBudget[[#This Row],[Level]], Lvl1Hdr))</f>
        <v/>
      </c>
      <c r="E429" s="85" t="str">
        <f>IF(TblDetailBudget[[#This Row],[Level]]="", "", COUNTIFS($B$8:TblDetailBudget[[#This Row],[Level]], Lvl2Hdr, $D$8:TblDetailBudget[[#This Row],[Lvl 1 Header]], TblDetailBudget[[#This Row],[Lvl 1 Header]]))</f>
        <v/>
      </c>
      <c r="F42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2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2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29" s="164"/>
      <c r="J429" s="164"/>
      <c r="K429" s="165"/>
      <c r="L429" s="165"/>
      <c r="M429" s="85" t="str">
        <f>IF(TblDetailBudget[[#This Row],[Level]]=LvlBottomHdr, IFERROR(INDEX(TblUnitCost[Unit], MATCH(TblDetailBudget[[#This Row],[Row Title]], TblUnitCost[Resource], 0)), "Invalid Resource"), "")</f>
        <v/>
      </c>
      <c r="N429" s="126" t="str">
        <f>IF(TblDetailBudget[[#This Row],[Level]]=LvlBottomHdr, IFERROR(INDEX(TblUnitCost[LCU], MATCH(TblDetailBudget[[#This Row],[Row Title]], TblUnitCost[Resource], 0)), "Invalid Resource"), "")</f>
        <v/>
      </c>
      <c r="O429" s="130"/>
      <c r="P429" s="109"/>
      <c r="Q429" s="186"/>
      <c r="R429" s="131"/>
      <c r="S429" s="109" t="s">
        <v>66</v>
      </c>
      <c r="T429" s="109" t="s">
        <v>66</v>
      </c>
      <c r="U429" s="109" t="s">
        <v>66</v>
      </c>
      <c r="V429" s="109" t="s">
        <v>66</v>
      </c>
      <c r="W429" s="109" t="s">
        <v>66</v>
      </c>
      <c r="X429" s="126" t="str">
        <f>IF(TblDetailBudget[[#This Row],[Level]]=LvlBottomHdr, IF(SUM(TblDetailBudget[[#This Row],[2021 Quant]:[2025 Quant]])&gt;0, SUM(TblDetailBudget[[#This Row],[2021 Quant]:[2025 Quant]]), ""), "")</f>
        <v/>
      </c>
      <c r="Y42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2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2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2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2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29" s="142">
        <f>SUM(TblDetailBudget[[#This Row],[2021 Cost (LCU)]:[2025 Cost (LCU)]])</f>
        <v>0</v>
      </c>
      <c r="AE429" s="135">
        <f>IFERROR(SUM(TblDetailBudget[[#This Row],[2021 Cost (LCU)]])/FX_Rate, "")</f>
        <v>0</v>
      </c>
      <c r="AF429" s="86">
        <f>IFERROR(SUM(TblDetailBudget[[#This Row],[2022 Cost (LCU)]])/FX_Rate, "")</f>
        <v>0</v>
      </c>
      <c r="AG429" s="86">
        <f>IFERROR(SUM(TblDetailBudget[[#This Row],[2023 Cost (LCU)]])/FX_Rate, "")</f>
        <v>0</v>
      </c>
      <c r="AH429" s="86">
        <f>IFERROR(SUM(TblDetailBudget[[#This Row],[2024 Cost (LCU)]])/FX_Rate, "")</f>
        <v>0</v>
      </c>
      <c r="AI429" s="86">
        <f>IFERROR(SUM(TblDetailBudget[[#This Row],[2025 Cost (LCU)]])/FX_Rate, "")</f>
        <v>0</v>
      </c>
      <c r="AJ429" s="126">
        <f>SUM(TblDetailBudget[[#This Row],[2021 Cost (USD)]:[2025 Cost (USD)]])</f>
        <v>0</v>
      </c>
      <c r="AK429" s="180"/>
    </row>
    <row r="430" spans="2:37" ht="12.75" customHeight="1">
      <c r="B430" s="123"/>
      <c r="C43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30" s="85" t="str">
        <f>IF(TblDetailBudget[[#This Row],[Level]]="", "", COUNTIFS($B$8:TblDetailBudget[[#This Row],[Level]], Lvl1Hdr))</f>
        <v/>
      </c>
      <c r="E430" s="85" t="str">
        <f>IF(TblDetailBudget[[#This Row],[Level]]="", "", COUNTIFS($B$8:TblDetailBudget[[#This Row],[Level]], Lvl2Hdr, $D$8:TblDetailBudget[[#This Row],[Lvl 1 Header]], TblDetailBudget[[#This Row],[Lvl 1 Header]]))</f>
        <v/>
      </c>
      <c r="F43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3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3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30" s="164"/>
      <c r="J430" s="164"/>
      <c r="K430" s="165"/>
      <c r="L430" s="165"/>
      <c r="M430" s="85" t="str">
        <f>IF(TblDetailBudget[[#This Row],[Level]]=LvlBottomHdr, IFERROR(INDEX(TblUnitCost[Unit], MATCH(TblDetailBudget[[#This Row],[Row Title]], TblUnitCost[Resource], 0)), "Invalid Resource"), "")</f>
        <v/>
      </c>
      <c r="N430" s="126" t="str">
        <f>IF(TblDetailBudget[[#This Row],[Level]]=LvlBottomHdr, IFERROR(INDEX(TblUnitCost[LCU], MATCH(TblDetailBudget[[#This Row],[Row Title]], TblUnitCost[Resource], 0)), "Invalid Resource"), "")</f>
        <v/>
      </c>
      <c r="O430" s="130"/>
      <c r="P430" s="109"/>
      <c r="Q430" s="186"/>
      <c r="R430" s="131"/>
      <c r="S430" s="109" t="s">
        <v>66</v>
      </c>
      <c r="T430" s="109" t="s">
        <v>66</v>
      </c>
      <c r="U430" s="109" t="s">
        <v>66</v>
      </c>
      <c r="V430" s="109" t="s">
        <v>66</v>
      </c>
      <c r="W430" s="109" t="s">
        <v>66</v>
      </c>
      <c r="X430" s="126" t="str">
        <f>IF(TblDetailBudget[[#This Row],[Level]]=LvlBottomHdr, IF(SUM(TblDetailBudget[[#This Row],[2021 Quant]:[2025 Quant]])&gt;0, SUM(TblDetailBudget[[#This Row],[2021 Quant]:[2025 Quant]]), ""), "")</f>
        <v/>
      </c>
      <c r="Y43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3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3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3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3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30" s="142">
        <f>SUM(TblDetailBudget[[#This Row],[2021 Cost (LCU)]:[2025 Cost (LCU)]])</f>
        <v>0</v>
      </c>
      <c r="AE430" s="135">
        <f>IFERROR(SUM(TblDetailBudget[[#This Row],[2021 Cost (LCU)]])/FX_Rate, "")</f>
        <v>0</v>
      </c>
      <c r="AF430" s="86">
        <f>IFERROR(SUM(TblDetailBudget[[#This Row],[2022 Cost (LCU)]])/FX_Rate, "")</f>
        <v>0</v>
      </c>
      <c r="AG430" s="86">
        <f>IFERROR(SUM(TblDetailBudget[[#This Row],[2023 Cost (LCU)]])/FX_Rate, "")</f>
        <v>0</v>
      </c>
      <c r="AH430" s="86">
        <f>IFERROR(SUM(TblDetailBudget[[#This Row],[2024 Cost (LCU)]])/FX_Rate, "")</f>
        <v>0</v>
      </c>
      <c r="AI430" s="86">
        <f>IFERROR(SUM(TblDetailBudget[[#This Row],[2025 Cost (LCU)]])/FX_Rate, "")</f>
        <v>0</v>
      </c>
      <c r="AJ430" s="126">
        <f>SUM(TblDetailBudget[[#This Row],[2021 Cost (USD)]:[2025 Cost (USD)]])</f>
        <v>0</v>
      </c>
      <c r="AK430" s="180"/>
    </row>
    <row r="431" spans="2:37" ht="12.75" customHeight="1">
      <c r="B431" s="123"/>
      <c r="C43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31" s="85" t="str">
        <f>IF(TblDetailBudget[[#This Row],[Level]]="", "", COUNTIFS($B$8:TblDetailBudget[[#This Row],[Level]], Lvl1Hdr))</f>
        <v/>
      </c>
      <c r="E431" s="85" t="str">
        <f>IF(TblDetailBudget[[#This Row],[Level]]="", "", COUNTIFS($B$8:TblDetailBudget[[#This Row],[Level]], Lvl2Hdr, $D$8:TblDetailBudget[[#This Row],[Lvl 1 Header]], TblDetailBudget[[#This Row],[Lvl 1 Header]]))</f>
        <v/>
      </c>
      <c r="F43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3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3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31" s="164"/>
      <c r="J431" s="164"/>
      <c r="K431" s="165"/>
      <c r="L431" s="165"/>
      <c r="M431" s="85" t="str">
        <f>IF(TblDetailBudget[[#This Row],[Level]]=LvlBottomHdr, IFERROR(INDEX(TblUnitCost[Unit], MATCH(TblDetailBudget[[#This Row],[Row Title]], TblUnitCost[Resource], 0)), "Invalid Resource"), "")</f>
        <v/>
      </c>
      <c r="N431" s="126" t="str">
        <f>IF(TblDetailBudget[[#This Row],[Level]]=LvlBottomHdr, IFERROR(INDEX(TblUnitCost[LCU], MATCH(TblDetailBudget[[#This Row],[Row Title]], TblUnitCost[Resource], 0)), "Invalid Resource"), "")</f>
        <v/>
      </c>
      <c r="O431" s="130"/>
      <c r="P431" s="109"/>
      <c r="Q431" s="186"/>
      <c r="R431" s="131"/>
      <c r="S431" s="109" t="s">
        <v>66</v>
      </c>
      <c r="T431" s="109" t="s">
        <v>66</v>
      </c>
      <c r="U431" s="109" t="s">
        <v>66</v>
      </c>
      <c r="V431" s="109" t="s">
        <v>66</v>
      </c>
      <c r="W431" s="109" t="s">
        <v>66</v>
      </c>
      <c r="X431" s="126" t="str">
        <f>IF(TblDetailBudget[[#This Row],[Level]]=LvlBottomHdr, IF(SUM(TblDetailBudget[[#This Row],[2021 Quant]:[2025 Quant]])&gt;0, SUM(TblDetailBudget[[#This Row],[2021 Quant]:[2025 Quant]]), ""), "")</f>
        <v/>
      </c>
      <c r="Y43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3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3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3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3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31" s="142">
        <f>SUM(TblDetailBudget[[#This Row],[2021 Cost (LCU)]:[2025 Cost (LCU)]])</f>
        <v>0</v>
      </c>
      <c r="AE431" s="135">
        <f>IFERROR(SUM(TblDetailBudget[[#This Row],[2021 Cost (LCU)]])/FX_Rate, "")</f>
        <v>0</v>
      </c>
      <c r="AF431" s="86">
        <f>IFERROR(SUM(TblDetailBudget[[#This Row],[2022 Cost (LCU)]])/FX_Rate, "")</f>
        <v>0</v>
      </c>
      <c r="AG431" s="86">
        <f>IFERROR(SUM(TblDetailBudget[[#This Row],[2023 Cost (LCU)]])/FX_Rate, "")</f>
        <v>0</v>
      </c>
      <c r="AH431" s="86">
        <f>IFERROR(SUM(TblDetailBudget[[#This Row],[2024 Cost (LCU)]])/FX_Rate, "")</f>
        <v>0</v>
      </c>
      <c r="AI431" s="86">
        <f>IFERROR(SUM(TblDetailBudget[[#This Row],[2025 Cost (LCU)]])/FX_Rate, "")</f>
        <v>0</v>
      </c>
      <c r="AJ431" s="126">
        <f>SUM(TblDetailBudget[[#This Row],[2021 Cost (USD)]:[2025 Cost (USD)]])</f>
        <v>0</v>
      </c>
      <c r="AK431" s="180"/>
    </row>
    <row r="432" spans="2:37" ht="12.75" customHeight="1">
      <c r="B432" s="123"/>
      <c r="C43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32" s="85" t="str">
        <f>IF(TblDetailBudget[[#This Row],[Level]]="", "", COUNTIFS($B$8:TblDetailBudget[[#This Row],[Level]], Lvl1Hdr))</f>
        <v/>
      </c>
      <c r="E432" s="85" t="str">
        <f>IF(TblDetailBudget[[#This Row],[Level]]="", "", COUNTIFS($B$8:TblDetailBudget[[#This Row],[Level]], Lvl2Hdr, $D$8:TblDetailBudget[[#This Row],[Lvl 1 Header]], TblDetailBudget[[#This Row],[Lvl 1 Header]]))</f>
        <v/>
      </c>
      <c r="F43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3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3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32" s="164"/>
      <c r="J432" s="164"/>
      <c r="K432" s="165"/>
      <c r="L432" s="165"/>
      <c r="M432" s="85" t="str">
        <f>IF(TblDetailBudget[[#This Row],[Level]]=LvlBottomHdr, IFERROR(INDEX(TblUnitCost[Unit], MATCH(TblDetailBudget[[#This Row],[Row Title]], TblUnitCost[Resource], 0)), "Invalid Resource"), "")</f>
        <v/>
      </c>
      <c r="N432" s="126" t="str">
        <f>IF(TblDetailBudget[[#This Row],[Level]]=LvlBottomHdr, IFERROR(INDEX(TblUnitCost[LCU], MATCH(TblDetailBudget[[#This Row],[Row Title]], TblUnitCost[Resource], 0)), "Invalid Resource"), "")</f>
        <v/>
      </c>
      <c r="O432" s="130"/>
      <c r="P432" s="109"/>
      <c r="Q432" s="186"/>
      <c r="R432" s="131"/>
      <c r="S432" s="109" t="s">
        <v>66</v>
      </c>
      <c r="T432" s="109" t="s">
        <v>66</v>
      </c>
      <c r="U432" s="109" t="s">
        <v>66</v>
      </c>
      <c r="V432" s="109" t="s">
        <v>66</v>
      </c>
      <c r="W432" s="109" t="s">
        <v>66</v>
      </c>
      <c r="X432" s="126" t="str">
        <f>IF(TblDetailBudget[[#This Row],[Level]]=LvlBottomHdr, IF(SUM(TblDetailBudget[[#This Row],[2021 Quant]:[2025 Quant]])&gt;0, SUM(TblDetailBudget[[#This Row],[2021 Quant]:[2025 Quant]]), ""), "")</f>
        <v/>
      </c>
      <c r="Y43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3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3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3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3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32" s="142">
        <f>SUM(TblDetailBudget[[#This Row],[2021 Cost (LCU)]:[2025 Cost (LCU)]])</f>
        <v>0</v>
      </c>
      <c r="AE432" s="135">
        <f>IFERROR(SUM(TblDetailBudget[[#This Row],[2021 Cost (LCU)]])/FX_Rate, "")</f>
        <v>0</v>
      </c>
      <c r="AF432" s="86">
        <f>IFERROR(SUM(TblDetailBudget[[#This Row],[2022 Cost (LCU)]])/FX_Rate, "")</f>
        <v>0</v>
      </c>
      <c r="AG432" s="86">
        <f>IFERROR(SUM(TblDetailBudget[[#This Row],[2023 Cost (LCU)]])/FX_Rate, "")</f>
        <v>0</v>
      </c>
      <c r="AH432" s="86">
        <f>IFERROR(SUM(TblDetailBudget[[#This Row],[2024 Cost (LCU)]])/FX_Rate, "")</f>
        <v>0</v>
      </c>
      <c r="AI432" s="86">
        <f>IFERROR(SUM(TblDetailBudget[[#This Row],[2025 Cost (LCU)]])/FX_Rate, "")</f>
        <v>0</v>
      </c>
      <c r="AJ432" s="126">
        <f>SUM(TblDetailBudget[[#This Row],[2021 Cost (USD)]:[2025 Cost (USD)]])</f>
        <v>0</v>
      </c>
      <c r="AK432" s="180"/>
    </row>
    <row r="433" spans="2:37" ht="12.75" customHeight="1">
      <c r="B433" s="123"/>
      <c r="C43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33" s="85" t="str">
        <f>IF(TblDetailBudget[[#This Row],[Level]]="", "", COUNTIFS($B$8:TblDetailBudget[[#This Row],[Level]], Lvl1Hdr))</f>
        <v/>
      </c>
      <c r="E433" s="85" t="str">
        <f>IF(TblDetailBudget[[#This Row],[Level]]="", "", COUNTIFS($B$8:TblDetailBudget[[#This Row],[Level]], Lvl2Hdr, $D$8:TblDetailBudget[[#This Row],[Lvl 1 Header]], TblDetailBudget[[#This Row],[Lvl 1 Header]]))</f>
        <v/>
      </c>
      <c r="F43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3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3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33" s="164"/>
      <c r="J433" s="164"/>
      <c r="K433" s="165"/>
      <c r="L433" s="165"/>
      <c r="M433" s="85" t="str">
        <f>IF(TblDetailBudget[[#This Row],[Level]]=LvlBottomHdr, IFERROR(INDEX(TblUnitCost[Unit], MATCH(TblDetailBudget[[#This Row],[Row Title]], TblUnitCost[Resource], 0)), "Invalid Resource"), "")</f>
        <v/>
      </c>
      <c r="N433" s="126" t="str">
        <f>IF(TblDetailBudget[[#This Row],[Level]]=LvlBottomHdr, IFERROR(INDEX(TblUnitCost[LCU], MATCH(TblDetailBudget[[#This Row],[Row Title]], TblUnitCost[Resource], 0)), "Invalid Resource"), "")</f>
        <v/>
      </c>
      <c r="O433" s="130"/>
      <c r="P433" s="109"/>
      <c r="Q433" s="186"/>
      <c r="R433" s="131"/>
      <c r="S433" s="109" t="s">
        <v>66</v>
      </c>
      <c r="T433" s="109" t="s">
        <v>66</v>
      </c>
      <c r="U433" s="109" t="s">
        <v>66</v>
      </c>
      <c r="V433" s="109" t="s">
        <v>66</v>
      </c>
      <c r="W433" s="109" t="s">
        <v>66</v>
      </c>
      <c r="X433" s="126" t="str">
        <f>IF(TblDetailBudget[[#This Row],[Level]]=LvlBottomHdr, IF(SUM(TblDetailBudget[[#This Row],[2021 Quant]:[2025 Quant]])&gt;0, SUM(TblDetailBudget[[#This Row],[2021 Quant]:[2025 Quant]]), ""), "")</f>
        <v/>
      </c>
      <c r="Y43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3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3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3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3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33" s="142">
        <f>SUM(TblDetailBudget[[#This Row],[2021 Cost (LCU)]:[2025 Cost (LCU)]])</f>
        <v>0</v>
      </c>
      <c r="AE433" s="135">
        <f>IFERROR(SUM(TblDetailBudget[[#This Row],[2021 Cost (LCU)]])/FX_Rate, "")</f>
        <v>0</v>
      </c>
      <c r="AF433" s="86">
        <f>IFERROR(SUM(TblDetailBudget[[#This Row],[2022 Cost (LCU)]])/FX_Rate, "")</f>
        <v>0</v>
      </c>
      <c r="AG433" s="86">
        <f>IFERROR(SUM(TblDetailBudget[[#This Row],[2023 Cost (LCU)]])/FX_Rate, "")</f>
        <v>0</v>
      </c>
      <c r="AH433" s="86">
        <f>IFERROR(SUM(TblDetailBudget[[#This Row],[2024 Cost (LCU)]])/FX_Rate, "")</f>
        <v>0</v>
      </c>
      <c r="AI433" s="86">
        <f>IFERROR(SUM(TblDetailBudget[[#This Row],[2025 Cost (LCU)]])/FX_Rate, "")</f>
        <v>0</v>
      </c>
      <c r="AJ433" s="126">
        <f>SUM(TblDetailBudget[[#This Row],[2021 Cost (USD)]:[2025 Cost (USD)]])</f>
        <v>0</v>
      </c>
      <c r="AK433" s="180"/>
    </row>
    <row r="434" spans="2:37" ht="12.75" customHeight="1">
      <c r="B434" s="123"/>
      <c r="C43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34" s="85" t="str">
        <f>IF(TblDetailBudget[[#This Row],[Level]]="", "", COUNTIFS($B$8:TblDetailBudget[[#This Row],[Level]], Lvl1Hdr))</f>
        <v/>
      </c>
      <c r="E434" s="85" t="str">
        <f>IF(TblDetailBudget[[#This Row],[Level]]="", "", COUNTIFS($B$8:TblDetailBudget[[#This Row],[Level]], Lvl2Hdr, $D$8:TblDetailBudget[[#This Row],[Lvl 1 Header]], TblDetailBudget[[#This Row],[Lvl 1 Header]]))</f>
        <v/>
      </c>
      <c r="F43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3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3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34" s="164"/>
      <c r="J434" s="164"/>
      <c r="K434" s="165"/>
      <c r="L434" s="165"/>
      <c r="M434" s="85" t="str">
        <f>IF(TblDetailBudget[[#This Row],[Level]]=LvlBottomHdr, IFERROR(INDEX(TblUnitCost[Unit], MATCH(TblDetailBudget[[#This Row],[Row Title]], TblUnitCost[Resource], 0)), "Invalid Resource"), "")</f>
        <v/>
      </c>
      <c r="N434" s="126" t="str">
        <f>IF(TblDetailBudget[[#This Row],[Level]]=LvlBottomHdr, IFERROR(INDEX(TblUnitCost[LCU], MATCH(TblDetailBudget[[#This Row],[Row Title]], TblUnitCost[Resource], 0)), "Invalid Resource"), "")</f>
        <v/>
      </c>
      <c r="O434" s="130"/>
      <c r="P434" s="109"/>
      <c r="Q434" s="186"/>
      <c r="R434" s="131"/>
      <c r="S434" s="109" t="s">
        <v>66</v>
      </c>
      <c r="T434" s="109" t="s">
        <v>66</v>
      </c>
      <c r="U434" s="109" t="s">
        <v>66</v>
      </c>
      <c r="V434" s="109" t="s">
        <v>66</v>
      </c>
      <c r="W434" s="109" t="s">
        <v>66</v>
      </c>
      <c r="X434" s="126" t="str">
        <f>IF(TblDetailBudget[[#This Row],[Level]]=LvlBottomHdr, IF(SUM(TblDetailBudget[[#This Row],[2021 Quant]:[2025 Quant]])&gt;0, SUM(TblDetailBudget[[#This Row],[2021 Quant]:[2025 Quant]]), ""), "")</f>
        <v/>
      </c>
      <c r="Y43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3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3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3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3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34" s="142">
        <f>SUM(TblDetailBudget[[#This Row],[2021 Cost (LCU)]:[2025 Cost (LCU)]])</f>
        <v>0</v>
      </c>
      <c r="AE434" s="135">
        <f>IFERROR(SUM(TblDetailBudget[[#This Row],[2021 Cost (LCU)]])/FX_Rate, "")</f>
        <v>0</v>
      </c>
      <c r="AF434" s="86">
        <f>IFERROR(SUM(TblDetailBudget[[#This Row],[2022 Cost (LCU)]])/FX_Rate, "")</f>
        <v>0</v>
      </c>
      <c r="AG434" s="86">
        <f>IFERROR(SUM(TblDetailBudget[[#This Row],[2023 Cost (LCU)]])/FX_Rate, "")</f>
        <v>0</v>
      </c>
      <c r="AH434" s="86">
        <f>IFERROR(SUM(TblDetailBudget[[#This Row],[2024 Cost (LCU)]])/FX_Rate, "")</f>
        <v>0</v>
      </c>
      <c r="AI434" s="86">
        <f>IFERROR(SUM(TblDetailBudget[[#This Row],[2025 Cost (LCU)]])/FX_Rate, "")</f>
        <v>0</v>
      </c>
      <c r="AJ434" s="126">
        <f>SUM(TblDetailBudget[[#This Row],[2021 Cost (USD)]:[2025 Cost (USD)]])</f>
        <v>0</v>
      </c>
      <c r="AK434" s="180"/>
    </row>
    <row r="435" spans="2:37" ht="12.75" customHeight="1">
      <c r="B435" s="123"/>
      <c r="C43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35" s="85" t="str">
        <f>IF(TblDetailBudget[[#This Row],[Level]]="", "", COUNTIFS($B$8:TblDetailBudget[[#This Row],[Level]], Lvl1Hdr))</f>
        <v/>
      </c>
      <c r="E435" s="85" t="str">
        <f>IF(TblDetailBudget[[#This Row],[Level]]="", "", COUNTIFS($B$8:TblDetailBudget[[#This Row],[Level]], Lvl2Hdr, $D$8:TblDetailBudget[[#This Row],[Lvl 1 Header]], TblDetailBudget[[#This Row],[Lvl 1 Header]]))</f>
        <v/>
      </c>
      <c r="F43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3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3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35" s="164"/>
      <c r="J435" s="164"/>
      <c r="K435" s="165"/>
      <c r="L435" s="165"/>
      <c r="M435" s="85" t="str">
        <f>IF(TblDetailBudget[[#This Row],[Level]]=LvlBottomHdr, IFERROR(INDEX(TblUnitCost[Unit], MATCH(TblDetailBudget[[#This Row],[Row Title]], TblUnitCost[Resource], 0)), "Invalid Resource"), "")</f>
        <v/>
      </c>
      <c r="N435" s="126" t="str">
        <f>IF(TblDetailBudget[[#This Row],[Level]]=LvlBottomHdr, IFERROR(INDEX(TblUnitCost[LCU], MATCH(TblDetailBudget[[#This Row],[Row Title]], TblUnitCost[Resource], 0)), "Invalid Resource"), "")</f>
        <v/>
      </c>
      <c r="O435" s="130"/>
      <c r="P435" s="109"/>
      <c r="Q435" s="186"/>
      <c r="R435" s="131"/>
      <c r="S435" s="109" t="s">
        <v>66</v>
      </c>
      <c r="T435" s="109" t="s">
        <v>66</v>
      </c>
      <c r="U435" s="109" t="s">
        <v>66</v>
      </c>
      <c r="V435" s="109" t="s">
        <v>66</v>
      </c>
      <c r="W435" s="109" t="s">
        <v>66</v>
      </c>
      <c r="X435" s="126" t="str">
        <f>IF(TblDetailBudget[[#This Row],[Level]]=LvlBottomHdr, IF(SUM(TblDetailBudget[[#This Row],[2021 Quant]:[2025 Quant]])&gt;0, SUM(TblDetailBudget[[#This Row],[2021 Quant]:[2025 Quant]]), ""), "")</f>
        <v/>
      </c>
      <c r="Y43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3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3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3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3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35" s="142">
        <f>SUM(TblDetailBudget[[#This Row],[2021 Cost (LCU)]:[2025 Cost (LCU)]])</f>
        <v>0</v>
      </c>
      <c r="AE435" s="135">
        <f>IFERROR(SUM(TblDetailBudget[[#This Row],[2021 Cost (LCU)]])/FX_Rate, "")</f>
        <v>0</v>
      </c>
      <c r="AF435" s="86">
        <f>IFERROR(SUM(TblDetailBudget[[#This Row],[2022 Cost (LCU)]])/FX_Rate, "")</f>
        <v>0</v>
      </c>
      <c r="AG435" s="86">
        <f>IFERROR(SUM(TblDetailBudget[[#This Row],[2023 Cost (LCU)]])/FX_Rate, "")</f>
        <v>0</v>
      </c>
      <c r="AH435" s="86">
        <f>IFERROR(SUM(TblDetailBudget[[#This Row],[2024 Cost (LCU)]])/FX_Rate, "")</f>
        <v>0</v>
      </c>
      <c r="AI435" s="86">
        <f>IFERROR(SUM(TblDetailBudget[[#This Row],[2025 Cost (LCU)]])/FX_Rate, "")</f>
        <v>0</v>
      </c>
      <c r="AJ435" s="126">
        <f>SUM(TblDetailBudget[[#This Row],[2021 Cost (USD)]:[2025 Cost (USD)]])</f>
        <v>0</v>
      </c>
      <c r="AK435" s="180"/>
    </row>
    <row r="436" spans="2:37" ht="12.75" customHeight="1">
      <c r="B436" s="123"/>
      <c r="C43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36" s="85" t="str">
        <f>IF(TblDetailBudget[[#This Row],[Level]]="", "", COUNTIFS($B$8:TblDetailBudget[[#This Row],[Level]], Lvl1Hdr))</f>
        <v/>
      </c>
      <c r="E436" s="85" t="str">
        <f>IF(TblDetailBudget[[#This Row],[Level]]="", "", COUNTIFS($B$8:TblDetailBudget[[#This Row],[Level]], Lvl2Hdr, $D$8:TblDetailBudget[[#This Row],[Lvl 1 Header]], TblDetailBudget[[#This Row],[Lvl 1 Header]]))</f>
        <v/>
      </c>
      <c r="F43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3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3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36" s="164"/>
      <c r="J436" s="164"/>
      <c r="K436" s="165"/>
      <c r="L436" s="165"/>
      <c r="M436" s="85" t="str">
        <f>IF(TblDetailBudget[[#This Row],[Level]]=LvlBottomHdr, IFERROR(INDEX(TblUnitCost[Unit], MATCH(TblDetailBudget[[#This Row],[Row Title]], TblUnitCost[Resource], 0)), "Invalid Resource"), "")</f>
        <v/>
      </c>
      <c r="N436" s="126" t="str">
        <f>IF(TblDetailBudget[[#This Row],[Level]]=LvlBottomHdr, IFERROR(INDEX(TblUnitCost[LCU], MATCH(TblDetailBudget[[#This Row],[Row Title]], TblUnitCost[Resource], 0)), "Invalid Resource"), "")</f>
        <v/>
      </c>
      <c r="O436" s="130"/>
      <c r="P436" s="109"/>
      <c r="Q436" s="186"/>
      <c r="R436" s="131"/>
      <c r="S436" s="109" t="s">
        <v>66</v>
      </c>
      <c r="T436" s="109" t="s">
        <v>66</v>
      </c>
      <c r="U436" s="109" t="s">
        <v>66</v>
      </c>
      <c r="V436" s="109" t="s">
        <v>66</v>
      </c>
      <c r="W436" s="109" t="s">
        <v>66</v>
      </c>
      <c r="X436" s="126" t="str">
        <f>IF(TblDetailBudget[[#This Row],[Level]]=LvlBottomHdr, IF(SUM(TblDetailBudget[[#This Row],[2021 Quant]:[2025 Quant]])&gt;0, SUM(TblDetailBudget[[#This Row],[2021 Quant]:[2025 Quant]]), ""), "")</f>
        <v/>
      </c>
      <c r="Y43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3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3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3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3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36" s="142">
        <f>SUM(TblDetailBudget[[#This Row],[2021 Cost (LCU)]:[2025 Cost (LCU)]])</f>
        <v>0</v>
      </c>
      <c r="AE436" s="135">
        <f>IFERROR(SUM(TblDetailBudget[[#This Row],[2021 Cost (LCU)]])/FX_Rate, "")</f>
        <v>0</v>
      </c>
      <c r="AF436" s="86">
        <f>IFERROR(SUM(TblDetailBudget[[#This Row],[2022 Cost (LCU)]])/FX_Rate, "")</f>
        <v>0</v>
      </c>
      <c r="AG436" s="86">
        <f>IFERROR(SUM(TblDetailBudget[[#This Row],[2023 Cost (LCU)]])/FX_Rate, "")</f>
        <v>0</v>
      </c>
      <c r="AH436" s="86">
        <f>IFERROR(SUM(TblDetailBudget[[#This Row],[2024 Cost (LCU)]])/FX_Rate, "")</f>
        <v>0</v>
      </c>
      <c r="AI436" s="86">
        <f>IFERROR(SUM(TblDetailBudget[[#This Row],[2025 Cost (LCU)]])/FX_Rate, "")</f>
        <v>0</v>
      </c>
      <c r="AJ436" s="126">
        <f>SUM(TblDetailBudget[[#This Row],[2021 Cost (USD)]:[2025 Cost (USD)]])</f>
        <v>0</v>
      </c>
      <c r="AK436" s="180"/>
    </row>
    <row r="437" spans="2:37" ht="12.75" customHeight="1">
      <c r="B437" s="123"/>
      <c r="C43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37" s="85" t="str">
        <f>IF(TblDetailBudget[[#This Row],[Level]]="", "", COUNTIFS($B$8:TblDetailBudget[[#This Row],[Level]], Lvl1Hdr))</f>
        <v/>
      </c>
      <c r="E437" s="85" t="str">
        <f>IF(TblDetailBudget[[#This Row],[Level]]="", "", COUNTIFS($B$8:TblDetailBudget[[#This Row],[Level]], Lvl2Hdr, $D$8:TblDetailBudget[[#This Row],[Lvl 1 Header]], TblDetailBudget[[#This Row],[Lvl 1 Header]]))</f>
        <v/>
      </c>
      <c r="F43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3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3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37" s="164"/>
      <c r="J437" s="164"/>
      <c r="K437" s="165"/>
      <c r="L437" s="165"/>
      <c r="M437" s="85" t="str">
        <f>IF(TblDetailBudget[[#This Row],[Level]]=LvlBottomHdr, IFERROR(INDEX(TblUnitCost[Unit], MATCH(TblDetailBudget[[#This Row],[Row Title]], TblUnitCost[Resource], 0)), "Invalid Resource"), "")</f>
        <v/>
      </c>
      <c r="N437" s="126" t="str">
        <f>IF(TblDetailBudget[[#This Row],[Level]]=LvlBottomHdr, IFERROR(INDEX(TblUnitCost[LCU], MATCH(TblDetailBudget[[#This Row],[Row Title]], TblUnitCost[Resource], 0)), "Invalid Resource"), "")</f>
        <v/>
      </c>
      <c r="O437" s="130"/>
      <c r="P437" s="109"/>
      <c r="Q437" s="186"/>
      <c r="R437" s="131"/>
      <c r="S437" s="109" t="s">
        <v>66</v>
      </c>
      <c r="T437" s="109" t="s">
        <v>66</v>
      </c>
      <c r="U437" s="109" t="s">
        <v>66</v>
      </c>
      <c r="V437" s="109" t="s">
        <v>66</v>
      </c>
      <c r="W437" s="109" t="s">
        <v>66</v>
      </c>
      <c r="X437" s="126" t="str">
        <f>IF(TblDetailBudget[[#This Row],[Level]]=LvlBottomHdr, IF(SUM(TblDetailBudget[[#This Row],[2021 Quant]:[2025 Quant]])&gt;0, SUM(TblDetailBudget[[#This Row],[2021 Quant]:[2025 Quant]]), ""), "")</f>
        <v/>
      </c>
      <c r="Y43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3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3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3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3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37" s="142">
        <f>SUM(TblDetailBudget[[#This Row],[2021 Cost (LCU)]:[2025 Cost (LCU)]])</f>
        <v>0</v>
      </c>
      <c r="AE437" s="135">
        <f>IFERROR(SUM(TblDetailBudget[[#This Row],[2021 Cost (LCU)]])/FX_Rate, "")</f>
        <v>0</v>
      </c>
      <c r="AF437" s="86">
        <f>IFERROR(SUM(TblDetailBudget[[#This Row],[2022 Cost (LCU)]])/FX_Rate, "")</f>
        <v>0</v>
      </c>
      <c r="AG437" s="86">
        <f>IFERROR(SUM(TblDetailBudget[[#This Row],[2023 Cost (LCU)]])/FX_Rate, "")</f>
        <v>0</v>
      </c>
      <c r="AH437" s="86">
        <f>IFERROR(SUM(TblDetailBudget[[#This Row],[2024 Cost (LCU)]])/FX_Rate, "")</f>
        <v>0</v>
      </c>
      <c r="AI437" s="86">
        <f>IFERROR(SUM(TblDetailBudget[[#This Row],[2025 Cost (LCU)]])/FX_Rate, "")</f>
        <v>0</v>
      </c>
      <c r="AJ437" s="126">
        <f>SUM(TblDetailBudget[[#This Row],[2021 Cost (USD)]:[2025 Cost (USD)]])</f>
        <v>0</v>
      </c>
      <c r="AK437" s="180"/>
    </row>
    <row r="438" spans="2:37" ht="12.75" customHeight="1">
      <c r="B438" s="123"/>
      <c r="C43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38" s="85" t="str">
        <f>IF(TblDetailBudget[[#This Row],[Level]]="", "", COUNTIFS($B$8:TblDetailBudget[[#This Row],[Level]], Lvl1Hdr))</f>
        <v/>
      </c>
      <c r="E438" s="85" t="str">
        <f>IF(TblDetailBudget[[#This Row],[Level]]="", "", COUNTIFS($B$8:TblDetailBudget[[#This Row],[Level]], Lvl2Hdr, $D$8:TblDetailBudget[[#This Row],[Lvl 1 Header]], TblDetailBudget[[#This Row],[Lvl 1 Header]]))</f>
        <v/>
      </c>
      <c r="F43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3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3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38" s="164"/>
      <c r="J438" s="164"/>
      <c r="K438" s="165"/>
      <c r="L438" s="165"/>
      <c r="M438" s="85" t="str">
        <f>IF(TblDetailBudget[[#This Row],[Level]]=LvlBottomHdr, IFERROR(INDEX(TblUnitCost[Unit], MATCH(TblDetailBudget[[#This Row],[Row Title]], TblUnitCost[Resource], 0)), "Invalid Resource"), "")</f>
        <v/>
      </c>
      <c r="N438" s="126" t="str">
        <f>IF(TblDetailBudget[[#This Row],[Level]]=LvlBottomHdr, IFERROR(INDEX(TblUnitCost[LCU], MATCH(TblDetailBudget[[#This Row],[Row Title]], TblUnitCost[Resource], 0)), "Invalid Resource"), "")</f>
        <v/>
      </c>
      <c r="O438" s="130"/>
      <c r="P438" s="109"/>
      <c r="Q438" s="186"/>
      <c r="R438" s="131"/>
      <c r="S438" s="109" t="s">
        <v>66</v>
      </c>
      <c r="T438" s="109" t="s">
        <v>66</v>
      </c>
      <c r="U438" s="109" t="s">
        <v>66</v>
      </c>
      <c r="V438" s="109" t="s">
        <v>66</v>
      </c>
      <c r="W438" s="109" t="s">
        <v>66</v>
      </c>
      <c r="X438" s="126" t="str">
        <f>IF(TblDetailBudget[[#This Row],[Level]]=LvlBottomHdr, IF(SUM(TblDetailBudget[[#This Row],[2021 Quant]:[2025 Quant]])&gt;0, SUM(TblDetailBudget[[#This Row],[2021 Quant]:[2025 Quant]]), ""), "")</f>
        <v/>
      </c>
      <c r="Y43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3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3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3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3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38" s="142">
        <f>SUM(TblDetailBudget[[#This Row],[2021 Cost (LCU)]:[2025 Cost (LCU)]])</f>
        <v>0</v>
      </c>
      <c r="AE438" s="135">
        <f>IFERROR(SUM(TblDetailBudget[[#This Row],[2021 Cost (LCU)]])/FX_Rate, "")</f>
        <v>0</v>
      </c>
      <c r="AF438" s="86">
        <f>IFERROR(SUM(TblDetailBudget[[#This Row],[2022 Cost (LCU)]])/FX_Rate, "")</f>
        <v>0</v>
      </c>
      <c r="AG438" s="86">
        <f>IFERROR(SUM(TblDetailBudget[[#This Row],[2023 Cost (LCU)]])/FX_Rate, "")</f>
        <v>0</v>
      </c>
      <c r="AH438" s="86">
        <f>IFERROR(SUM(TblDetailBudget[[#This Row],[2024 Cost (LCU)]])/FX_Rate, "")</f>
        <v>0</v>
      </c>
      <c r="AI438" s="86">
        <f>IFERROR(SUM(TblDetailBudget[[#This Row],[2025 Cost (LCU)]])/FX_Rate, "")</f>
        <v>0</v>
      </c>
      <c r="AJ438" s="126">
        <f>SUM(TblDetailBudget[[#This Row],[2021 Cost (USD)]:[2025 Cost (USD)]])</f>
        <v>0</v>
      </c>
      <c r="AK438" s="180"/>
    </row>
    <row r="439" spans="2:37" ht="12.75" customHeight="1">
      <c r="B439" s="123"/>
      <c r="C43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39" s="85" t="str">
        <f>IF(TblDetailBudget[[#This Row],[Level]]="", "", COUNTIFS($B$8:TblDetailBudget[[#This Row],[Level]], Lvl1Hdr))</f>
        <v/>
      </c>
      <c r="E439" s="85" t="str">
        <f>IF(TblDetailBudget[[#This Row],[Level]]="", "", COUNTIFS($B$8:TblDetailBudget[[#This Row],[Level]], Lvl2Hdr, $D$8:TblDetailBudget[[#This Row],[Lvl 1 Header]], TblDetailBudget[[#This Row],[Lvl 1 Header]]))</f>
        <v/>
      </c>
      <c r="F43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3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3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39" s="164"/>
      <c r="J439" s="164"/>
      <c r="K439" s="165"/>
      <c r="L439" s="165"/>
      <c r="M439" s="85" t="str">
        <f>IF(TblDetailBudget[[#This Row],[Level]]=LvlBottomHdr, IFERROR(INDEX(TblUnitCost[Unit], MATCH(TblDetailBudget[[#This Row],[Row Title]], TblUnitCost[Resource], 0)), "Invalid Resource"), "")</f>
        <v/>
      </c>
      <c r="N439" s="126" t="str">
        <f>IF(TblDetailBudget[[#This Row],[Level]]=LvlBottomHdr, IFERROR(INDEX(TblUnitCost[LCU], MATCH(TblDetailBudget[[#This Row],[Row Title]], TblUnitCost[Resource], 0)), "Invalid Resource"), "")</f>
        <v/>
      </c>
      <c r="O439" s="130"/>
      <c r="P439" s="109"/>
      <c r="Q439" s="186"/>
      <c r="R439" s="131"/>
      <c r="S439" s="109" t="s">
        <v>66</v>
      </c>
      <c r="T439" s="109" t="s">
        <v>66</v>
      </c>
      <c r="U439" s="109" t="s">
        <v>66</v>
      </c>
      <c r="V439" s="109" t="s">
        <v>66</v>
      </c>
      <c r="W439" s="109" t="s">
        <v>66</v>
      </c>
      <c r="X439" s="126" t="str">
        <f>IF(TblDetailBudget[[#This Row],[Level]]=LvlBottomHdr, IF(SUM(TblDetailBudget[[#This Row],[2021 Quant]:[2025 Quant]])&gt;0, SUM(TblDetailBudget[[#This Row],[2021 Quant]:[2025 Quant]]), ""), "")</f>
        <v/>
      </c>
      <c r="Y43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3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3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3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3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39" s="142">
        <f>SUM(TblDetailBudget[[#This Row],[2021 Cost (LCU)]:[2025 Cost (LCU)]])</f>
        <v>0</v>
      </c>
      <c r="AE439" s="135">
        <f>IFERROR(SUM(TblDetailBudget[[#This Row],[2021 Cost (LCU)]])/FX_Rate, "")</f>
        <v>0</v>
      </c>
      <c r="AF439" s="86">
        <f>IFERROR(SUM(TblDetailBudget[[#This Row],[2022 Cost (LCU)]])/FX_Rate, "")</f>
        <v>0</v>
      </c>
      <c r="AG439" s="86">
        <f>IFERROR(SUM(TblDetailBudget[[#This Row],[2023 Cost (LCU)]])/FX_Rate, "")</f>
        <v>0</v>
      </c>
      <c r="AH439" s="86">
        <f>IFERROR(SUM(TblDetailBudget[[#This Row],[2024 Cost (LCU)]])/FX_Rate, "")</f>
        <v>0</v>
      </c>
      <c r="AI439" s="86">
        <f>IFERROR(SUM(TblDetailBudget[[#This Row],[2025 Cost (LCU)]])/FX_Rate, "")</f>
        <v>0</v>
      </c>
      <c r="AJ439" s="126">
        <f>SUM(TblDetailBudget[[#This Row],[2021 Cost (USD)]:[2025 Cost (USD)]])</f>
        <v>0</v>
      </c>
      <c r="AK439" s="180"/>
    </row>
    <row r="440" spans="2:37" ht="12.75" customHeight="1">
      <c r="B440" s="123"/>
      <c r="C44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40" s="85" t="str">
        <f>IF(TblDetailBudget[[#This Row],[Level]]="", "", COUNTIFS($B$8:TblDetailBudget[[#This Row],[Level]], Lvl1Hdr))</f>
        <v/>
      </c>
      <c r="E440" s="85" t="str">
        <f>IF(TblDetailBudget[[#This Row],[Level]]="", "", COUNTIFS($B$8:TblDetailBudget[[#This Row],[Level]], Lvl2Hdr, $D$8:TblDetailBudget[[#This Row],[Lvl 1 Header]], TblDetailBudget[[#This Row],[Lvl 1 Header]]))</f>
        <v/>
      </c>
      <c r="F44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4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4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40" s="164"/>
      <c r="J440" s="164"/>
      <c r="K440" s="165"/>
      <c r="L440" s="165"/>
      <c r="M440" s="85" t="str">
        <f>IF(TblDetailBudget[[#This Row],[Level]]=LvlBottomHdr, IFERROR(INDEX(TblUnitCost[Unit], MATCH(TblDetailBudget[[#This Row],[Row Title]], TblUnitCost[Resource], 0)), "Invalid Resource"), "")</f>
        <v/>
      </c>
      <c r="N440" s="126" t="str">
        <f>IF(TblDetailBudget[[#This Row],[Level]]=LvlBottomHdr, IFERROR(INDEX(TblUnitCost[LCU], MATCH(TblDetailBudget[[#This Row],[Row Title]], TblUnitCost[Resource], 0)), "Invalid Resource"), "")</f>
        <v/>
      </c>
      <c r="O440" s="130"/>
      <c r="P440" s="109"/>
      <c r="Q440" s="186"/>
      <c r="R440" s="131"/>
      <c r="S440" s="109" t="s">
        <v>66</v>
      </c>
      <c r="T440" s="109" t="s">
        <v>66</v>
      </c>
      <c r="U440" s="109" t="s">
        <v>66</v>
      </c>
      <c r="V440" s="109" t="s">
        <v>66</v>
      </c>
      <c r="W440" s="109" t="s">
        <v>66</v>
      </c>
      <c r="X440" s="126" t="str">
        <f>IF(TblDetailBudget[[#This Row],[Level]]=LvlBottomHdr, IF(SUM(TblDetailBudget[[#This Row],[2021 Quant]:[2025 Quant]])&gt;0, SUM(TblDetailBudget[[#This Row],[2021 Quant]:[2025 Quant]]), ""), "")</f>
        <v/>
      </c>
      <c r="Y44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4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4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4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4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40" s="142">
        <f>SUM(TblDetailBudget[[#This Row],[2021 Cost (LCU)]:[2025 Cost (LCU)]])</f>
        <v>0</v>
      </c>
      <c r="AE440" s="135">
        <f>IFERROR(SUM(TblDetailBudget[[#This Row],[2021 Cost (LCU)]])/FX_Rate, "")</f>
        <v>0</v>
      </c>
      <c r="AF440" s="86">
        <f>IFERROR(SUM(TblDetailBudget[[#This Row],[2022 Cost (LCU)]])/FX_Rate, "")</f>
        <v>0</v>
      </c>
      <c r="AG440" s="86">
        <f>IFERROR(SUM(TblDetailBudget[[#This Row],[2023 Cost (LCU)]])/FX_Rate, "")</f>
        <v>0</v>
      </c>
      <c r="AH440" s="86">
        <f>IFERROR(SUM(TblDetailBudget[[#This Row],[2024 Cost (LCU)]])/FX_Rate, "")</f>
        <v>0</v>
      </c>
      <c r="AI440" s="86">
        <f>IFERROR(SUM(TblDetailBudget[[#This Row],[2025 Cost (LCU)]])/FX_Rate, "")</f>
        <v>0</v>
      </c>
      <c r="AJ440" s="126">
        <f>SUM(TblDetailBudget[[#This Row],[2021 Cost (USD)]:[2025 Cost (USD)]])</f>
        <v>0</v>
      </c>
      <c r="AK440" s="180"/>
    </row>
    <row r="441" spans="2:37" ht="12.75" customHeight="1">
      <c r="B441" s="123"/>
      <c r="C44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41" s="85" t="str">
        <f>IF(TblDetailBudget[[#This Row],[Level]]="", "", COUNTIFS($B$8:TblDetailBudget[[#This Row],[Level]], Lvl1Hdr))</f>
        <v/>
      </c>
      <c r="E441" s="85" t="str">
        <f>IF(TblDetailBudget[[#This Row],[Level]]="", "", COUNTIFS($B$8:TblDetailBudget[[#This Row],[Level]], Lvl2Hdr, $D$8:TblDetailBudget[[#This Row],[Lvl 1 Header]], TblDetailBudget[[#This Row],[Lvl 1 Header]]))</f>
        <v/>
      </c>
      <c r="F44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4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4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41" s="164"/>
      <c r="J441" s="164"/>
      <c r="K441" s="165"/>
      <c r="L441" s="165"/>
      <c r="M441" s="85" t="str">
        <f>IF(TblDetailBudget[[#This Row],[Level]]=LvlBottomHdr, IFERROR(INDEX(TblUnitCost[Unit], MATCH(TblDetailBudget[[#This Row],[Row Title]], TblUnitCost[Resource], 0)), "Invalid Resource"), "")</f>
        <v/>
      </c>
      <c r="N441" s="126" t="str">
        <f>IF(TblDetailBudget[[#This Row],[Level]]=LvlBottomHdr, IFERROR(INDEX(TblUnitCost[LCU], MATCH(TblDetailBudget[[#This Row],[Row Title]], TblUnitCost[Resource], 0)), "Invalid Resource"), "")</f>
        <v/>
      </c>
      <c r="O441" s="130"/>
      <c r="P441" s="109"/>
      <c r="Q441" s="186"/>
      <c r="R441" s="131"/>
      <c r="S441" s="109" t="s">
        <v>66</v>
      </c>
      <c r="T441" s="109" t="s">
        <v>66</v>
      </c>
      <c r="U441" s="109" t="s">
        <v>66</v>
      </c>
      <c r="V441" s="109" t="s">
        <v>66</v>
      </c>
      <c r="W441" s="109" t="s">
        <v>66</v>
      </c>
      <c r="X441" s="126" t="str">
        <f>IF(TblDetailBudget[[#This Row],[Level]]=LvlBottomHdr, IF(SUM(TblDetailBudget[[#This Row],[2021 Quant]:[2025 Quant]])&gt;0, SUM(TblDetailBudget[[#This Row],[2021 Quant]:[2025 Quant]]), ""), "")</f>
        <v/>
      </c>
      <c r="Y44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4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4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4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4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41" s="142">
        <f>SUM(TblDetailBudget[[#This Row],[2021 Cost (LCU)]:[2025 Cost (LCU)]])</f>
        <v>0</v>
      </c>
      <c r="AE441" s="135">
        <f>IFERROR(SUM(TblDetailBudget[[#This Row],[2021 Cost (LCU)]])/FX_Rate, "")</f>
        <v>0</v>
      </c>
      <c r="AF441" s="86">
        <f>IFERROR(SUM(TblDetailBudget[[#This Row],[2022 Cost (LCU)]])/FX_Rate, "")</f>
        <v>0</v>
      </c>
      <c r="AG441" s="86">
        <f>IFERROR(SUM(TblDetailBudget[[#This Row],[2023 Cost (LCU)]])/FX_Rate, "")</f>
        <v>0</v>
      </c>
      <c r="AH441" s="86">
        <f>IFERROR(SUM(TblDetailBudget[[#This Row],[2024 Cost (LCU)]])/FX_Rate, "")</f>
        <v>0</v>
      </c>
      <c r="AI441" s="86">
        <f>IFERROR(SUM(TblDetailBudget[[#This Row],[2025 Cost (LCU)]])/FX_Rate, "")</f>
        <v>0</v>
      </c>
      <c r="AJ441" s="126">
        <f>SUM(TblDetailBudget[[#This Row],[2021 Cost (USD)]:[2025 Cost (USD)]])</f>
        <v>0</v>
      </c>
      <c r="AK441" s="180"/>
    </row>
    <row r="442" spans="2:37" ht="12.75" customHeight="1">
      <c r="B442" s="123"/>
      <c r="C44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42" s="85" t="str">
        <f>IF(TblDetailBudget[[#This Row],[Level]]="", "", COUNTIFS($B$8:TblDetailBudget[[#This Row],[Level]], Lvl1Hdr))</f>
        <v/>
      </c>
      <c r="E442" s="85" t="str">
        <f>IF(TblDetailBudget[[#This Row],[Level]]="", "", COUNTIFS($B$8:TblDetailBudget[[#This Row],[Level]], Lvl2Hdr, $D$8:TblDetailBudget[[#This Row],[Lvl 1 Header]], TblDetailBudget[[#This Row],[Lvl 1 Header]]))</f>
        <v/>
      </c>
      <c r="F44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4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4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42" s="164"/>
      <c r="J442" s="164"/>
      <c r="K442" s="165"/>
      <c r="L442" s="165"/>
      <c r="M442" s="85" t="str">
        <f>IF(TblDetailBudget[[#This Row],[Level]]=LvlBottomHdr, IFERROR(INDEX(TblUnitCost[Unit], MATCH(TblDetailBudget[[#This Row],[Row Title]], TblUnitCost[Resource], 0)), "Invalid Resource"), "")</f>
        <v/>
      </c>
      <c r="N442" s="126" t="str">
        <f>IF(TblDetailBudget[[#This Row],[Level]]=LvlBottomHdr, IFERROR(INDEX(TblUnitCost[LCU], MATCH(TblDetailBudget[[#This Row],[Row Title]], TblUnitCost[Resource], 0)), "Invalid Resource"), "")</f>
        <v/>
      </c>
      <c r="O442" s="130"/>
      <c r="P442" s="109"/>
      <c r="Q442" s="186"/>
      <c r="R442" s="131"/>
      <c r="S442" s="109" t="s">
        <v>66</v>
      </c>
      <c r="T442" s="109" t="s">
        <v>66</v>
      </c>
      <c r="U442" s="109" t="s">
        <v>66</v>
      </c>
      <c r="V442" s="109" t="s">
        <v>66</v>
      </c>
      <c r="W442" s="109" t="s">
        <v>66</v>
      </c>
      <c r="X442" s="126" t="str">
        <f>IF(TblDetailBudget[[#This Row],[Level]]=LvlBottomHdr, IF(SUM(TblDetailBudget[[#This Row],[2021 Quant]:[2025 Quant]])&gt;0, SUM(TblDetailBudget[[#This Row],[2021 Quant]:[2025 Quant]]), ""), "")</f>
        <v/>
      </c>
      <c r="Y44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4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4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4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4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42" s="142">
        <f>SUM(TblDetailBudget[[#This Row],[2021 Cost (LCU)]:[2025 Cost (LCU)]])</f>
        <v>0</v>
      </c>
      <c r="AE442" s="135">
        <f>IFERROR(SUM(TblDetailBudget[[#This Row],[2021 Cost (LCU)]])/FX_Rate, "")</f>
        <v>0</v>
      </c>
      <c r="AF442" s="86">
        <f>IFERROR(SUM(TblDetailBudget[[#This Row],[2022 Cost (LCU)]])/FX_Rate, "")</f>
        <v>0</v>
      </c>
      <c r="AG442" s="86">
        <f>IFERROR(SUM(TblDetailBudget[[#This Row],[2023 Cost (LCU)]])/FX_Rate, "")</f>
        <v>0</v>
      </c>
      <c r="AH442" s="86">
        <f>IFERROR(SUM(TblDetailBudget[[#This Row],[2024 Cost (LCU)]])/FX_Rate, "")</f>
        <v>0</v>
      </c>
      <c r="AI442" s="86">
        <f>IFERROR(SUM(TblDetailBudget[[#This Row],[2025 Cost (LCU)]])/FX_Rate, "")</f>
        <v>0</v>
      </c>
      <c r="AJ442" s="126">
        <f>SUM(TblDetailBudget[[#This Row],[2021 Cost (USD)]:[2025 Cost (USD)]])</f>
        <v>0</v>
      </c>
      <c r="AK442" s="180"/>
    </row>
    <row r="443" spans="2:37" ht="12.75" customHeight="1">
      <c r="B443" s="123"/>
      <c r="C44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43" s="85" t="str">
        <f>IF(TblDetailBudget[[#This Row],[Level]]="", "", COUNTIFS($B$8:TblDetailBudget[[#This Row],[Level]], Lvl1Hdr))</f>
        <v/>
      </c>
      <c r="E443" s="85" t="str">
        <f>IF(TblDetailBudget[[#This Row],[Level]]="", "", COUNTIFS($B$8:TblDetailBudget[[#This Row],[Level]], Lvl2Hdr, $D$8:TblDetailBudget[[#This Row],[Lvl 1 Header]], TblDetailBudget[[#This Row],[Lvl 1 Header]]))</f>
        <v/>
      </c>
      <c r="F44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4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4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43" s="164"/>
      <c r="J443" s="164"/>
      <c r="K443" s="165"/>
      <c r="L443" s="165"/>
      <c r="M443" s="85" t="str">
        <f>IF(TblDetailBudget[[#This Row],[Level]]=LvlBottomHdr, IFERROR(INDEX(TblUnitCost[Unit], MATCH(TblDetailBudget[[#This Row],[Row Title]], TblUnitCost[Resource], 0)), "Invalid Resource"), "")</f>
        <v/>
      </c>
      <c r="N443" s="126" t="str">
        <f>IF(TblDetailBudget[[#This Row],[Level]]=LvlBottomHdr, IFERROR(INDEX(TblUnitCost[LCU], MATCH(TblDetailBudget[[#This Row],[Row Title]], TblUnitCost[Resource], 0)), "Invalid Resource"), "")</f>
        <v/>
      </c>
      <c r="O443" s="130"/>
      <c r="P443" s="109"/>
      <c r="Q443" s="186"/>
      <c r="R443" s="131"/>
      <c r="S443" s="109" t="s">
        <v>66</v>
      </c>
      <c r="T443" s="109" t="s">
        <v>66</v>
      </c>
      <c r="U443" s="109" t="s">
        <v>66</v>
      </c>
      <c r="V443" s="109" t="s">
        <v>66</v>
      </c>
      <c r="W443" s="109" t="s">
        <v>66</v>
      </c>
      <c r="X443" s="126" t="str">
        <f>IF(TblDetailBudget[[#This Row],[Level]]=LvlBottomHdr, IF(SUM(TblDetailBudget[[#This Row],[2021 Quant]:[2025 Quant]])&gt;0, SUM(TblDetailBudget[[#This Row],[2021 Quant]:[2025 Quant]]), ""), "")</f>
        <v/>
      </c>
      <c r="Y44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4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4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4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4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43" s="142">
        <f>SUM(TblDetailBudget[[#This Row],[2021 Cost (LCU)]:[2025 Cost (LCU)]])</f>
        <v>0</v>
      </c>
      <c r="AE443" s="135">
        <f>IFERROR(SUM(TblDetailBudget[[#This Row],[2021 Cost (LCU)]])/FX_Rate, "")</f>
        <v>0</v>
      </c>
      <c r="AF443" s="86">
        <f>IFERROR(SUM(TblDetailBudget[[#This Row],[2022 Cost (LCU)]])/FX_Rate, "")</f>
        <v>0</v>
      </c>
      <c r="AG443" s="86">
        <f>IFERROR(SUM(TblDetailBudget[[#This Row],[2023 Cost (LCU)]])/FX_Rate, "")</f>
        <v>0</v>
      </c>
      <c r="AH443" s="86">
        <f>IFERROR(SUM(TblDetailBudget[[#This Row],[2024 Cost (LCU)]])/FX_Rate, "")</f>
        <v>0</v>
      </c>
      <c r="AI443" s="86">
        <f>IFERROR(SUM(TblDetailBudget[[#This Row],[2025 Cost (LCU)]])/FX_Rate, "")</f>
        <v>0</v>
      </c>
      <c r="AJ443" s="126">
        <f>SUM(TblDetailBudget[[#This Row],[2021 Cost (USD)]:[2025 Cost (USD)]])</f>
        <v>0</v>
      </c>
      <c r="AK443" s="180"/>
    </row>
    <row r="444" spans="2:37" ht="12.75" customHeight="1">
      <c r="B444" s="123"/>
      <c r="C44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44" s="85" t="str">
        <f>IF(TblDetailBudget[[#This Row],[Level]]="", "", COUNTIFS($B$8:TblDetailBudget[[#This Row],[Level]], Lvl1Hdr))</f>
        <v/>
      </c>
      <c r="E444" s="85" t="str">
        <f>IF(TblDetailBudget[[#This Row],[Level]]="", "", COUNTIFS($B$8:TblDetailBudget[[#This Row],[Level]], Lvl2Hdr, $D$8:TblDetailBudget[[#This Row],[Lvl 1 Header]], TblDetailBudget[[#This Row],[Lvl 1 Header]]))</f>
        <v/>
      </c>
      <c r="F44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4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4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44" s="164"/>
      <c r="J444" s="164"/>
      <c r="K444" s="165"/>
      <c r="L444" s="165"/>
      <c r="M444" s="85" t="str">
        <f>IF(TblDetailBudget[[#This Row],[Level]]=LvlBottomHdr, IFERROR(INDEX(TblUnitCost[Unit], MATCH(TblDetailBudget[[#This Row],[Row Title]], TblUnitCost[Resource], 0)), "Invalid Resource"), "")</f>
        <v/>
      </c>
      <c r="N444" s="126" t="str">
        <f>IF(TblDetailBudget[[#This Row],[Level]]=LvlBottomHdr, IFERROR(INDEX(TblUnitCost[LCU], MATCH(TblDetailBudget[[#This Row],[Row Title]], TblUnitCost[Resource], 0)), "Invalid Resource"), "")</f>
        <v/>
      </c>
      <c r="O444" s="130"/>
      <c r="P444" s="109"/>
      <c r="Q444" s="186"/>
      <c r="R444" s="131"/>
      <c r="S444" s="109" t="s">
        <v>66</v>
      </c>
      <c r="T444" s="109" t="s">
        <v>66</v>
      </c>
      <c r="U444" s="109" t="s">
        <v>66</v>
      </c>
      <c r="V444" s="109" t="s">
        <v>66</v>
      </c>
      <c r="W444" s="109" t="s">
        <v>66</v>
      </c>
      <c r="X444" s="126" t="str">
        <f>IF(TblDetailBudget[[#This Row],[Level]]=LvlBottomHdr, IF(SUM(TblDetailBudget[[#This Row],[2021 Quant]:[2025 Quant]])&gt;0, SUM(TblDetailBudget[[#This Row],[2021 Quant]:[2025 Quant]]), ""), "")</f>
        <v/>
      </c>
      <c r="Y44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4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4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4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4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44" s="142">
        <f>SUM(TblDetailBudget[[#This Row],[2021 Cost (LCU)]:[2025 Cost (LCU)]])</f>
        <v>0</v>
      </c>
      <c r="AE444" s="135">
        <f>IFERROR(SUM(TblDetailBudget[[#This Row],[2021 Cost (LCU)]])/FX_Rate, "")</f>
        <v>0</v>
      </c>
      <c r="AF444" s="86">
        <f>IFERROR(SUM(TblDetailBudget[[#This Row],[2022 Cost (LCU)]])/FX_Rate, "")</f>
        <v>0</v>
      </c>
      <c r="AG444" s="86">
        <f>IFERROR(SUM(TblDetailBudget[[#This Row],[2023 Cost (LCU)]])/FX_Rate, "")</f>
        <v>0</v>
      </c>
      <c r="AH444" s="86">
        <f>IFERROR(SUM(TblDetailBudget[[#This Row],[2024 Cost (LCU)]])/FX_Rate, "")</f>
        <v>0</v>
      </c>
      <c r="AI444" s="86">
        <f>IFERROR(SUM(TblDetailBudget[[#This Row],[2025 Cost (LCU)]])/FX_Rate, "")</f>
        <v>0</v>
      </c>
      <c r="AJ444" s="126">
        <f>SUM(TblDetailBudget[[#This Row],[2021 Cost (USD)]:[2025 Cost (USD)]])</f>
        <v>0</v>
      </c>
      <c r="AK444" s="180"/>
    </row>
    <row r="445" spans="2:37" ht="12.75" customHeight="1">
      <c r="B445" s="123"/>
      <c r="C44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45" s="85" t="str">
        <f>IF(TblDetailBudget[[#This Row],[Level]]="", "", COUNTIFS($B$8:TblDetailBudget[[#This Row],[Level]], Lvl1Hdr))</f>
        <v/>
      </c>
      <c r="E445" s="85" t="str">
        <f>IF(TblDetailBudget[[#This Row],[Level]]="", "", COUNTIFS($B$8:TblDetailBudget[[#This Row],[Level]], Lvl2Hdr, $D$8:TblDetailBudget[[#This Row],[Lvl 1 Header]], TblDetailBudget[[#This Row],[Lvl 1 Header]]))</f>
        <v/>
      </c>
      <c r="F44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4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4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45" s="164"/>
      <c r="J445" s="164"/>
      <c r="K445" s="165"/>
      <c r="L445" s="165"/>
      <c r="M445" s="85" t="str">
        <f>IF(TblDetailBudget[[#This Row],[Level]]=LvlBottomHdr, IFERROR(INDEX(TblUnitCost[Unit], MATCH(TblDetailBudget[[#This Row],[Row Title]], TblUnitCost[Resource], 0)), "Invalid Resource"), "")</f>
        <v/>
      </c>
      <c r="N445" s="126" t="str">
        <f>IF(TblDetailBudget[[#This Row],[Level]]=LvlBottomHdr, IFERROR(INDEX(TblUnitCost[LCU], MATCH(TblDetailBudget[[#This Row],[Row Title]], TblUnitCost[Resource], 0)), "Invalid Resource"), "")</f>
        <v/>
      </c>
      <c r="O445" s="130"/>
      <c r="P445" s="109"/>
      <c r="Q445" s="186"/>
      <c r="R445" s="131"/>
      <c r="S445" s="109" t="s">
        <v>66</v>
      </c>
      <c r="T445" s="109" t="s">
        <v>66</v>
      </c>
      <c r="U445" s="109" t="s">
        <v>66</v>
      </c>
      <c r="V445" s="109" t="s">
        <v>66</v>
      </c>
      <c r="W445" s="109" t="s">
        <v>66</v>
      </c>
      <c r="X445" s="126" t="str">
        <f>IF(TblDetailBudget[[#This Row],[Level]]=LvlBottomHdr, IF(SUM(TblDetailBudget[[#This Row],[2021 Quant]:[2025 Quant]])&gt;0, SUM(TblDetailBudget[[#This Row],[2021 Quant]:[2025 Quant]]), ""), "")</f>
        <v/>
      </c>
      <c r="Y44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4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4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4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4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45" s="142">
        <f>SUM(TblDetailBudget[[#This Row],[2021 Cost (LCU)]:[2025 Cost (LCU)]])</f>
        <v>0</v>
      </c>
      <c r="AE445" s="135">
        <f>IFERROR(SUM(TblDetailBudget[[#This Row],[2021 Cost (LCU)]])/FX_Rate, "")</f>
        <v>0</v>
      </c>
      <c r="AF445" s="86">
        <f>IFERROR(SUM(TblDetailBudget[[#This Row],[2022 Cost (LCU)]])/FX_Rate, "")</f>
        <v>0</v>
      </c>
      <c r="AG445" s="86">
        <f>IFERROR(SUM(TblDetailBudget[[#This Row],[2023 Cost (LCU)]])/FX_Rate, "")</f>
        <v>0</v>
      </c>
      <c r="AH445" s="86">
        <f>IFERROR(SUM(TblDetailBudget[[#This Row],[2024 Cost (LCU)]])/FX_Rate, "")</f>
        <v>0</v>
      </c>
      <c r="AI445" s="86">
        <f>IFERROR(SUM(TblDetailBudget[[#This Row],[2025 Cost (LCU)]])/FX_Rate, "")</f>
        <v>0</v>
      </c>
      <c r="AJ445" s="126">
        <f>SUM(TblDetailBudget[[#This Row],[2021 Cost (USD)]:[2025 Cost (USD)]])</f>
        <v>0</v>
      </c>
      <c r="AK445" s="180"/>
    </row>
    <row r="446" spans="2:37" ht="12.75" customHeight="1">
      <c r="B446" s="123"/>
      <c r="C44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46" s="85" t="str">
        <f>IF(TblDetailBudget[[#This Row],[Level]]="", "", COUNTIFS($B$8:TblDetailBudget[[#This Row],[Level]], Lvl1Hdr))</f>
        <v/>
      </c>
      <c r="E446" s="85" t="str">
        <f>IF(TblDetailBudget[[#This Row],[Level]]="", "", COUNTIFS($B$8:TblDetailBudget[[#This Row],[Level]], Lvl2Hdr, $D$8:TblDetailBudget[[#This Row],[Lvl 1 Header]], TblDetailBudget[[#This Row],[Lvl 1 Header]]))</f>
        <v/>
      </c>
      <c r="F44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4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4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46" s="164"/>
      <c r="J446" s="164"/>
      <c r="K446" s="165"/>
      <c r="L446" s="165"/>
      <c r="M446" s="85" t="str">
        <f>IF(TblDetailBudget[[#This Row],[Level]]=LvlBottomHdr, IFERROR(INDEX(TblUnitCost[Unit], MATCH(TblDetailBudget[[#This Row],[Row Title]], TblUnitCost[Resource], 0)), "Invalid Resource"), "")</f>
        <v/>
      </c>
      <c r="N446" s="126" t="str">
        <f>IF(TblDetailBudget[[#This Row],[Level]]=LvlBottomHdr, IFERROR(INDEX(TblUnitCost[LCU], MATCH(TblDetailBudget[[#This Row],[Row Title]], TblUnitCost[Resource], 0)), "Invalid Resource"), "")</f>
        <v/>
      </c>
      <c r="O446" s="130"/>
      <c r="P446" s="109"/>
      <c r="Q446" s="186"/>
      <c r="R446" s="131"/>
      <c r="S446" s="109" t="s">
        <v>66</v>
      </c>
      <c r="T446" s="109" t="s">
        <v>66</v>
      </c>
      <c r="U446" s="109" t="s">
        <v>66</v>
      </c>
      <c r="V446" s="109" t="s">
        <v>66</v>
      </c>
      <c r="W446" s="109" t="s">
        <v>66</v>
      </c>
      <c r="X446" s="126" t="str">
        <f>IF(TblDetailBudget[[#This Row],[Level]]=LvlBottomHdr, IF(SUM(TblDetailBudget[[#This Row],[2021 Quant]:[2025 Quant]])&gt;0, SUM(TblDetailBudget[[#This Row],[2021 Quant]:[2025 Quant]]), ""), "")</f>
        <v/>
      </c>
      <c r="Y44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4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4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4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4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46" s="142">
        <f>SUM(TblDetailBudget[[#This Row],[2021 Cost (LCU)]:[2025 Cost (LCU)]])</f>
        <v>0</v>
      </c>
      <c r="AE446" s="135">
        <f>IFERROR(SUM(TblDetailBudget[[#This Row],[2021 Cost (LCU)]])/FX_Rate, "")</f>
        <v>0</v>
      </c>
      <c r="AF446" s="86">
        <f>IFERROR(SUM(TblDetailBudget[[#This Row],[2022 Cost (LCU)]])/FX_Rate, "")</f>
        <v>0</v>
      </c>
      <c r="AG446" s="86">
        <f>IFERROR(SUM(TblDetailBudget[[#This Row],[2023 Cost (LCU)]])/FX_Rate, "")</f>
        <v>0</v>
      </c>
      <c r="AH446" s="86">
        <f>IFERROR(SUM(TblDetailBudget[[#This Row],[2024 Cost (LCU)]])/FX_Rate, "")</f>
        <v>0</v>
      </c>
      <c r="AI446" s="86">
        <f>IFERROR(SUM(TblDetailBudget[[#This Row],[2025 Cost (LCU)]])/FX_Rate, "")</f>
        <v>0</v>
      </c>
      <c r="AJ446" s="126">
        <f>SUM(TblDetailBudget[[#This Row],[2021 Cost (USD)]:[2025 Cost (USD)]])</f>
        <v>0</v>
      </c>
      <c r="AK446" s="180"/>
    </row>
    <row r="447" spans="2:37" ht="12.75" customHeight="1">
      <c r="B447" s="123"/>
      <c r="C44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47" s="85" t="str">
        <f>IF(TblDetailBudget[[#This Row],[Level]]="", "", COUNTIFS($B$8:TblDetailBudget[[#This Row],[Level]], Lvl1Hdr))</f>
        <v/>
      </c>
      <c r="E447" s="85" t="str">
        <f>IF(TblDetailBudget[[#This Row],[Level]]="", "", COUNTIFS($B$8:TblDetailBudget[[#This Row],[Level]], Lvl2Hdr, $D$8:TblDetailBudget[[#This Row],[Lvl 1 Header]], TblDetailBudget[[#This Row],[Lvl 1 Header]]))</f>
        <v/>
      </c>
      <c r="F44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4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4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47" s="164"/>
      <c r="J447" s="164"/>
      <c r="K447" s="165"/>
      <c r="L447" s="165"/>
      <c r="M447" s="85" t="str">
        <f>IF(TblDetailBudget[[#This Row],[Level]]=LvlBottomHdr, IFERROR(INDEX(TblUnitCost[Unit], MATCH(TblDetailBudget[[#This Row],[Row Title]], TblUnitCost[Resource], 0)), "Invalid Resource"), "")</f>
        <v/>
      </c>
      <c r="N447" s="126" t="str">
        <f>IF(TblDetailBudget[[#This Row],[Level]]=LvlBottomHdr, IFERROR(INDEX(TblUnitCost[LCU], MATCH(TblDetailBudget[[#This Row],[Row Title]], TblUnitCost[Resource], 0)), "Invalid Resource"), "")</f>
        <v/>
      </c>
      <c r="O447" s="130"/>
      <c r="P447" s="109"/>
      <c r="Q447" s="186"/>
      <c r="R447" s="131"/>
      <c r="S447" s="109" t="s">
        <v>66</v>
      </c>
      <c r="T447" s="109" t="s">
        <v>66</v>
      </c>
      <c r="U447" s="109" t="s">
        <v>66</v>
      </c>
      <c r="V447" s="109" t="s">
        <v>66</v>
      </c>
      <c r="W447" s="109" t="s">
        <v>66</v>
      </c>
      <c r="X447" s="126" t="str">
        <f>IF(TblDetailBudget[[#This Row],[Level]]=LvlBottomHdr, IF(SUM(TblDetailBudget[[#This Row],[2021 Quant]:[2025 Quant]])&gt;0, SUM(TblDetailBudget[[#This Row],[2021 Quant]:[2025 Quant]]), ""), "")</f>
        <v/>
      </c>
      <c r="Y44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4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4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4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4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47" s="142">
        <f>SUM(TblDetailBudget[[#This Row],[2021 Cost (LCU)]:[2025 Cost (LCU)]])</f>
        <v>0</v>
      </c>
      <c r="AE447" s="135">
        <f>IFERROR(SUM(TblDetailBudget[[#This Row],[2021 Cost (LCU)]])/FX_Rate, "")</f>
        <v>0</v>
      </c>
      <c r="AF447" s="86">
        <f>IFERROR(SUM(TblDetailBudget[[#This Row],[2022 Cost (LCU)]])/FX_Rate, "")</f>
        <v>0</v>
      </c>
      <c r="AG447" s="86">
        <f>IFERROR(SUM(TblDetailBudget[[#This Row],[2023 Cost (LCU)]])/FX_Rate, "")</f>
        <v>0</v>
      </c>
      <c r="AH447" s="86">
        <f>IFERROR(SUM(TblDetailBudget[[#This Row],[2024 Cost (LCU)]])/FX_Rate, "")</f>
        <v>0</v>
      </c>
      <c r="AI447" s="86">
        <f>IFERROR(SUM(TblDetailBudget[[#This Row],[2025 Cost (LCU)]])/FX_Rate, "")</f>
        <v>0</v>
      </c>
      <c r="AJ447" s="126">
        <f>SUM(TblDetailBudget[[#This Row],[2021 Cost (USD)]:[2025 Cost (USD)]])</f>
        <v>0</v>
      </c>
      <c r="AK447" s="180"/>
    </row>
    <row r="448" spans="2:37" ht="12.75" customHeight="1">
      <c r="B448" s="123"/>
      <c r="C44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48" s="85" t="str">
        <f>IF(TblDetailBudget[[#This Row],[Level]]="", "", COUNTIFS($B$8:TblDetailBudget[[#This Row],[Level]], Lvl1Hdr))</f>
        <v/>
      </c>
      <c r="E448" s="85" t="str">
        <f>IF(TblDetailBudget[[#This Row],[Level]]="", "", COUNTIFS($B$8:TblDetailBudget[[#This Row],[Level]], Lvl2Hdr, $D$8:TblDetailBudget[[#This Row],[Lvl 1 Header]], TblDetailBudget[[#This Row],[Lvl 1 Header]]))</f>
        <v/>
      </c>
      <c r="F44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4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4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48" s="164"/>
      <c r="J448" s="164"/>
      <c r="K448" s="165"/>
      <c r="L448" s="165"/>
      <c r="M448" s="85" t="str">
        <f>IF(TblDetailBudget[[#This Row],[Level]]=LvlBottomHdr, IFERROR(INDEX(TblUnitCost[Unit], MATCH(TblDetailBudget[[#This Row],[Row Title]], TblUnitCost[Resource], 0)), "Invalid Resource"), "")</f>
        <v/>
      </c>
      <c r="N448" s="126" t="str">
        <f>IF(TblDetailBudget[[#This Row],[Level]]=LvlBottomHdr, IFERROR(INDEX(TblUnitCost[LCU], MATCH(TblDetailBudget[[#This Row],[Row Title]], TblUnitCost[Resource], 0)), "Invalid Resource"), "")</f>
        <v/>
      </c>
      <c r="O448" s="130"/>
      <c r="P448" s="109"/>
      <c r="Q448" s="186"/>
      <c r="R448" s="131"/>
      <c r="S448" s="109" t="s">
        <v>66</v>
      </c>
      <c r="T448" s="109" t="s">
        <v>66</v>
      </c>
      <c r="U448" s="109" t="s">
        <v>66</v>
      </c>
      <c r="V448" s="109" t="s">
        <v>66</v>
      </c>
      <c r="W448" s="109" t="s">
        <v>66</v>
      </c>
      <c r="X448" s="126" t="str">
        <f>IF(TblDetailBudget[[#This Row],[Level]]=LvlBottomHdr, IF(SUM(TblDetailBudget[[#This Row],[2021 Quant]:[2025 Quant]])&gt;0, SUM(TblDetailBudget[[#This Row],[2021 Quant]:[2025 Quant]]), ""), "")</f>
        <v/>
      </c>
      <c r="Y44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4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4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4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4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48" s="142">
        <f>SUM(TblDetailBudget[[#This Row],[2021 Cost (LCU)]:[2025 Cost (LCU)]])</f>
        <v>0</v>
      </c>
      <c r="AE448" s="135">
        <f>IFERROR(SUM(TblDetailBudget[[#This Row],[2021 Cost (LCU)]])/FX_Rate, "")</f>
        <v>0</v>
      </c>
      <c r="AF448" s="86">
        <f>IFERROR(SUM(TblDetailBudget[[#This Row],[2022 Cost (LCU)]])/FX_Rate, "")</f>
        <v>0</v>
      </c>
      <c r="AG448" s="86">
        <f>IFERROR(SUM(TblDetailBudget[[#This Row],[2023 Cost (LCU)]])/FX_Rate, "")</f>
        <v>0</v>
      </c>
      <c r="AH448" s="86">
        <f>IFERROR(SUM(TblDetailBudget[[#This Row],[2024 Cost (LCU)]])/FX_Rate, "")</f>
        <v>0</v>
      </c>
      <c r="AI448" s="86">
        <f>IFERROR(SUM(TblDetailBudget[[#This Row],[2025 Cost (LCU)]])/FX_Rate, "")</f>
        <v>0</v>
      </c>
      <c r="AJ448" s="126">
        <f>SUM(TblDetailBudget[[#This Row],[2021 Cost (USD)]:[2025 Cost (USD)]])</f>
        <v>0</v>
      </c>
      <c r="AK448" s="180"/>
    </row>
    <row r="449" spans="2:37" ht="12.75" customHeight="1">
      <c r="B449" s="123"/>
      <c r="C44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49" s="85" t="str">
        <f>IF(TblDetailBudget[[#This Row],[Level]]="", "", COUNTIFS($B$8:TblDetailBudget[[#This Row],[Level]], Lvl1Hdr))</f>
        <v/>
      </c>
      <c r="E449" s="85" t="str">
        <f>IF(TblDetailBudget[[#This Row],[Level]]="", "", COUNTIFS($B$8:TblDetailBudget[[#This Row],[Level]], Lvl2Hdr, $D$8:TblDetailBudget[[#This Row],[Lvl 1 Header]], TblDetailBudget[[#This Row],[Lvl 1 Header]]))</f>
        <v/>
      </c>
      <c r="F44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4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4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49" s="164"/>
      <c r="J449" s="164"/>
      <c r="K449" s="165"/>
      <c r="L449" s="165"/>
      <c r="M449" s="85" t="str">
        <f>IF(TblDetailBudget[[#This Row],[Level]]=LvlBottomHdr, IFERROR(INDEX(TblUnitCost[Unit], MATCH(TblDetailBudget[[#This Row],[Row Title]], TblUnitCost[Resource], 0)), "Invalid Resource"), "")</f>
        <v/>
      </c>
      <c r="N449" s="126" t="str">
        <f>IF(TblDetailBudget[[#This Row],[Level]]=LvlBottomHdr, IFERROR(INDEX(TblUnitCost[LCU], MATCH(TblDetailBudget[[#This Row],[Row Title]], TblUnitCost[Resource], 0)), "Invalid Resource"), "")</f>
        <v/>
      </c>
      <c r="O449" s="130"/>
      <c r="P449" s="109"/>
      <c r="Q449" s="186"/>
      <c r="R449" s="131"/>
      <c r="S449" s="109" t="s">
        <v>66</v>
      </c>
      <c r="T449" s="109" t="s">
        <v>66</v>
      </c>
      <c r="U449" s="109" t="s">
        <v>66</v>
      </c>
      <c r="V449" s="109" t="s">
        <v>66</v>
      </c>
      <c r="W449" s="109" t="s">
        <v>66</v>
      </c>
      <c r="X449" s="126" t="str">
        <f>IF(TblDetailBudget[[#This Row],[Level]]=LvlBottomHdr, IF(SUM(TblDetailBudget[[#This Row],[2021 Quant]:[2025 Quant]])&gt;0, SUM(TblDetailBudget[[#This Row],[2021 Quant]:[2025 Quant]]), ""), "")</f>
        <v/>
      </c>
      <c r="Y44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4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4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4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4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49" s="142">
        <f>SUM(TblDetailBudget[[#This Row],[2021 Cost (LCU)]:[2025 Cost (LCU)]])</f>
        <v>0</v>
      </c>
      <c r="AE449" s="135">
        <f>IFERROR(SUM(TblDetailBudget[[#This Row],[2021 Cost (LCU)]])/FX_Rate, "")</f>
        <v>0</v>
      </c>
      <c r="AF449" s="86">
        <f>IFERROR(SUM(TblDetailBudget[[#This Row],[2022 Cost (LCU)]])/FX_Rate, "")</f>
        <v>0</v>
      </c>
      <c r="AG449" s="86">
        <f>IFERROR(SUM(TblDetailBudget[[#This Row],[2023 Cost (LCU)]])/FX_Rate, "")</f>
        <v>0</v>
      </c>
      <c r="AH449" s="86">
        <f>IFERROR(SUM(TblDetailBudget[[#This Row],[2024 Cost (LCU)]])/FX_Rate, "")</f>
        <v>0</v>
      </c>
      <c r="AI449" s="86">
        <f>IFERROR(SUM(TblDetailBudget[[#This Row],[2025 Cost (LCU)]])/FX_Rate, "")</f>
        <v>0</v>
      </c>
      <c r="AJ449" s="126">
        <f>SUM(TblDetailBudget[[#This Row],[2021 Cost (USD)]:[2025 Cost (USD)]])</f>
        <v>0</v>
      </c>
      <c r="AK449" s="180"/>
    </row>
    <row r="450" spans="2:37" ht="12.75" customHeight="1">
      <c r="B450" s="123"/>
      <c r="C45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50" s="85" t="str">
        <f>IF(TblDetailBudget[[#This Row],[Level]]="", "", COUNTIFS($B$8:TblDetailBudget[[#This Row],[Level]], Lvl1Hdr))</f>
        <v/>
      </c>
      <c r="E450" s="85" t="str">
        <f>IF(TblDetailBudget[[#This Row],[Level]]="", "", COUNTIFS($B$8:TblDetailBudget[[#This Row],[Level]], Lvl2Hdr, $D$8:TblDetailBudget[[#This Row],[Lvl 1 Header]], TblDetailBudget[[#This Row],[Lvl 1 Header]]))</f>
        <v/>
      </c>
      <c r="F45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5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5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50" s="164"/>
      <c r="J450" s="164"/>
      <c r="K450" s="165"/>
      <c r="L450" s="165"/>
      <c r="M450" s="85" t="str">
        <f>IF(TblDetailBudget[[#This Row],[Level]]=LvlBottomHdr, IFERROR(INDEX(TblUnitCost[Unit], MATCH(TblDetailBudget[[#This Row],[Row Title]], TblUnitCost[Resource], 0)), "Invalid Resource"), "")</f>
        <v/>
      </c>
      <c r="N450" s="126" t="str">
        <f>IF(TblDetailBudget[[#This Row],[Level]]=LvlBottomHdr, IFERROR(INDEX(TblUnitCost[LCU], MATCH(TblDetailBudget[[#This Row],[Row Title]], TblUnitCost[Resource], 0)), "Invalid Resource"), "")</f>
        <v/>
      </c>
      <c r="O450" s="130"/>
      <c r="P450" s="109"/>
      <c r="Q450" s="186"/>
      <c r="R450" s="131"/>
      <c r="S450" s="109" t="s">
        <v>66</v>
      </c>
      <c r="T450" s="109" t="s">
        <v>66</v>
      </c>
      <c r="U450" s="109" t="s">
        <v>66</v>
      </c>
      <c r="V450" s="109" t="s">
        <v>66</v>
      </c>
      <c r="W450" s="109" t="s">
        <v>66</v>
      </c>
      <c r="X450" s="126" t="str">
        <f>IF(TblDetailBudget[[#This Row],[Level]]=LvlBottomHdr, IF(SUM(TblDetailBudget[[#This Row],[2021 Quant]:[2025 Quant]])&gt;0, SUM(TblDetailBudget[[#This Row],[2021 Quant]:[2025 Quant]]), ""), "")</f>
        <v/>
      </c>
      <c r="Y45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5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5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5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5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50" s="142">
        <f>SUM(TblDetailBudget[[#This Row],[2021 Cost (LCU)]:[2025 Cost (LCU)]])</f>
        <v>0</v>
      </c>
      <c r="AE450" s="135">
        <f>IFERROR(SUM(TblDetailBudget[[#This Row],[2021 Cost (LCU)]])/FX_Rate, "")</f>
        <v>0</v>
      </c>
      <c r="AF450" s="86">
        <f>IFERROR(SUM(TblDetailBudget[[#This Row],[2022 Cost (LCU)]])/FX_Rate, "")</f>
        <v>0</v>
      </c>
      <c r="AG450" s="86">
        <f>IFERROR(SUM(TblDetailBudget[[#This Row],[2023 Cost (LCU)]])/FX_Rate, "")</f>
        <v>0</v>
      </c>
      <c r="AH450" s="86">
        <f>IFERROR(SUM(TblDetailBudget[[#This Row],[2024 Cost (LCU)]])/FX_Rate, "")</f>
        <v>0</v>
      </c>
      <c r="AI450" s="86">
        <f>IFERROR(SUM(TblDetailBudget[[#This Row],[2025 Cost (LCU)]])/FX_Rate, "")</f>
        <v>0</v>
      </c>
      <c r="AJ450" s="126">
        <f>SUM(TblDetailBudget[[#This Row],[2021 Cost (USD)]:[2025 Cost (USD)]])</f>
        <v>0</v>
      </c>
      <c r="AK450" s="180"/>
    </row>
    <row r="451" spans="2:37" ht="12.75" customHeight="1">
      <c r="B451" s="123"/>
      <c r="C45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51" s="85" t="str">
        <f>IF(TblDetailBudget[[#This Row],[Level]]="", "", COUNTIFS($B$8:TblDetailBudget[[#This Row],[Level]], Lvl1Hdr))</f>
        <v/>
      </c>
      <c r="E451" s="85" t="str">
        <f>IF(TblDetailBudget[[#This Row],[Level]]="", "", COUNTIFS($B$8:TblDetailBudget[[#This Row],[Level]], Lvl2Hdr, $D$8:TblDetailBudget[[#This Row],[Lvl 1 Header]], TblDetailBudget[[#This Row],[Lvl 1 Header]]))</f>
        <v/>
      </c>
      <c r="F45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5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5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51" s="164"/>
      <c r="J451" s="164"/>
      <c r="K451" s="165"/>
      <c r="L451" s="165"/>
      <c r="M451" s="85" t="str">
        <f>IF(TblDetailBudget[[#This Row],[Level]]=LvlBottomHdr, IFERROR(INDEX(TblUnitCost[Unit], MATCH(TblDetailBudget[[#This Row],[Row Title]], TblUnitCost[Resource], 0)), "Invalid Resource"), "")</f>
        <v/>
      </c>
      <c r="N451" s="126" t="str">
        <f>IF(TblDetailBudget[[#This Row],[Level]]=LvlBottomHdr, IFERROR(INDEX(TblUnitCost[LCU], MATCH(TblDetailBudget[[#This Row],[Row Title]], TblUnitCost[Resource], 0)), "Invalid Resource"), "")</f>
        <v/>
      </c>
      <c r="O451" s="130"/>
      <c r="P451" s="109"/>
      <c r="Q451" s="186"/>
      <c r="R451" s="131"/>
      <c r="S451" s="109" t="s">
        <v>66</v>
      </c>
      <c r="T451" s="109" t="s">
        <v>66</v>
      </c>
      <c r="U451" s="109" t="s">
        <v>66</v>
      </c>
      <c r="V451" s="109" t="s">
        <v>66</v>
      </c>
      <c r="W451" s="109" t="s">
        <v>66</v>
      </c>
      <c r="X451" s="126" t="str">
        <f>IF(TblDetailBudget[[#This Row],[Level]]=LvlBottomHdr, IF(SUM(TblDetailBudget[[#This Row],[2021 Quant]:[2025 Quant]])&gt;0, SUM(TblDetailBudget[[#This Row],[2021 Quant]:[2025 Quant]]), ""), "")</f>
        <v/>
      </c>
      <c r="Y45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5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5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5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5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51" s="142">
        <f>SUM(TblDetailBudget[[#This Row],[2021 Cost (LCU)]:[2025 Cost (LCU)]])</f>
        <v>0</v>
      </c>
      <c r="AE451" s="135">
        <f>IFERROR(SUM(TblDetailBudget[[#This Row],[2021 Cost (LCU)]])/FX_Rate, "")</f>
        <v>0</v>
      </c>
      <c r="AF451" s="86">
        <f>IFERROR(SUM(TblDetailBudget[[#This Row],[2022 Cost (LCU)]])/FX_Rate, "")</f>
        <v>0</v>
      </c>
      <c r="AG451" s="86">
        <f>IFERROR(SUM(TblDetailBudget[[#This Row],[2023 Cost (LCU)]])/FX_Rate, "")</f>
        <v>0</v>
      </c>
      <c r="AH451" s="86">
        <f>IFERROR(SUM(TblDetailBudget[[#This Row],[2024 Cost (LCU)]])/FX_Rate, "")</f>
        <v>0</v>
      </c>
      <c r="AI451" s="86">
        <f>IFERROR(SUM(TblDetailBudget[[#This Row],[2025 Cost (LCU)]])/FX_Rate, "")</f>
        <v>0</v>
      </c>
      <c r="AJ451" s="126">
        <f>SUM(TblDetailBudget[[#This Row],[2021 Cost (USD)]:[2025 Cost (USD)]])</f>
        <v>0</v>
      </c>
      <c r="AK451" s="180"/>
    </row>
    <row r="452" spans="2:37" ht="12.75" customHeight="1">
      <c r="B452" s="123"/>
      <c r="C45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52" s="85" t="str">
        <f>IF(TblDetailBudget[[#This Row],[Level]]="", "", COUNTIFS($B$8:TblDetailBudget[[#This Row],[Level]], Lvl1Hdr))</f>
        <v/>
      </c>
      <c r="E452" s="85" t="str">
        <f>IF(TblDetailBudget[[#This Row],[Level]]="", "", COUNTIFS($B$8:TblDetailBudget[[#This Row],[Level]], Lvl2Hdr, $D$8:TblDetailBudget[[#This Row],[Lvl 1 Header]], TblDetailBudget[[#This Row],[Lvl 1 Header]]))</f>
        <v/>
      </c>
      <c r="F45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5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5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52" s="164"/>
      <c r="J452" s="164"/>
      <c r="K452" s="165"/>
      <c r="L452" s="165"/>
      <c r="M452" s="85" t="str">
        <f>IF(TblDetailBudget[[#This Row],[Level]]=LvlBottomHdr, IFERROR(INDEX(TblUnitCost[Unit], MATCH(TblDetailBudget[[#This Row],[Row Title]], TblUnitCost[Resource], 0)), "Invalid Resource"), "")</f>
        <v/>
      </c>
      <c r="N452" s="126" t="str">
        <f>IF(TblDetailBudget[[#This Row],[Level]]=LvlBottomHdr, IFERROR(INDEX(TblUnitCost[LCU], MATCH(TblDetailBudget[[#This Row],[Row Title]], TblUnitCost[Resource], 0)), "Invalid Resource"), "")</f>
        <v/>
      </c>
      <c r="O452" s="130"/>
      <c r="P452" s="109"/>
      <c r="Q452" s="186"/>
      <c r="R452" s="131"/>
      <c r="S452" s="109" t="s">
        <v>66</v>
      </c>
      <c r="T452" s="109" t="s">
        <v>66</v>
      </c>
      <c r="U452" s="109" t="s">
        <v>66</v>
      </c>
      <c r="V452" s="109" t="s">
        <v>66</v>
      </c>
      <c r="W452" s="109" t="s">
        <v>66</v>
      </c>
      <c r="X452" s="126" t="str">
        <f>IF(TblDetailBudget[[#This Row],[Level]]=LvlBottomHdr, IF(SUM(TblDetailBudget[[#This Row],[2021 Quant]:[2025 Quant]])&gt;0, SUM(TblDetailBudget[[#This Row],[2021 Quant]:[2025 Quant]]), ""), "")</f>
        <v/>
      </c>
      <c r="Y45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5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5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5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5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52" s="142">
        <f>SUM(TblDetailBudget[[#This Row],[2021 Cost (LCU)]:[2025 Cost (LCU)]])</f>
        <v>0</v>
      </c>
      <c r="AE452" s="135">
        <f>IFERROR(SUM(TblDetailBudget[[#This Row],[2021 Cost (LCU)]])/FX_Rate, "")</f>
        <v>0</v>
      </c>
      <c r="AF452" s="86">
        <f>IFERROR(SUM(TblDetailBudget[[#This Row],[2022 Cost (LCU)]])/FX_Rate, "")</f>
        <v>0</v>
      </c>
      <c r="AG452" s="86">
        <f>IFERROR(SUM(TblDetailBudget[[#This Row],[2023 Cost (LCU)]])/FX_Rate, "")</f>
        <v>0</v>
      </c>
      <c r="AH452" s="86">
        <f>IFERROR(SUM(TblDetailBudget[[#This Row],[2024 Cost (LCU)]])/FX_Rate, "")</f>
        <v>0</v>
      </c>
      <c r="AI452" s="86">
        <f>IFERROR(SUM(TblDetailBudget[[#This Row],[2025 Cost (LCU)]])/FX_Rate, "")</f>
        <v>0</v>
      </c>
      <c r="AJ452" s="126">
        <f>SUM(TblDetailBudget[[#This Row],[2021 Cost (USD)]:[2025 Cost (USD)]])</f>
        <v>0</v>
      </c>
      <c r="AK452" s="180"/>
    </row>
    <row r="453" spans="2:37" ht="12.75" customHeight="1">
      <c r="B453" s="123"/>
      <c r="C45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53" s="85" t="str">
        <f>IF(TblDetailBudget[[#This Row],[Level]]="", "", COUNTIFS($B$8:TblDetailBudget[[#This Row],[Level]], Lvl1Hdr))</f>
        <v/>
      </c>
      <c r="E453" s="85" t="str">
        <f>IF(TblDetailBudget[[#This Row],[Level]]="", "", COUNTIFS($B$8:TblDetailBudget[[#This Row],[Level]], Lvl2Hdr, $D$8:TblDetailBudget[[#This Row],[Lvl 1 Header]], TblDetailBudget[[#This Row],[Lvl 1 Header]]))</f>
        <v/>
      </c>
      <c r="F45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5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5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53" s="164"/>
      <c r="J453" s="164"/>
      <c r="K453" s="165"/>
      <c r="L453" s="165"/>
      <c r="M453" s="85" t="str">
        <f>IF(TblDetailBudget[[#This Row],[Level]]=LvlBottomHdr, IFERROR(INDEX(TblUnitCost[Unit], MATCH(TblDetailBudget[[#This Row],[Row Title]], TblUnitCost[Resource], 0)), "Invalid Resource"), "")</f>
        <v/>
      </c>
      <c r="N453" s="126" t="str">
        <f>IF(TblDetailBudget[[#This Row],[Level]]=LvlBottomHdr, IFERROR(INDEX(TblUnitCost[LCU], MATCH(TblDetailBudget[[#This Row],[Row Title]], TblUnitCost[Resource], 0)), "Invalid Resource"), "")</f>
        <v/>
      </c>
      <c r="O453" s="130"/>
      <c r="P453" s="109"/>
      <c r="Q453" s="186"/>
      <c r="R453" s="131"/>
      <c r="S453" s="109" t="s">
        <v>66</v>
      </c>
      <c r="T453" s="109" t="s">
        <v>66</v>
      </c>
      <c r="U453" s="109" t="s">
        <v>66</v>
      </c>
      <c r="V453" s="109" t="s">
        <v>66</v>
      </c>
      <c r="W453" s="109" t="s">
        <v>66</v>
      </c>
      <c r="X453" s="126" t="str">
        <f>IF(TblDetailBudget[[#This Row],[Level]]=LvlBottomHdr, IF(SUM(TblDetailBudget[[#This Row],[2021 Quant]:[2025 Quant]])&gt;0, SUM(TblDetailBudget[[#This Row],[2021 Quant]:[2025 Quant]]), ""), "")</f>
        <v/>
      </c>
      <c r="Y45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5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5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5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5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53" s="142">
        <f>SUM(TblDetailBudget[[#This Row],[2021 Cost (LCU)]:[2025 Cost (LCU)]])</f>
        <v>0</v>
      </c>
      <c r="AE453" s="135">
        <f>IFERROR(SUM(TblDetailBudget[[#This Row],[2021 Cost (LCU)]])/FX_Rate, "")</f>
        <v>0</v>
      </c>
      <c r="AF453" s="86">
        <f>IFERROR(SUM(TblDetailBudget[[#This Row],[2022 Cost (LCU)]])/FX_Rate, "")</f>
        <v>0</v>
      </c>
      <c r="AG453" s="86">
        <f>IFERROR(SUM(TblDetailBudget[[#This Row],[2023 Cost (LCU)]])/FX_Rate, "")</f>
        <v>0</v>
      </c>
      <c r="AH453" s="86">
        <f>IFERROR(SUM(TblDetailBudget[[#This Row],[2024 Cost (LCU)]])/FX_Rate, "")</f>
        <v>0</v>
      </c>
      <c r="AI453" s="86">
        <f>IFERROR(SUM(TblDetailBudget[[#This Row],[2025 Cost (LCU)]])/FX_Rate, "")</f>
        <v>0</v>
      </c>
      <c r="AJ453" s="126">
        <f>SUM(TblDetailBudget[[#This Row],[2021 Cost (USD)]:[2025 Cost (USD)]])</f>
        <v>0</v>
      </c>
      <c r="AK453" s="180"/>
    </row>
    <row r="454" spans="2:37" ht="12.75" customHeight="1">
      <c r="B454" s="123"/>
      <c r="C45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54" s="85" t="str">
        <f>IF(TblDetailBudget[[#This Row],[Level]]="", "", COUNTIFS($B$8:TblDetailBudget[[#This Row],[Level]], Lvl1Hdr))</f>
        <v/>
      </c>
      <c r="E454" s="85" t="str">
        <f>IF(TblDetailBudget[[#This Row],[Level]]="", "", COUNTIFS($B$8:TblDetailBudget[[#This Row],[Level]], Lvl2Hdr, $D$8:TblDetailBudget[[#This Row],[Lvl 1 Header]], TblDetailBudget[[#This Row],[Lvl 1 Header]]))</f>
        <v/>
      </c>
      <c r="F45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5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5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54" s="164"/>
      <c r="J454" s="164"/>
      <c r="K454" s="165"/>
      <c r="L454" s="165"/>
      <c r="M454" s="85" t="str">
        <f>IF(TblDetailBudget[[#This Row],[Level]]=LvlBottomHdr, IFERROR(INDEX(TblUnitCost[Unit], MATCH(TblDetailBudget[[#This Row],[Row Title]], TblUnitCost[Resource], 0)), "Invalid Resource"), "")</f>
        <v/>
      </c>
      <c r="N454" s="126" t="str">
        <f>IF(TblDetailBudget[[#This Row],[Level]]=LvlBottomHdr, IFERROR(INDEX(TblUnitCost[LCU], MATCH(TblDetailBudget[[#This Row],[Row Title]], TblUnitCost[Resource], 0)), "Invalid Resource"), "")</f>
        <v/>
      </c>
      <c r="O454" s="130"/>
      <c r="P454" s="109"/>
      <c r="Q454" s="186"/>
      <c r="R454" s="131"/>
      <c r="S454" s="109" t="s">
        <v>66</v>
      </c>
      <c r="T454" s="109" t="s">
        <v>66</v>
      </c>
      <c r="U454" s="109" t="s">
        <v>66</v>
      </c>
      <c r="V454" s="109" t="s">
        <v>66</v>
      </c>
      <c r="W454" s="109" t="s">
        <v>66</v>
      </c>
      <c r="X454" s="126" t="str">
        <f>IF(TblDetailBudget[[#This Row],[Level]]=LvlBottomHdr, IF(SUM(TblDetailBudget[[#This Row],[2021 Quant]:[2025 Quant]])&gt;0, SUM(TblDetailBudget[[#This Row],[2021 Quant]:[2025 Quant]]), ""), "")</f>
        <v/>
      </c>
      <c r="Y45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5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5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5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5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54" s="142">
        <f>SUM(TblDetailBudget[[#This Row],[2021 Cost (LCU)]:[2025 Cost (LCU)]])</f>
        <v>0</v>
      </c>
      <c r="AE454" s="135">
        <f>IFERROR(SUM(TblDetailBudget[[#This Row],[2021 Cost (LCU)]])/FX_Rate, "")</f>
        <v>0</v>
      </c>
      <c r="AF454" s="86">
        <f>IFERROR(SUM(TblDetailBudget[[#This Row],[2022 Cost (LCU)]])/FX_Rate, "")</f>
        <v>0</v>
      </c>
      <c r="AG454" s="86">
        <f>IFERROR(SUM(TblDetailBudget[[#This Row],[2023 Cost (LCU)]])/FX_Rate, "")</f>
        <v>0</v>
      </c>
      <c r="AH454" s="86">
        <f>IFERROR(SUM(TblDetailBudget[[#This Row],[2024 Cost (LCU)]])/FX_Rate, "")</f>
        <v>0</v>
      </c>
      <c r="AI454" s="86">
        <f>IFERROR(SUM(TblDetailBudget[[#This Row],[2025 Cost (LCU)]])/FX_Rate, "")</f>
        <v>0</v>
      </c>
      <c r="AJ454" s="126">
        <f>SUM(TblDetailBudget[[#This Row],[2021 Cost (USD)]:[2025 Cost (USD)]])</f>
        <v>0</v>
      </c>
      <c r="AK454" s="180"/>
    </row>
    <row r="455" spans="2:37" ht="12.75" customHeight="1">
      <c r="B455" s="123"/>
      <c r="C45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55" s="85" t="str">
        <f>IF(TblDetailBudget[[#This Row],[Level]]="", "", COUNTIFS($B$8:TblDetailBudget[[#This Row],[Level]], Lvl1Hdr))</f>
        <v/>
      </c>
      <c r="E455" s="85" t="str">
        <f>IF(TblDetailBudget[[#This Row],[Level]]="", "", COUNTIFS($B$8:TblDetailBudget[[#This Row],[Level]], Lvl2Hdr, $D$8:TblDetailBudget[[#This Row],[Lvl 1 Header]], TblDetailBudget[[#This Row],[Lvl 1 Header]]))</f>
        <v/>
      </c>
      <c r="F45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5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5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55" s="164"/>
      <c r="J455" s="164"/>
      <c r="K455" s="165"/>
      <c r="L455" s="165"/>
      <c r="M455" s="85" t="str">
        <f>IF(TblDetailBudget[[#This Row],[Level]]=LvlBottomHdr, IFERROR(INDEX(TblUnitCost[Unit], MATCH(TblDetailBudget[[#This Row],[Row Title]], TblUnitCost[Resource], 0)), "Invalid Resource"), "")</f>
        <v/>
      </c>
      <c r="N455" s="126" t="str">
        <f>IF(TblDetailBudget[[#This Row],[Level]]=LvlBottomHdr, IFERROR(INDEX(TblUnitCost[LCU], MATCH(TblDetailBudget[[#This Row],[Row Title]], TblUnitCost[Resource], 0)), "Invalid Resource"), "")</f>
        <v/>
      </c>
      <c r="O455" s="130"/>
      <c r="P455" s="109"/>
      <c r="Q455" s="186"/>
      <c r="R455" s="131"/>
      <c r="S455" s="109" t="s">
        <v>66</v>
      </c>
      <c r="T455" s="109" t="s">
        <v>66</v>
      </c>
      <c r="U455" s="109" t="s">
        <v>66</v>
      </c>
      <c r="V455" s="109" t="s">
        <v>66</v>
      </c>
      <c r="W455" s="109" t="s">
        <v>66</v>
      </c>
      <c r="X455" s="126" t="str">
        <f>IF(TblDetailBudget[[#This Row],[Level]]=LvlBottomHdr, IF(SUM(TblDetailBudget[[#This Row],[2021 Quant]:[2025 Quant]])&gt;0, SUM(TblDetailBudget[[#This Row],[2021 Quant]:[2025 Quant]]), ""), "")</f>
        <v/>
      </c>
      <c r="Y45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5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5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5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5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55" s="142">
        <f>SUM(TblDetailBudget[[#This Row],[2021 Cost (LCU)]:[2025 Cost (LCU)]])</f>
        <v>0</v>
      </c>
      <c r="AE455" s="135">
        <f>IFERROR(SUM(TblDetailBudget[[#This Row],[2021 Cost (LCU)]])/FX_Rate, "")</f>
        <v>0</v>
      </c>
      <c r="AF455" s="86">
        <f>IFERROR(SUM(TblDetailBudget[[#This Row],[2022 Cost (LCU)]])/FX_Rate, "")</f>
        <v>0</v>
      </c>
      <c r="AG455" s="86">
        <f>IFERROR(SUM(TblDetailBudget[[#This Row],[2023 Cost (LCU)]])/FX_Rate, "")</f>
        <v>0</v>
      </c>
      <c r="AH455" s="86">
        <f>IFERROR(SUM(TblDetailBudget[[#This Row],[2024 Cost (LCU)]])/FX_Rate, "")</f>
        <v>0</v>
      </c>
      <c r="AI455" s="86">
        <f>IFERROR(SUM(TblDetailBudget[[#This Row],[2025 Cost (LCU)]])/FX_Rate, "")</f>
        <v>0</v>
      </c>
      <c r="AJ455" s="126">
        <f>SUM(TblDetailBudget[[#This Row],[2021 Cost (USD)]:[2025 Cost (USD)]])</f>
        <v>0</v>
      </c>
      <c r="AK455" s="180"/>
    </row>
    <row r="456" spans="2:37" ht="12.75" customHeight="1">
      <c r="B456" s="123"/>
      <c r="C45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56" s="85" t="str">
        <f>IF(TblDetailBudget[[#This Row],[Level]]="", "", COUNTIFS($B$8:TblDetailBudget[[#This Row],[Level]], Lvl1Hdr))</f>
        <v/>
      </c>
      <c r="E456" s="85" t="str">
        <f>IF(TblDetailBudget[[#This Row],[Level]]="", "", COUNTIFS($B$8:TblDetailBudget[[#This Row],[Level]], Lvl2Hdr, $D$8:TblDetailBudget[[#This Row],[Lvl 1 Header]], TblDetailBudget[[#This Row],[Lvl 1 Header]]))</f>
        <v/>
      </c>
      <c r="F45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5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5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56" s="164"/>
      <c r="J456" s="164"/>
      <c r="K456" s="165"/>
      <c r="L456" s="165"/>
      <c r="M456" s="85" t="str">
        <f>IF(TblDetailBudget[[#This Row],[Level]]=LvlBottomHdr, IFERROR(INDEX(TblUnitCost[Unit], MATCH(TblDetailBudget[[#This Row],[Row Title]], TblUnitCost[Resource], 0)), "Invalid Resource"), "")</f>
        <v/>
      </c>
      <c r="N456" s="126" t="str">
        <f>IF(TblDetailBudget[[#This Row],[Level]]=LvlBottomHdr, IFERROR(INDEX(TblUnitCost[LCU], MATCH(TblDetailBudget[[#This Row],[Row Title]], TblUnitCost[Resource], 0)), "Invalid Resource"), "")</f>
        <v/>
      </c>
      <c r="O456" s="130"/>
      <c r="P456" s="109"/>
      <c r="Q456" s="186"/>
      <c r="R456" s="131"/>
      <c r="S456" s="109" t="s">
        <v>66</v>
      </c>
      <c r="T456" s="109" t="s">
        <v>66</v>
      </c>
      <c r="U456" s="109" t="s">
        <v>66</v>
      </c>
      <c r="V456" s="109" t="s">
        <v>66</v>
      </c>
      <c r="W456" s="109" t="s">
        <v>66</v>
      </c>
      <c r="X456" s="126" t="str">
        <f>IF(TblDetailBudget[[#This Row],[Level]]=LvlBottomHdr, IF(SUM(TblDetailBudget[[#This Row],[2021 Quant]:[2025 Quant]])&gt;0, SUM(TblDetailBudget[[#This Row],[2021 Quant]:[2025 Quant]]), ""), "")</f>
        <v/>
      </c>
      <c r="Y45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5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5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5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5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56" s="142">
        <f>SUM(TblDetailBudget[[#This Row],[2021 Cost (LCU)]:[2025 Cost (LCU)]])</f>
        <v>0</v>
      </c>
      <c r="AE456" s="135">
        <f>IFERROR(SUM(TblDetailBudget[[#This Row],[2021 Cost (LCU)]])/FX_Rate, "")</f>
        <v>0</v>
      </c>
      <c r="AF456" s="86">
        <f>IFERROR(SUM(TblDetailBudget[[#This Row],[2022 Cost (LCU)]])/FX_Rate, "")</f>
        <v>0</v>
      </c>
      <c r="AG456" s="86">
        <f>IFERROR(SUM(TblDetailBudget[[#This Row],[2023 Cost (LCU)]])/FX_Rate, "")</f>
        <v>0</v>
      </c>
      <c r="AH456" s="86">
        <f>IFERROR(SUM(TblDetailBudget[[#This Row],[2024 Cost (LCU)]])/FX_Rate, "")</f>
        <v>0</v>
      </c>
      <c r="AI456" s="86">
        <f>IFERROR(SUM(TblDetailBudget[[#This Row],[2025 Cost (LCU)]])/FX_Rate, "")</f>
        <v>0</v>
      </c>
      <c r="AJ456" s="126">
        <f>SUM(TblDetailBudget[[#This Row],[2021 Cost (USD)]:[2025 Cost (USD)]])</f>
        <v>0</v>
      </c>
      <c r="AK456" s="180"/>
    </row>
    <row r="457" spans="2:37" ht="12.75" customHeight="1">
      <c r="B457" s="123"/>
      <c r="C45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57" s="85" t="str">
        <f>IF(TblDetailBudget[[#This Row],[Level]]="", "", COUNTIFS($B$8:TblDetailBudget[[#This Row],[Level]], Lvl1Hdr))</f>
        <v/>
      </c>
      <c r="E457" s="85" t="str">
        <f>IF(TblDetailBudget[[#This Row],[Level]]="", "", COUNTIFS($B$8:TblDetailBudget[[#This Row],[Level]], Lvl2Hdr, $D$8:TblDetailBudget[[#This Row],[Lvl 1 Header]], TblDetailBudget[[#This Row],[Lvl 1 Header]]))</f>
        <v/>
      </c>
      <c r="F45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5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5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57" s="164"/>
      <c r="J457" s="164"/>
      <c r="K457" s="165"/>
      <c r="L457" s="165"/>
      <c r="M457" s="85" t="str">
        <f>IF(TblDetailBudget[[#This Row],[Level]]=LvlBottomHdr, IFERROR(INDEX(TblUnitCost[Unit], MATCH(TblDetailBudget[[#This Row],[Row Title]], TblUnitCost[Resource], 0)), "Invalid Resource"), "")</f>
        <v/>
      </c>
      <c r="N457" s="126" t="str">
        <f>IF(TblDetailBudget[[#This Row],[Level]]=LvlBottomHdr, IFERROR(INDEX(TblUnitCost[LCU], MATCH(TblDetailBudget[[#This Row],[Row Title]], TblUnitCost[Resource], 0)), "Invalid Resource"), "")</f>
        <v/>
      </c>
      <c r="O457" s="130"/>
      <c r="P457" s="109"/>
      <c r="Q457" s="186"/>
      <c r="R457" s="131"/>
      <c r="S457" s="109" t="s">
        <v>66</v>
      </c>
      <c r="T457" s="109" t="s">
        <v>66</v>
      </c>
      <c r="U457" s="109" t="s">
        <v>66</v>
      </c>
      <c r="V457" s="109" t="s">
        <v>66</v>
      </c>
      <c r="W457" s="109" t="s">
        <v>66</v>
      </c>
      <c r="X457" s="126" t="str">
        <f>IF(TblDetailBudget[[#This Row],[Level]]=LvlBottomHdr, IF(SUM(TblDetailBudget[[#This Row],[2021 Quant]:[2025 Quant]])&gt;0, SUM(TblDetailBudget[[#This Row],[2021 Quant]:[2025 Quant]]), ""), "")</f>
        <v/>
      </c>
      <c r="Y45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5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5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5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5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57" s="142">
        <f>SUM(TblDetailBudget[[#This Row],[2021 Cost (LCU)]:[2025 Cost (LCU)]])</f>
        <v>0</v>
      </c>
      <c r="AE457" s="135">
        <f>IFERROR(SUM(TblDetailBudget[[#This Row],[2021 Cost (LCU)]])/FX_Rate, "")</f>
        <v>0</v>
      </c>
      <c r="AF457" s="86">
        <f>IFERROR(SUM(TblDetailBudget[[#This Row],[2022 Cost (LCU)]])/FX_Rate, "")</f>
        <v>0</v>
      </c>
      <c r="AG457" s="86">
        <f>IFERROR(SUM(TblDetailBudget[[#This Row],[2023 Cost (LCU)]])/FX_Rate, "")</f>
        <v>0</v>
      </c>
      <c r="AH457" s="86">
        <f>IFERROR(SUM(TblDetailBudget[[#This Row],[2024 Cost (LCU)]])/FX_Rate, "")</f>
        <v>0</v>
      </c>
      <c r="AI457" s="86">
        <f>IFERROR(SUM(TblDetailBudget[[#This Row],[2025 Cost (LCU)]])/FX_Rate, "")</f>
        <v>0</v>
      </c>
      <c r="AJ457" s="126">
        <f>SUM(TblDetailBudget[[#This Row],[2021 Cost (USD)]:[2025 Cost (USD)]])</f>
        <v>0</v>
      </c>
      <c r="AK457" s="180"/>
    </row>
    <row r="458" spans="2:37" ht="12.75" customHeight="1">
      <c r="B458" s="123"/>
      <c r="C45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58" s="85" t="str">
        <f>IF(TblDetailBudget[[#This Row],[Level]]="", "", COUNTIFS($B$8:TblDetailBudget[[#This Row],[Level]], Lvl1Hdr))</f>
        <v/>
      </c>
      <c r="E458" s="85" t="str">
        <f>IF(TblDetailBudget[[#This Row],[Level]]="", "", COUNTIFS($B$8:TblDetailBudget[[#This Row],[Level]], Lvl2Hdr, $D$8:TblDetailBudget[[#This Row],[Lvl 1 Header]], TblDetailBudget[[#This Row],[Lvl 1 Header]]))</f>
        <v/>
      </c>
      <c r="F45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5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5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58" s="164"/>
      <c r="J458" s="164"/>
      <c r="K458" s="165"/>
      <c r="L458" s="165"/>
      <c r="M458" s="85" t="str">
        <f>IF(TblDetailBudget[[#This Row],[Level]]=LvlBottomHdr, IFERROR(INDEX(TblUnitCost[Unit], MATCH(TblDetailBudget[[#This Row],[Row Title]], TblUnitCost[Resource], 0)), "Invalid Resource"), "")</f>
        <v/>
      </c>
      <c r="N458" s="126" t="str">
        <f>IF(TblDetailBudget[[#This Row],[Level]]=LvlBottomHdr, IFERROR(INDEX(TblUnitCost[LCU], MATCH(TblDetailBudget[[#This Row],[Row Title]], TblUnitCost[Resource], 0)), "Invalid Resource"), "")</f>
        <v/>
      </c>
      <c r="O458" s="130"/>
      <c r="P458" s="109"/>
      <c r="Q458" s="186"/>
      <c r="R458" s="131"/>
      <c r="S458" s="109" t="s">
        <v>66</v>
      </c>
      <c r="T458" s="109" t="s">
        <v>66</v>
      </c>
      <c r="U458" s="109" t="s">
        <v>66</v>
      </c>
      <c r="V458" s="109" t="s">
        <v>66</v>
      </c>
      <c r="W458" s="109" t="s">
        <v>66</v>
      </c>
      <c r="X458" s="126" t="str">
        <f>IF(TblDetailBudget[[#This Row],[Level]]=LvlBottomHdr, IF(SUM(TblDetailBudget[[#This Row],[2021 Quant]:[2025 Quant]])&gt;0, SUM(TblDetailBudget[[#This Row],[2021 Quant]:[2025 Quant]]), ""), "")</f>
        <v/>
      </c>
      <c r="Y45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5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5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5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5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58" s="142">
        <f>SUM(TblDetailBudget[[#This Row],[2021 Cost (LCU)]:[2025 Cost (LCU)]])</f>
        <v>0</v>
      </c>
      <c r="AE458" s="135">
        <f>IFERROR(SUM(TblDetailBudget[[#This Row],[2021 Cost (LCU)]])/FX_Rate, "")</f>
        <v>0</v>
      </c>
      <c r="AF458" s="86">
        <f>IFERROR(SUM(TblDetailBudget[[#This Row],[2022 Cost (LCU)]])/FX_Rate, "")</f>
        <v>0</v>
      </c>
      <c r="AG458" s="86">
        <f>IFERROR(SUM(TblDetailBudget[[#This Row],[2023 Cost (LCU)]])/FX_Rate, "")</f>
        <v>0</v>
      </c>
      <c r="AH458" s="86">
        <f>IFERROR(SUM(TblDetailBudget[[#This Row],[2024 Cost (LCU)]])/FX_Rate, "")</f>
        <v>0</v>
      </c>
      <c r="AI458" s="86">
        <f>IFERROR(SUM(TblDetailBudget[[#This Row],[2025 Cost (LCU)]])/FX_Rate, "")</f>
        <v>0</v>
      </c>
      <c r="AJ458" s="126">
        <f>SUM(TblDetailBudget[[#This Row],[2021 Cost (USD)]:[2025 Cost (USD)]])</f>
        <v>0</v>
      </c>
      <c r="AK458" s="180"/>
    </row>
    <row r="459" spans="2:37" ht="12.75" customHeight="1">
      <c r="B459" s="123"/>
      <c r="C45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59" s="85" t="str">
        <f>IF(TblDetailBudget[[#This Row],[Level]]="", "", COUNTIFS($B$8:TblDetailBudget[[#This Row],[Level]], Lvl1Hdr))</f>
        <v/>
      </c>
      <c r="E459" s="85" t="str">
        <f>IF(TblDetailBudget[[#This Row],[Level]]="", "", COUNTIFS($B$8:TblDetailBudget[[#This Row],[Level]], Lvl2Hdr, $D$8:TblDetailBudget[[#This Row],[Lvl 1 Header]], TblDetailBudget[[#This Row],[Lvl 1 Header]]))</f>
        <v/>
      </c>
      <c r="F45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5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5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59" s="164"/>
      <c r="J459" s="164"/>
      <c r="K459" s="165"/>
      <c r="L459" s="165"/>
      <c r="M459" s="85" t="str">
        <f>IF(TblDetailBudget[[#This Row],[Level]]=LvlBottomHdr, IFERROR(INDEX(TblUnitCost[Unit], MATCH(TblDetailBudget[[#This Row],[Row Title]], TblUnitCost[Resource], 0)), "Invalid Resource"), "")</f>
        <v/>
      </c>
      <c r="N459" s="126" t="str">
        <f>IF(TblDetailBudget[[#This Row],[Level]]=LvlBottomHdr, IFERROR(INDEX(TblUnitCost[LCU], MATCH(TblDetailBudget[[#This Row],[Row Title]], TblUnitCost[Resource], 0)), "Invalid Resource"), "")</f>
        <v/>
      </c>
      <c r="O459" s="130"/>
      <c r="P459" s="109"/>
      <c r="Q459" s="186"/>
      <c r="R459" s="131"/>
      <c r="S459" s="109" t="s">
        <v>66</v>
      </c>
      <c r="T459" s="109" t="s">
        <v>66</v>
      </c>
      <c r="U459" s="109" t="s">
        <v>66</v>
      </c>
      <c r="V459" s="109" t="s">
        <v>66</v>
      </c>
      <c r="W459" s="109" t="s">
        <v>66</v>
      </c>
      <c r="X459" s="126" t="str">
        <f>IF(TblDetailBudget[[#This Row],[Level]]=LvlBottomHdr, IF(SUM(TblDetailBudget[[#This Row],[2021 Quant]:[2025 Quant]])&gt;0, SUM(TblDetailBudget[[#This Row],[2021 Quant]:[2025 Quant]]), ""), "")</f>
        <v/>
      </c>
      <c r="Y45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5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5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5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5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59" s="142">
        <f>SUM(TblDetailBudget[[#This Row],[2021 Cost (LCU)]:[2025 Cost (LCU)]])</f>
        <v>0</v>
      </c>
      <c r="AE459" s="135">
        <f>IFERROR(SUM(TblDetailBudget[[#This Row],[2021 Cost (LCU)]])/FX_Rate, "")</f>
        <v>0</v>
      </c>
      <c r="AF459" s="86">
        <f>IFERROR(SUM(TblDetailBudget[[#This Row],[2022 Cost (LCU)]])/FX_Rate, "")</f>
        <v>0</v>
      </c>
      <c r="AG459" s="86">
        <f>IFERROR(SUM(TblDetailBudget[[#This Row],[2023 Cost (LCU)]])/FX_Rate, "")</f>
        <v>0</v>
      </c>
      <c r="AH459" s="86">
        <f>IFERROR(SUM(TblDetailBudget[[#This Row],[2024 Cost (LCU)]])/FX_Rate, "")</f>
        <v>0</v>
      </c>
      <c r="AI459" s="86">
        <f>IFERROR(SUM(TblDetailBudget[[#This Row],[2025 Cost (LCU)]])/FX_Rate, "")</f>
        <v>0</v>
      </c>
      <c r="AJ459" s="126">
        <f>SUM(TblDetailBudget[[#This Row],[2021 Cost (USD)]:[2025 Cost (USD)]])</f>
        <v>0</v>
      </c>
      <c r="AK459" s="180"/>
    </row>
    <row r="460" spans="2:37" ht="12.75" customHeight="1">
      <c r="B460" s="123"/>
      <c r="C46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60" s="85" t="str">
        <f>IF(TblDetailBudget[[#This Row],[Level]]="", "", COUNTIFS($B$8:TblDetailBudget[[#This Row],[Level]], Lvl1Hdr))</f>
        <v/>
      </c>
      <c r="E460" s="85" t="str">
        <f>IF(TblDetailBudget[[#This Row],[Level]]="", "", COUNTIFS($B$8:TblDetailBudget[[#This Row],[Level]], Lvl2Hdr, $D$8:TblDetailBudget[[#This Row],[Lvl 1 Header]], TblDetailBudget[[#This Row],[Lvl 1 Header]]))</f>
        <v/>
      </c>
      <c r="F46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6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6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60" s="164"/>
      <c r="J460" s="164"/>
      <c r="K460" s="165"/>
      <c r="L460" s="165"/>
      <c r="M460" s="85" t="str">
        <f>IF(TblDetailBudget[[#This Row],[Level]]=LvlBottomHdr, IFERROR(INDEX(TblUnitCost[Unit], MATCH(TblDetailBudget[[#This Row],[Row Title]], TblUnitCost[Resource], 0)), "Invalid Resource"), "")</f>
        <v/>
      </c>
      <c r="N460" s="126" t="str">
        <f>IF(TblDetailBudget[[#This Row],[Level]]=LvlBottomHdr, IFERROR(INDEX(TblUnitCost[LCU], MATCH(TblDetailBudget[[#This Row],[Row Title]], TblUnitCost[Resource], 0)), "Invalid Resource"), "")</f>
        <v/>
      </c>
      <c r="O460" s="130"/>
      <c r="P460" s="109"/>
      <c r="Q460" s="186"/>
      <c r="R460" s="131"/>
      <c r="S460" s="109" t="s">
        <v>66</v>
      </c>
      <c r="T460" s="109" t="s">
        <v>66</v>
      </c>
      <c r="U460" s="109" t="s">
        <v>66</v>
      </c>
      <c r="V460" s="109" t="s">
        <v>66</v>
      </c>
      <c r="W460" s="109" t="s">
        <v>66</v>
      </c>
      <c r="X460" s="126" t="str">
        <f>IF(TblDetailBudget[[#This Row],[Level]]=LvlBottomHdr, IF(SUM(TblDetailBudget[[#This Row],[2021 Quant]:[2025 Quant]])&gt;0, SUM(TblDetailBudget[[#This Row],[2021 Quant]:[2025 Quant]]), ""), "")</f>
        <v/>
      </c>
      <c r="Y46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6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6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6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6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60" s="142">
        <f>SUM(TblDetailBudget[[#This Row],[2021 Cost (LCU)]:[2025 Cost (LCU)]])</f>
        <v>0</v>
      </c>
      <c r="AE460" s="135">
        <f>IFERROR(SUM(TblDetailBudget[[#This Row],[2021 Cost (LCU)]])/FX_Rate, "")</f>
        <v>0</v>
      </c>
      <c r="AF460" s="86">
        <f>IFERROR(SUM(TblDetailBudget[[#This Row],[2022 Cost (LCU)]])/FX_Rate, "")</f>
        <v>0</v>
      </c>
      <c r="AG460" s="86">
        <f>IFERROR(SUM(TblDetailBudget[[#This Row],[2023 Cost (LCU)]])/FX_Rate, "")</f>
        <v>0</v>
      </c>
      <c r="AH460" s="86">
        <f>IFERROR(SUM(TblDetailBudget[[#This Row],[2024 Cost (LCU)]])/FX_Rate, "")</f>
        <v>0</v>
      </c>
      <c r="AI460" s="86">
        <f>IFERROR(SUM(TblDetailBudget[[#This Row],[2025 Cost (LCU)]])/FX_Rate, "")</f>
        <v>0</v>
      </c>
      <c r="AJ460" s="126">
        <f>SUM(TblDetailBudget[[#This Row],[2021 Cost (USD)]:[2025 Cost (USD)]])</f>
        <v>0</v>
      </c>
      <c r="AK460" s="180"/>
    </row>
    <row r="461" spans="2:37" ht="12.75" customHeight="1">
      <c r="B461" s="123"/>
      <c r="C46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61" s="85" t="str">
        <f>IF(TblDetailBudget[[#This Row],[Level]]="", "", COUNTIFS($B$8:TblDetailBudget[[#This Row],[Level]], Lvl1Hdr))</f>
        <v/>
      </c>
      <c r="E461" s="85" t="str">
        <f>IF(TblDetailBudget[[#This Row],[Level]]="", "", COUNTIFS($B$8:TblDetailBudget[[#This Row],[Level]], Lvl2Hdr, $D$8:TblDetailBudget[[#This Row],[Lvl 1 Header]], TblDetailBudget[[#This Row],[Lvl 1 Header]]))</f>
        <v/>
      </c>
      <c r="F46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6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6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61" s="164"/>
      <c r="J461" s="164"/>
      <c r="K461" s="165"/>
      <c r="L461" s="165"/>
      <c r="M461" s="85" t="str">
        <f>IF(TblDetailBudget[[#This Row],[Level]]=LvlBottomHdr, IFERROR(INDEX(TblUnitCost[Unit], MATCH(TblDetailBudget[[#This Row],[Row Title]], TblUnitCost[Resource], 0)), "Invalid Resource"), "")</f>
        <v/>
      </c>
      <c r="N461" s="126" t="str">
        <f>IF(TblDetailBudget[[#This Row],[Level]]=LvlBottomHdr, IFERROR(INDEX(TblUnitCost[LCU], MATCH(TblDetailBudget[[#This Row],[Row Title]], TblUnitCost[Resource], 0)), "Invalid Resource"), "")</f>
        <v/>
      </c>
      <c r="O461" s="130"/>
      <c r="P461" s="109"/>
      <c r="Q461" s="186"/>
      <c r="R461" s="131"/>
      <c r="S461" s="109" t="s">
        <v>66</v>
      </c>
      <c r="T461" s="109" t="s">
        <v>66</v>
      </c>
      <c r="U461" s="109" t="s">
        <v>66</v>
      </c>
      <c r="V461" s="109" t="s">
        <v>66</v>
      </c>
      <c r="W461" s="109" t="s">
        <v>66</v>
      </c>
      <c r="X461" s="126" t="str">
        <f>IF(TblDetailBudget[[#This Row],[Level]]=LvlBottomHdr, IF(SUM(TblDetailBudget[[#This Row],[2021 Quant]:[2025 Quant]])&gt;0, SUM(TblDetailBudget[[#This Row],[2021 Quant]:[2025 Quant]]), ""), "")</f>
        <v/>
      </c>
      <c r="Y46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6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6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6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6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61" s="142">
        <f>SUM(TblDetailBudget[[#This Row],[2021 Cost (LCU)]:[2025 Cost (LCU)]])</f>
        <v>0</v>
      </c>
      <c r="AE461" s="135">
        <f>IFERROR(SUM(TblDetailBudget[[#This Row],[2021 Cost (LCU)]])/FX_Rate, "")</f>
        <v>0</v>
      </c>
      <c r="AF461" s="86">
        <f>IFERROR(SUM(TblDetailBudget[[#This Row],[2022 Cost (LCU)]])/FX_Rate, "")</f>
        <v>0</v>
      </c>
      <c r="AG461" s="86">
        <f>IFERROR(SUM(TblDetailBudget[[#This Row],[2023 Cost (LCU)]])/FX_Rate, "")</f>
        <v>0</v>
      </c>
      <c r="AH461" s="86">
        <f>IFERROR(SUM(TblDetailBudget[[#This Row],[2024 Cost (LCU)]])/FX_Rate, "")</f>
        <v>0</v>
      </c>
      <c r="AI461" s="86">
        <f>IFERROR(SUM(TblDetailBudget[[#This Row],[2025 Cost (LCU)]])/FX_Rate, "")</f>
        <v>0</v>
      </c>
      <c r="AJ461" s="126">
        <f>SUM(TblDetailBudget[[#This Row],[2021 Cost (USD)]:[2025 Cost (USD)]])</f>
        <v>0</v>
      </c>
      <c r="AK461" s="180"/>
    </row>
    <row r="462" spans="2:37" ht="12.75" customHeight="1">
      <c r="B462" s="123"/>
      <c r="C46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62" s="85" t="str">
        <f>IF(TblDetailBudget[[#This Row],[Level]]="", "", COUNTIFS($B$8:TblDetailBudget[[#This Row],[Level]], Lvl1Hdr))</f>
        <v/>
      </c>
      <c r="E462" s="85" t="str">
        <f>IF(TblDetailBudget[[#This Row],[Level]]="", "", COUNTIFS($B$8:TblDetailBudget[[#This Row],[Level]], Lvl2Hdr, $D$8:TblDetailBudget[[#This Row],[Lvl 1 Header]], TblDetailBudget[[#This Row],[Lvl 1 Header]]))</f>
        <v/>
      </c>
      <c r="F46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6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6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62" s="164"/>
      <c r="J462" s="164"/>
      <c r="K462" s="165"/>
      <c r="L462" s="165"/>
      <c r="M462" s="85" t="str">
        <f>IF(TblDetailBudget[[#This Row],[Level]]=LvlBottomHdr, IFERROR(INDEX(TblUnitCost[Unit], MATCH(TblDetailBudget[[#This Row],[Row Title]], TblUnitCost[Resource], 0)), "Invalid Resource"), "")</f>
        <v/>
      </c>
      <c r="N462" s="126" t="str">
        <f>IF(TblDetailBudget[[#This Row],[Level]]=LvlBottomHdr, IFERROR(INDEX(TblUnitCost[LCU], MATCH(TblDetailBudget[[#This Row],[Row Title]], TblUnitCost[Resource], 0)), "Invalid Resource"), "")</f>
        <v/>
      </c>
      <c r="O462" s="130"/>
      <c r="P462" s="109"/>
      <c r="Q462" s="186"/>
      <c r="R462" s="131"/>
      <c r="S462" s="109" t="s">
        <v>66</v>
      </c>
      <c r="T462" s="109" t="s">
        <v>66</v>
      </c>
      <c r="U462" s="109" t="s">
        <v>66</v>
      </c>
      <c r="V462" s="109" t="s">
        <v>66</v>
      </c>
      <c r="W462" s="109" t="s">
        <v>66</v>
      </c>
      <c r="X462" s="126" t="str">
        <f>IF(TblDetailBudget[[#This Row],[Level]]=LvlBottomHdr, IF(SUM(TblDetailBudget[[#This Row],[2021 Quant]:[2025 Quant]])&gt;0, SUM(TblDetailBudget[[#This Row],[2021 Quant]:[2025 Quant]]), ""), "")</f>
        <v/>
      </c>
      <c r="Y46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6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6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6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6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62" s="142">
        <f>SUM(TblDetailBudget[[#This Row],[2021 Cost (LCU)]:[2025 Cost (LCU)]])</f>
        <v>0</v>
      </c>
      <c r="AE462" s="135">
        <f>IFERROR(SUM(TblDetailBudget[[#This Row],[2021 Cost (LCU)]])/FX_Rate, "")</f>
        <v>0</v>
      </c>
      <c r="AF462" s="86">
        <f>IFERROR(SUM(TblDetailBudget[[#This Row],[2022 Cost (LCU)]])/FX_Rate, "")</f>
        <v>0</v>
      </c>
      <c r="AG462" s="86">
        <f>IFERROR(SUM(TblDetailBudget[[#This Row],[2023 Cost (LCU)]])/FX_Rate, "")</f>
        <v>0</v>
      </c>
      <c r="AH462" s="86">
        <f>IFERROR(SUM(TblDetailBudget[[#This Row],[2024 Cost (LCU)]])/FX_Rate, "")</f>
        <v>0</v>
      </c>
      <c r="AI462" s="86">
        <f>IFERROR(SUM(TblDetailBudget[[#This Row],[2025 Cost (LCU)]])/FX_Rate, "")</f>
        <v>0</v>
      </c>
      <c r="AJ462" s="126">
        <f>SUM(TblDetailBudget[[#This Row],[2021 Cost (USD)]:[2025 Cost (USD)]])</f>
        <v>0</v>
      </c>
      <c r="AK462" s="180"/>
    </row>
    <row r="463" spans="2:37" ht="12.75" customHeight="1">
      <c r="B463" s="123"/>
      <c r="C46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63" s="85" t="str">
        <f>IF(TblDetailBudget[[#This Row],[Level]]="", "", COUNTIFS($B$8:TblDetailBudget[[#This Row],[Level]], Lvl1Hdr))</f>
        <v/>
      </c>
      <c r="E463" s="85" t="str">
        <f>IF(TblDetailBudget[[#This Row],[Level]]="", "", COUNTIFS($B$8:TblDetailBudget[[#This Row],[Level]], Lvl2Hdr, $D$8:TblDetailBudget[[#This Row],[Lvl 1 Header]], TblDetailBudget[[#This Row],[Lvl 1 Header]]))</f>
        <v/>
      </c>
      <c r="F46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6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6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63" s="164"/>
      <c r="J463" s="164"/>
      <c r="K463" s="165"/>
      <c r="L463" s="165"/>
      <c r="M463" s="85" t="str">
        <f>IF(TblDetailBudget[[#This Row],[Level]]=LvlBottomHdr, IFERROR(INDEX(TblUnitCost[Unit], MATCH(TblDetailBudget[[#This Row],[Row Title]], TblUnitCost[Resource], 0)), "Invalid Resource"), "")</f>
        <v/>
      </c>
      <c r="N463" s="126" t="str">
        <f>IF(TblDetailBudget[[#This Row],[Level]]=LvlBottomHdr, IFERROR(INDEX(TblUnitCost[LCU], MATCH(TblDetailBudget[[#This Row],[Row Title]], TblUnitCost[Resource], 0)), "Invalid Resource"), "")</f>
        <v/>
      </c>
      <c r="O463" s="130"/>
      <c r="P463" s="109"/>
      <c r="Q463" s="186"/>
      <c r="R463" s="131"/>
      <c r="S463" s="109" t="s">
        <v>66</v>
      </c>
      <c r="T463" s="109" t="s">
        <v>66</v>
      </c>
      <c r="U463" s="109" t="s">
        <v>66</v>
      </c>
      <c r="V463" s="109" t="s">
        <v>66</v>
      </c>
      <c r="W463" s="109" t="s">
        <v>66</v>
      </c>
      <c r="X463" s="126" t="str">
        <f>IF(TblDetailBudget[[#This Row],[Level]]=LvlBottomHdr, IF(SUM(TblDetailBudget[[#This Row],[2021 Quant]:[2025 Quant]])&gt;0, SUM(TblDetailBudget[[#This Row],[2021 Quant]:[2025 Quant]]), ""), "")</f>
        <v/>
      </c>
      <c r="Y46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6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6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6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6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63" s="142">
        <f>SUM(TblDetailBudget[[#This Row],[2021 Cost (LCU)]:[2025 Cost (LCU)]])</f>
        <v>0</v>
      </c>
      <c r="AE463" s="135">
        <f>IFERROR(SUM(TblDetailBudget[[#This Row],[2021 Cost (LCU)]])/FX_Rate, "")</f>
        <v>0</v>
      </c>
      <c r="AF463" s="86">
        <f>IFERROR(SUM(TblDetailBudget[[#This Row],[2022 Cost (LCU)]])/FX_Rate, "")</f>
        <v>0</v>
      </c>
      <c r="AG463" s="86">
        <f>IFERROR(SUM(TblDetailBudget[[#This Row],[2023 Cost (LCU)]])/FX_Rate, "")</f>
        <v>0</v>
      </c>
      <c r="AH463" s="86">
        <f>IFERROR(SUM(TblDetailBudget[[#This Row],[2024 Cost (LCU)]])/FX_Rate, "")</f>
        <v>0</v>
      </c>
      <c r="AI463" s="86">
        <f>IFERROR(SUM(TblDetailBudget[[#This Row],[2025 Cost (LCU)]])/FX_Rate, "")</f>
        <v>0</v>
      </c>
      <c r="AJ463" s="126">
        <f>SUM(TblDetailBudget[[#This Row],[2021 Cost (USD)]:[2025 Cost (USD)]])</f>
        <v>0</v>
      </c>
      <c r="AK463" s="180"/>
    </row>
    <row r="464" spans="2:37" ht="12.75" customHeight="1">
      <c r="B464" s="123"/>
      <c r="C46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64" s="85" t="str">
        <f>IF(TblDetailBudget[[#This Row],[Level]]="", "", COUNTIFS($B$8:TblDetailBudget[[#This Row],[Level]], Lvl1Hdr))</f>
        <v/>
      </c>
      <c r="E464" s="85" t="str">
        <f>IF(TblDetailBudget[[#This Row],[Level]]="", "", COUNTIFS($B$8:TblDetailBudget[[#This Row],[Level]], Lvl2Hdr, $D$8:TblDetailBudget[[#This Row],[Lvl 1 Header]], TblDetailBudget[[#This Row],[Lvl 1 Header]]))</f>
        <v/>
      </c>
      <c r="F46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6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6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64" s="164"/>
      <c r="J464" s="164"/>
      <c r="K464" s="165"/>
      <c r="L464" s="165"/>
      <c r="M464" s="85" t="str">
        <f>IF(TblDetailBudget[[#This Row],[Level]]=LvlBottomHdr, IFERROR(INDEX(TblUnitCost[Unit], MATCH(TblDetailBudget[[#This Row],[Row Title]], TblUnitCost[Resource], 0)), "Invalid Resource"), "")</f>
        <v/>
      </c>
      <c r="N464" s="126" t="str">
        <f>IF(TblDetailBudget[[#This Row],[Level]]=LvlBottomHdr, IFERROR(INDEX(TblUnitCost[LCU], MATCH(TblDetailBudget[[#This Row],[Row Title]], TblUnitCost[Resource], 0)), "Invalid Resource"), "")</f>
        <v/>
      </c>
      <c r="O464" s="130"/>
      <c r="P464" s="109"/>
      <c r="Q464" s="186"/>
      <c r="R464" s="131"/>
      <c r="S464" s="109" t="s">
        <v>66</v>
      </c>
      <c r="T464" s="109" t="s">
        <v>66</v>
      </c>
      <c r="U464" s="109" t="s">
        <v>66</v>
      </c>
      <c r="V464" s="109" t="s">
        <v>66</v>
      </c>
      <c r="W464" s="109" t="s">
        <v>66</v>
      </c>
      <c r="X464" s="126" t="str">
        <f>IF(TblDetailBudget[[#This Row],[Level]]=LvlBottomHdr, IF(SUM(TblDetailBudget[[#This Row],[2021 Quant]:[2025 Quant]])&gt;0, SUM(TblDetailBudget[[#This Row],[2021 Quant]:[2025 Quant]]), ""), "")</f>
        <v/>
      </c>
      <c r="Y46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6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6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6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6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64" s="142">
        <f>SUM(TblDetailBudget[[#This Row],[2021 Cost (LCU)]:[2025 Cost (LCU)]])</f>
        <v>0</v>
      </c>
      <c r="AE464" s="135">
        <f>IFERROR(SUM(TblDetailBudget[[#This Row],[2021 Cost (LCU)]])/FX_Rate, "")</f>
        <v>0</v>
      </c>
      <c r="AF464" s="86">
        <f>IFERROR(SUM(TblDetailBudget[[#This Row],[2022 Cost (LCU)]])/FX_Rate, "")</f>
        <v>0</v>
      </c>
      <c r="AG464" s="86">
        <f>IFERROR(SUM(TblDetailBudget[[#This Row],[2023 Cost (LCU)]])/FX_Rate, "")</f>
        <v>0</v>
      </c>
      <c r="AH464" s="86">
        <f>IFERROR(SUM(TblDetailBudget[[#This Row],[2024 Cost (LCU)]])/FX_Rate, "")</f>
        <v>0</v>
      </c>
      <c r="AI464" s="86">
        <f>IFERROR(SUM(TblDetailBudget[[#This Row],[2025 Cost (LCU)]])/FX_Rate, "")</f>
        <v>0</v>
      </c>
      <c r="AJ464" s="126">
        <f>SUM(TblDetailBudget[[#This Row],[2021 Cost (USD)]:[2025 Cost (USD)]])</f>
        <v>0</v>
      </c>
      <c r="AK464" s="180"/>
    </row>
    <row r="465" spans="2:37" ht="12.75" customHeight="1">
      <c r="B465" s="123"/>
      <c r="C46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65" s="85" t="str">
        <f>IF(TblDetailBudget[[#This Row],[Level]]="", "", COUNTIFS($B$8:TblDetailBudget[[#This Row],[Level]], Lvl1Hdr))</f>
        <v/>
      </c>
      <c r="E465" s="85" t="str">
        <f>IF(TblDetailBudget[[#This Row],[Level]]="", "", COUNTIFS($B$8:TblDetailBudget[[#This Row],[Level]], Lvl2Hdr, $D$8:TblDetailBudget[[#This Row],[Lvl 1 Header]], TblDetailBudget[[#This Row],[Lvl 1 Header]]))</f>
        <v/>
      </c>
      <c r="F46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6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6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65" s="164"/>
      <c r="J465" s="164"/>
      <c r="K465" s="165"/>
      <c r="L465" s="165"/>
      <c r="M465" s="85" t="str">
        <f>IF(TblDetailBudget[[#This Row],[Level]]=LvlBottomHdr, IFERROR(INDEX(TblUnitCost[Unit], MATCH(TblDetailBudget[[#This Row],[Row Title]], TblUnitCost[Resource], 0)), "Invalid Resource"), "")</f>
        <v/>
      </c>
      <c r="N465" s="126" t="str">
        <f>IF(TblDetailBudget[[#This Row],[Level]]=LvlBottomHdr, IFERROR(INDEX(TblUnitCost[LCU], MATCH(TblDetailBudget[[#This Row],[Row Title]], TblUnitCost[Resource], 0)), "Invalid Resource"), "")</f>
        <v/>
      </c>
      <c r="O465" s="130"/>
      <c r="P465" s="109"/>
      <c r="Q465" s="186"/>
      <c r="R465" s="131"/>
      <c r="S465" s="109" t="s">
        <v>66</v>
      </c>
      <c r="T465" s="109" t="s">
        <v>66</v>
      </c>
      <c r="U465" s="109" t="s">
        <v>66</v>
      </c>
      <c r="V465" s="109" t="s">
        <v>66</v>
      </c>
      <c r="W465" s="109" t="s">
        <v>66</v>
      </c>
      <c r="X465" s="126" t="str">
        <f>IF(TblDetailBudget[[#This Row],[Level]]=LvlBottomHdr, IF(SUM(TblDetailBudget[[#This Row],[2021 Quant]:[2025 Quant]])&gt;0, SUM(TblDetailBudget[[#This Row],[2021 Quant]:[2025 Quant]]), ""), "")</f>
        <v/>
      </c>
      <c r="Y46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6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6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6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6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65" s="142">
        <f>SUM(TblDetailBudget[[#This Row],[2021 Cost (LCU)]:[2025 Cost (LCU)]])</f>
        <v>0</v>
      </c>
      <c r="AE465" s="135">
        <f>IFERROR(SUM(TblDetailBudget[[#This Row],[2021 Cost (LCU)]])/FX_Rate, "")</f>
        <v>0</v>
      </c>
      <c r="AF465" s="86">
        <f>IFERROR(SUM(TblDetailBudget[[#This Row],[2022 Cost (LCU)]])/FX_Rate, "")</f>
        <v>0</v>
      </c>
      <c r="AG465" s="86">
        <f>IFERROR(SUM(TblDetailBudget[[#This Row],[2023 Cost (LCU)]])/FX_Rate, "")</f>
        <v>0</v>
      </c>
      <c r="AH465" s="86">
        <f>IFERROR(SUM(TblDetailBudget[[#This Row],[2024 Cost (LCU)]])/FX_Rate, "")</f>
        <v>0</v>
      </c>
      <c r="AI465" s="86">
        <f>IFERROR(SUM(TblDetailBudget[[#This Row],[2025 Cost (LCU)]])/FX_Rate, "")</f>
        <v>0</v>
      </c>
      <c r="AJ465" s="126">
        <f>SUM(TblDetailBudget[[#This Row],[2021 Cost (USD)]:[2025 Cost (USD)]])</f>
        <v>0</v>
      </c>
      <c r="AK465" s="180"/>
    </row>
    <row r="466" spans="2:37" ht="12.75" customHeight="1">
      <c r="B466" s="123"/>
      <c r="C46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66" s="85" t="str">
        <f>IF(TblDetailBudget[[#This Row],[Level]]="", "", COUNTIFS($B$8:TblDetailBudget[[#This Row],[Level]], Lvl1Hdr))</f>
        <v/>
      </c>
      <c r="E466" s="85" t="str">
        <f>IF(TblDetailBudget[[#This Row],[Level]]="", "", COUNTIFS($B$8:TblDetailBudget[[#This Row],[Level]], Lvl2Hdr, $D$8:TblDetailBudget[[#This Row],[Lvl 1 Header]], TblDetailBudget[[#This Row],[Lvl 1 Header]]))</f>
        <v/>
      </c>
      <c r="F46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6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6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66" s="164"/>
      <c r="J466" s="164"/>
      <c r="K466" s="165"/>
      <c r="L466" s="165"/>
      <c r="M466" s="85" t="str">
        <f>IF(TblDetailBudget[[#This Row],[Level]]=LvlBottomHdr, IFERROR(INDEX(TblUnitCost[Unit], MATCH(TblDetailBudget[[#This Row],[Row Title]], TblUnitCost[Resource], 0)), "Invalid Resource"), "")</f>
        <v/>
      </c>
      <c r="N466" s="126" t="str">
        <f>IF(TblDetailBudget[[#This Row],[Level]]=LvlBottomHdr, IFERROR(INDEX(TblUnitCost[LCU], MATCH(TblDetailBudget[[#This Row],[Row Title]], TblUnitCost[Resource], 0)), "Invalid Resource"), "")</f>
        <v/>
      </c>
      <c r="O466" s="130"/>
      <c r="P466" s="109"/>
      <c r="Q466" s="186"/>
      <c r="R466" s="131"/>
      <c r="S466" s="109" t="s">
        <v>66</v>
      </c>
      <c r="T466" s="109" t="s">
        <v>66</v>
      </c>
      <c r="U466" s="109" t="s">
        <v>66</v>
      </c>
      <c r="V466" s="109" t="s">
        <v>66</v>
      </c>
      <c r="W466" s="109" t="s">
        <v>66</v>
      </c>
      <c r="X466" s="126" t="str">
        <f>IF(TblDetailBudget[[#This Row],[Level]]=LvlBottomHdr, IF(SUM(TblDetailBudget[[#This Row],[2021 Quant]:[2025 Quant]])&gt;0, SUM(TblDetailBudget[[#This Row],[2021 Quant]:[2025 Quant]]), ""), "")</f>
        <v/>
      </c>
      <c r="Y46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6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6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6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6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66" s="142">
        <f>SUM(TblDetailBudget[[#This Row],[2021 Cost (LCU)]:[2025 Cost (LCU)]])</f>
        <v>0</v>
      </c>
      <c r="AE466" s="135">
        <f>IFERROR(SUM(TblDetailBudget[[#This Row],[2021 Cost (LCU)]])/FX_Rate, "")</f>
        <v>0</v>
      </c>
      <c r="AF466" s="86">
        <f>IFERROR(SUM(TblDetailBudget[[#This Row],[2022 Cost (LCU)]])/FX_Rate, "")</f>
        <v>0</v>
      </c>
      <c r="AG466" s="86">
        <f>IFERROR(SUM(TblDetailBudget[[#This Row],[2023 Cost (LCU)]])/FX_Rate, "")</f>
        <v>0</v>
      </c>
      <c r="AH466" s="86">
        <f>IFERROR(SUM(TblDetailBudget[[#This Row],[2024 Cost (LCU)]])/FX_Rate, "")</f>
        <v>0</v>
      </c>
      <c r="AI466" s="86">
        <f>IFERROR(SUM(TblDetailBudget[[#This Row],[2025 Cost (LCU)]])/FX_Rate, "")</f>
        <v>0</v>
      </c>
      <c r="AJ466" s="126">
        <f>SUM(TblDetailBudget[[#This Row],[2021 Cost (USD)]:[2025 Cost (USD)]])</f>
        <v>0</v>
      </c>
      <c r="AK466" s="180"/>
    </row>
    <row r="467" spans="2:37" ht="12.75" customHeight="1">
      <c r="B467" s="123"/>
      <c r="C46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67" s="85" t="str">
        <f>IF(TblDetailBudget[[#This Row],[Level]]="", "", COUNTIFS($B$8:TblDetailBudget[[#This Row],[Level]], Lvl1Hdr))</f>
        <v/>
      </c>
      <c r="E467" s="85" t="str">
        <f>IF(TblDetailBudget[[#This Row],[Level]]="", "", COUNTIFS($B$8:TblDetailBudget[[#This Row],[Level]], Lvl2Hdr, $D$8:TblDetailBudget[[#This Row],[Lvl 1 Header]], TblDetailBudget[[#This Row],[Lvl 1 Header]]))</f>
        <v/>
      </c>
      <c r="F46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6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6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67" s="164"/>
      <c r="J467" s="164"/>
      <c r="K467" s="165"/>
      <c r="L467" s="165"/>
      <c r="M467" s="85" t="str">
        <f>IF(TblDetailBudget[[#This Row],[Level]]=LvlBottomHdr, IFERROR(INDEX(TblUnitCost[Unit], MATCH(TblDetailBudget[[#This Row],[Row Title]], TblUnitCost[Resource], 0)), "Invalid Resource"), "")</f>
        <v/>
      </c>
      <c r="N467" s="126" t="str">
        <f>IF(TblDetailBudget[[#This Row],[Level]]=LvlBottomHdr, IFERROR(INDEX(TblUnitCost[LCU], MATCH(TblDetailBudget[[#This Row],[Row Title]], TblUnitCost[Resource], 0)), "Invalid Resource"), "")</f>
        <v/>
      </c>
      <c r="O467" s="130"/>
      <c r="P467" s="109"/>
      <c r="Q467" s="186"/>
      <c r="R467" s="131"/>
      <c r="S467" s="109" t="s">
        <v>66</v>
      </c>
      <c r="T467" s="109" t="s">
        <v>66</v>
      </c>
      <c r="U467" s="109" t="s">
        <v>66</v>
      </c>
      <c r="V467" s="109" t="s">
        <v>66</v>
      </c>
      <c r="W467" s="109" t="s">
        <v>66</v>
      </c>
      <c r="X467" s="126" t="str">
        <f>IF(TblDetailBudget[[#This Row],[Level]]=LvlBottomHdr, IF(SUM(TblDetailBudget[[#This Row],[2021 Quant]:[2025 Quant]])&gt;0, SUM(TblDetailBudget[[#This Row],[2021 Quant]:[2025 Quant]]), ""), "")</f>
        <v/>
      </c>
      <c r="Y46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6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6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6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6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67" s="142">
        <f>SUM(TblDetailBudget[[#This Row],[2021 Cost (LCU)]:[2025 Cost (LCU)]])</f>
        <v>0</v>
      </c>
      <c r="AE467" s="135">
        <f>IFERROR(SUM(TblDetailBudget[[#This Row],[2021 Cost (LCU)]])/FX_Rate, "")</f>
        <v>0</v>
      </c>
      <c r="AF467" s="86">
        <f>IFERROR(SUM(TblDetailBudget[[#This Row],[2022 Cost (LCU)]])/FX_Rate, "")</f>
        <v>0</v>
      </c>
      <c r="AG467" s="86">
        <f>IFERROR(SUM(TblDetailBudget[[#This Row],[2023 Cost (LCU)]])/FX_Rate, "")</f>
        <v>0</v>
      </c>
      <c r="AH467" s="86">
        <f>IFERROR(SUM(TblDetailBudget[[#This Row],[2024 Cost (LCU)]])/FX_Rate, "")</f>
        <v>0</v>
      </c>
      <c r="AI467" s="86">
        <f>IFERROR(SUM(TblDetailBudget[[#This Row],[2025 Cost (LCU)]])/FX_Rate, "")</f>
        <v>0</v>
      </c>
      <c r="AJ467" s="126">
        <f>SUM(TblDetailBudget[[#This Row],[2021 Cost (USD)]:[2025 Cost (USD)]])</f>
        <v>0</v>
      </c>
      <c r="AK467" s="180"/>
    </row>
    <row r="468" spans="2:37" ht="12.75" customHeight="1">
      <c r="B468" s="123"/>
      <c r="C46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68" s="85" t="str">
        <f>IF(TblDetailBudget[[#This Row],[Level]]="", "", COUNTIFS($B$8:TblDetailBudget[[#This Row],[Level]], Lvl1Hdr))</f>
        <v/>
      </c>
      <c r="E468" s="85" t="str">
        <f>IF(TblDetailBudget[[#This Row],[Level]]="", "", COUNTIFS($B$8:TblDetailBudget[[#This Row],[Level]], Lvl2Hdr, $D$8:TblDetailBudget[[#This Row],[Lvl 1 Header]], TblDetailBudget[[#This Row],[Lvl 1 Header]]))</f>
        <v/>
      </c>
      <c r="F46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6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6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68" s="164"/>
      <c r="J468" s="164"/>
      <c r="K468" s="165"/>
      <c r="L468" s="165"/>
      <c r="M468" s="85" t="str">
        <f>IF(TblDetailBudget[[#This Row],[Level]]=LvlBottomHdr, IFERROR(INDEX(TblUnitCost[Unit], MATCH(TblDetailBudget[[#This Row],[Row Title]], TblUnitCost[Resource], 0)), "Invalid Resource"), "")</f>
        <v/>
      </c>
      <c r="N468" s="126" t="str">
        <f>IF(TblDetailBudget[[#This Row],[Level]]=LvlBottomHdr, IFERROR(INDEX(TblUnitCost[LCU], MATCH(TblDetailBudget[[#This Row],[Row Title]], TblUnitCost[Resource], 0)), "Invalid Resource"), "")</f>
        <v/>
      </c>
      <c r="O468" s="130"/>
      <c r="P468" s="109"/>
      <c r="Q468" s="186"/>
      <c r="R468" s="131"/>
      <c r="S468" s="109" t="s">
        <v>66</v>
      </c>
      <c r="T468" s="109" t="s">
        <v>66</v>
      </c>
      <c r="U468" s="109" t="s">
        <v>66</v>
      </c>
      <c r="V468" s="109" t="s">
        <v>66</v>
      </c>
      <c r="W468" s="109" t="s">
        <v>66</v>
      </c>
      <c r="X468" s="126" t="str">
        <f>IF(TblDetailBudget[[#This Row],[Level]]=LvlBottomHdr, IF(SUM(TblDetailBudget[[#This Row],[2021 Quant]:[2025 Quant]])&gt;0, SUM(TblDetailBudget[[#This Row],[2021 Quant]:[2025 Quant]]), ""), "")</f>
        <v/>
      </c>
      <c r="Y46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6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6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6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6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68" s="142">
        <f>SUM(TblDetailBudget[[#This Row],[2021 Cost (LCU)]:[2025 Cost (LCU)]])</f>
        <v>0</v>
      </c>
      <c r="AE468" s="135">
        <f>IFERROR(SUM(TblDetailBudget[[#This Row],[2021 Cost (LCU)]])/FX_Rate, "")</f>
        <v>0</v>
      </c>
      <c r="AF468" s="86">
        <f>IFERROR(SUM(TblDetailBudget[[#This Row],[2022 Cost (LCU)]])/FX_Rate, "")</f>
        <v>0</v>
      </c>
      <c r="AG468" s="86">
        <f>IFERROR(SUM(TblDetailBudget[[#This Row],[2023 Cost (LCU)]])/FX_Rate, "")</f>
        <v>0</v>
      </c>
      <c r="AH468" s="86">
        <f>IFERROR(SUM(TblDetailBudget[[#This Row],[2024 Cost (LCU)]])/FX_Rate, "")</f>
        <v>0</v>
      </c>
      <c r="AI468" s="86">
        <f>IFERROR(SUM(TblDetailBudget[[#This Row],[2025 Cost (LCU)]])/FX_Rate, "")</f>
        <v>0</v>
      </c>
      <c r="AJ468" s="126">
        <f>SUM(TblDetailBudget[[#This Row],[2021 Cost (USD)]:[2025 Cost (USD)]])</f>
        <v>0</v>
      </c>
      <c r="AK468" s="180"/>
    </row>
    <row r="469" spans="2:37" ht="12.75" customHeight="1">
      <c r="B469" s="123"/>
      <c r="C46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69" s="85" t="str">
        <f>IF(TblDetailBudget[[#This Row],[Level]]="", "", COUNTIFS($B$8:TblDetailBudget[[#This Row],[Level]], Lvl1Hdr))</f>
        <v/>
      </c>
      <c r="E469" s="85" t="str">
        <f>IF(TblDetailBudget[[#This Row],[Level]]="", "", COUNTIFS($B$8:TblDetailBudget[[#This Row],[Level]], Lvl2Hdr, $D$8:TblDetailBudget[[#This Row],[Lvl 1 Header]], TblDetailBudget[[#This Row],[Lvl 1 Header]]))</f>
        <v/>
      </c>
      <c r="F46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6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6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69" s="164"/>
      <c r="J469" s="164"/>
      <c r="K469" s="165"/>
      <c r="L469" s="165"/>
      <c r="M469" s="85" t="str">
        <f>IF(TblDetailBudget[[#This Row],[Level]]=LvlBottomHdr, IFERROR(INDEX(TblUnitCost[Unit], MATCH(TblDetailBudget[[#This Row],[Row Title]], TblUnitCost[Resource], 0)), "Invalid Resource"), "")</f>
        <v/>
      </c>
      <c r="N469" s="126" t="str">
        <f>IF(TblDetailBudget[[#This Row],[Level]]=LvlBottomHdr, IFERROR(INDEX(TblUnitCost[LCU], MATCH(TblDetailBudget[[#This Row],[Row Title]], TblUnitCost[Resource], 0)), "Invalid Resource"), "")</f>
        <v/>
      </c>
      <c r="O469" s="130"/>
      <c r="P469" s="109"/>
      <c r="Q469" s="186"/>
      <c r="R469" s="131"/>
      <c r="S469" s="109" t="s">
        <v>66</v>
      </c>
      <c r="T469" s="109" t="s">
        <v>66</v>
      </c>
      <c r="U469" s="109" t="s">
        <v>66</v>
      </c>
      <c r="V469" s="109" t="s">
        <v>66</v>
      </c>
      <c r="W469" s="109" t="s">
        <v>66</v>
      </c>
      <c r="X469" s="126" t="str">
        <f>IF(TblDetailBudget[[#This Row],[Level]]=LvlBottomHdr, IF(SUM(TblDetailBudget[[#This Row],[2021 Quant]:[2025 Quant]])&gt;0, SUM(TblDetailBudget[[#This Row],[2021 Quant]:[2025 Quant]]), ""), "")</f>
        <v/>
      </c>
      <c r="Y46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6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6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6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6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69" s="142">
        <f>SUM(TblDetailBudget[[#This Row],[2021 Cost (LCU)]:[2025 Cost (LCU)]])</f>
        <v>0</v>
      </c>
      <c r="AE469" s="135">
        <f>IFERROR(SUM(TblDetailBudget[[#This Row],[2021 Cost (LCU)]])/FX_Rate, "")</f>
        <v>0</v>
      </c>
      <c r="AF469" s="86">
        <f>IFERROR(SUM(TblDetailBudget[[#This Row],[2022 Cost (LCU)]])/FX_Rate, "")</f>
        <v>0</v>
      </c>
      <c r="AG469" s="86">
        <f>IFERROR(SUM(TblDetailBudget[[#This Row],[2023 Cost (LCU)]])/FX_Rate, "")</f>
        <v>0</v>
      </c>
      <c r="AH469" s="86">
        <f>IFERROR(SUM(TblDetailBudget[[#This Row],[2024 Cost (LCU)]])/FX_Rate, "")</f>
        <v>0</v>
      </c>
      <c r="AI469" s="86">
        <f>IFERROR(SUM(TblDetailBudget[[#This Row],[2025 Cost (LCU)]])/FX_Rate, "")</f>
        <v>0</v>
      </c>
      <c r="AJ469" s="126">
        <f>SUM(TblDetailBudget[[#This Row],[2021 Cost (USD)]:[2025 Cost (USD)]])</f>
        <v>0</v>
      </c>
      <c r="AK469" s="180"/>
    </row>
    <row r="470" spans="2:37" ht="12.75" customHeight="1">
      <c r="B470" s="123"/>
      <c r="C47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70" s="85" t="str">
        <f>IF(TblDetailBudget[[#This Row],[Level]]="", "", COUNTIFS($B$8:TblDetailBudget[[#This Row],[Level]], Lvl1Hdr))</f>
        <v/>
      </c>
      <c r="E470" s="85" t="str">
        <f>IF(TblDetailBudget[[#This Row],[Level]]="", "", COUNTIFS($B$8:TblDetailBudget[[#This Row],[Level]], Lvl2Hdr, $D$8:TblDetailBudget[[#This Row],[Lvl 1 Header]], TblDetailBudget[[#This Row],[Lvl 1 Header]]))</f>
        <v/>
      </c>
      <c r="F47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7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7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70" s="164"/>
      <c r="J470" s="164"/>
      <c r="K470" s="165"/>
      <c r="L470" s="165"/>
      <c r="M470" s="85" t="str">
        <f>IF(TblDetailBudget[[#This Row],[Level]]=LvlBottomHdr, IFERROR(INDEX(TblUnitCost[Unit], MATCH(TblDetailBudget[[#This Row],[Row Title]], TblUnitCost[Resource], 0)), "Invalid Resource"), "")</f>
        <v/>
      </c>
      <c r="N470" s="126" t="str">
        <f>IF(TblDetailBudget[[#This Row],[Level]]=LvlBottomHdr, IFERROR(INDEX(TblUnitCost[LCU], MATCH(TblDetailBudget[[#This Row],[Row Title]], TblUnitCost[Resource], 0)), "Invalid Resource"), "")</f>
        <v/>
      </c>
      <c r="O470" s="130"/>
      <c r="P470" s="109"/>
      <c r="Q470" s="186"/>
      <c r="R470" s="131"/>
      <c r="S470" s="109" t="s">
        <v>66</v>
      </c>
      <c r="T470" s="109" t="s">
        <v>66</v>
      </c>
      <c r="U470" s="109" t="s">
        <v>66</v>
      </c>
      <c r="V470" s="109" t="s">
        <v>66</v>
      </c>
      <c r="W470" s="109" t="s">
        <v>66</v>
      </c>
      <c r="X470" s="126" t="str">
        <f>IF(TblDetailBudget[[#This Row],[Level]]=LvlBottomHdr, IF(SUM(TblDetailBudget[[#This Row],[2021 Quant]:[2025 Quant]])&gt;0, SUM(TblDetailBudget[[#This Row],[2021 Quant]:[2025 Quant]]), ""), "")</f>
        <v/>
      </c>
      <c r="Y47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7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7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7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7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70" s="142">
        <f>SUM(TblDetailBudget[[#This Row],[2021 Cost (LCU)]:[2025 Cost (LCU)]])</f>
        <v>0</v>
      </c>
      <c r="AE470" s="135">
        <f>IFERROR(SUM(TblDetailBudget[[#This Row],[2021 Cost (LCU)]])/FX_Rate, "")</f>
        <v>0</v>
      </c>
      <c r="AF470" s="86">
        <f>IFERROR(SUM(TblDetailBudget[[#This Row],[2022 Cost (LCU)]])/FX_Rate, "")</f>
        <v>0</v>
      </c>
      <c r="AG470" s="86">
        <f>IFERROR(SUM(TblDetailBudget[[#This Row],[2023 Cost (LCU)]])/FX_Rate, "")</f>
        <v>0</v>
      </c>
      <c r="AH470" s="86">
        <f>IFERROR(SUM(TblDetailBudget[[#This Row],[2024 Cost (LCU)]])/FX_Rate, "")</f>
        <v>0</v>
      </c>
      <c r="AI470" s="86">
        <f>IFERROR(SUM(TblDetailBudget[[#This Row],[2025 Cost (LCU)]])/FX_Rate, "")</f>
        <v>0</v>
      </c>
      <c r="AJ470" s="126">
        <f>SUM(TblDetailBudget[[#This Row],[2021 Cost (USD)]:[2025 Cost (USD)]])</f>
        <v>0</v>
      </c>
      <c r="AK470" s="180"/>
    </row>
    <row r="471" spans="2:37" ht="12.75" customHeight="1">
      <c r="B471" s="123"/>
      <c r="C47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71" s="85" t="str">
        <f>IF(TblDetailBudget[[#This Row],[Level]]="", "", COUNTIFS($B$8:TblDetailBudget[[#This Row],[Level]], Lvl1Hdr))</f>
        <v/>
      </c>
      <c r="E471" s="85" t="str">
        <f>IF(TblDetailBudget[[#This Row],[Level]]="", "", COUNTIFS($B$8:TblDetailBudget[[#This Row],[Level]], Lvl2Hdr, $D$8:TblDetailBudget[[#This Row],[Lvl 1 Header]], TblDetailBudget[[#This Row],[Lvl 1 Header]]))</f>
        <v/>
      </c>
      <c r="F47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7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7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71" s="164"/>
      <c r="J471" s="164"/>
      <c r="K471" s="165"/>
      <c r="L471" s="165"/>
      <c r="M471" s="85" t="str">
        <f>IF(TblDetailBudget[[#This Row],[Level]]=LvlBottomHdr, IFERROR(INDEX(TblUnitCost[Unit], MATCH(TblDetailBudget[[#This Row],[Row Title]], TblUnitCost[Resource], 0)), "Invalid Resource"), "")</f>
        <v/>
      </c>
      <c r="N471" s="126" t="str">
        <f>IF(TblDetailBudget[[#This Row],[Level]]=LvlBottomHdr, IFERROR(INDEX(TblUnitCost[LCU], MATCH(TblDetailBudget[[#This Row],[Row Title]], TblUnitCost[Resource], 0)), "Invalid Resource"), "")</f>
        <v/>
      </c>
      <c r="O471" s="130"/>
      <c r="P471" s="109"/>
      <c r="Q471" s="186"/>
      <c r="R471" s="131"/>
      <c r="S471" s="109" t="s">
        <v>66</v>
      </c>
      <c r="T471" s="109" t="s">
        <v>66</v>
      </c>
      <c r="U471" s="109" t="s">
        <v>66</v>
      </c>
      <c r="V471" s="109" t="s">
        <v>66</v>
      </c>
      <c r="W471" s="109" t="s">
        <v>66</v>
      </c>
      <c r="X471" s="126" t="str">
        <f>IF(TblDetailBudget[[#This Row],[Level]]=LvlBottomHdr, IF(SUM(TblDetailBudget[[#This Row],[2021 Quant]:[2025 Quant]])&gt;0, SUM(TblDetailBudget[[#This Row],[2021 Quant]:[2025 Quant]]), ""), "")</f>
        <v/>
      </c>
      <c r="Y47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7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7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7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7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71" s="142">
        <f>SUM(TblDetailBudget[[#This Row],[2021 Cost (LCU)]:[2025 Cost (LCU)]])</f>
        <v>0</v>
      </c>
      <c r="AE471" s="135">
        <f>IFERROR(SUM(TblDetailBudget[[#This Row],[2021 Cost (LCU)]])/FX_Rate, "")</f>
        <v>0</v>
      </c>
      <c r="AF471" s="86">
        <f>IFERROR(SUM(TblDetailBudget[[#This Row],[2022 Cost (LCU)]])/FX_Rate, "")</f>
        <v>0</v>
      </c>
      <c r="AG471" s="86">
        <f>IFERROR(SUM(TblDetailBudget[[#This Row],[2023 Cost (LCU)]])/FX_Rate, "")</f>
        <v>0</v>
      </c>
      <c r="AH471" s="86">
        <f>IFERROR(SUM(TblDetailBudget[[#This Row],[2024 Cost (LCU)]])/FX_Rate, "")</f>
        <v>0</v>
      </c>
      <c r="AI471" s="86">
        <f>IFERROR(SUM(TblDetailBudget[[#This Row],[2025 Cost (LCU)]])/FX_Rate, "")</f>
        <v>0</v>
      </c>
      <c r="AJ471" s="126">
        <f>SUM(TblDetailBudget[[#This Row],[2021 Cost (USD)]:[2025 Cost (USD)]])</f>
        <v>0</v>
      </c>
      <c r="AK471" s="180"/>
    </row>
    <row r="472" spans="2:37" ht="12.75" customHeight="1">
      <c r="B472" s="123"/>
      <c r="C47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72" s="85" t="str">
        <f>IF(TblDetailBudget[[#This Row],[Level]]="", "", COUNTIFS($B$8:TblDetailBudget[[#This Row],[Level]], Lvl1Hdr))</f>
        <v/>
      </c>
      <c r="E472" s="85" t="str">
        <f>IF(TblDetailBudget[[#This Row],[Level]]="", "", COUNTIFS($B$8:TblDetailBudget[[#This Row],[Level]], Lvl2Hdr, $D$8:TblDetailBudget[[#This Row],[Lvl 1 Header]], TblDetailBudget[[#This Row],[Lvl 1 Header]]))</f>
        <v/>
      </c>
      <c r="F47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7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7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72" s="164"/>
      <c r="J472" s="164"/>
      <c r="K472" s="165"/>
      <c r="L472" s="165"/>
      <c r="M472" s="85" t="str">
        <f>IF(TblDetailBudget[[#This Row],[Level]]=LvlBottomHdr, IFERROR(INDEX(TblUnitCost[Unit], MATCH(TblDetailBudget[[#This Row],[Row Title]], TblUnitCost[Resource], 0)), "Invalid Resource"), "")</f>
        <v/>
      </c>
      <c r="N472" s="126" t="str">
        <f>IF(TblDetailBudget[[#This Row],[Level]]=LvlBottomHdr, IFERROR(INDEX(TblUnitCost[LCU], MATCH(TblDetailBudget[[#This Row],[Row Title]], TblUnitCost[Resource], 0)), "Invalid Resource"), "")</f>
        <v/>
      </c>
      <c r="O472" s="130"/>
      <c r="P472" s="109"/>
      <c r="Q472" s="186"/>
      <c r="R472" s="131"/>
      <c r="S472" s="109" t="s">
        <v>66</v>
      </c>
      <c r="T472" s="109" t="s">
        <v>66</v>
      </c>
      <c r="U472" s="109" t="s">
        <v>66</v>
      </c>
      <c r="V472" s="109" t="s">
        <v>66</v>
      </c>
      <c r="W472" s="109" t="s">
        <v>66</v>
      </c>
      <c r="X472" s="126" t="str">
        <f>IF(TblDetailBudget[[#This Row],[Level]]=LvlBottomHdr, IF(SUM(TblDetailBudget[[#This Row],[2021 Quant]:[2025 Quant]])&gt;0, SUM(TblDetailBudget[[#This Row],[2021 Quant]:[2025 Quant]]), ""), "")</f>
        <v/>
      </c>
      <c r="Y47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7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7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7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7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72" s="142">
        <f>SUM(TblDetailBudget[[#This Row],[2021 Cost (LCU)]:[2025 Cost (LCU)]])</f>
        <v>0</v>
      </c>
      <c r="AE472" s="135">
        <f>IFERROR(SUM(TblDetailBudget[[#This Row],[2021 Cost (LCU)]])/FX_Rate, "")</f>
        <v>0</v>
      </c>
      <c r="AF472" s="86">
        <f>IFERROR(SUM(TblDetailBudget[[#This Row],[2022 Cost (LCU)]])/FX_Rate, "")</f>
        <v>0</v>
      </c>
      <c r="AG472" s="86">
        <f>IFERROR(SUM(TblDetailBudget[[#This Row],[2023 Cost (LCU)]])/FX_Rate, "")</f>
        <v>0</v>
      </c>
      <c r="AH472" s="86">
        <f>IFERROR(SUM(TblDetailBudget[[#This Row],[2024 Cost (LCU)]])/FX_Rate, "")</f>
        <v>0</v>
      </c>
      <c r="AI472" s="86">
        <f>IFERROR(SUM(TblDetailBudget[[#This Row],[2025 Cost (LCU)]])/FX_Rate, "")</f>
        <v>0</v>
      </c>
      <c r="AJ472" s="126">
        <f>SUM(TblDetailBudget[[#This Row],[2021 Cost (USD)]:[2025 Cost (USD)]])</f>
        <v>0</v>
      </c>
      <c r="AK472" s="180"/>
    </row>
    <row r="473" spans="2:37" ht="12.75" customHeight="1">
      <c r="B473" s="123"/>
      <c r="C47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73" s="85" t="str">
        <f>IF(TblDetailBudget[[#This Row],[Level]]="", "", COUNTIFS($B$8:TblDetailBudget[[#This Row],[Level]], Lvl1Hdr))</f>
        <v/>
      </c>
      <c r="E473" s="85" t="str">
        <f>IF(TblDetailBudget[[#This Row],[Level]]="", "", COUNTIFS($B$8:TblDetailBudget[[#This Row],[Level]], Lvl2Hdr, $D$8:TblDetailBudget[[#This Row],[Lvl 1 Header]], TblDetailBudget[[#This Row],[Lvl 1 Header]]))</f>
        <v/>
      </c>
      <c r="F47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7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7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73" s="164"/>
      <c r="J473" s="164"/>
      <c r="K473" s="165"/>
      <c r="L473" s="165"/>
      <c r="M473" s="85" t="str">
        <f>IF(TblDetailBudget[[#This Row],[Level]]=LvlBottomHdr, IFERROR(INDEX(TblUnitCost[Unit], MATCH(TblDetailBudget[[#This Row],[Row Title]], TblUnitCost[Resource], 0)), "Invalid Resource"), "")</f>
        <v/>
      </c>
      <c r="N473" s="126" t="str">
        <f>IF(TblDetailBudget[[#This Row],[Level]]=LvlBottomHdr, IFERROR(INDEX(TblUnitCost[LCU], MATCH(TblDetailBudget[[#This Row],[Row Title]], TblUnitCost[Resource], 0)), "Invalid Resource"), "")</f>
        <v/>
      </c>
      <c r="O473" s="130"/>
      <c r="P473" s="109"/>
      <c r="Q473" s="186"/>
      <c r="R473" s="131"/>
      <c r="S473" s="109" t="s">
        <v>66</v>
      </c>
      <c r="T473" s="109" t="s">
        <v>66</v>
      </c>
      <c r="U473" s="109" t="s">
        <v>66</v>
      </c>
      <c r="V473" s="109" t="s">
        <v>66</v>
      </c>
      <c r="W473" s="109" t="s">
        <v>66</v>
      </c>
      <c r="X473" s="126" t="str">
        <f>IF(TblDetailBudget[[#This Row],[Level]]=LvlBottomHdr, IF(SUM(TblDetailBudget[[#This Row],[2021 Quant]:[2025 Quant]])&gt;0, SUM(TblDetailBudget[[#This Row],[2021 Quant]:[2025 Quant]]), ""), "")</f>
        <v/>
      </c>
      <c r="Y47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7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7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7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7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73" s="142">
        <f>SUM(TblDetailBudget[[#This Row],[2021 Cost (LCU)]:[2025 Cost (LCU)]])</f>
        <v>0</v>
      </c>
      <c r="AE473" s="135">
        <f>IFERROR(SUM(TblDetailBudget[[#This Row],[2021 Cost (LCU)]])/FX_Rate, "")</f>
        <v>0</v>
      </c>
      <c r="AF473" s="86">
        <f>IFERROR(SUM(TblDetailBudget[[#This Row],[2022 Cost (LCU)]])/FX_Rate, "")</f>
        <v>0</v>
      </c>
      <c r="AG473" s="86">
        <f>IFERROR(SUM(TblDetailBudget[[#This Row],[2023 Cost (LCU)]])/FX_Rate, "")</f>
        <v>0</v>
      </c>
      <c r="AH473" s="86">
        <f>IFERROR(SUM(TblDetailBudget[[#This Row],[2024 Cost (LCU)]])/FX_Rate, "")</f>
        <v>0</v>
      </c>
      <c r="AI473" s="86">
        <f>IFERROR(SUM(TblDetailBudget[[#This Row],[2025 Cost (LCU)]])/FX_Rate, "")</f>
        <v>0</v>
      </c>
      <c r="AJ473" s="126">
        <f>SUM(TblDetailBudget[[#This Row],[2021 Cost (USD)]:[2025 Cost (USD)]])</f>
        <v>0</v>
      </c>
      <c r="AK473" s="180"/>
    </row>
    <row r="474" spans="2:37" ht="12.75" customHeight="1">
      <c r="B474" s="123"/>
      <c r="C47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74" s="85" t="str">
        <f>IF(TblDetailBudget[[#This Row],[Level]]="", "", COUNTIFS($B$8:TblDetailBudget[[#This Row],[Level]], Lvl1Hdr))</f>
        <v/>
      </c>
      <c r="E474" s="85" t="str">
        <f>IF(TblDetailBudget[[#This Row],[Level]]="", "", COUNTIFS($B$8:TblDetailBudget[[#This Row],[Level]], Lvl2Hdr, $D$8:TblDetailBudget[[#This Row],[Lvl 1 Header]], TblDetailBudget[[#This Row],[Lvl 1 Header]]))</f>
        <v/>
      </c>
      <c r="F47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7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7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74" s="164"/>
      <c r="J474" s="164"/>
      <c r="K474" s="165"/>
      <c r="L474" s="165"/>
      <c r="M474" s="85" t="str">
        <f>IF(TblDetailBudget[[#This Row],[Level]]=LvlBottomHdr, IFERROR(INDEX(TblUnitCost[Unit], MATCH(TblDetailBudget[[#This Row],[Row Title]], TblUnitCost[Resource], 0)), "Invalid Resource"), "")</f>
        <v/>
      </c>
      <c r="N474" s="126" t="str">
        <f>IF(TblDetailBudget[[#This Row],[Level]]=LvlBottomHdr, IFERROR(INDEX(TblUnitCost[LCU], MATCH(TblDetailBudget[[#This Row],[Row Title]], TblUnitCost[Resource], 0)), "Invalid Resource"), "")</f>
        <v/>
      </c>
      <c r="O474" s="130"/>
      <c r="P474" s="109"/>
      <c r="Q474" s="186"/>
      <c r="R474" s="131"/>
      <c r="S474" s="109" t="s">
        <v>66</v>
      </c>
      <c r="T474" s="109" t="s">
        <v>66</v>
      </c>
      <c r="U474" s="109" t="s">
        <v>66</v>
      </c>
      <c r="V474" s="109" t="s">
        <v>66</v>
      </c>
      <c r="W474" s="109" t="s">
        <v>66</v>
      </c>
      <c r="X474" s="126" t="str">
        <f>IF(TblDetailBudget[[#This Row],[Level]]=LvlBottomHdr, IF(SUM(TblDetailBudget[[#This Row],[2021 Quant]:[2025 Quant]])&gt;0, SUM(TblDetailBudget[[#This Row],[2021 Quant]:[2025 Quant]]), ""), "")</f>
        <v/>
      </c>
      <c r="Y47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7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7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7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7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74" s="142">
        <f>SUM(TblDetailBudget[[#This Row],[2021 Cost (LCU)]:[2025 Cost (LCU)]])</f>
        <v>0</v>
      </c>
      <c r="AE474" s="135">
        <f>IFERROR(SUM(TblDetailBudget[[#This Row],[2021 Cost (LCU)]])/FX_Rate, "")</f>
        <v>0</v>
      </c>
      <c r="AF474" s="86">
        <f>IFERROR(SUM(TblDetailBudget[[#This Row],[2022 Cost (LCU)]])/FX_Rate, "")</f>
        <v>0</v>
      </c>
      <c r="AG474" s="86">
        <f>IFERROR(SUM(TblDetailBudget[[#This Row],[2023 Cost (LCU)]])/FX_Rate, "")</f>
        <v>0</v>
      </c>
      <c r="AH474" s="86">
        <f>IFERROR(SUM(TblDetailBudget[[#This Row],[2024 Cost (LCU)]])/FX_Rate, "")</f>
        <v>0</v>
      </c>
      <c r="AI474" s="86">
        <f>IFERROR(SUM(TblDetailBudget[[#This Row],[2025 Cost (LCU)]])/FX_Rate, "")</f>
        <v>0</v>
      </c>
      <c r="AJ474" s="126">
        <f>SUM(TblDetailBudget[[#This Row],[2021 Cost (USD)]:[2025 Cost (USD)]])</f>
        <v>0</v>
      </c>
      <c r="AK474" s="180"/>
    </row>
    <row r="475" spans="2:37" ht="12.75" customHeight="1">
      <c r="B475" s="123"/>
      <c r="C47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75" s="85" t="str">
        <f>IF(TblDetailBudget[[#This Row],[Level]]="", "", COUNTIFS($B$8:TblDetailBudget[[#This Row],[Level]], Lvl1Hdr))</f>
        <v/>
      </c>
      <c r="E475" s="85" t="str">
        <f>IF(TblDetailBudget[[#This Row],[Level]]="", "", COUNTIFS($B$8:TblDetailBudget[[#This Row],[Level]], Lvl2Hdr, $D$8:TblDetailBudget[[#This Row],[Lvl 1 Header]], TblDetailBudget[[#This Row],[Lvl 1 Header]]))</f>
        <v/>
      </c>
      <c r="F47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7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7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75" s="164"/>
      <c r="J475" s="164"/>
      <c r="K475" s="165"/>
      <c r="L475" s="165"/>
      <c r="M475" s="85" t="str">
        <f>IF(TblDetailBudget[[#This Row],[Level]]=LvlBottomHdr, IFERROR(INDEX(TblUnitCost[Unit], MATCH(TblDetailBudget[[#This Row],[Row Title]], TblUnitCost[Resource], 0)), "Invalid Resource"), "")</f>
        <v/>
      </c>
      <c r="N475" s="126" t="str">
        <f>IF(TblDetailBudget[[#This Row],[Level]]=LvlBottomHdr, IFERROR(INDEX(TblUnitCost[LCU], MATCH(TblDetailBudget[[#This Row],[Row Title]], TblUnitCost[Resource], 0)), "Invalid Resource"), "")</f>
        <v/>
      </c>
      <c r="O475" s="130"/>
      <c r="P475" s="109"/>
      <c r="Q475" s="186"/>
      <c r="R475" s="131"/>
      <c r="S475" s="109" t="s">
        <v>66</v>
      </c>
      <c r="T475" s="109" t="s">
        <v>66</v>
      </c>
      <c r="U475" s="109" t="s">
        <v>66</v>
      </c>
      <c r="V475" s="109" t="s">
        <v>66</v>
      </c>
      <c r="W475" s="109" t="s">
        <v>66</v>
      </c>
      <c r="X475" s="126" t="str">
        <f>IF(TblDetailBudget[[#This Row],[Level]]=LvlBottomHdr, IF(SUM(TblDetailBudget[[#This Row],[2021 Quant]:[2025 Quant]])&gt;0, SUM(TblDetailBudget[[#This Row],[2021 Quant]:[2025 Quant]]), ""), "")</f>
        <v/>
      </c>
      <c r="Y47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7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7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7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7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75" s="142">
        <f>SUM(TblDetailBudget[[#This Row],[2021 Cost (LCU)]:[2025 Cost (LCU)]])</f>
        <v>0</v>
      </c>
      <c r="AE475" s="135">
        <f>IFERROR(SUM(TblDetailBudget[[#This Row],[2021 Cost (LCU)]])/FX_Rate, "")</f>
        <v>0</v>
      </c>
      <c r="AF475" s="86">
        <f>IFERROR(SUM(TblDetailBudget[[#This Row],[2022 Cost (LCU)]])/FX_Rate, "")</f>
        <v>0</v>
      </c>
      <c r="AG475" s="86">
        <f>IFERROR(SUM(TblDetailBudget[[#This Row],[2023 Cost (LCU)]])/FX_Rate, "")</f>
        <v>0</v>
      </c>
      <c r="AH475" s="86">
        <f>IFERROR(SUM(TblDetailBudget[[#This Row],[2024 Cost (LCU)]])/FX_Rate, "")</f>
        <v>0</v>
      </c>
      <c r="AI475" s="86">
        <f>IFERROR(SUM(TblDetailBudget[[#This Row],[2025 Cost (LCU)]])/FX_Rate, "")</f>
        <v>0</v>
      </c>
      <c r="AJ475" s="126">
        <f>SUM(TblDetailBudget[[#This Row],[2021 Cost (USD)]:[2025 Cost (USD)]])</f>
        <v>0</v>
      </c>
      <c r="AK475" s="180"/>
    </row>
    <row r="476" spans="2:37" ht="12.75" customHeight="1">
      <c r="B476" s="123"/>
      <c r="C47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76" s="85" t="str">
        <f>IF(TblDetailBudget[[#This Row],[Level]]="", "", COUNTIFS($B$8:TblDetailBudget[[#This Row],[Level]], Lvl1Hdr))</f>
        <v/>
      </c>
      <c r="E476" s="85" t="str">
        <f>IF(TblDetailBudget[[#This Row],[Level]]="", "", COUNTIFS($B$8:TblDetailBudget[[#This Row],[Level]], Lvl2Hdr, $D$8:TblDetailBudget[[#This Row],[Lvl 1 Header]], TblDetailBudget[[#This Row],[Lvl 1 Header]]))</f>
        <v/>
      </c>
      <c r="F47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7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7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76" s="164"/>
      <c r="J476" s="164"/>
      <c r="K476" s="165"/>
      <c r="L476" s="165"/>
      <c r="M476" s="85" t="str">
        <f>IF(TblDetailBudget[[#This Row],[Level]]=LvlBottomHdr, IFERROR(INDEX(TblUnitCost[Unit], MATCH(TblDetailBudget[[#This Row],[Row Title]], TblUnitCost[Resource], 0)), "Invalid Resource"), "")</f>
        <v/>
      </c>
      <c r="N476" s="126" t="str">
        <f>IF(TblDetailBudget[[#This Row],[Level]]=LvlBottomHdr, IFERROR(INDEX(TblUnitCost[LCU], MATCH(TblDetailBudget[[#This Row],[Row Title]], TblUnitCost[Resource], 0)), "Invalid Resource"), "")</f>
        <v/>
      </c>
      <c r="O476" s="130"/>
      <c r="P476" s="109"/>
      <c r="Q476" s="186"/>
      <c r="R476" s="131"/>
      <c r="S476" s="109" t="s">
        <v>66</v>
      </c>
      <c r="T476" s="109" t="s">
        <v>66</v>
      </c>
      <c r="U476" s="109" t="s">
        <v>66</v>
      </c>
      <c r="V476" s="109" t="s">
        <v>66</v>
      </c>
      <c r="W476" s="109" t="s">
        <v>66</v>
      </c>
      <c r="X476" s="126" t="str">
        <f>IF(TblDetailBudget[[#This Row],[Level]]=LvlBottomHdr, IF(SUM(TblDetailBudget[[#This Row],[2021 Quant]:[2025 Quant]])&gt;0, SUM(TblDetailBudget[[#This Row],[2021 Quant]:[2025 Quant]]), ""), "")</f>
        <v/>
      </c>
      <c r="Y47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7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7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7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7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76" s="142">
        <f>SUM(TblDetailBudget[[#This Row],[2021 Cost (LCU)]:[2025 Cost (LCU)]])</f>
        <v>0</v>
      </c>
      <c r="AE476" s="135">
        <f>IFERROR(SUM(TblDetailBudget[[#This Row],[2021 Cost (LCU)]])/FX_Rate, "")</f>
        <v>0</v>
      </c>
      <c r="AF476" s="86">
        <f>IFERROR(SUM(TblDetailBudget[[#This Row],[2022 Cost (LCU)]])/FX_Rate, "")</f>
        <v>0</v>
      </c>
      <c r="AG476" s="86">
        <f>IFERROR(SUM(TblDetailBudget[[#This Row],[2023 Cost (LCU)]])/FX_Rate, "")</f>
        <v>0</v>
      </c>
      <c r="AH476" s="86">
        <f>IFERROR(SUM(TblDetailBudget[[#This Row],[2024 Cost (LCU)]])/FX_Rate, "")</f>
        <v>0</v>
      </c>
      <c r="AI476" s="86">
        <f>IFERROR(SUM(TblDetailBudget[[#This Row],[2025 Cost (LCU)]])/FX_Rate, "")</f>
        <v>0</v>
      </c>
      <c r="AJ476" s="126">
        <f>SUM(TblDetailBudget[[#This Row],[2021 Cost (USD)]:[2025 Cost (USD)]])</f>
        <v>0</v>
      </c>
      <c r="AK476" s="180"/>
    </row>
    <row r="477" spans="2:37" ht="12.75" customHeight="1">
      <c r="B477" s="123"/>
      <c r="C47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77" s="85" t="str">
        <f>IF(TblDetailBudget[[#This Row],[Level]]="", "", COUNTIFS($B$8:TblDetailBudget[[#This Row],[Level]], Lvl1Hdr))</f>
        <v/>
      </c>
      <c r="E477" s="85" t="str">
        <f>IF(TblDetailBudget[[#This Row],[Level]]="", "", COUNTIFS($B$8:TblDetailBudget[[#This Row],[Level]], Lvl2Hdr, $D$8:TblDetailBudget[[#This Row],[Lvl 1 Header]], TblDetailBudget[[#This Row],[Lvl 1 Header]]))</f>
        <v/>
      </c>
      <c r="F47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7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7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77" s="164"/>
      <c r="J477" s="164"/>
      <c r="K477" s="165"/>
      <c r="L477" s="165"/>
      <c r="M477" s="85" t="str">
        <f>IF(TblDetailBudget[[#This Row],[Level]]=LvlBottomHdr, IFERROR(INDEX(TblUnitCost[Unit], MATCH(TblDetailBudget[[#This Row],[Row Title]], TblUnitCost[Resource], 0)), "Invalid Resource"), "")</f>
        <v/>
      </c>
      <c r="N477" s="126" t="str">
        <f>IF(TblDetailBudget[[#This Row],[Level]]=LvlBottomHdr, IFERROR(INDEX(TblUnitCost[LCU], MATCH(TblDetailBudget[[#This Row],[Row Title]], TblUnitCost[Resource], 0)), "Invalid Resource"), "")</f>
        <v/>
      </c>
      <c r="O477" s="130"/>
      <c r="P477" s="109"/>
      <c r="Q477" s="186"/>
      <c r="R477" s="131"/>
      <c r="S477" s="109" t="s">
        <v>66</v>
      </c>
      <c r="T477" s="109" t="s">
        <v>66</v>
      </c>
      <c r="U477" s="109" t="s">
        <v>66</v>
      </c>
      <c r="V477" s="109" t="s">
        <v>66</v>
      </c>
      <c r="W477" s="109" t="s">
        <v>66</v>
      </c>
      <c r="X477" s="126" t="str">
        <f>IF(TblDetailBudget[[#This Row],[Level]]=LvlBottomHdr, IF(SUM(TblDetailBudget[[#This Row],[2021 Quant]:[2025 Quant]])&gt;0, SUM(TblDetailBudget[[#This Row],[2021 Quant]:[2025 Quant]]), ""), "")</f>
        <v/>
      </c>
      <c r="Y47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7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7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7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7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77" s="142">
        <f>SUM(TblDetailBudget[[#This Row],[2021 Cost (LCU)]:[2025 Cost (LCU)]])</f>
        <v>0</v>
      </c>
      <c r="AE477" s="135">
        <f>IFERROR(SUM(TblDetailBudget[[#This Row],[2021 Cost (LCU)]])/FX_Rate, "")</f>
        <v>0</v>
      </c>
      <c r="AF477" s="86">
        <f>IFERROR(SUM(TblDetailBudget[[#This Row],[2022 Cost (LCU)]])/FX_Rate, "")</f>
        <v>0</v>
      </c>
      <c r="AG477" s="86">
        <f>IFERROR(SUM(TblDetailBudget[[#This Row],[2023 Cost (LCU)]])/FX_Rate, "")</f>
        <v>0</v>
      </c>
      <c r="AH477" s="86">
        <f>IFERROR(SUM(TblDetailBudget[[#This Row],[2024 Cost (LCU)]])/FX_Rate, "")</f>
        <v>0</v>
      </c>
      <c r="AI477" s="86">
        <f>IFERROR(SUM(TblDetailBudget[[#This Row],[2025 Cost (LCU)]])/FX_Rate, "")</f>
        <v>0</v>
      </c>
      <c r="AJ477" s="126">
        <f>SUM(TblDetailBudget[[#This Row],[2021 Cost (USD)]:[2025 Cost (USD)]])</f>
        <v>0</v>
      </c>
      <c r="AK477" s="180"/>
    </row>
    <row r="478" spans="2:37" ht="12.75" customHeight="1">
      <c r="B478" s="123"/>
      <c r="C47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78" s="85" t="str">
        <f>IF(TblDetailBudget[[#This Row],[Level]]="", "", COUNTIFS($B$8:TblDetailBudget[[#This Row],[Level]], Lvl1Hdr))</f>
        <v/>
      </c>
      <c r="E478" s="85" t="str">
        <f>IF(TblDetailBudget[[#This Row],[Level]]="", "", COUNTIFS($B$8:TblDetailBudget[[#This Row],[Level]], Lvl2Hdr, $D$8:TblDetailBudget[[#This Row],[Lvl 1 Header]], TblDetailBudget[[#This Row],[Lvl 1 Header]]))</f>
        <v/>
      </c>
      <c r="F47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7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7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78" s="164"/>
      <c r="J478" s="164"/>
      <c r="K478" s="165"/>
      <c r="L478" s="165"/>
      <c r="M478" s="85" t="str">
        <f>IF(TblDetailBudget[[#This Row],[Level]]=LvlBottomHdr, IFERROR(INDEX(TblUnitCost[Unit], MATCH(TblDetailBudget[[#This Row],[Row Title]], TblUnitCost[Resource], 0)), "Invalid Resource"), "")</f>
        <v/>
      </c>
      <c r="N478" s="126" t="str">
        <f>IF(TblDetailBudget[[#This Row],[Level]]=LvlBottomHdr, IFERROR(INDEX(TblUnitCost[LCU], MATCH(TblDetailBudget[[#This Row],[Row Title]], TblUnitCost[Resource], 0)), "Invalid Resource"), "")</f>
        <v/>
      </c>
      <c r="O478" s="130"/>
      <c r="P478" s="109"/>
      <c r="Q478" s="186"/>
      <c r="R478" s="131"/>
      <c r="S478" s="109" t="s">
        <v>66</v>
      </c>
      <c r="T478" s="109" t="s">
        <v>66</v>
      </c>
      <c r="U478" s="109" t="s">
        <v>66</v>
      </c>
      <c r="V478" s="109" t="s">
        <v>66</v>
      </c>
      <c r="W478" s="109" t="s">
        <v>66</v>
      </c>
      <c r="X478" s="126" t="str">
        <f>IF(TblDetailBudget[[#This Row],[Level]]=LvlBottomHdr, IF(SUM(TblDetailBudget[[#This Row],[2021 Quant]:[2025 Quant]])&gt;0, SUM(TblDetailBudget[[#This Row],[2021 Quant]:[2025 Quant]]), ""), "")</f>
        <v/>
      </c>
      <c r="Y47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7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7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7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7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78" s="142">
        <f>SUM(TblDetailBudget[[#This Row],[2021 Cost (LCU)]:[2025 Cost (LCU)]])</f>
        <v>0</v>
      </c>
      <c r="AE478" s="135">
        <f>IFERROR(SUM(TblDetailBudget[[#This Row],[2021 Cost (LCU)]])/FX_Rate, "")</f>
        <v>0</v>
      </c>
      <c r="AF478" s="86">
        <f>IFERROR(SUM(TblDetailBudget[[#This Row],[2022 Cost (LCU)]])/FX_Rate, "")</f>
        <v>0</v>
      </c>
      <c r="AG478" s="86">
        <f>IFERROR(SUM(TblDetailBudget[[#This Row],[2023 Cost (LCU)]])/FX_Rate, "")</f>
        <v>0</v>
      </c>
      <c r="AH478" s="86">
        <f>IFERROR(SUM(TblDetailBudget[[#This Row],[2024 Cost (LCU)]])/FX_Rate, "")</f>
        <v>0</v>
      </c>
      <c r="AI478" s="86">
        <f>IFERROR(SUM(TblDetailBudget[[#This Row],[2025 Cost (LCU)]])/FX_Rate, "")</f>
        <v>0</v>
      </c>
      <c r="AJ478" s="126">
        <f>SUM(TblDetailBudget[[#This Row],[2021 Cost (USD)]:[2025 Cost (USD)]])</f>
        <v>0</v>
      </c>
      <c r="AK478" s="180"/>
    </row>
    <row r="479" spans="2:37" ht="12.75" customHeight="1">
      <c r="B479" s="123"/>
      <c r="C47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79" s="85" t="str">
        <f>IF(TblDetailBudget[[#This Row],[Level]]="", "", COUNTIFS($B$8:TblDetailBudget[[#This Row],[Level]], Lvl1Hdr))</f>
        <v/>
      </c>
      <c r="E479" s="85" t="str">
        <f>IF(TblDetailBudget[[#This Row],[Level]]="", "", COUNTIFS($B$8:TblDetailBudget[[#This Row],[Level]], Lvl2Hdr, $D$8:TblDetailBudget[[#This Row],[Lvl 1 Header]], TblDetailBudget[[#This Row],[Lvl 1 Header]]))</f>
        <v/>
      </c>
      <c r="F47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7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7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79" s="164"/>
      <c r="J479" s="164"/>
      <c r="K479" s="165"/>
      <c r="L479" s="165"/>
      <c r="M479" s="85" t="str">
        <f>IF(TblDetailBudget[[#This Row],[Level]]=LvlBottomHdr, IFERROR(INDEX(TblUnitCost[Unit], MATCH(TblDetailBudget[[#This Row],[Row Title]], TblUnitCost[Resource], 0)), "Invalid Resource"), "")</f>
        <v/>
      </c>
      <c r="N479" s="126" t="str">
        <f>IF(TblDetailBudget[[#This Row],[Level]]=LvlBottomHdr, IFERROR(INDEX(TblUnitCost[LCU], MATCH(TblDetailBudget[[#This Row],[Row Title]], TblUnitCost[Resource], 0)), "Invalid Resource"), "")</f>
        <v/>
      </c>
      <c r="O479" s="130"/>
      <c r="P479" s="109"/>
      <c r="Q479" s="186"/>
      <c r="R479" s="131"/>
      <c r="S479" s="109" t="s">
        <v>66</v>
      </c>
      <c r="T479" s="109" t="s">
        <v>66</v>
      </c>
      <c r="U479" s="109" t="s">
        <v>66</v>
      </c>
      <c r="V479" s="109" t="s">
        <v>66</v>
      </c>
      <c r="W479" s="109" t="s">
        <v>66</v>
      </c>
      <c r="X479" s="126" t="str">
        <f>IF(TblDetailBudget[[#This Row],[Level]]=LvlBottomHdr, IF(SUM(TblDetailBudget[[#This Row],[2021 Quant]:[2025 Quant]])&gt;0, SUM(TblDetailBudget[[#This Row],[2021 Quant]:[2025 Quant]]), ""), "")</f>
        <v/>
      </c>
      <c r="Y47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7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7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7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7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79" s="142">
        <f>SUM(TblDetailBudget[[#This Row],[2021 Cost (LCU)]:[2025 Cost (LCU)]])</f>
        <v>0</v>
      </c>
      <c r="AE479" s="135">
        <f>IFERROR(SUM(TblDetailBudget[[#This Row],[2021 Cost (LCU)]])/FX_Rate, "")</f>
        <v>0</v>
      </c>
      <c r="AF479" s="86">
        <f>IFERROR(SUM(TblDetailBudget[[#This Row],[2022 Cost (LCU)]])/FX_Rate, "")</f>
        <v>0</v>
      </c>
      <c r="AG479" s="86">
        <f>IFERROR(SUM(TblDetailBudget[[#This Row],[2023 Cost (LCU)]])/FX_Rate, "")</f>
        <v>0</v>
      </c>
      <c r="AH479" s="86">
        <f>IFERROR(SUM(TblDetailBudget[[#This Row],[2024 Cost (LCU)]])/FX_Rate, "")</f>
        <v>0</v>
      </c>
      <c r="AI479" s="86">
        <f>IFERROR(SUM(TblDetailBudget[[#This Row],[2025 Cost (LCU)]])/FX_Rate, "")</f>
        <v>0</v>
      </c>
      <c r="AJ479" s="126">
        <f>SUM(TblDetailBudget[[#This Row],[2021 Cost (USD)]:[2025 Cost (USD)]])</f>
        <v>0</v>
      </c>
      <c r="AK479" s="180"/>
    </row>
    <row r="480" spans="2:37" ht="12.75" customHeight="1">
      <c r="B480" s="123"/>
      <c r="C48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80" s="85" t="str">
        <f>IF(TblDetailBudget[[#This Row],[Level]]="", "", COUNTIFS($B$8:TblDetailBudget[[#This Row],[Level]], Lvl1Hdr))</f>
        <v/>
      </c>
      <c r="E480" s="85" t="str">
        <f>IF(TblDetailBudget[[#This Row],[Level]]="", "", COUNTIFS($B$8:TblDetailBudget[[#This Row],[Level]], Lvl2Hdr, $D$8:TblDetailBudget[[#This Row],[Lvl 1 Header]], TblDetailBudget[[#This Row],[Lvl 1 Header]]))</f>
        <v/>
      </c>
      <c r="F48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8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8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80" s="164"/>
      <c r="J480" s="164"/>
      <c r="K480" s="165"/>
      <c r="L480" s="165"/>
      <c r="M480" s="85" t="str">
        <f>IF(TblDetailBudget[[#This Row],[Level]]=LvlBottomHdr, IFERROR(INDEX(TblUnitCost[Unit], MATCH(TblDetailBudget[[#This Row],[Row Title]], TblUnitCost[Resource], 0)), "Invalid Resource"), "")</f>
        <v/>
      </c>
      <c r="N480" s="126" t="str">
        <f>IF(TblDetailBudget[[#This Row],[Level]]=LvlBottomHdr, IFERROR(INDEX(TblUnitCost[LCU], MATCH(TblDetailBudget[[#This Row],[Row Title]], TblUnitCost[Resource], 0)), "Invalid Resource"), "")</f>
        <v/>
      </c>
      <c r="O480" s="130"/>
      <c r="P480" s="109"/>
      <c r="Q480" s="186"/>
      <c r="R480" s="131"/>
      <c r="S480" s="109" t="s">
        <v>66</v>
      </c>
      <c r="T480" s="109" t="s">
        <v>66</v>
      </c>
      <c r="U480" s="109" t="s">
        <v>66</v>
      </c>
      <c r="V480" s="109" t="s">
        <v>66</v>
      </c>
      <c r="W480" s="109" t="s">
        <v>66</v>
      </c>
      <c r="X480" s="126" t="str">
        <f>IF(TblDetailBudget[[#This Row],[Level]]=LvlBottomHdr, IF(SUM(TblDetailBudget[[#This Row],[2021 Quant]:[2025 Quant]])&gt;0, SUM(TblDetailBudget[[#This Row],[2021 Quant]:[2025 Quant]]), ""), "")</f>
        <v/>
      </c>
      <c r="Y48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8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8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8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8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80" s="142">
        <f>SUM(TblDetailBudget[[#This Row],[2021 Cost (LCU)]:[2025 Cost (LCU)]])</f>
        <v>0</v>
      </c>
      <c r="AE480" s="135">
        <f>IFERROR(SUM(TblDetailBudget[[#This Row],[2021 Cost (LCU)]])/FX_Rate, "")</f>
        <v>0</v>
      </c>
      <c r="AF480" s="86">
        <f>IFERROR(SUM(TblDetailBudget[[#This Row],[2022 Cost (LCU)]])/FX_Rate, "")</f>
        <v>0</v>
      </c>
      <c r="AG480" s="86">
        <f>IFERROR(SUM(TblDetailBudget[[#This Row],[2023 Cost (LCU)]])/FX_Rate, "")</f>
        <v>0</v>
      </c>
      <c r="AH480" s="86">
        <f>IFERROR(SUM(TblDetailBudget[[#This Row],[2024 Cost (LCU)]])/FX_Rate, "")</f>
        <v>0</v>
      </c>
      <c r="AI480" s="86">
        <f>IFERROR(SUM(TblDetailBudget[[#This Row],[2025 Cost (LCU)]])/FX_Rate, "")</f>
        <v>0</v>
      </c>
      <c r="AJ480" s="126">
        <f>SUM(TblDetailBudget[[#This Row],[2021 Cost (USD)]:[2025 Cost (USD)]])</f>
        <v>0</v>
      </c>
      <c r="AK480" s="180"/>
    </row>
    <row r="481" spans="2:37" ht="12.75" customHeight="1">
      <c r="B481" s="123"/>
      <c r="C48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81" s="85" t="str">
        <f>IF(TblDetailBudget[[#This Row],[Level]]="", "", COUNTIFS($B$8:TblDetailBudget[[#This Row],[Level]], Lvl1Hdr))</f>
        <v/>
      </c>
      <c r="E481" s="85" t="str">
        <f>IF(TblDetailBudget[[#This Row],[Level]]="", "", COUNTIFS($B$8:TblDetailBudget[[#This Row],[Level]], Lvl2Hdr, $D$8:TblDetailBudget[[#This Row],[Lvl 1 Header]], TblDetailBudget[[#This Row],[Lvl 1 Header]]))</f>
        <v/>
      </c>
      <c r="F48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8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8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81" s="164"/>
      <c r="J481" s="164"/>
      <c r="K481" s="165"/>
      <c r="L481" s="165"/>
      <c r="M481" s="85" t="str">
        <f>IF(TblDetailBudget[[#This Row],[Level]]=LvlBottomHdr, IFERROR(INDEX(TblUnitCost[Unit], MATCH(TblDetailBudget[[#This Row],[Row Title]], TblUnitCost[Resource], 0)), "Invalid Resource"), "")</f>
        <v/>
      </c>
      <c r="N481" s="126" t="str">
        <f>IF(TblDetailBudget[[#This Row],[Level]]=LvlBottomHdr, IFERROR(INDEX(TblUnitCost[LCU], MATCH(TblDetailBudget[[#This Row],[Row Title]], TblUnitCost[Resource], 0)), "Invalid Resource"), "")</f>
        <v/>
      </c>
      <c r="O481" s="130"/>
      <c r="P481" s="109"/>
      <c r="Q481" s="186"/>
      <c r="R481" s="131"/>
      <c r="S481" s="109" t="s">
        <v>66</v>
      </c>
      <c r="T481" s="109" t="s">
        <v>66</v>
      </c>
      <c r="U481" s="109" t="s">
        <v>66</v>
      </c>
      <c r="V481" s="109" t="s">
        <v>66</v>
      </c>
      <c r="W481" s="109" t="s">
        <v>66</v>
      </c>
      <c r="X481" s="126" t="str">
        <f>IF(TblDetailBudget[[#This Row],[Level]]=LvlBottomHdr, IF(SUM(TblDetailBudget[[#This Row],[2021 Quant]:[2025 Quant]])&gt;0, SUM(TblDetailBudget[[#This Row],[2021 Quant]:[2025 Quant]]), ""), "")</f>
        <v/>
      </c>
      <c r="Y48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8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8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8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8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81" s="142">
        <f>SUM(TblDetailBudget[[#This Row],[2021 Cost (LCU)]:[2025 Cost (LCU)]])</f>
        <v>0</v>
      </c>
      <c r="AE481" s="135">
        <f>IFERROR(SUM(TblDetailBudget[[#This Row],[2021 Cost (LCU)]])/FX_Rate, "")</f>
        <v>0</v>
      </c>
      <c r="AF481" s="86">
        <f>IFERROR(SUM(TblDetailBudget[[#This Row],[2022 Cost (LCU)]])/FX_Rate, "")</f>
        <v>0</v>
      </c>
      <c r="AG481" s="86">
        <f>IFERROR(SUM(TblDetailBudget[[#This Row],[2023 Cost (LCU)]])/FX_Rate, "")</f>
        <v>0</v>
      </c>
      <c r="AH481" s="86">
        <f>IFERROR(SUM(TblDetailBudget[[#This Row],[2024 Cost (LCU)]])/FX_Rate, "")</f>
        <v>0</v>
      </c>
      <c r="AI481" s="86">
        <f>IFERROR(SUM(TblDetailBudget[[#This Row],[2025 Cost (LCU)]])/FX_Rate, "")</f>
        <v>0</v>
      </c>
      <c r="AJ481" s="126">
        <f>SUM(TblDetailBudget[[#This Row],[2021 Cost (USD)]:[2025 Cost (USD)]])</f>
        <v>0</v>
      </c>
      <c r="AK481" s="180"/>
    </row>
    <row r="482" spans="2:37" ht="12.75" customHeight="1">
      <c r="B482" s="123"/>
      <c r="C48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82" s="85" t="str">
        <f>IF(TblDetailBudget[[#This Row],[Level]]="", "", COUNTIFS($B$8:TblDetailBudget[[#This Row],[Level]], Lvl1Hdr))</f>
        <v/>
      </c>
      <c r="E482" s="85" t="str">
        <f>IF(TblDetailBudget[[#This Row],[Level]]="", "", COUNTIFS($B$8:TblDetailBudget[[#This Row],[Level]], Lvl2Hdr, $D$8:TblDetailBudget[[#This Row],[Lvl 1 Header]], TblDetailBudget[[#This Row],[Lvl 1 Header]]))</f>
        <v/>
      </c>
      <c r="F48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8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8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82" s="164"/>
      <c r="J482" s="164"/>
      <c r="K482" s="165"/>
      <c r="L482" s="165"/>
      <c r="M482" s="85" t="str">
        <f>IF(TblDetailBudget[[#This Row],[Level]]=LvlBottomHdr, IFERROR(INDEX(TblUnitCost[Unit], MATCH(TblDetailBudget[[#This Row],[Row Title]], TblUnitCost[Resource], 0)), "Invalid Resource"), "")</f>
        <v/>
      </c>
      <c r="N482" s="126" t="str">
        <f>IF(TblDetailBudget[[#This Row],[Level]]=LvlBottomHdr, IFERROR(INDEX(TblUnitCost[LCU], MATCH(TblDetailBudget[[#This Row],[Row Title]], TblUnitCost[Resource], 0)), "Invalid Resource"), "")</f>
        <v/>
      </c>
      <c r="O482" s="130"/>
      <c r="P482" s="109"/>
      <c r="Q482" s="186"/>
      <c r="R482" s="131"/>
      <c r="S482" s="109" t="s">
        <v>66</v>
      </c>
      <c r="T482" s="109" t="s">
        <v>66</v>
      </c>
      <c r="U482" s="109" t="s">
        <v>66</v>
      </c>
      <c r="V482" s="109" t="s">
        <v>66</v>
      </c>
      <c r="W482" s="109" t="s">
        <v>66</v>
      </c>
      <c r="X482" s="126" t="str">
        <f>IF(TblDetailBudget[[#This Row],[Level]]=LvlBottomHdr, IF(SUM(TblDetailBudget[[#This Row],[2021 Quant]:[2025 Quant]])&gt;0, SUM(TblDetailBudget[[#This Row],[2021 Quant]:[2025 Quant]]), ""), "")</f>
        <v/>
      </c>
      <c r="Y48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8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8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8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8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82" s="142">
        <f>SUM(TblDetailBudget[[#This Row],[2021 Cost (LCU)]:[2025 Cost (LCU)]])</f>
        <v>0</v>
      </c>
      <c r="AE482" s="135">
        <f>IFERROR(SUM(TblDetailBudget[[#This Row],[2021 Cost (LCU)]])/FX_Rate, "")</f>
        <v>0</v>
      </c>
      <c r="AF482" s="86">
        <f>IFERROR(SUM(TblDetailBudget[[#This Row],[2022 Cost (LCU)]])/FX_Rate, "")</f>
        <v>0</v>
      </c>
      <c r="AG482" s="86">
        <f>IFERROR(SUM(TblDetailBudget[[#This Row],[2023 Cost (LCU)]])/FX_Rate, "")</f>
        <v>0</v>
      </c>
      <c r="AH482" s="86">
        <f>IFERROR(SUM(TblDetailBudget[[#This Row],[2024 Cost (LCU)]])/FX_Rate, "")</f>
        <v>0</v>
      </c>
      <c r="AI482" s="86">
        <f>IFERROR(SUM(TblDetailBudget[[#This Row],[2025 Cost (LCU)]])/FX_Rate, "")</f>
        <v>0</v>
      </c>
      <c r="AJ482" s="126">
        <f>SUM(TblDetailBudget[[#This Row],[2021 Cost (USD)]:[2025 Cost (USD)]])</f>
        <v>0</v>
      </c>
      <c r="AK482" s="180"/>
    </row>
    <row r="483" spans="2:37" ht="12.75" customHeight="1">
      <c r="B483" s="123"/>
      <c r="C48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83" s="85" t="str">
        <f>IF(TblDetailBudget[[#This Row],[Level]]="", "", COUNTIFS($B$8:TblDetailBudget[[#This Row],[Level]], Lvl1Hdr))</f>
        <v/>
      </c>
      <c r="E483" s="85" t="str">
        <f>IF(TblDetailBudget[[#This Row],[Level]]="", "", COUNTIFS($B$8:TblDetailBudget[[#This Row],[Level]], Lvl2Hdr, $D$8:TblDetailBudget[[#This Row],[Lvl 1 Header]], TblDetailBudget[[#This Row],[Lvl 1 Header]]))</f>
        <v/>
      </c>
      <c r="F48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8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8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83" s="164"/>
      <c r="J483" s="164"/>
      <c r="K483" s="165"/>
      <c r="L483" s="165"/>
      <c r="M483" s="85" t="str">
        <f>IF(TblDetailBudget[[#This Row],[Level]]=LvlBottomHdr, IFERROR(INDEX(TblUnitCost[Unit], MATCH(TblDetailBudget[[#This Row],[Row Title]], TblUnitCost[Resource], 0)), "Invalid Resource"), "")</f>
        <v/>
      </c>
      <c r="N483" s="126" t="str">
        <f>IF(TblDetailBudget[[#This Row],[Level]]=LvlBottomHdr, IFERROR(INDEX(TblUnitCost[LCU], MATCH(TblDetailBudget[[#This Row],[Row Title]], TblUnitCost[Resource], 0)), "Invalid Resource"), "")</f>
        <v/>
      </c>
      <c r="O483" s="130"/>
      <c r="P483" s="109"/>
      <c r="Q483" s="186"/>
      <c r="R483" s="131"/>
      <c r="S483" s="109" t="s">
        <v>66</v>
      </c>
      <c r="T483" s="109" t="s">
        <v>66</v>
      </c>
      <c r="U483" s="109" t="s">
        <v>66</v>
      </c>
      <c r="V483" s="109" t="s">
        <v>66</v>
      </c>
      <c r="W483" s="109" t="s">
        <v>66</v>
      </c>
      <c r="X483" s="126" t="str">
        <f>IF(TblDetailBudget[[#This Row],[Level]]=LvlBottomHdr, IF(SUM(TblDetailBudget[[#This Row],[2021 Quant]:[2025 Quant]])&gt;0, SUM(TblDetailBudget[[#This Row],[2021 Quant]:[2025 Quant]]), ""), "")</f>
        <v/>
      </c>
      <c r="Y48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8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8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8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8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83" s="142">
        <f>SUM(TblDetailBudget[[#This Row],[2021 Cost (LCU)]:[2025 Cost (LCU)]])</f>
        <v>0</v>
      </c>
      <c r="AE483" s="135">
        <f>IFERROR(SUM(TblDetailBudget[[#This Row],[2021 Cost (LCU)]])/FX_Rate, "")</f>
        <v>0</v>
      </c>
      <c r="AF483" s="86">
        <f>IFERROR(SUM(TblDetailBudget[[#This Row],[2022 Cost (LCU)]])/FX_Rate, "")</f>
        <v>0</v>
      </c>
      <c r="AG483" s="86">
        <f>IFERROR(SUM(TblDetailBudget[[#This Row],[2023 Cost (LCU)]])/FX_Rate, "")</f>
        <v>0</v>
      </c>
      <c r="AH483" s="86">
        <f>IFERROR(SUM(TblDetailBudget[[#This Row],[2024 Cost (LCU)]])/FX_Rate, "")</f>
        <v>0</v>
      </c>
      <c r="AI483" s="86">
        <f>IFERROR(SUM(TblDetailBudget[[#This Row],[2025 Cost (LCU)]])/FX_Rate, "")</f>
        <v>0</v>
      </c>
      <c r="AJ483" s="126">
        <f>SUM(TblDetailBudget[[#This Row],[2021 Cost (USD)]:[2025 Cost (USD)]])</f>
        <v>0</v>
      </c>
      <c r="AK483" s="180"/>
    </row>
    <row r="484" spans="2:37" ht="12.75" customHeight="1">
      <c r="B484" s="123"/>
      <c r="C48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84" s="85" t="str">
        <f>IF(TblDetailBudget[[#This Row],[Level]]="", "", COUNTIFS($B$8:TblDetailBudget[[#This Row],[Level]], Lvl1Hdr))</f>
        <v/>
      </c>
      <c r="E484" s="85" t="str">
        <f>IF(TblDetailBudget[[#This Row],[Level]]="", "", COUNTIFS($B$8:TblDetailBudget[[#This Row],[Level]], Lvl2Hdr, $D$8:TblDetailBudget[[#This Row],[Lvl 1 Header]], TblDetailBudget[[#This Row],[Lvl 1 Header]]))</f>
        <v/>
      </c>
      <c r="F48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8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8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84" s="164"/>
      <c r="J484" s="164"/>
      <c r="K484" s="165"/>
      <c r="L484" s="165"/>
      <c r="M484" s="85" t="str">
        <f>IF(TblDetailBudget[[#This Row],[Level]]=LvlBottomHdr, IFERROR(INDEX(TblUnitCost[Unit], MATCH(TblDetailBudget[[#This Row],[Row Title]], TblUnitCost[Resource], 0)), "Invalid Resource"), "")</f>
        <v/>
      </c>
      <c r="N484" s="126" t="str">
        <f>IF(TblDetailBudget[[#This Row],[Level]]=LvlBottomHdr, IFERROR(INDEX(TblUnitCost[LCU], MATCH(TblDetailBudget[[#This Row],[Row Title]], TblUnitCost[Resource], 0)), "Invalid Resource"), "")</f>
        <v/>
      </c>
      <c r="O484" s="130"/>
      <c r="P484" s="109"/>
      <c r="Q484" s="186"/>
      <c r="R484" s="131"/>
      <c r="S484" s="109" t="s">
        <v>66</v>
      </c>
      <c r="T484" s="109" t="s">
        <v>66</v>
      </c>
      <c r="U484" s="109" t="s">
        <v>66</v>
      </c>
      <c r="V484" s="109" t="s">
        <v>66</v>
      </c>
      <c r="W484" s="109" t="s">
        <v>66</v>
      </c>
      <c r="X484" s="126" t="str">
        <f>IF(TblDetailBudget[[#This Row],[Level]]=LvlBottomHdr, IF(SUM(TblDetailBudget[[#This Row],[2021 Quant]:[2025 Quant]])&gt;0, SUM(TblDetailBudget[[#This Row],[2021 Quant]:[2025 Quant]]), ""), "")</f>
        <v/>
      </c>
      <c r="Y48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8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8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8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8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84" s="142">
        <f>SUM(TblDetailBudget[[#This Row],[2021 Cost (LCU)]:[2025 Cost (LCU)]])</f>
        <v>0</v>
      </c>
      <c r="AE484" s="135">
        <f>IFERROR(SUM(TblDetailBudget[[#This Row],[2021 Cost (LCU)]])/FX_Rate, "")</f>
        <v>0</v>
      </c>
      <c r="AF484" s="86">
        <f>IFERROR(SUM(TblDetailBudget[[#This Row],[2022 Cost (LCU)]])/FX_Rate, "")</f>
        <v>0</v>
      </c>
      <c r="AG484" s="86">
        <f>IFERROR(SUM(TblDetailBudget[[#This Row],[2023 Cost (LCU)]])/FX_Rate, "")</f>
        <v>0</v>
      </c>
      <c r="AH484" s="86">
        <f>IFERROR(SUM(TblDetailBudget[[#This Row],[2024 Cost (LCU)]])/FX_Rate, "")</f>
        <v>0</v>
      </c>
      <c r="AI484" s="86">
        <f>IFERROR(SUM(TblDetailBudget[[#This Row],[2025 Cost (LCU)]])/FX_Rate, "")</f>
        <v>0</v>
      </c>
      <c r="AJ484" s="126">
        <f>SUM(TblDetailBudget[[#This Row],[2021 Cost (USD)]:[2025 Cost (USD)]])</f>
        <v>0</v>
      </c>
      <c r="AK484" s="180"/>
    </row>
    <row r="485" spans="2:37" ht="12.75" customHeight="1">
      <c r="B485" s="123"/>
      <c r="C48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85" s="85" t="str">
        <f>IF(TblDetailBudget[[#This Row],[Level]]="", "", COUNTIFS($B$8:TblDetailBudget[[#This Row],[Level]], Lvl1Hdr))</f>
        <v/>
      </c>
      <c r="E485" s="85" t="str">
        <f>IF(TblDetailBudget[[#This Row],[Level]]="", "", COUNTIFS($B$8:TblDetailBudget[[#This Row],[Level]], Lvl2Hdr, $D$8:TblDetailBudget[[#This Row],[Lvl 1 Header]], TblDetailBudget[[#This Row],[Lvl 1 Header]]))</f>
        <v/>
      </c>
      <c r="F48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8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8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85" s="164"/>
      <c r="J485" s="164"/>
      <c r="K485" s="165"/>
      <c r="L485" s="165"/>
      <c r="M485" s="85" t="str">
        <f>IF(TblDetailBudget[[#This Row],[Level]]=LvlBottomHdr, IFERROR(INDEX(TblUnitCost[Unit], MATCH(TblDetailBudget[[#This Row],[Row Title]], TblUnitCost[Resource], 0)), "Invalid Resource"), "")</f>
        <v/>
      </c>
      <c r="N485" s="126" t="str">
        <f>IF(TblDetailBudget[[#This Row],[Level]]=LvlBottomHdr, IFERROR(INDEX(TblUnitCost[LCU], MATCH(TblDetailBudget[[#This Row],[Row Title]], TblUnitCost[Resource], 0)), "Invalid Resource"), "")</f>
        <v/>
      </c>
      <c r="O485" s="130"/>
      <c r="P485" s="109"/>
      <c r="Q485" s="186"/>
      <c r="R485" s="131"/>
      <c r="S485" s="109" t="s">
        <v>66</v>
      </c>
      <c r="T485" s="109" t="s">
        <v>66</v>
      </c>
      <c r="U485" s="109" t="s">
        <v>66</v>
      </c>
      <c r="V485" s="109" t="s">
        <v>66</v>
      </c>
      <c r="W485" s="109" t="s">
        <v>66</v>
      </c>
      <c r="X485" s="126" t="str">
        <f>IF(TblDetailBudget[[#This Row],[Level]]=LvlBottomHdr, IF(SUM(TblDetailBudget[[#This Row],[2021 Quant]:[2025 Quant]])&gt;0, SUM(TblDetailBudget[[#This Row],[2021 Quant]:[2025 Quant]]), ""), "")</f>
        <v/>
      </c>
      <c r="Y48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8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8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8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8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85" s="142">
        <f>SUM(TblDetailBudget[[#This Row],[2021 Cost (LCU)]:[2025 Cost (LCU)]])</f>
        <v>0</v>
      </c>
      <c r="AE485" s="135">
        <f>IFERROR(SUM(TblDetailBudget[[#This Row],[2021 Cost (LCU)]])/FX_Rate, "")</f>
        <v>0</v>
      </c>
      <c r="AF485" s="86">
        <f>IFERROR(SUM(TblDetailBudget[[#This Row],[2022 Cost (LCU)]])/FX_Rate, "")</f>
        <v>0</v>
      </c>
      <c r="AG485" s="86">
        <f>IFERROR(SUM(TblDetailBudget[[#This Row],[2023 Cost (LCU)]])/FX_Rate, "")</f>
        <v>0</v>
      </c>
      <c r="AH485" s="86">
        <f>IFERROR(SUM(TblDetailBudget[[#This Row],[2024 Cost (LCU)]])/FX_Rate, "")</f>
        <v>0</v>
      </c>
      <c r="AI485" s="86">
        <f>IFERROR(SUM(TblDetailBudget[[#This Row],[2025 Cost (LCU)]])/FX_Rate, "")</f>
        <v>0</v>
      </c>
      <c r="AJ485" s="126">
        <f>SUM(TblDetailBudget[[#This Row],[2021 Cost (USD)]:[2025 Cost (USD)]])</f>
        <v>0</v>
      </c>
      <c r="AK485" s="180"/>
    </row>
    <row r="486" spans="2:37" ht="12.75" customHeight="1">
      <c r="B486" s="123"/>
      <c r="C48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86" s="85" t="str">
        <f>IF(TblDetailBudget[[#This Row],[Level]]="", "", COUNTIFS($B$8:TblDetailBudget[[#This Row],[Level]], Lvl1Hdr))</f>
        <v/>
      </c>
      <c r="E486" s="85" t="str">
        <f>IF(TblDetailBudget[[#This Row],[Level]]="", "", COUNTIFS($B$8:TblDetailBudget[[#This Row],[Level]], Lvl2Hdr, $D$8:TblDetailBudget[[#This Row],[Lvl 1 Header]], TblDetailBudget[[#This Row],[Lvl 1 Header]]))</f>
        <v/>
      </c>
      <c r="F48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8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8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86" s="164"/>
      <c r="J486" s="164"/>
      <c r="K486" s="165"/>
      <c r="L486" s="165"/>
      <c r="M486" s="85" t="str">
        <f>IF(TblDetailBudget[[#This Row],[Level]]=LvlBottomHdr, IFERROR(INDEX(TblUnitCost[Unit], MATCH(TblDetailBudget[[#This Row],[Row Title]], TblUnitCost[Resource], 0)), "Invalid Resource"), "")</f>
        <v/>
      </c>
      <c r="N486" s="126" t="str">
        <f>IF(TblDetailBudget[[#This Row],[Level]]=LvlBottomHdr, IFERROR(INDEX(TblUnitCost[LCU], MATCH(TblDetailBudget[[#This Row],[Row Title]], TblUnitCost[Resource], 0)), "Invalid Resource"), "")</f>
        <v/>
      </c>
      <c r="O486" s="130"/>
      <c r="P486" s="109"/>
      <c r="Q486" s="186"/>
      <c r="R486" s="131"/>
      <c r="S486" s="109" t="s">
        <v>66</v>
      </c>
      <c r="T486" s="109" t="s">
        <v>66</v>
      </c>
      <c r="U486" s="109" t="s">
        <v>66</v>
      </c>
      <c r="V486" s="109" t="s">
        <v>66</v>
      </c>
      <c r="W486" s="109" t="s">
        <v>66</v>
      </c>
      <c r="X486" s="126" t="str">
        <f>IF(TblDetailBudget[[#This Row],[Level]]=LvlBottomHdr, IF(SUM(TblDetailBudget[[#This Row],[2021 Quant]:[2025 Quant]])&gt;0, SUM(TblDetailBudget[[#This Row],[2021 Quant]:[2025 Quant]]), ""), "")</f>
        <v/>
      </c>
      <c r="Y48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8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8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8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8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86" s="142">
        <f>SUM(TblDetailBudget[[#This Row],[2021 Cost (LCU)]:[2025 Cost (LCU)]])</f>
        <v>0</v>
      </c>
      <c r="AE486" s="135">
        <f>IFERROR(SUM(TblDetailBudget[[#This Row],[2021 Cost (LCU)]])/FX_Rate, "")</f>
        <v>0</v>
      </c>
      <c r="AF486" s="86">
        <f>IFERROR(SUM(TblDetailBudget[[#This Row],[2022 Cost (LCU)]])/FX_Rate, "")</f>
        <v>0</v>
      </c>
      <c r="AG486" s="86">
        <f>IFERROR(SUM(TblDetailBudget[[#This Row],[2023 Cost (LCU)]])/FX_Rate, "")</f>
        <v>0</v>
      </c>
      <c r="AH486" s="86">
        <f>IFERROR(SUM(TblDetailBudget[[#This Row],[2024 Cost (LCU)]])/FX_Rate, "")</f>
        <v>0</v>
      </c>
      <c r="AI486" s="86">
        <f>IFERROR(SUM(TblDetailBudget[[#This Row],[2025 Cost (LCU)]])/FX_Rate, "")</f>
        <v>0</v>
      </c>
      <c r="AJ486" s="126">
        <f>SUM(TblDetailBudget[[#This Row],[2021 Cost (USD)]:[2025 Cost (USD)]])</f>
        <v>0</v>
      </c>
      <c r="AK486" s="180"/>
    </row>
    <row r="487" spans="2:37" ht="12.75" customHeight="1">
      <c r="B487" s="123"/>
      <c r="C48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87" s="85" t="str">
        <f>IF(TblDetailBudget[[#This Row],[Level]]="", "", COUNTIFS($B$8:TblDetailBudget[[#This Row],[Level]], Lvl1Hdr))</f>
        <v/>
      </c>
      <c r="E487" s="85" t="str">
        <f>IF(TblDetailBudget[[#This Row],[Level]]="", "", COUNTIFS($B$8:TblDetailBudget[[#This Row],[Level]], Lvl2Hdr, $D$8:TblDetailBudget[[#This Row],[Lvl 1 Header]], TblDetailBudget[[#This Row],[Lvl 1 Header]]))</f>
        <v/>
      </c>
      <c r="F48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8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8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87" s="164"/>
      <c r="J487" s="164"/>
      <c r="K487" s="165"/>
      <c r="L487" s="165"/>
      <c r="M487" s="85" t="str">
        <f>IF(TblDetailBudget[[#This Row],[Level]]=LvlBottomHdr, IFERROR(INDEX(TblUnitCost[Unit], MATCH(TblDetailBudget[[#This Row],[Row Title]], TblUnitCost[Resource], 0)), "Invalid Resource"), "")</f>
        <v/>
      </c>
      <c r="N487" s="126" t="str">
        <f>IF(TblDetailBudget[[#This Row],[Level]]=LvlBottomHdr, IFERROR(INDEX(TblUnitCost[LCU], MATCH(TblDetailBudget[[#This Row],[Row Title]], TblUnitCost[Resource], 0)), "Invalid Resource"), "")</f>
        <v/>
      </c>
      <c r="O487" s="130"/>
      <c r="P487" s="109"/>
      <c r="Q487" s="186"/>
      <c r="R487" s="131"/>
      <c r="S487" s="109" t="s">
        <v>66</v>
      </c>
      <c r="T487" s="109" t="s">
        <v>66</v>
      </c>
      <c r="U487" s="109" t="s">
        <v>66</v>
      </c>
      <c r="V487" s="109" t="s">
        <v>66</v>
      </c>
      <c r="W487" s="109" t="s">
        <v>66</v>
      </c>
      <c r="X487" s="126" t="str">
        <f>IF(TblDetailBudget[[#This Row],[Level]]=LvlBottomHdr, IF(SUM(TblDetailBudget[[#This Row],[2021 Quant]:[2025 Quant]])&gt;0, SUM(TblDetailBudget[[#This Row],[2021 Quant]:[2025 Quant]]), ""), "")</f>
        <v/>
      </c>
      <c r="Y48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8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8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8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8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87" s="142">
        <f>SUM(TblDetailBudget[[#This Row],[2021 Cost (LCU)]:[2025 Cost (LCU)]])</f>
        <v>0</v>
      </c>
      <c r="AE487" s="135">
        <f>IFERROR(SUM(TblDetailBudget[[#This Row],[2021 Cost (LCU)]])/FX_Rate, "")</f>
        <v>0</v>
      </c>
      <c r="AF487" s="86">
        <f>IFERROR(SUM(TblDetailBudget[[#This Row],[2022 Cost (LCU)]])/FX_Rate, "")</f>
        <v>0</v>
      </c>
      <c r="AG487" s="86">
        <f>IFERROR(SUM(TblDetailBudget[[#This Row],[2023 Cost (LCU)]])/FX_Rate, "")</f>
        <v>0</v>
      </c>
      <c r="AH487" s="86">
        <f>IFERROR(SUM(TblDetailBudget[[#This Row],[2024 Cost (LCU)]])/FX_Rate, "")</f>
        <v>0</v>
      </c>
      <c r="AI487" s="86">
        <f>IFERROR(SUM(TblDetailBudget[[#This Row],[2025 Cost (LCU)]])/FX_Rate, "")</f>
        <v>0</v>
      </c>
      <c r="AJ487" s="126">
        <f>SUM(TblDetailBudget[[#This Row],[2021 Cost (USD)]:[2025 Cost (USD)]])</f>
        <v>0</v>
      </c>
      <c r="AK487" s="180"/>
    </row>
    <row r="488" spans="2:37" ht="12.75" customHeight="1">
      <c r="B488" s="123"/>
      <c r="C48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88" s="85" t="str">
        <f>IF(TblDetailBudget[[#This Row],[Level]]="", "", COUNTIFS($B$8:TblDetailBudget[[#This Row],[Level]], Lvl1Hdr))</f>
        <v/>
      </c>
      <c r="E488" s="85" t="str">
        <f>IF(TblDetailBudget[[#This Row],[Level]]="", "", COUNTIFS($B$8:TblDetailBudget[[#This Row],[Level]], Lvl2Hdr, $D$8:TblDetailBudget[[#This Row],[Lvl 1 Header]], TblDetailBudget[[#This Row],[Lvl 1 Header]]))</f>
        <v/>
      </c>
      <c r="F48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8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8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88" s="164"/>
      <c r="J488" s="164"/>
      <c r="K488" s="165"/>
      <c r="L488" s="165"/>
      <c r="M488" s="85" t="str">
        <f>IF(TblDetailBudget[[#This Row],[Level]]=LvlBottomHdr, IFERROR(INDEX(TblUnitCost[Unit], MATCH(TblDetailBudget[[#This Row],[Row Title]], TblUnitCost[Resource], 0)), "Invalid Resource"), "")</f>
        <v/>
      </c>
      <c r="N488" s="126" t="str">
        <f>IF(TblDetailBudget[[#This Row],[Level]]=LvlBottomHdr, IFERROR(INDEX(TblUnitCost[LCU], MATCH(TblDetailBudget[[#This Row],[Row Title]], TblUnitCost[Resource], 0)), "Invalid Resource"), "")</f>
        <v/>
      </c>
      <c r="O488" s="130"/>
      <c r="P488" s="109"/>
      <c r="Q488" s="186"/>
      <c r="R488" s="131"/>
      <c r="S488" s="109" t="s">
        <v>66</v>
      </c>
      <c r="T488" s="109" t="s">
        <v>66</v>
      </c>
      <c r="U488" s="109" t="s">
        <v>66</v>
      </c>
      <c r="V488" s="109" t="s">
        <v>66</v>
      </c>
      <c r="W488" s="109" t="s">
        <v>66</v>
      </c>
      <c r="X488" s="126" t="str">
        <f>IF(TblDetailBudget[[#This Row],[Level]]=LvlBottomHdr, IF(SUM(TblDetailBudget[[#This Row],[2021 Quant]:[2025 Quant]])&gt;0, SUM(TblDetailBudget[[#This Row],[2021 Quant]:[2025 Quant]]), ""), "")</f>
        <v/>
      </c>
      <c r="Y48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8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8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8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8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88" s="142">
        <f>SUM(TblDetailBudget[[#This Row],[2021 Cost (LCU)]:[2025 Cost (LCU)]])</f>
        <v>0</v>
      </c>
      <c r="AE488" s="135">
        <f>IFERROR(SUM(TblDetailBudget[[#This Row],[2021 Cost (LCU)]])/FX_Rate, "")</f>
        <v>0</v>
      </c>
      <c r="AF488" s="86">
        <f>IFERROR(SUM(TblDetailBudget[[#This Row],[2022 Cost (LCU)]])/FX_Rate, "")</f>
        <v>0</v>
      </c>
      <c r="AG488" s="86">
        <f>IFERROR(SUM(TblDetailBudget[[#This Row],[2023 Cost (LCU)]])/FX_Rate, "")</f>
        <v>0</v>
      </c>
      <c r="AH488" s="86">
        <f>IFERROR(SUM(TblDetailBudget[[#This Row],[2024 Cost (LCU)]])/FX_Rate, "")</f>
        <v>0</v>
      </c>
      <c r="AI488" s="86">
        <f>IFERROR(SUM(TblDetailBudget[[#This Row],[2025 Cost (LCU)]])/FX_Rate, "")</f>
        <v>0</v>
      </c>
      <c r="AJ488" s="126">
        <f>SUM(TblDetailBudget[[#This Row],[2021 Cost (USD)]:[2025 Cost (USD)]])</f>
        <v>0</v>
      </c>
      <c r="AK488" s="180"/>
    </row>
    <row r="489" spans="2:37" ht="12.75" customHeight="1">
      <c r="B489" s="123"/>
      <c r="C48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89" s="85" t="str">
        <f>IF(TblDetailBudget[[#This Row],[Level]]="", "", COUNTIFS($B$8:TblDetailBudget[[#This Row],[Level]], Lvl1Hdr))</f>
        <v/>
      </c>
      <c r="E489" s="85" t="str">
        <f>IF(TblDetailBudget[[#This Row],[Level]]="", "", COUNTIFS($B$8:TblDetailBudget[[#This Row],[Level]], Lvl2Hdr, $D$8:TblDetailBudget[[#This Row],[Lvl 1 Header]], TblDetailBudget[[#This Row],[Lvl 1 Header]]))</f>
        <v/>
      </c>
      <c r="F48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8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8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89" s="164"/>
      <c r="J489" s="164"/>
      <c r="K489" s="165"/>
      <c r="L489" s="165"/>
      <c r="M489" s="85" t="str">
        <f>IF(TblDetailBudget[[#This Row],[Level]]=LvlBottomHdr, IFERROR(INDEX(TblUnitCost[Unit], MATCH(TblDetailBudget[[#This Row],[Row Title]], TblUnitCost[Resource], 0)), "Invalid Resource"), "")</f>
        <v/>
      </c>
      <c r="N489" s="126" t="str">
        <f>IF(TblDetailBudget[[#This Row],[Level]]=LvlBottomHdr, IFERROR(INDEX(TblUnitCost[LCU], MATCH(TblDetailBudget[[#This Row],[Row Title]], TblUnitCost[Resource], 0)), "Invalid Resource"), "")</f>
        <v/>
      </c>
      <c r="O489" s="130"/>
      <c r="P489" s="109"/>
      <c r="Q489" s="186"/>
      <c r="R489" s="131"/>
      <c r="S489" s="109" t="s">
        <v>66</v>
      </c>
      <c r="T489" s="109" t="s">
        <v>66</v>
      </c>
      <c r="U489" s="109" t="s">
        <v>66</v>
      </c>
      <c r="V489" s="109" t="s">
        <v>66</v>
      </c>
      <c r="W489" s="109" t="s">
        <v>66</v>
      </c>
      <c r="X489" s="126" t="str">
        <f>IF(TblDetailBudget[[#This Row],[Level]]=LvlBottomHdr, IF(SUM(TblDetailBudget[[#This Row],[2021 Quant]:[2025 Quant]])&gt;0, SUM(TblDetailBudget[[#This Row],[2021 Quant]:[2025 Quant]]), ""), "")</f>
        <v/>
      </c>
      <c r="Y48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8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8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8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8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89" s="142">
        <f>SUM(TblDetailBudget[[#This Row],[2021 Cost (LCU)]:[2025 Cost (LCU)]])</f>
        <v>0</v>
      </c>
      <c r="AE489" s="135">
        <f>IFERROR(SUM(TblDetailBudget[[#This Row],[2021 Cost (LCU)]])/FX_Rate, "")</f>
        <v>0</v>
      </c>
      <c r="AF489" s="86">
        <f>IFERROR(SUM(TblDetailBudget[[#This Row],[2022 Cost (LCU)]])/FX_Rate, "")</f>
        <v>0</v>
      </c>
      <c r="AG489" s="86">
        <f>IFERROR(SUM(TblDetailBudget[[#This Row],[2023 Cost (LCU)]])/FX_Rate, "")</f>
        <v>0</v>
      </c>
      <c r="AH489" s="86">
        <f>IFERROR(SUM(TblDetailBudget[[#This Row],[2024 Cost (LCU)]])/FX_Rate, "")</f>
        <v>0</v>
      </c>
      <c r="AI489" s="86">
        <f>IFERROR(SUM(TblDetailBudget[[#This Row],[2025 Cost (LCU)]])/FX_Rate, "")</f>
        <v>0</v>
      </c>
      <c r="AJ489" s="126">
        <f>SUM(TblDetailBudget[[#This Row],[2021 Cost (USD)]:[2025 Cost (USD)]])</f>
        <v>0</v>
      </c>
      <c r="AK489" s="180"/>
    </row>
    <row r="490" spans="2:37" ht="12.75" customHeight="1">
      <c r="B490" s="123"/>
      <c r="C49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90" s="85" t="str">
        <f>IF(TblDetailBudget[[#This Row],[Level]]="", "", COUNTIFS($B$8:TblDetailBudget[[#This Row],[Level]], Lvl1Hdr))</f>
        <v/>
      </c>
      <c r="E490" s="85" t="str">
        <f>IF(TblDetailBudget[[#This Row],[Level]]="", "", COUNTIFS($B$8:TblDetailBudget[[#This Row],[Level]], Lvl2Hdr, $D$8:TblDetailBudget[[#This Row],[Lvl 1 Header]], TblDetailBudget[[#This Row],[Lvl 1 Header]]))</f>
        <v/>
      </c>
      <c r="F49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9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9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90" s="164"/>
      <c r="J490" s="164"/>
      <c r="K490" s="165"/>
      <c r="L490" s="165"/>
      <c r="M490" s="85" t="str">
        <f>IF(TblDetailBudget[[#This Row],[Level]]=LvlBottomHdr, IFERROR(INDEX(TblUnitCost[Unit], MATCH(TblDetailBudget[[#This Row],[Row Title]], TblUnitCost[Resource], 0)), "Invalid Resource"), "")</f>
        <v/>
      </c>
      <c r="N490" s="126" t="str">
        <f>IF(TblDetailBudget[[#This Row],[Level]]=LvlBottomHdr, IFERROR(INDEX(TblUnitCost[LCU], MATCH(TblDetailBudget[[#This Row],[Row Title]], TblUnitCost[Resource], 0)), "Invalid Resource"), "")</f>
        <v/>
      </c>
      <c r="O490" s="130"/>
      <c r="P490" s="109"/>
      <c r="Q490" s="186"/>
      <c r="R490" s="131"/>
      <c r="S490" s="109" t="s">
        <v>66</v>
      </c>
      <c r="T490" s="109" t="s">
        <v>66</v>
      </c>
      <c r="U490" s="109" t="s">
        <v>66</v>
      </c>
      <c r="V490" s="109" t="s">
        <v>66</v>
      </c>
      <c r="W490" s="109" t="s">
        <v>66</v>
      </c>
      <c r="X490" s="126" t="str">
        <f>IF(TblDetailBudget[[#This Row],[Level]]=LvlBottomHdr, IF(SUM(TblDetailBudget[[#This Row],[2021 Quant]:[2025 Quant]])&gt;0, SUM(TblDetailBudget[[#This Row],[2021 Quant]:[2025 Quant]]), ""), "")</f>
        <v/>
      </c>
      <c r="Y49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9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9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9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9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90" s="142">
        <f>SUM(TblDetailBudget[[#This Row],[2021 Cost (LCU)]:[2025 Cost (LCU)]])</f>
        <v>0</v>
      </c>
      <c r="AE490" s="135">
        <f>IFERROR(SUM(TblDetailBudget[[#This Row],[2021 Cost (LCU)]])/FX_Rate, "")</f>
        <v>0</v>
      </c>
      <c r="AF490" s="86">
        <f>IFERROR(SUM(TblDetailBudget[[#This Row],[2022 Cost (LCU)]])/FX_Rate, "")</f>
        <v>0</v>
      </c>
      <c r="AG490" s="86">
        <f>IFERROR(SUM(TblDetailBudget[[#This Row],[2023 Cost (LCU)]])/FX_Rate, "")</f>
        <v>0</v>
      </c>
      <c r="AH490" s="86">
        <f>IFERROR(SUM(TblDetailBudget[[#This Row],[2024 Cost (LCU)]])/FX_Rate, "")</f>
        <v>0</v>
      </c>
      <c r="AI490" s="86">
        <f>IFERROR(SUM(TblDetailBudget[[#This Row],[2025 Cost (LCU)]])/FX_Rate, "")</f>
        <v>0</v>
      </c>
      <c r="AJ490" s="126">
        <f>SUM(TblDetailBudget[[#This Row],[2021 Cost (USD)]:[2025 Cost (USD)]])</f>
        <v>0</v>
      </c>
      <c r="AK490" s="180"/>
    </row>
    <row r="491" spans="2:37" ht="12.75" customHeight="1">
      <c r="B491" s="123"/>
      <c r="C49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91" s="85" t="str">
        <f>IF(TblDetailBudget[[#This Row],[Level]]="", "", COUNTIFS($B$8:TblDetailBudget[[#This Row],[Level]], Lvl1Hdr))</f>
        <v/>
      </c>
      <c r="E491" s="85" t="str">
        <f>IF(TblDetailBudget[[#This Row],[Level]]="", "", COUNTIFS($B$8:TblDetailBudget[[#This Row],[Level]], Lvl2Hdr, $D$8:TblDetailBudget[[#This Row],[Lvl 1 Header]], TblDetailBudget[[#This Row],[Lvl 1 Header]]))</f>
        <v/>
      </c>
      <c r="F49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9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9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91" s="164"/>
      <c r="J491" s="164"/>
      <c r="K491" s="165"/>
      <c r="L491" s="165"/>
      <c r="M491" s="85" t="str">
        <f>IF(TblDetailBudget[[#This Row],[Level]]=LvlBottomHdr, IFERROR(INDEX(TblUnitCost[Unit], MATCH(TblDetailBudget[[#This Row],[Row Title]], TblUnitCost[Resource], 0)), "Invalid Resource"), "")</f>
        <v/>
      </c>
      <c r="N491" s="126" t="str">
        <f>IF(TblDetailBudget[[#This Row],[Level]]=LvlBottomHdr, IFERROR(INDEX(TblUnitCost[LCU], MATCH(TblDetailBudget[[#This Row],[Row Title]], TblUnitCost[Resource], 0)), "Invalid Resource"), "")</f>
        <v/>
      </c>
      <c r="O491" s="130"/>
      <c r="P491" s="109"/>
      <c r="Q491" s="186"/>
      <c r="R491" s="131"/>
      <c r="S491" s="109" t="s">
        <v>66</v>
      </c>
      <c r="T491" s="109" t="s">
        <v>66</v>
      </c>
      <c r="U491" s="109" t="s">
        <v>66</v>
      </c>
      <c r="V491" s="109" t="s">
        <v>66</v>
      </c>
      <c r="W491" s="109" t="s">
        <v>66</v>
      </c>
      <c r="X491" s="126" t="str">
        <f>IF(TblDetailBudget[[#This Row],[Level]]=LvlBottomHdr, IF(SUM(TblDetailBudget[[#This Row],[2021 Quant]:[2025 Quant]])&gt;0, SUM(TblDetailBudget[[#This Row],[2021 Quant]:[2025 Quant]]), ""), "")</f>
        <v/>
      </c>
      <c r="Y49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9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9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9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9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91" s="142">
        <f>SUM(TblDetailBudget[[#This Row],[2021 Cost (LCU)]:[2025 Cost (LCU)]])</f>
        <v>0</v>
      </c>
      <c r="AE491" s="135">
        <f>IFERROR(SUM(TblDetailBudget[[#This Row],[2021 Cost (LCU)]])/FX_Rate, "")</f>
        <v>0</v>
      </c>
      <c r="AF491" s="86">
        <f>IFERROR(SUM(TblDetailBudget[[#This Row],[2022 Cost (LCU)]])/FX_Rate, "")</f>
        <v>0</v>
      </c>
      <c r="AG491" s="86">
        <f>IFERROR(SUM(TblDetailBudget[[#This Row],[2023 Cost (LCU)]])/FX_Rate, "")</f>
        <v>0</v>
      </c>
      <c r="AH491" s="86">
        <f>IFERROR(SUM(TblDetailBudget[[#This Row],[2024 Cost (LCU)]])/FX_Rate, "")</f>
        <v>0</v>
      </c>
      <c r="AI491" s="86">
        <f>IFERROR(SUM(TblDetailBudget[[#This Row],[2025 Cost (LCU)]])/FX_Rate, "")</f>
        <v>0</v>
      </c>
      <c r="AJ491" s="126">
        <f>SUM(TblDetailBudget[[#This Row],[2021 Cost (USD)]:[2025 Cost (USD)]])</f>
        <v>0</v>
      </c>
      <c r="AK491" s="180"/>
    </row>
    <row r="492" spans="2:37" ht="12.75" customHeight="1">
      <c r="B492" s="123"/>
      <c r="C49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92" s="85" t="str">
        <f>IF(TblDetailBudget[[#This Row],[Level]]="", "", COUNTIFS($B$8:TblDetailBudget[[#This Row],[Level]], Lvl1Hdr))</f>
        <v/>
      </c>
      <c r="E492" s="85" t="str">
        <f>IF(TblDetailBudget[[#This Row],[Level]]="", "", COUNTIFS($B$8:TblDetailBudget[[#This Row],[Level]], Lvl2Hdr, $D$8:TblDetailBudget[[#This Row],[Lvl 1 Header]], TblDetailBudget[[#This Row],[Lvl 1 Header]]))</f>
        <v/>
      </c>
      <c r="F49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9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9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92" s="164"/>
      <c r="J492" s="164"/>
      <c r="K492" s="165"/>
      <c r="L492" s="165"/>
      <c r="M492" s="85" t="str">
        <f>IF(TblDetailBudget[[#This Row],[Level]]=LvlBottomHdr, IFERROR(INDEX(TblUnitCost[Unit], MATCH(TblDetailBudget[[#This Row],[Row Title]], TblUnitCost[Resource], 0)), "Invalid Resource"), "")</f>
        <v/>
      </c>
      <c r="N492" s="126" t="str">
        <f>IF(TblDetailBudget[[#This Row],[Level]]=LvlBottomHdr, IFERROR(INDEX(TblUnitCost[LCU], MATCH(TblDetailBudget[[#This Row],[Row Title]], TblUnitCost[Resource], 0)), "Invalid Resource"), "")</f>
        <v/>
      </c>
      <c r="O492" s="130"/>
      <c r="P492" s="109"/>
      <c r="Q492" s="186"/>
      <c r="R492" s="131"/>
      <c r="S492" s="109" t="s">
        <v>66</v>
      </c>
      <c r="T492" s="109" t="s">
        <v>66</v>
      </c>
      <c r="U492" s="109" t="s">
        <v>66</v>
      </c>
      <c r="V492" s="109" t="s">
        <v>66</v>
      </c>
      <c r="W492" s="109" t="s">
        <v>66</v>
      </c>
      <c r="X492" s="126" t="str">
        <f>IF(TblDetailBudget[[#This Row],[Level]]=LvlBottomHdr, IF(SUM(TblDetailBudget[[#This Row],[2021 Quant]:[2025 Quant]])&gt;0, SUM(TblDetailBudget[[#This Row],[2021 Quant]:[2025 Quant]]), ""), "")</f>
        <v/>
      </c>
      <c r="Y49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9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9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9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9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92" s="142">
        <f>SUM(TblDetailBudget[[#This Row],[2021 Cost (LCU)]:[2025 Cost (LCU)]])</f>
        <v>0</v>
      </c>
      <c r="AE492" s="135">
        <f>IFERROR(SUM(TblDetailBudget[[#This Row],[2021 Cost (LCU)]])/FX_Rate, "")</f>
        <v>0</v>
      </c>
      <c r="AF492" s="86">
        <f>IFERROR(SUM(TblDetailBudget[[#This Row],[2022 Cost (LCU)]])/FX_Rate, "")</f>
        <v>0</v>
      </c>
      <c r="AG492" s="86">
        <f>IFERROR(SUM(TblDetailBudget[[#This Row],[2023 Cost (LCU)]])/FX_Rate, "")</f>
        <v>0</v>
      </c>
      <c r="AH492" s="86">
        <f>IFERROR(SUM(TblDetailBudget[[#This Row],[2024 Cost (LCU)]])/FX_Rate, "")</f>
        <v>0</v>
      </c>
      <c r="AI492" s="86">
        <f>IFERROR(SUM(TblDetailBudget[[#This Row],[2025 Cost (LCU)]])/FX_Rate, "")</f>
        <v>0</v>
      </c>
      <c r="AJ492" s="126">
        <f>SUM(TblDetailBudget[[#This Row],[2021 Cost (USD)]:[2025 Cost (USD)]])</f>
        <v>0</v>
      </c>
      <c r="AK492" s="180"/>
    </row>
    <row r="493" spans="2:37" ht="12.75" customHeight="1">
      <c r="B493" s="123"/>
      <c r="C49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93" s="85" t="str">
        <f>IF(TblDetailBudget[[#This Row],[Level]]="", "", COUNTIFS($B$8:TblDetailBudget[[#This Row],[Level]], Lvl1Hdr))</f>
        <v/>
      </c>
      <c r="E493" s="85" t="str">
        <f>IF(TblDetailBudget[[#This Row],[Level]]="", "", COUNTIFS($B$8:TblDetailBudget[[#This Row],[Level]], Lvl2Hdr, $D$8:TblDetailBudget[[#This Row],[Lvl 1 Header]], TblDetailBudget[[#This Row],[Lvl 1 Header]]))</f>
        <v/>
      </c>
      <c r="F49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9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9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93" s="164"/>
      <c r="J493" s="164"/>
      <c r="K493" s="165"/>
      <c r="L493" s="165"/>
      <c r="M493" s="85" t="str">
        <f>IF(TblDetailBudget[[#This Row],[Level]]=LvlBottomHdr, IFERROR(INDEX(TblUnitCost[Unit], MATCH(TblDetailBudget[[#This Row],[Row Title]], TblUnitCost[Resource], 0)), "Invalid Resource"), "")</f>
        <v/>
      </c>
      <c r="N493" s="126" t="str">
        <f>IF(TblDetailBudget[[#This Row],[Level]]=LvlBottomHdr, IFERROR(INDEX(TblUnitCost[LCU], MATCH(TblDetailBudget[[#This Row],[Row Title]], TblUnitCost[Resource], 0)), "Invalid Resource"), "")</f>
        <v/>
      </c>
      <c r="O493" s="130"/>
      <c r="P493" s="109"/>
      <c r="Q493" s="186"/>
      <c r="R493" s="131"/>
      <c r="S493" s="109" t="s">
        <v>66</v>
      </c>
      <c r="T493" s="109" t="s">
        <v>66</v>
      </c>
      <c r="U493" s="109" t="s">
        <v>66</v>
      </c>
      <c r="V493" s="109" t="s">
        <v>66</v>
      </c>
      <c r="W493" s="109" t="s">
        <v>66</v>
      </c>
      <c r="X493" s="126" t="str">
        <f>IF(TblDetailBudget[[#This Row],[Level]]=LvlBottomHdr, IF(SUM(TblDetailBudget[[#This Row],[2021 Quant]:[2025 Quant]])&gt;0, SUM(TblDetailBudget[[#This Row],[2021 Quant]:[2025 Quant]]), ""), "")</f>
        <v/>
      </c>
      <c r="Y49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9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9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9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9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93" s="142">
        <f>SUM(TblDetailBudget[[#This Row],[2021 Cost (LCU)]:[2025 Cost (LCU)]])</f>
        <v>0</v>
      </c>
      <c r="AE493" s="135">
        <f>IFERROR(SUM(TblDetailBudget[[#This Row],[2021 Cost (LCU)]])/FX_Rate, "")</f>
        <v>0</v>
      </c>
      <c r="AF493" s="86">
        <f>IFERROR(SUM(TblDetailBudget[[#This Row],[2022 Cost (LCU)]])/FX_Rate, "")</f>
        <v>0</v>
      </c>
      <c r="AG493" s="86">
        <f>IFERROR(SUM(TblDetailBudget[[#This Row],[2023 Cost (LCU)]])/FX_Rate, "")</f>
        <v>0</v>
      </c>
      <c r="AH493" s="86">
        <f>IFERROR(SUM(TblDetailBudget[[#This Row],[2024 Cost (LCU)]])/FX_Rate, "")</f>
        <v>0</v>
      </c>
      <c r="AI493" s="86">
        <f>IFERROR(SUM(TblDetailBudget[[#This Row],[2025 Cost (LCU)]])/FX_Rate, "")</f>
        <v>0</v>
      </c>
      <c r="AJ493" s="126">
        <f>SUM(TblDetailBudget[[#This Row],[2021 Cost (USD)]:[2025 Cost (USD)]])</f>
        <v>0</v>
      </c>
      <c r="AK493" s="180"/>
    </row>
    <row r="494" spans="2:37" ht="12.75" customHeight="1">
      <c r="B494" s="123"/>
      <c r="C49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94" s="85" t="str">
        <f>IF(TblDetailBudget[[#This Row],[Level]]="", "", COUNTIFS($B$8:TblDetailBudget[[#This Row],[Level]], Lvl1Hdr))</f>
        <v/>
      </c>
      <c r="E494" s="85" t="str">
        <f>IF(TblDetailBudget[[#This Row],[Level]]="", "", COUNTIFS($B$8:TblDetailBudget[[#This Row],[Level]], Lvl2Hdr, $D$8:TblDetailBudget[[#This Row],[Lvl 1 Header]], TblDetailBudget[[#This Row],[Lvl 1 Header]]))</f>
        <v/>
      </c>
      <c r="F49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9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9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94" s="164"/>
      <c r="J494" s="164"/>
      <c r="K494" s="165"/>
      <c r="L494" s="165"/>
      <c r="M494" s="85" t="str">
        <f>IF(TblDetailBudget[[#This Row],[Level]]=LvlBottomHdr, IFERROR(INDEX(TblUnitCost[Unit], MATCH(TblDetailBudget[[#This Row],[Row Title]], TblUnitCost[Resource], 0)), "Invalid Resource"), "")</f>
        <v/>
      </c>
      <c r="N494" s="126" t="str">
        <f>IF(TblDetailBudget[[#This Row],[Level]]=LvlBottomHdr, IFERROR(INDEX(TblUnitCost[LCU], MATCH(TblDetailBudget[[#This Row],[Row Title]], TblUnitCost[Resource], 0)), "Invalid Resource"), "")</f>
        <v/>
      </c>
      <c r="O494" s="130"/>
      <c r="P494" s="109"/>
      <c r="Q494" s="186"/>
      <c r="R494" s="131"/>
      <c r="S494" s="109" t="s">
        <v>66</v>
      </c>
      <c r="T494" s="109" t="s">
        <v>66</v>
      </c>
      <c r="U494" s="109" t="s">
        <v>66</v>
      </c>
      <c r="V494" s="109" t="s">
        <v>66</v>
      </c>
      <c r="W494" s="109" t="s">
        <v>66</v>
      </c>
      <c r="X494" s="126" t="str">
        <f>IF(TblDetailBudget[[#This Row],[Level]]=LvlBottomHdr, IF(SUM(TblDetailBudget[[#This Row],[2021 Quant]:[2025 Quant]])&gt;0, SUM(TblDetailBudget[[#This Row],[2021 Quant]:[2025 Quant]]), ""), "")</f>
        <v/>
      </c>
      <c r="Y49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9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9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9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9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94" s="142">
        <f>SUM(TblDetailBudget[[#This Row],[2021 Cost (LCU)]:[2025 Cost (LCU)]])</f>
        <v>0</v>
      </c>
      <c r="AE494" s="135">
        <f>IFERROR(SUM(TblDetailBudget[[#This Row],[2021 Cost (LCU)]])/FX_Rate, "")</f>
        <v>0</v>
      </c>
      <c r="AF494" s="86">
        <f>IFERROR(SUM(TblDetailBudget[[#This Row],[2022 Cost (LCU)]])/FX_Rate, "")</f>
        <v>0</v>
      </c>
      <c r="AG494" s="86">
        <f>IFERROR(SUM(TblDetailBudget[[#This Row],[2023 Cost (LCU)]])/FX_Rate, "")</f>
        <v>0</v>
      </c>
      <c r="AH494" s="86">
        <f>IFERROR(SUM(TblDetailBudget[[#This Row],[2024 Cost (LCU)]])/FX_Rate, "")</f>
        <v>0</v>
      </c>
      <c r="AI494" s="86">
        <f>IFERROR(SUM(TblDetailBudget[[#This Row],[2025 Cost (LCU)]])/FX_Rate, "")</f>
        <v>0</v>
      </c>
      <c r="AJ494" s="126">
        <f>SUM(TblDetailBudget[[#This Row],[2021 Cost (USD)]:[2025 Cost (USD)]])</f>
        <v>0</v>
      </c>
      <c r="AK494" s="180"/>
    </row>
    <row r="495" spans="2:37" ht="12.75" customHeight="1">
      <c r="B495" s="123"/>
      <c r="C49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95" s="85" t="str">
        <f>IF(TblDetailBudget[[#This Row],[Level]]="", "", COUNTIFS($B$8:TblDetailBudget[[#This Row],[Level]], Lvl1Hdr))</f>
        <v/>
      </c>
      <c r="E495" s="85" t="str">
        <f>IF(TblDetailBudget[[#This Row],[Level]]="", "", COUNTIFS($B$8:TblDetailBudget[[#This Row],[Level]], Lvl2Hdr, $D$8:TblDetailBudget[[#This Row],[Lvl 1 Header]], TblDetailBudget[[#This Row],[Lvl 1 Header]]))</f>
        <v/>
      </c>
      <c r="F49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9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9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95" s="164"/>
      <c r="J495" s="164"/>
      <c r="K495" s="165"/>
      <c r="L495" s="165"/>
      <c r="M495" s="85" t="str">
        <f>IF(TblDetailBudget[[#This Row],[Level]]=LvlBottomHdr, IFERROR(INDEX(TblUnitCost[Unit], MATCH(TblDetailBudget[[#This Row],[Row Title]], TblUnitCost[Resource], 0)), "Invalid Resource"), "")</f>
        <v/>
      </c>
      <c r="N495" s="126" t="str">
        <f>IF(TblDetailBudget[[#This Row],[Level]]=LvlBottomHdr, IFERROR(INDEX(TblUnitCost[LCU], MATCH(TblDetailBudget[[#This Row],[Row Title]], TblUnitCost[Resource], 0)), "Invalid Resource"), "")</f>
        <v/>
      </c>
      <c r="O495" s="130"/>
      <c r="P495" s="109"/>
      <c r="Q495" s="186"/>
      <c r="R495" s="131"/>
      <c r="S495" s="109" t="s">
        <v>66</v>
      </c>
      <c r="T495" s="109" t="s">
        <v>66</v>
      </c>
      <c r="U495" s="109" t="s">
        <v>66</v>
      </c>
      <c r="V495" s="109" t="s">
        <v>66</v>
      </c>
      <c r="W495" s="109" t="s">
        <v>66</v>
      </c>
      <c r="X495" s="126" t="str">
        <f>IF(TblDetailBudget[[#This Row],[Level]]=LvlBottomHdr, IF(SUM(TblDetailBudget[[#This Row],[2021 Quant]:[2025 Quant]])&gt;0, SUM(TblDetailBudget[[#This Row],[2021 Quant]:[2025 Quant]]), ""), "")</f>
        <v/>
      </c>
      <c r="Y49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9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9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9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9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95" s="142">
        <f>SUM(TblDetailBudget[[#This Row],[2021 Cost (LCU)]:[2025 Cost (LCU)]])</f>
        <v>0</v>
      </c>
      <c r="AE495" s="135">
        <f>IFERROR(SUM(TblDetailBudget[[#This Row],[2021 Cost (LCU)]])/FX_Rate, "")</f>
        <v>0</v>
      </c>
      <c r="AF495" s="86">
        <f>IFERROR(SUM(TblDetailBudget[[#This Row],[2022 Cost (LCU)]])/FX_Rate, "")</f>
        <v>0</v>
      </c>
      <c r="AG495" s="86">
        <f>IFERROR(SUM(TblDetailBudget[[#This Row],[2023 Cost (LCU)]])/FX_Rate, "")</f>
        <v>0</v>
      </c>
      <c r="AH495" s="86">
        <f>IFERROR(SUM(TblDetailBudget[[#This Row],[2024 Cost (LCU)]])/FX_Rate, "")</f>
        <v>0</v>
      </c>
      <c r="AI495" s="86">
        <f>IFERROR(SUM(TblDetailBudget[[#This Row],[2025 Cost (LCU)]])/FX_Rate, "")</f>
        <v>0</v>
      </c>
      <c r="AJ495" s="126">
        <f>SUM(TblDetailBudget[[#This Row],[2021 Cost (USD)]:[2025 Cost (USD)]])</f>
        <v>0</v>
      </c>
      <c r="AK495" s="180"/>
    </row>
    <row r="496" spans="2:37" ht="12.75" customHeight="1">
      <c r="B496" s="123"/>
      <c r="C49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96" s="85" t="str">
        <f>IF(TblDetailBudget[[#This Row],[Level]]="", "", COUNTIFS($B$8:TblDetailBudget[[#This Row],[Level]], Lvl1Hdr))</f>
        <v/>
      </c>
      <c r="E496" s="85" t="str">
        <f>IF(TblDetailBudget[[#This Row],[Level]]="", "", COUNTIFS($B$8:TblDetailBudget[[#This Row],[Level]], Lvl2Hdr, $D$8:TblDetailBudget[[#This Row],[Lvl 1 Header]], TblDetailBudget[[#This Row],[Lvl 1 Header]]))</f>
        <v/>
      </c>
      <c r="F49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9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9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96" s="164"/>
      <c r="J496" s="164"/>
      <c r="K496" s="165"/>
      <c r="L496" s="165"/>
      <c r="M496" s="85" t="str">
        <f>IF(TblDetailBudget[[#This Row],[Level]]=LvlBottomHdr, IFERROR(INDEX(TblUnitCost[Unit], MATCH(TblDetailBudget[[#This Row],[Row Title]], TblUnitCost[Resource], 0)), "Invalid Resource"), "")</f>
        <v/>
      </c>
      <c r="N496" s="126" t="str">
        <f>IF(TblDetailBudget[[#This Row],[Level]]=LvlBottomHdr, IFERROR(INDEX(TblUnitCost[LCU], MATCH(TblDetailBudget[[#This Row],[Row Title]], TblUnitCost[Resource], 0)), "Invalid Resource"), "")</f>
        <v/>
      </c>
      <c r="O496" s="130"/>
      <c r="P496" s="109"/>
      <c r="Q496" s="186"/>
      <c r="R496" s="131"/>
      <c r="S496" s="109" t="s">
        <v>66</v>
      </c>
      <c r="T496" s="109" t="s">
        <v>66</v>
      </c>
      <c r="U496" s="109" t="s">
        <v>66</v>
      </c>
      <c r="V496" s="109" t="s">
        <v>66</v>
      </c>
      <c r="W496" s="109" t="s">
        <v>66</v>
      </c>
      <c r="X496" s="126" t="str">
        <f>IF(TblDetailBudget[[#This Row],[Level]]=LvlBottomHdr, IF(SUM(TblDetailBudget[[#This Row],[2021 Quant]:[2025 Quant]])&gt;0, SUM(TblDetailBudget[[#This Row],[2021 Quant]:[2025 Quant]]), ""), "")</f>
        <v/>
      </c>
      <c r="Y49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9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9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9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9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96" s="142">
        <f>SUM(TblDetailBudget[[#This Row],[2021 Cost (LCU)]:[2025 Cost (LCU)]])</f>
        <v>0</v>
      </c>
      <c r="AE496" s="135">
        <f>IFERROR(SUM(TblDetailBudget[[#This Row],[2021 Cost (LCU)]])/FX_Rate, "")</f>
        <v>0</v>
      </c>
      <c r="AF496" s="86">
        <f>IFERROR(SUM(TblDetailBudget[[#This Row],[2022 Cost (LCU)]])/FX_Rate, "")</f>
        <v>0</v>
      </c>
      <c r="AG496" s="86">
        <f>IFERROR(SUM(TblDetailBudget[[#This Row],[2023 Cost (LCU)]])/FX_Rate, "")</f>
        <v>0</v>
      </c>
      <c r="AH496" s="86">
        <f>IFERROR(SUM(TblDetailBudget[[#This Row],[2024 Cost (LCU)]])/FX_Rate, "")</f>
        <v>0</v>
      </c>
      <c r="AI496" s="86">
        <f>IFERROR(SUM(TblDetailBudget[[#This Row],[2025 Cost (LCU)]])/FX_Rate, "")</f>
        <v>0</v>
      </c>
      <c r="AJ496" s="126">
        <f>SUM(TblDetailBudget[[#This Row],[2021 Cost (USD)]:[2025 Cost (USD)]])</f>
        <v>0</v>
      </c>
      <c r="AK496" s="180"/>
    </row>
    <row r="497" spans="2:37" ht="12.75" customHeight="1">
      <c r="B497" s="123"/>
      <c r="C49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97" s="85" t="str">
        <f>IF(TblDetailBudget[[#This Row],[Level]]="", "", COUNTIFS($B$8:TblDetailBudget[[#This Row],[Level]], Lvl1Hdr))</f>
        <v/>
      </c>
      <c r="E497" s="85" t="str">
        <f>IF(TblDetailBudget[[#This Row],[Level]]="", "", COUNTIFS($B$8:TblDetailBudget[[#This Row],[Level]], Lvl2Hdr, $D$8:TblDetailBudget[[#This Row],[Lvl 1 Header]], TblDetailBudget[[#This Row],[Lvl 1 Header]]))</f>
        <v/>
      </c>
      <c r="F49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9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9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97" s="164"/>
      <c r="J497" s="164"/>
      <c r="K497" s="165"/>
      <c r="L497" s="165"/>
      <c r="M497" s="85" t="str">
        <f>IF(TblDetailBudget[[#This Row],[Level]]=LvlBottomHdr, IFERROR(INDEX(TblUnitCost[Unit], MATCH(TblDetailBudget[[#This Row],[Row Title]], TblUnitCost[Resource], 0)), "Invalid Resource"), "")</f>
        <v/>
      </c>
      <c r="N497" s="126" t="str">
        <f>IF(TblDetailBudget[[#This Row],[Level]]=LvlBottomHdr, IFERROR(INDEX(TblUnitCost[LCU], MATCH(TblDetailBudget[[#This Row],[Row Title]], TblUnitCost[Resource], 0)), "Invalid Resource"), "")</f>
        <v/>
      </c>
      <c r="O497" s="130"/>
      <c r="P497" s="109"/>
      <c r="Q497" s="186"/>
      <c r="R497" s="131"/>
      <c r="S497" s="109" t="s">
        <v>66</v>
      </c>
      <c r="T497" s="109" t="s">
        <v>66</v>
      </c>
      <c r="U497" s="109" t="s">
        <v>66</v>
      </c>
      <c r="V497" s="109" t="s">
        <v>66</v>
      </c>
      <c r="W497" s="109" t="s">
        <v>66</v>
      </c>
      <c r="X497" s="126" t="str">
        <f>IF(TblDetailBudget[[#This Row],[Level]]=LvlBottomHdr, IF(SUM(TblDetailBudget[[#This Row],[2021 Quant]:[2025 Quant]])&gt;0, SUM(TblDetailBudget[[#This Row],[2021 Quant]:[2025 Quant]]), ""), "")</f>
        <v/>
      </c>
      <c r="Y49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9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9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9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9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97" s="142">
        <f>SUM(TblDetailBudget[[#This Row],[2021 Cost (LCU)]:[2025 Cost (LCU)]])</f>
        <v>0</v>
      </c>
      <c r="AE497" s="135">
        <f>IFERROR(SUM(TblDetailBudget[[#This Row],[2021 Cost (LCU)]])/FX_Rate, "")</f>
        <v>0</v>
      </c>
      <c r="AF497" s="86">
        <f>IFERROR(SUM(TblDetailBudget[[#This Row],[2022 Cost (LCU)]])/FX_Rate, "")</f>
        <v>0</v>
      </c>
      <c r="AG497" s="86">
        <f>IFERROR(SUM(TblDetailBudget[[#This Row],[2023 Cost (LCU)]])/FX_Rate, "")</f>
        <v>0</v>
      </c>
      <c r="AH497" s="86">
        <f>IFERROR(SUM(TblDetailBudget[[#This Row],[2024 Cost (LCU)]])/FX_Rate, "")</f>
        <v>0</v>
      </c>
      <c r="AI497" s="86">
        <f>IFERROR(SUM(TblDetailBudget[[#This Row],[2025 Cost (LCU)]])/FX_Rate, "")</f>
        <v>0</v>
      </c>
      <c r="AJ497" s="126">
        <f>SUM(TblDetailBudget[[#This Row],[2021 Cost (USD)]:[2025 Cost (USD)]])</f>
        <v>0</v>
      </c>
      <c r="AK497" s="180"/>
    </row>
    <row r="498" spans="2:37" ht="12.75" customHeight="1">
      <c r="B498" s="123"/>
      <c r="C49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98" s="85" t="str">
        <f>IF(TblDetailBudget[[#This Row],[Level]]="", "", COUNTIFS($B$8:TblDetailBudget[[#This Row],[Level]], Lvl1Hdr))</f>
        <v/>
      </c>
      <c r="E498" s="85" t="str">
        <f>IF(TblDetailBudget[[#This Row],[Level]]="", "", COUNTIFS($B$8:TblDetailBudget[[#This Row],[Level]], Lvl2Hdr, $D$8:TblDetailBudget[[#This Row],[Lvl 1 Header]], TblDetailBudget[[#This Row],[Lvl 1 Header]]))</f>
        <v/>
      </c>
      <c r="F49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9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9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98" s="164"/>
      <c r="J498" s="164"/>
      <c r="K498" s="165"/>
      <c r="L498" s="165"/>
      <c r="M498" s="85" t="str">
        <f>IF(TblDetailBudget[[#This Row],[Level]]=LvlBottomHdr, IFERROR(INDEX(TblUnitCost[Unit], MATCH(TblDetailBudget[[#This Row],[Row Title]], TblUnitCost[Resource], 0)), "Invalid Resource"), "")</f>
        <v/>
      </c>
      <c r="N498" s="126" t="str">
        <f>IF(TblDetailBudget[[#This Row],[Level]]=LvlBottomHdr, IFERROR(INDEX(TblUnitCost[LCU], MATCH(TblDetailBudget[[#This Row],[Row Title]], TblUnitCost[Resource], 0)), "Invalid Resource"), "")</f>
        <v/>
      </c>
      <c r="O498" s="130"/>
      <c r="P498" s="109"/>
      <c r="Q498" s="186"/>
      <c r="R498" s="131"/>
      <c r="S498" s="109" t="s">
        <v>66</v>
      </c>
      <c r="T498" s="109" t="s">
        <v>66</v>
      </c>
      <c r="U498" s="109" t="s">
        <v>66</v>
      </c>
      <c r="V498" s="109" t="s">
        <v>66</v>
      </c>
      <c r="W498" s="109" t="s">
        <v>66</v>
      </c>
      <c r="X498" s="126" t="str">
        <f>IF(TblDetailBudget[[#This Row],[Level]]=LvlBottomHdr, IF(SUM(TblDetailBudget[[#This Row],[2021 Quant]:[2025 Quant]])&gt;0, SUM(TblDetailBudget[[#This Row],[2021 Quant]:[2025 Quant]]), ""), "")</f>
        <v/>
      </c>
      <c r="Y49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9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9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9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9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98" s="142">
        <f>SUM(TblDetailBudget[[#This Row],[2021 Cost (LCU)]:[2025 Cost (LCU)]])</f>
        <v>0</v>
      </c>
      <c r="AE498" s="135">
        <f>IFERROR(SUM(TblDetailBudget[[#This Row],[2021 Cost (LCU)]])/FX_Rate, "")</f>
        <v>0</v>
      </c>
      <c r="AF498" s="86">
        <f>IFERROR(SUM(TblDetailBudget[[#This Row],[2022 Cost (LCU)]])/FX_Rate, "")</f>
        <v>0</v>
      </c>
      <c r="AG498" s="86">
        <f>IFERROR(SUM(TblDetailBudget[[#This Row],[2023 Cost (LCU)]])/FX_Rate, "")</f>
        <v>0</v>
      </c>
      <c r="AH498" s="86">
        <f>IFERROR(SUM(TblDetailBudget[[#This Row],[2024 Cost (LCU)]])/FX_Rate, "")</f>
        <v>0</v>
      </c>
      <c r="AI498" s="86">
        <f>IFERROR(SUM(TblDetailBudget[[#This Row],[2025 Cost (LCU)]])/FX_Rate, "")</f>
        <v>0</v>
      </c>
      <c r="AJ498" s="126">
        <f>SUM(TblDetailBudget[[#This Row],[2021 Cost (USD)]:[2025 Cost (USD)]])</f>
        <v>0</v>
      </c>
      <c r="AK498" s="180"/>
    </row>
    <row r="499" spans="2:37" ht="12.75" customHeight="1">
      <c r="B499" s="123"/>
      <c r="C49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99" s="85" t="str">
        <f>IF(TblDetailBudget[[#This Row],[Level]]="", "", COUNTIFS($B$8:TblDetailBudget[[#This Row],[Level]], Lvl1Hdr))</f>
        <v/>
      </c>
      <c r="E499" s="85" t="str">
        <f>IF(TblDetailBudget[[#This Row],[Level]]="", "", COUNTIFS($B$8:TblDetailBudget[[#This Row],[Level]], Lvl2Hdr, $D$8:TblDetailBudget[[#This Row],[Lvl 1 Header]], TblDetailBudget[[#This Row],[Lvl 1 Header]]))</f>
        <v/>
      </c>
      <c r="F49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9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9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99" s="164"/>
      <c r="J499" s="164"/>
      <c r="K499" s="165"/>
      <c r="L499" s="165"/>
      <c r="M499" s="85" t="str">
        <f>IF(TblDetailBudget[[#This Row],[Level]]=LvlBottomHdr, IFERROR(INDEX(TblUnitCost[Unit], MATCH(TblDetailBudget[[#This Row],[Row Title]], TblUnitCost[Resource], 0)), "Invalid Resource"), "")</f>
        <v/>
      </c>
      <c r="N499" s="126" t="str">
        <f>IF(TblDetailBudget[[#This Row],[Level]]=LvlBottomHdr, IFERROR(INDEX(TblUnitCost[LCU], MATCH(TblDetailBudget[[#This Row],[Row Title]], TblUnitCost[Resource], 0)), "Invalid Resource"), "")</f>
        <v/>
      </c>
      <c r="O499" s="130"/>
      <c r="P499" s="109"/>
      <c r="Q499" s="186"/>
      <c r="R499" s="131"/>
      <c r="S499" s="109" t="s">
        <v>66</v>
      </c>
      <c r="T499" s="109" t="s">
        <v>66</v>
      </c>
      <c r="U499" s="109" t="s">
        <v>66</v>
      </c>
      <c r="V499" s="109" t="s">
        <v>66</v>
      </c>
      <c r="W499" s="109" t="s">
        <v>66</v>
      </c>
      <c r="X499" s="126" t="str">
        <f>IF(TblDetailBudget[[#This Row],[Level]]=LvlBottomHdr, IF(SUM(TblDetailBudget[[#This Row],[2021 Quant]:[2025 Quant]])&gt;0, SUM(TblDetailBudget[[#This Row],[2021 Quant]:[2025 Quant]]), ""), "")</f>
        <v/>
      </c>
      <c r="Y49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49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49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49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49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499" s="142">
        <f>SUM(TblDetailBudget[[#This Row],[2021 Cost (LCU)]:[2025 Cost (LCU)]])</f>
        <v>0</v>
      </c>
      <c r="AE499" s="135">
        <f>IFERROR(SUM(TblDetailBudget[[#This Row],[2021 Cost (LCU)]])/FX_Rate, "")</f>
        <v>0</v>
      </c>
      <c r="AF499" s="86">
        <f>IFERROR(SUM(TblDetailBudget[[#This Row],[2022 Cost (LCU)]])/FX_Rate, "")</f>
        <v>0</v>
      </c>
      <c r="AG499" s="86">
        <f>IFERROR(SUM(TblDetailBudget[[#This Row],[2023 Cost (LCU)]])/FX_Rate, "")</f>
        <v>0</v>
      </c>
      <c r="AH499" s="86">
        <f>IFERROR(SUM(TblDetailBudget[[#This Row],[2024 Cost (LCU)]])/FX_Rate, "")</f>
        <v>0</v>
      </c>
      <c r="AI499" s="86">
        <f>IFERROR(SUM(TblDetailBudget[[#This Row],[2025 Cost (LCU)]])/FX_Rate, "")</f>
        <v>0</v>
      </c>
      <c r="AJ499" s="126">
        <f>SUM(TblDetailBudget[[#This Row],[2021 Cost (USD)]:[2025 Cost (USD)]])</f>
        <v>0</v>
      </c>
      <c r="AK499" s="180"/>
    </row>
    <row r="500" spans="2:37" ht="12.75" customHeight="1">
      <c r="B500" s="123"/>
      <c r="C50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00" s="85" t="str">
        <f>IF(TblDetailBudget[[#This Row],[Level]]="", "", COUNTIFS($B$8:TblDetailBudget[[#This Row],[Level]], Lvl1Hdr))</f>
        <v/>
      </c>
      <c r="E500" s="85" t="str">
        <f>IF(TblDetailBudget[[#This Row],[Level]]="", "", COUNTIFS($B$8:TblDetailBudget[[#This Row],[Level]], Lvl2Hdr, $D$8:TblDetailBudget[[#This Row],[Lvl 1 Header]], TblDetailBudget[[#This Row],[Lvl 1 Header]]))</f>
        <v/>
      </c>
      <c r="F50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0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0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00" s="164"/>
      <c r="J500" s="164"/>
      <c r="K500" s="165"/>
      <c r="L500" s="165"/>
      <c r="M500" s="85" t="str">
        <f>IF(TblDetailBudget[[#This Row],[Level]]=LvlBottomHdr, IFERROR(INDEX(TblUnitCost[Unit], MATCH(TblDetailBudget[[#This Row],[Row Title]], TblUnitCost[Resource], 0)), "Invalid Resource"), "")</f>
        <v/>
      </c>
      <c r="N500" s="126" t="str">
        <f>IF(TblDetailBudget[[#This Row],[Level]]=LvlBottomHdr, IFERROR(INDEX(TblUnitCost[LCU], MATCH(TblDetailBudget[[#This Row],[Row Title]], TblUnitCost[Resource], 0)), "Invalid Resource"), "")</f>
        <v/>
      </c>
      <c r="O500" s="130"/>
      <c r="P500" s="109"/>
      <c r="Q500" s="186"/>
      <c r="R500" s="131"/>
      <c r="S500" s="109" t="s">
        <v>66</v>
      </c>
      <c r="T500" s="109" t="s">
        <v>66</v>
      </c>
      <c r="U500" s="109" t="s">
        <v>66</v>
      </c>
      <c r="V500" s="109" t="s">
        <v>66</v>
      </c>
      <c r="W500" s="109" t="s">
        <v>66</v>
      </c>
      <c r="X500" s="126" t="str">
        <f>IF(TblDetailBudget[[#This Row],[Level]]=LvlBottomHdr, IF(SUM(TblDetailBudget[[#This Row],[2021 Quant]:[2025 Quant]])&gt;0, SUM(TblDetailBudget[[#This Row],[2021 Quant]:[2025 Quant]]), ""), "")</f>
        <v/>
      </c>
      <c r="Y50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0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0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0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0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00" s="142">
        <f>SUM(TblDetailBudget[[#This Row],[2021 Cost (LCU)]:[2025 Cost (LCU)]])</f>
        <v>0</v>
      </c>
      <c r="AE500" s="135">
        <f>IFERROR(SUM(TblDetailBudget[[#This Row],[2021 Cost (LCU)]])/FX_Rate, "")</f>
        <v>0</v>
      </c>
      <c r="AF500" s="86">
        <f>IFERROR(SUM(TblDetailBudget[[#This Row],[2022 Cost (LCU)]])/FX_Rate, "")</f>
        <v>0</v>
      </c>
      <c r="AG500" s="86">
        <f>IFERROR(SUM(TblDetailBudget[[#This Row],[2023 Cost (LCU)]])/FX_Rate, "")</f>
        <v>0</v>
      </c>
      <c r="AH500" s="86">
        <f>IFERROR(SUM(TblDetailBudget[[#This Row],[2024 Cost (LCU)]])/FX_Rate, "")</f>
        <v>0</v>
      </c>
      <c r="AI500" s="86">
        <f>IFERROR(SUM(TblDetailBudget[[#This Row],[2025 Cost (LCU)]])/FX_Rate, "")</f>
        <v>0</v>
      </c>
      <c r="AJ500" s="126">
        <f>SUM(TblDetailBudget[[#This Row],[2021 Cost (USD)]:[2025 Cost (USD)]])</f>
        <v>0</v>
      </c>
      <c r="AK500" s="180"/>
    </row>
    <row r="501" spans="2:37" ht="12.75" customHeight="1">
      <c r="B501" s="123"/>
      <c r="C50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01" s="85" t="str">
        <f>IF(TblDetailBudget[[#This Row],[Level]]="", "", COUNTIFS($B$8:TblDetailBudget[[#This Row],[Level]], Lvl1Hdr))</f>
        <v/>
      </c>
      <c r="E501" s="85" t="str">
        <f>IF(TblDetailBudget[[#This Row],[Level]]="", "", COUNTIFS($B$8:TblDetailBudget[[#This Row],[Level]], Lvl2Hdr, $D$8:TblDetailBudget[[#This Row],[Lvl 1 Header]], TblDetailBudget[[#This Row],[Lvl 1 Header]]))</f>
        <v/>
      </c>
      <c r="F50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0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0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01" s="164"/>
      <c r="J501" s="164"/>
      <c r="K501" s="165"/>
      <c r="L501" s="165"/>
      <c r="M501" s="85" t="str">
        <f>IF(TblDetailBudget[[#This Row],[Level]]=LvlBottomHdr, IFERROR(INDEX(TblUnitCost[Unit], MATCH(TblDetailBudget[[#This Row],[Row Title]], TblUnitCost[Resource], 0)), "Invalid Resource"), "")</f>
        <v/>
      </c>
      <c r="N501" s="126" t="str">
        <f>IF(TblDetailBudget[[#This Row],[Level]]=LvlBottomHdr, IFERROR(INDEX(TblUnitCost[LCU], MATCH(TblDetailBudget[[#This Row],[Row Title]], TblUnitCost[Resource], 0)), "Invalid Resource"), "")</f>
        <v/>
      </c>
      <c r="O501" s="130"/>
      <c r="P501" s="109"/>
      <c r="Q501" s="186"/>
      <c r="R501" s="131"/>
      <c r="S501" s="109" t="s">
        <v>66</v>
      </c>
      <c r="T501" s="109" t="s">
        <v>66</v>
      </c>
      <c r="U501" s="109" t="s">
        <v>66</v>
      </c>
      <c r="V501" s="109" t="s">
        <v>66</v>
      </c>
      <c r="W501" s="109" t="s">
        <v>66</v>
      </c>
      <c r="X501" s="126" t="str">
        <f>IF(TblDetailBudget[[#This Row],[Level]]=LvlBottomHdr, IF(SUM(TblDetailBudget[[#This Row],[2021 Quant]:[2025 Quant]])&gt;0, SUM(TblDetailBudget[[#This Row],[2021 Quant]:[2025 Quant]]), ""), "")</f>
        <v/>
      </c>
      <c r="Y50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0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0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0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0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01" s="142">
        <f>SUM(TblDetailBudget[[#This Row],[2021 Cost (LCU)]:[2025 Cost (LCU)]])</f>
        <v>0</v>
      </c>
      <c r="AE501" s="135">
        <f>IFERROR(SUM(TblDetailBudget[[#This Row],[2021 Cost (LCU)]])/FX_Rate, "")</f>
        <v>0</v>
      </c>
      <c r="AF501" s="86">
        <f>IFERROR(SUM(TblDetailBudget[[#This Row],[2022 Cost (LCU)]])/FX_Rate, "")</f>
        <v>0</v>
      </c>
      <c r="AG501" s="86">
        <f>IFERROR(SUM(TblDetailBudget[[#This Row],[2023 Cost (LCU)]])/FX_Rate, "")</f>
        <v>0</v>
      </c>
      <c r="AH501" s="86">
        <f>IFERROR(SUM(TblDetailBudget[[#This Row],[2024 Cost (LCU)]])/FX_Rate, "")</f>
        <v>0</v>
      </c>
      <c r="AI501" s="86">
        <f>IFERROR(SUM(TblDetailBudget[[#This Row],[2025 Cost (LCU)]])/FX_Rate, "")</f>
        <v>0</v>
      </c>
      <c r="AJ501" s="126">
        <f>SUM(TblDetailBudget[[#This Row],[2021 Cost (USD)]:[2025 Cost (USD)]])</f>
        <v>0</v>
      </c>
      <c r="AK501" s="180"/>
    </row>
    <row r="502" spans="2:37" ht="12.75" customHeight="1">
      <c r="B502" s="123"/>
      <c r="C50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02" s="85" t="str">
        <f>IF(TblDetailBudget[[#This Row],[Level]]="", "", COUNTIFS($B$8:TblDetailBudget[[#This Row],[Level]], Lvl1Hdr))</f>
        <v/>
      </c>
      <c r="E502" s="85" t="str">
        <f>IF(TblDetailBudget[[#This Row],[Level]]="", "", COUNTIFS($B$8:TblDetailBudget[[#This Row],[Level]], Lvl2Hdr, $D$8:TblDetailBudget[[#This Row],[Lvl 1 Header]], TblDetailBudget[[#This Row],[Lvl 1 Header]]))</f>
        <v/>
      </c>
      <c r="F50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0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0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02" s="164"/>
      <c r="J502" s="164"/>
      <c r="K502" s="165"/>
      <c r="L502" s="165"/>
      <c r="M502" s="85" t="str">
        <f>IF(TblDetailBudget[[#This Row],[Level]]=LvlBottomHdr, IFERROR(INDEX(TblUnitCost[Unit], MATCH(TblDetailBudget[[#This Row],[Row Title]], TblUnitCost[Resource], 0)), "Invalid Resource"), "")</f>
        <v/>
      </c>
      <c r="N502" s="126" t="str">
        <f>IF(TblDetailBudget[[#This Row],[Level]]=LvlBottomHdr, IFERROR(INDEX(TblUnitCost[LCU], MATCH(TblDetailBudget[[#This Row],[Row Title]], TblUnitCost[Resource], 0)), "Invalid Resource"), "")</f>
        <v/>
      </c>
      <c r="O502" s="130"/>
      <c r="P502" s="109"/>
      <c r="Q502" s="186"/>
      <c r="R502" s="131"/>
      <c r="S502" s="109" t="s">
        <v>66</v>
      </c>
      <c r="T502" s="109" t="s">
        <v>66</v>
      </c>
      <c r="U502" s="109" t="s">
        <v>66</v>
      </c>
      <c r="V502" s="109" t="s">
        <v>66</v>
      </c>
      <c r="W502" s="109" t="s">
        <v>66</v>
      </c>
      <c r="X502" s="126" t="str">
        <f>IF(TblDetailBudget[[#This Row],[Level]]=LvlBottomHdr, IF(SUM(TblDetailBudget[[#This Row],[2021 Quant]:[2025 Quant]])&gt;0, SUM(TblDetailBudget[[#This Row],[2021 Quant]:[2025 Quant]]), ""), "")</f>
        <v/>
      </c>
      <c r="Y50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0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0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0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0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02" s="142">
        <f>SUM(TblDetailBudget[[#This Row],[2021 Cost (LCU)]:[2025 Cost (LCU)]])</f>
        <v>0</v>
      </c>
      <c r="AE502" s="135">
        <f>IFERROR(SUM(TblDetailBudget[[#This Row],[2021 Cost (LCU)]])/FX_Rate, "")</f>
        <v>0</v>
      </c>
      <c r="AF502" s="86">
        <f>IFERROR(SUM(TblDetailBudget[[#This Row],[2022 Cost (LCU)]])/FX_Rate, "")</f>
        <v>0</v>
      </c>
      <c r="AG502" s="86">
        <f>IFERROR(SUM(TblDetailBudget[[#This Row],[2023 Cost (LCU)]])/FX_Rate, "")</f>
        <v>0</v>
      </c>
      <c r="AH502" s="86">
        <f>IFERROR(SUM(TblDetailBudget[[#This Row],[2024 Cost (LCU)]])/FX_Rate, "")</f>
        <v>0</v>
      </c>
      <c r="AI502" s="86">
        <f>IFERROR(SUM(TblDetailBudget[[#This Row],[2025 Cost (LCU)]])/FX_Rate, "")</f>
        <v>0</v>
      </c>
      <c r="AJ502" s="126">
        <f>SUM(TblDetailBudget[[#This Row],[2021 Cost (USD)]:[2025 Cost (USD)]])</f>
        <v>0</v>
      </c>
      <c r="AK502" s="180"/>
    </row>
    <row r="503" spans="2:37" ht="12.75" customHeight="1">
      <c r="B503" s="123"/>
      <c r="C50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03" s="85" t="str">
        <f>IF(TblDetailBudget[[#This Row],[Level]]="", "", COUNTIFS($B$8:TblDetailBudget[[#This Row],[Level]], Lvl1Hdr))</f>
        <v/>
      </c>
      <c r="E503" s="85" t="str">
        <f>IF(TblDetailBudget[[#This Row],[Level]]="", "", COUNTIFS($B$8:TblDetailBudget[[#This Row],[Level]], Lvl2Hdr, $D$8:TblDetailBudget[[#This Row],[Lvl 1 Header]], TblDetailBudget[[#This Row],[Lvl 1 Header]]))</f>
        <v/>
      </c>
      <c r="F50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0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0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03" s="164"/>
      <c r="J503" s="164"/>
      <c r="K503" s="165"/>
      <c r="L503" s="165"/>
      <c r="M503" s="85" t="str">
        <f>IF(TblDetailBudget[[#This Row],[Level]]=LvlBottomHdr, IFERROR(INDEX(TblUnitCost[Unit], MATCH(TblDetailBudget[[#This Row],[Row Title]], TblUnitCost[Resource], 0)), "Invalid Resource"), "")</f>
        <v/>
      </c>
      <c r="N503" s="126" t="str">
        <f>IF(TblDetailBudget[[#This Row],[Level]]=LvlBottomHdr, IFERROR(INDEX(TblUnitCost[LCU], MATCH(TblDetailBudget[[#This Row],[Row Title]], TblUnitCost[Resource], 0)), "Invalid Resource"), "")</f>
        <v/>
      </c>
      <c r="O503" s="130"/>
      <c r="P503" s="109"/>
      <c r="Q503" s="186"/>
      <c r="R503" s="131"/>
      <c r="S503" s="109" t="s">
        <v>66</v>
      </c>
      <c r="T503" s="109" t="s">
        <v>66</v>
      </c>
      <c r="U503" s="109" t="s">
        <v>66</v>
      </c>
      <c r="V503" s="109" t="s">
        <v>66</v>
      </c>
      <c r="W503" s="109" t="s">
        <v>66</v>
      </c>
      <c r="X503" s="126" t="str">
        <f>IF(TblDetailBudget[[#This Row],[Level]]=LvlBottomHdr, IF(SUM(TblDetailBudget[[#This Row],[2021 Quant]:[2025 Quant]])&gt;0, SUM(TblDetailBudget[[#This Row],[2021 Quant]:[2025 Quant]]), ""), "")</f>
        <v/>
      </c>
      <c r="Y50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0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0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0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0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03" s="142">
        <f>SUM(TblDetailBudget[[#This Row],[2021 Cost (LCU)]:[2025 Cost (LCU)]])</f>
        <v>0</v>
      </c>
      <c r="AE503" s="135">
        <f>IFERROR(SUM(TblDetailBudget[[#This Row],[2021 Cost (LCU)]])/FX_Rate, "")</f>
        <v>0</v>
      </c>
      <c r="AF503" s="86">
        <f>IFERROR(SUM(TblDetailBudget[[#This Row],[2022 Cost (LCU)]])/FX_Rate, "")</f>
        <v>0</v>
      </c>
      <c r="AG503" s="86">
        <f>IFERROR(SUM(TblDetailBudget[[#This Row],[2023 Cost (LCU)]])/FX_Rate, "")</f>
        <v>0</v>
      </c>
      <c r="AH503" s="86">
        <f>IFERROR(SUM(TblDetailBudget[[#This Row],[2024 Cost (LCU)]])/FX_Rate, "")</f>
        <v>0</v>
      </c>
      <c r="AI503" s="86">
        <f>IFERROR(SUM(TblDetailBudget[[#This Row],[2025 Cost (LCU)]])/FX_Rate, "")</f>
        <v>0</v>
      </c>
      <c r="AJ503" s="126">
        <f>SUM(TblDetailBudget[[#This Row],[2021 Cost (USD)]:[2025 Cost (USD)]])</f>
        <v>0</v>
      </c>
      <c r="AK503" s="180"/>
    </row>
    <row r="504" spans="2:37" ht="12.75" customHeight="1">
      <c r="B504" s="123"/>
      <c r="C50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04" s="85" t="str">
        <f>IF(TblDetailBudget[[#This Row],[Level]]="", "", COUNTIFS($B$8:TblDetailBudget[[#This Row],[Level]], Lvl1Hdr))</f>
        <v/>
      </c>
      <c r="E504" s="85" t="str">
        <f>IF(TblDetailBudget[[#This Row],[Level]]="", "", COUNTIFS($B$8:TblDetailBudget[[#This Row],[Level]], Lvl2Hdr, $D$8:TblDetailBudget[[#This Row],[Lvl 1 Header]], TblDetailBudget[[#This Row],[Lvl 1 Header]]))</f>
        <v/>
      </c>
      <c r="F50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0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0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04" s="164"/>
      <c r="J504" s="164"/>
      <c r="K504" s="165"/>
      <c r="L504" s="165"/>
      <c r="M504" s="85" t="str">
        <f>IF(TblDetailBudget[[#This Row],[Level]]=LvlBottomHdr, IFERROR(INDEX(TblUnitCost[Unit], MATCH(TblDetailBudget[[#This Row],[Row Title]], TblUnitCost[Resource], 0)), "Invalid Resource"), "")</f>
        <v/>
      </c>
      <c r="N504" s="126" t="str">
        <f>IF(TblDetailBudget[[#This Row],[Level]]=LvlBottomHdr, IFERROR(INDEX(TblUnitCost[LCU], MATCH(TblDetailBudget[[#This Row],[Row Title]], TblUnitCost[Resource], 0)), "Invalid Resource"), "")</f>
        <v/>
      </c>
      <c r="O504" s="130"/>
      <c r="P504" s="109"/>
      <c r="Q504" s="186"/>
      <c r="R504" s="131"/>
      <c r="S504" s="109" t="s">
        <v>66</v>
      </c>
      <c r="T504" s="109" t="s">
        <v>66</v>
      </c>
      <c r="U504" s="109" t="s">
        <v>66</v>
      </c>
      <c r="V504" s="109" t="s">
        <v>66</v>
      </c>
      <c r="W504" s="109" t="s">
        <v>66</v>
      </c>
      <c r="X504" s="126" t="str">
        <f>IF(TblDetailBudget[[#This Row],[Level]]=LvlBottomHdr, IF(SUM(TblDetailBudget[[#This Row],[2021 Quant]:[2025 Quant]])&gt;0, SUM(TblDetailBudget[[#This Row],[2021 Quant]:[2025 Quant]]), ""), "")</f>
        <v/>
      </c>
      <c r="Y50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0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0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0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0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04" s="142">
        <f>SUM(TblDetailBudget[[#This Row],[2021 Cost (LCU)]:[2025 Cost (LCU)]])</f>
        <v>0</v>
      </c>
      <c r="AE504" s="135">
        <f>IFERROR(SUM(TblDetailBudget[[#This Row],[2021 Cost (LCU)]])/FX_Rate, "")</f>
        <v>0</v>
      </c>
      <c r="AF504" s="86">
        <f>IFERROR(SUM(TblDetailBudget[[#This Row],[2022 Cost (LCU)]])/FX_Rate, "")</f>
        <v>0</v>
      </c>
      <c r="AG504" s="86">
        <f>IFERROR(SUM(TblDetailBudget[[#This Row],[2023 Cost (LCU)]])/FX_Rate, "")</f>
        <v>0</v>
      </c>
      <c r="AH504" s="86">
        <f>IFERROR(SUM(TblDetailBudget[[#This Row],[2024 Cost (LCU)]])/FX_Rate, "")</f>
        <v>0</v>
      </c>
      <c r="AI504" s="86">
        <f>IFERROR(SUM(TblDetailBudget[[#This Row],[2025 Cost (LCU)]])/FX_Rate, "")</f>
        <v>0</v>
      </c>
      <c r="AJ504" s="126">
        <f>SUM(TblDetailBudget[[#This Row],[2021 Cost (USD)]:[2025 Cost (USD)]])</f>
        <v>0</v>
      </c>
      <c r="AK504" s="180"/>
    </row>
    <row r="505" spans="2:37" ht="12.75" customHeight="1">
      <c r="B505" s="123"/>
      <c r="C50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05" s="85" t="str">
        <f>IF(TblDetailBudget[[#This Row],[Level]]="", "", COUNTIFS($B$8:TblDetailBudget[[#This Row],[Level]], Lvl1Hdr))</f>
        <v/>
      </c>
      <c r="E505" s="85" t="str">
        <f>IF(TblDetailBudget[[#This Row],[Level]]="", "", COUNTIFS($B$8:TblDetailBudget[[#This Row],[Level]], Lvl2Hdr, $D$8:TblDetailBudget[[#This Row],[Lvl 1 Header]], TblDetailBudget[[#This Row],[Lvl 1 Header]]))</f>
        <v/>
      </c>
      <c r="F50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0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0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05" s="164"/>
      <c r="J505" s="164"/>
      <c r="K505" s="165"/>
      <c r="L505" s="165"/>
      <c r="M505" s="85" t="str">
        <f>IF(TblDetailBudget[[#This Row],[Level]]=LvlBottomHdr, IFERROR(INDEX(TblUnitCost[Unit], MATCH(TblDetailBudget[[#This Row],[Row Title]], TblUnitCost[Resource], 0)), "Invalid Resource"), "")</f>
        <v/>
      </c>
      <c r="N505" s="126" t="str">
        <f>IF(TblDetailBudget[[#This Row],[Level]]=LvlBottomHdr, IFERROR(INDEX(TblUnitCost[LCU], MATCH(TblDetailBudget[[#This Row],[Row Title]], TblUnitCost[Resource], 0)), "Invalid Resource"), "")</f>
        <v/>
      </c>
      <c r="O505" s="130"/>
      <c r="P505" s="109"/>
      <c r="Q505" s="186"/>
      <c r="R505" s="131"/>
      <c r="S505" s="109" t="s">
        <v>66</v>
      </c>
      <c r="T505" s="109" t="s">
        <v>66</v>
      </c>
      <c r="U505" s="109" t="s">
        <v>66</v>
      </c>
      <c r="V505" s="109" t="s">
        <v>66</v>
      </c>
      <c r="W505" s="109" t="s">
        <v>66</v>
      </c>
      <c r="X505" s="126" t="str">
        <f>IF(TblDetailBudget[[#This Row],[Level]]=LvlBottomHdr, IF(SUM(TblDetailBudget[[#This Row],[2021 Quant]:[2025 Quant]])&gt;0, SUM(TblDetailBudget[[#This Row],[2021 Quant]:[2025 Quant]]), ""), "")</f>
        <v/>
      </c>
      <c r="Y50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0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0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0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0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05" s="142">
        <f>SUM(TblDetailBudget[[#This Row],[2021 Cost (LCU)]:[2025 Cost (LCU)]])</f>
        <v>0</v>
      </c>
      <c r="AE505" s="135">
        <f>IFERROR(SUM(TblDetailBudget[[#This Row],[2021 Cost (LCU)]])/FX_Rate, "")</f>
        <v>0</v>
      </c>
      <c r="AF505" s="86">
        <f>IFERROR(SUM(TblDetailBudget[[#This Row],[2022 Cost (LCU)]])/FX_Rate, "")</f>
        <v>0</v>
      </c>
      <c r="AG505" s="86">
        <f>IFERROR(SUM(TblDetailBudget[[#This Row],[2023 Cost (LCU)]])/FX_Rate, "")</f>
        <v>0</v>
      </c>
      <c r="AH505" s="86">
        <f>IFERROR(SUM(TblDetailBudget[[#This Row],[2024 Cost (LCU)]])/FX_Rate, "")</f>
        <v>0</v>
      </c>
      <c r="AI505" s="86">
        <f>IFERROR(SUM(TblDetailBudget[[#This Row],[2025 Cost (LCU)]])/FX_Rate, "")</f>
        <v>0</v>
      </c>
      <c r="AJ505" s="126">
        <f>SUM(TblDetailBudget[[#This Row],[2021 Cost (USD)]:[2025 Cost (USD)]])</f>
        <v>0</v>
      </c>
      <c r="AK505" s="180"/>
    </row>
    <row r="506" spans="2:37" ht="12.75" customHeight="1">
      <c r="B506" s="123"/>
      <c r="C50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06" s="85" t="str">
        <f>IF(TblDetailBudget[[#This Row],[Level]]="", "", COUNTIFS($B$8:TblDetailBudget[[#This Row],[Level]], Lvl1Hdr))</f>
        <v/>
      </c>
      <c r="E506" s="85" t="str">
        <f>IF(TblDetailBudget[[#This Row],[Level]]="", "", COUNTIFS($B$8:TblDetailBudget[[#This Row],[Level]], Lvl2Hdr, $D$8:TblDetailBudget[[#This Row],[Lvl 1 Header]], TblDetailBudget[[#This Row],[Lvl 1 Header]]))</f>
        <v/>
      </c>
      <c r="F50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0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0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06" s="164"/>
      <c r="J506" s="164"/>
      <c r="K506" s="165"/>
      <c r="L506" s="165"/>
      <c r="M506" s="85" t="str">
        <f>IF(TblDetailBudget[[#This Row],[Level]]=LvlBottomHdr, IFERROR(INDEX(TblUnitCost[Unit], MATCH(TblDetailBudget[[#This Row],[Row Title]], TblUnitCost[Resource], 0)), "Invalid Resource"), "")</f>
        <v/>
      </c>
      <c r="N506" s="126" t="str">
        <f>IF(TblDetailBudget[[#This Row],[Level]]=LvlBottomHdr, IFERROR(INDEX(TblUnitCost[LCU], MATCH(TblDetailBudget[[#This Row],[Row Title]], TblUnitCost[Resource], 0)), "Invalid Resource"), "")</f>
        <v/>
      </c>
      <c r="O506" s="130"/>
      <c r="P506" s="109"/>
      <c r="Q506" s="186"/>
      <c r="R506" s="131"/>
      <c r="S506" s="109" t="s">
        <v>66</v>
      </c>
      <c r="T506" s="109" t="s">
        <v>66</v>
      </c>
      <c r="U506" s="109" t="s">
        <v>66</v>
      </c>
      <c r="V506" s="109" t="s">
        <v>66</v>
      </c>
      <c r="W506" s="109" t="s">
        <v>66</v>
      </c>
      <c r="X506" s="126" t="str">
        <f>IF(TblDetailBudget[[#This Row],[Level]]=LvlBottomHdr, IF(SUM(TblDetailBudget[[#This Row],[2021 Quant]:[2025 Quant]])&gt;0, SUM(TblDetailBudget[[#This Row],[2021 Quant]:[2025 Quant]]), ""), "")</f>
        <v/>
      </c>
      <c r="Y50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0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0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0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0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06" s="142">
        <f>SUM(TblDetailBudget[[#This Row],[2021 Cost (LCU)]:[2025 Cost (LCU)]])</f>
        <v>0</v>
      </c>
      <c r="AE506" s="135">
        <f>IFERROR(SUM(TblDetailBudget[[#This Row],[2021 Cost (LCU)]])/FX_Rate, "")</f>
        <v>0</v>
      </c>
      <c r="AF506" s="86">
        <f>IFERROR(SUM(TblDetailBudget[[#This Row],[2022 Cost (LCU)]])/FX_Rate, "")</f>
        <v>0</v>
      </c>
      <c r="AG506" s="86">
        <f>IFERROR(SUM(TblDetailBudget[[#This Row],[2023 Cost (LCU)]])/FX_Rate, "")</f>
        <v>0</v>
      </c>
      <c r="AH506" s="86">
        <f>IFERROR(SUM(TblDetailBudget[[#This Row],[2024 Cost (LCU)]])/FX_Rate, "")</f>
        <v>0</v>
      </c>
      <c r="AI506" s="86">
        <f>IFERROR(SUM(TblDetailBudget[[#This Row],[2025 Cost (LCU)]])/FX_Rate, "")</f>
        <v>0</v>
      </c>
      <c r="AJ506" s="126">
        <f>SUM(TblDetailBudget[[#This Row],[2021 Cost (USD)]:[2025 Cost (USD)]])</f>
        <v>0</v>
      </c>
      <c r="AK506" s="180"/>
    </row>
    <row r="507" spans="2:37" ht="12.75" customHeight="1">
      <c r="B507" s="123"/>
      <c r="C50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07" s="85" t="str">
        <f>IF(TblDetailBudget[[#This Row],[Level]]="", "", COUNTIFS($B$8:TblDetailBudget[[#This Row],[Level]], Lvl1Hdr))</f>
        <v/>
      </c>
      <c r="E507" s="85" t="str">
        <f>IF(TblDetailBudget[[#This Row],[Level]]="", "", COUNTIFS($B$8:TblDetailBudget[[#This Row],[Level]], Lvl2Hdr, $D$8:TblDetailBudget[[#This Row],[Lvl 1 Header]], TblDetailBudget[[#This Row],[Lvl 1 Header]]))</f>
        <v/>
      </c>
      <c r="F50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0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0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07" s="164"/>
      <c r="J507" s="164"/>
      <c r="K507" s="165"/>
      <c r="L507" s="165"/>
      <c r="M507" s="85" t="str">
        <f>IF(TblDetailBudget[[#This Row],[Level]]=LvlBottomHdr, IFERROR(INDEX(TblUnitCost[Unit], MATCH(TblDetailBudget[[#This Row],[Row Title]], TblUnitCost[Resource], 0)), "Invalid Resource"), "")</f>
        <v/>
      </c>
      <c r="N507" s="126" t="str">
        <f>IF(TblDetailBudget[[#This Row],[Level]]=LvlBottomHdr, IFERROR(INDEX(TblUnitCost[LCU], MATCH(TblDetailBudget[[#This Row],[Row Title]], TblUnitCost[Resource], 0)), "Invalid Resource"), "")</f>
        <v/>
      </c>
      <c r="O507" s="130"/>
      <c r="P507" s="109"/>
      <c r="Q507" s="186"/>
      <c r="R507" s="131"/>
      <c r="S507" s="109" t="s">
        <v>66</v>
      </c>
      <c r="T507" s="109" t="s">
        <v>66</v>
      </c>
      <c r="U507" s="109" t="s">
        <v>66</v>
      </c>
      <c r="V507" s="109" t="s">
        <v>66</v>
      </c>
      <c r="W507" s="109" t="s">
        <v>66</v>
      </c>
      <c r="X507" s="126" t="str">
        <f>IF(TblDetailBudget[[#This Row],[Level]]=LvlBottomHdr, IF(SUM(TblDetailBudget[[#This Row],[2021 Quant]:[2025 Quant]])&gt;0, SUM(TblDetailBudget[[#This Row],[2021 Quant]:[2025 Quant]]), ""), "")</f>
        <v/>
      </c>
      <c r="Y50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0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0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0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0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07" s="142">
        <f>SUM(TblDetailBudget[[#This Row],[2021 Cost (LCU)]:[2025 Cost (LCU)]])</f>
        <v>0</v>
      </c>
      <c r="AE507" s="135">
        <f>IFERROR(SUM(TblDetailBudget[[#This Row],[2021 Cost (LCU)]])/FX_Rate, "")</f>
        <v>0</v>
      </c>
      <c r="AF507" s="86">
        <f>IFERROR(SUM(TblDetailBudget[[#This Row],[2022 Cost (LCU)]])/FX_Rate, "")</f>
        <v>0</v>
      </c>
      <c r="AG507" s="86">
        <f>IFERROR(SUM(TblDetailBudget[[#This Row],[2023 Cost (LCU)]])/FX_Rate, "")</f>
        <v>0</v>
      </c>
      <c r="AH507" s="86">
        <f>IFERROR(SUM(TblDetailBudget[[#This Row],[2024 Cost (LCU)]])/FX_Rate, "")</f>
        <v>0</v>
      </c>
      <c r="AI507" s="86">
        <f>IFERROR(SUM(TblDetailBudget[[#This Row],[2025 Cost (LCU)]])/FX_Rate, "")</f>
        <v>0</v>
      </c>
      <c r="AJ507" s="126">
        <f>SUM(TblDetailBudget[[#This Row],[2021 Cost (USD)]:[2025 Cost (USD)]])</f>
        <v>0</v>
      </c>
      <c r="AK507" s="180"/>
    </row>
    <row r="508" spans="2:37" ht="12.75" customHeight="1">
      <c r="B508" s="123"/>
      <c r="C50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08" s="85" t="str">
        <f>IF(TblDetailBudget[[#This Row],[Level]]="", "", COUNTIFS($B$8:TblDetailBudget[[#This Row],[Level]], Lvl1Hdr))</f>
        <v/>
      </c>
      <c r="E508" s="85" t="str">
        <f>IF(TblDetailBudget[[#This Row],[Level]]="", "", COUNTIFS($B$8:TblDetailBudget[[#This Row],[Level]], Lvl2Hdr, $D$8:TblDetailBudget[[#This Row],[Lvl 1 Header]], TblDetailBudget[[#This Row],[Lvl 1 Header]]))</f>
        <v/>
      </c>
      <c r="F50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0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0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08" s="164"/>
      <c r="J508" s="164"/>
      <c r="K508" s="165"/>
      <c r="L508" s="165"/>
      <c r="M508" s="85" t="str">
        <f>IF(TblDetailBudget[[#This Row],[Level]]=LvlBottomHdr, IFERROR(INDEX(TblUnitCost[Unit], MATCH(TblDetailBudget[[#This Row],[Row Title]], TblUnitCost[Resource], 0)), "Invalid Resource"), "")</f>
        <v/>
      </c>
      <c r="N508" s="126" t="str">
        <f>IF(TblDetailBudget[[#This Row],[Level]]=LvlBottomHdr, IFERROR(INDEX(TblUnitCost[LCU], MATCH(TblDetailBudget[[#This Row],[Row Title]], TblUnitCost[Resource], 0)), "Invalid Resource"), "")</f>
        <v/>
      </c>
      <c r="O508" s="130"/>
      <c r="P508" s="109"/>
      <c r="Q508" s="186"/>
      <c r="R508" s="131"/>
      <c r="S508" s="109" t="s">
        <v>66</v>
      </c>
      <c r="T508" s="109" t="s">
        <v>66</v>
      </c>
      <c r="U508" s="109" t="s">
        <v>66</v>
      </c>
      <c r="V508" s="109" t="s">
        <v>66</v>
      </c>
      <c r="W508" s="109" t="s">
        <v>66</v>
      </c>
      <c r="X508" s="126" t="str">
        <f>IF(TblDetailBudget[[#This Row],[Level]]=LvlBottomHdr, IF(SUM(TblDetailBudget[[#This Row],[2021 Quant]:[2025 Quant]])&gt;0, SUM(TblDetailBudget[[#This Row],[2021 Quant]:[2025 Quant]]), ""), "")</f>
        <v/>
      </c>
      <c r="Y50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0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0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0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0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08" s="142">
        <f>SUM(TblDetailBudget[[#This Row],[2021 Cost (LCU)]:[2025 Cost (LCU)]])</f>
        <v>0</v>
      </c>
      <c r="AE508" s="135">
        <f>IFERROR(SUM(TblDetailBudget[[#This Row],[2021 Cost (LCU)]])/FX_Rate, "")</f>
        <v>0</v>
      </c>
      <c r="AF508" s="86">
        <f>IFERROR(SUM(TblDetailBudget[[#This Row],[2022 Cost (LCU)]])/FX_Rate, "")</f>
        <v>0</v>
      </c>
      <c r="AG508" s="86">
        <f>IFERROR(SUM(TblDetailBudget[[#This Row],[2023 Cost (LCU)]])/FX_Rate, "")</f>
        <v>0</v>
      </c>
      <c r="AH508" s="86">
        <f>IFERROR(SUM(TblDetailBudget[[#This Row],[2024 Cost (LCU)]])/FX_Rate, "")</f>
        <v>0</v>
      </c>
      <c r="AI508" s="86">
        <f>IFERROR(SUM(TblDetailBudget[[#This Row],[2025 Cost (LCU)]])/FX_Rate, "")</f>
        <v>0</v>
      </c>
      <c r="AJ508" s="126">
        <f>SUM(TblDetailBudget[[#This Row],[2021 Cost (USD)]:[2025 Cost (USD)]])</f>
        <v>0</v>
      </c>
      <c r="AK508" s="180"/>
    </row>
    <row r="509" spans="2:37" ht="12.75" customHeight="1">
      <c r="B509" s="123"/>
      <c r="C50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09" s="85" t="str">
        <f>IF(TblDetailBudget[[#This Row],[Level]]="", "", COUNTIFS($B$8:TblDetailBudget[[#This Row],[Level]], Lvl1Hdr))</f>
        <v/>
      </c>
      <c r="E509" s="85" t="str">
        <f>IF(TblDetailBudget[[#This Row],[Level]]="", "", COUNTIFS($B$8:TblDetailBudget[[#This Row],[Level]], Lvl2Hdr, $D$8:TblDetailBudget[[#This Row],[Lvl 1 Header]], TblDetailBudget[[#This Row],[Lvl 1 Header]]))</f>
        <v/>
      </c>
      <c r="F50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0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0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09" s="164"/>
      <c r="J509" s="164"/>
      <c r="K509" s="165"/>
      <c r="L509" s="165"/>
      <c r="M509" s="85" t="str">
        <f>IF(TblDetailBudget[[#This Row],[Level]]=LvlBottomHdr, IFERROR(INDEX(TblUnitCost[Unit], MATCH(TblDetailBudget[[#This Row],[Row Title]], TblUnitCost[Resource], 0)), "Invalid Resource"), "")</f>
        <v/>
      </c>
      <c r="N509" s="126" t="str">
        <f>IF(TblDetailBudget[[#This Row],[Level]]=LvlBottomHdr, IFERROR(INDEX(TblUnitCost[LCU], MATCH(TblDetailBudget[[#This Row],[Row Title]], TblUnitCost[Resource], 0)), "Invalid Resource"), "")</f>
        <v/>
      </c>
      <c r="O509" s="130"/>
      <c r="P509" s="109"/>
      <c r="Q509" s="186"/>
      <c r="R509" s="131"/>
      <c r="S509" s="109" t="s">
        <v>66</v>
      </c>
      <c r="T509" s="109" t="s">
        <v>66</v>
      </c>
      <c r="U509" s="109" t="s">
        <v>66</v>
      </c>
      <c r="V509" s="109" t="s">
        <v>66</v>
      </c>
      <c r="W509" s="109" t="s">
        <v>66</v>
      </c>
      <c r="X509" s="126" t="str">
        <f>IF(TblDetailBudget[[#This Row],[Level]]=LvlBottomHdr, IF(SUM(TblDetailBudget[[#This Row],[2021 Quant]:[2025 Quant]])&gt;0, SUM(TblDetailBudget[[#This Row],[2021 Quant]:[2025 Quant]]), ""), "")</f>
        <v/>
      </c>
      <c r="Y50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0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0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0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0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09" s="142">
        <f>SUM(TblDetailBudget[[#This Row],[2021 Cost (LCU)]:[2025 Cost (LCU)]])</f>
        <v>0</v>
      </c>
      <c r="AE509" s="135">
        <f>IFERROR(SUM(TblDetailBudget[[#This Row],[2021 Cost (LCU)]])/FX_Rate, "")</f>
        <v>0</v>
      </c>
      <c r="AF509" s="86">
        <f>IFERROR(SUM(TblDetailBudget[[#This Row],[2022 Cost (LCU)]])/FX_Rate, "")</f>
        <v>0</v>
      </c>
      <c r="AG509" s="86">
        <f>IFERROR(SUM(TblDetailBudget[[#This Row],[2023 Cost (LCU)]])/FX_Rate, "")</f>
        <v>0</v>
      </c>
      <c r="AH509" s="86">
        <f>IFERROR(SUM(TblDetailBudget[[#This Row],[2024 Cost (LCU)]])/FX_Rate, "")</f>
        <v>0</v>
      </c>
      <c r="AI509" s="86">
        <f>IFERROR(SUM(TblDetailBudget[[#This Row],[2025 Cost (LCU)]])/FX_Rate, "")</f>
        <v>0</v>
      </c>
      <c r="AJ509" s="126">
        <f>SUM(TblDetailBudget[[#This Row],[2021 Cost (USD)]:[2025 Cost (USD)]])</f>
        <v>0</v>
      </c>
      <c r="AK509" s="180"/>
    </row>
    <row r="510" spans="2:37" ht="12.75" customHeight="1">
      <c r="B510" s="123"/>
      <c r="C51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10" s="85" t="str">
        <f>IF(TblDetailBudget[[#This Row],[Level]]="", "", COUNTIFS($B$8:TblDetailBudget[[#This Row],[Level]], Lvl1Hdr))</f>
        <v/>
      </c>
      <c r="E510" s="85" t="str">
        <f>IF(TblDetailBudget[[#This Row],[Level]]="", "", COUNTIFS($B$8:TblDetailBudget[[#This Row],[Level]], Lvl2Hdr, $D$8:TblDetailBudget[[#This Row],[Lvl 1 Header]], TblDetailBudget[[#This Row],[Lvl 1 Header]]))</f>
        <v/>
      </c>
      <c r="F51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1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1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10" s="164"/>
      <c r="J510" s="164"/>
      <c r="K510" s="165"/>
      <c r="L510" s="165"/>
      <c r="M510" s="85" t="str">
        <f>IF(TblDetailBudget[[#This Row],[Level]]=LvlBottomHdr, IFERROR(INDEX(TblUnitCost[Unit], MATCH(TblDetailBudget[[#This Row],[Row Title]], TblUnitCost[Resource], 0)), "Invalid Resource"), "")</f>
        <v/>
      </c>
      <c r="N510" s="126" t="str">
        <f>IF(TblDetailBudget[[#This Row],[Level]]=LvlBottomHdr, IFERROR(INDEX(TblUnitCost[LCU], MATCH(TblDetailBudget[[#This Row],[Row Title]], TblUnitCost[Resource], 0)), "Invalid Resource"), "")</f>
        <v/>
      </c>
      <c r="O510" s="130"/>
      <c r="P510" s="109"/>
      <c r="Q510" s="186"/>
      <c r="R510" s="131"/>
      <c r="S510" s="109" t="s">
        <v>66</v>
      </c>
      <c r="T510" s="109" t="s">
        <v>66</v>
      </c>
      <c r="U510" s="109" t="s">
        <v>66</v>
      </c>
      <c r="V510" s="109" t="s">
        <v>66</v>
      </c>
      <c r="W510" s="109" t="s">
        <v>66</v>
      </c>
      <c r="X510" s="126" t="str">
        <f>IF(TblDetailBudget[[#This Row],[Level]]=LvlBottomHdr, IF(SUM(TblDetailBudget[[#This Row],[2021 Quant]:[2025 Quant]])&gt;0, SUM(TblDetailBudget[[#This Row],[2021 Quant]:[2025 Quant]]), ""), "")</f>
        <v/>
      </c>
      <c r="Y51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1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1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1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1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10" s="142">
        <f>SUM(TblDetailBudget[[#This Row],[2021 Cost (LCU)]:[2025 Cost (LCU)]])</f>
        <v>0</v>
      </c>
      <c r="AE510" s="135">
        <f>IFERROR(SUM(TblDetailBudget[[#This Row],[2021 Cost (LCU)]])/FX_Rate, "")</f>
        <v>0</v>
      </c>
      <c r="AF510" s="86">
        <f>IFERROR(SUM(TblDetailBudget[[#This Row],[2022 Cost (LCU)]])/FX_Rate, "")</f>
        <v>0</v>
      </c>
      <c r="AG510" s="86">
        <f>IFERROR(SUM(TblDetailBudget[[#This Row],[2023 Cost (LCU)]])/FX_Rate, "")</f>
        <v>0</v>
      </c>
      <c r="AH510" s="86">
        <f>IFERROR(SUM(TblDetailBudget[[#This Row],[2024 Cost (LCU)]])/FX_Rate, "")</f>
        <v>0</v>
      </c>
      <c r="AI510" s="86">
        <f>IFERROR(SUM(TblDetailBudget[[#This Row],[2025 Cost (LCU)]])/FX_Rate, "")</f>
        <v>0</v>
      </c>
      <c r="AJ510" s="126">
        <f>SUM(TblDetailBudget[[#This Row],[2021 Cost (USD)]:[2025 Cost (USD)]])</f>
        <v>0</v>
      </c>
      <c r="AK510" s="180"/>
    </row>
    <row r="511" spans="2:37" ht="12.75" customHeight="1">
      <c r="B511" s="123"/>
      <c r="C51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11" s="85" t="str">
        <f>IF(TblDetailBudget[[#This Row],[Level]]="", "", COUNTIFS($B$8:TblDetailBudget[[#This Row],[Level]], Lvl1Hdr))</f>
        <v/>
      </c>
      <c r="E511" s="85" t="str">
        <f>IF(TblDetailBudget[[#This Row],[Level]]="", "", COUNTIFS($B$8:TblDetailBudget[[#This Row],[Level]], Lvl2Hdr, $D$8:TblDetailBudget[[#This Row],[Lvl 1 Header]], TblDetailBudget[[#This Row],[Lvl 1 Header]]))</f>
        <v/>
      </c>
      <c r="F51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1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1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11" s="164"/>
      <c r="J511" s="164"/>
      <c r="K511" s="165"/>
      <c r="L511" s="165"/>
      <c r="M511" s="85" t="str">
        <f>IF(TblDetailBudget[[#This Row],[Level]]=LvlBottomHdr, IFERROR(INDEX(TblUnitCost[Unit], MATCH(TblDetailBudget[[#This Row],[Row Title]], TblUnitCost[Resource], 0)), "Invalid Resource"), "")</f>
        <v/>
      </c>
      <c r="N511" s="126" t="str">
        <f>IF(TblDetailBudget[[#This Row],[Level]]=LvlBottomHdr, IFERROR(INDEX(TblUnitCost[LCU], MATCH(TblDetailBudget[[#This Row],[Row Title]], TblUnitCost[Resource], 0)), "Invalid Resource"), "")</f>
        <v/>
      </c>
      <c r="O511" s="130"/>
      <c r="P511" s="109"/>
      <c r="Q511" s="186"/>
      <c r="R511" s="131"/>
      <c r="S511" s="109" t="s">
        <v>66</v>
      </c>
      <c r="T511" s="109" t="s">
        <v>66</v>
      </c>
      <c r="U511" s="109" t="s">
        <v>66</v>
      </c>
      <c r="V511" s="109" t="s">
        <v>66</v>
      </c>
      <c r="W511" s="109" t="s">
        <v>66</v>
      </c>
      <c r="X511" s="126" t="str">
        <f>IF(TblDetailBudget[[#This Row],[Level]]=LvlBottomHdr, IF(SUM(TblDetailBudget[[#This Row],[2021 Quant]:[2025 Quant]])&gt;0, SUM(TblDetailBudget[[#This Row],[2021 Quant]:[2025 Quant]]), ""), "")</f>
        <v/>
      </c>
      <c r="Y51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1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1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1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1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11" s="142">
        <f>SUM(TblDetailBudget[[#This Row],[2021 Cost (LCU)]:[2025 Cost (LCU)]])</f>
        <v>0</v>
      </c>
      <c r="AE511" s="135">
        <f>IFERROR(SUM(TblDetailBudget[[#This Row],[2021 Cost (LCU)]])/FX_Rate, "")</f>
        <v>0</v>
      </c>
      <c r="AF511" s="86">
        <f>IFERROR(SUM(TblDetailBudget[[#This Row],[2022 Cost (LCU)]])/FX_Rate, "")</f>
        <v>0</v>
      </c>
      <c r="AG511" s="86">
        <f>IFERROR(SUM(TblDetailBudget[[#This Row],[2023 Cost (LCU)]])/FX_Rate, "")</f>
        <v>0</v>
      </c>
      <c r="AH511" s="86">
        <f>IFERROR(SUM(TblDetailBudget[[#This Row],[2024 Cost (LCU)]])/FX_Rate, "")</f>
        <v>0</v>
      </c>
      <c r="AI511" s="86">
        <f>IFERROR(SUM(TblDetailBudget[[#This Row],[2025 Cost (LCU)]])/FX_Rate, "")</f>
        <v>0</v>
      </c>
      <c r="AJ511" s="126">
        <f>SUM(TblDetailBudget[[#This Row],[2021 Cost (USD)]:[2025 Cost (USD)]])</f>
        <v>0</v>
      </c>
      <c r="AK511" s="180"/>
    </row>
    <row r="512" spans="2:37" ht="12.75" customHeight="1">
      <c r="B512" s="123"/>
      <c r="C51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12" s="85" t="str">
        <f>IF(TblDetailBudget[[#This Row],[Level]]="", "", COUNTIFS($B$8:TblDetailBudget[[#This Row],[Level]], Lvl1Hdr))</f>
        <v/>
      </c>
      <c r="E512" s="85" t="str">
        <f>IF(TblDetailBudget[[#This Row],[Level]]="", "", COUNTIFS($B$8:TblDetailBudget[[#This Row],[Level]], Lvl2Hdr, $D$8:TblDetailBudget[[#This Row],[Lvl 1 Header]], TblDetailBudget[[#This Row],[Lvl 1 Header]]))</f>
        <v/>
      </c>
      <c r="F51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1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1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12" s="164"/>
      <c r="J512" s="164"/>
      <c r="K512" s="165"/>
      <c r="L512" s="165"/>
      <c r="M512" s="85" t="str">
        <f>IF(TblDetailBudget[[#This Row],[Level]]=LvlBottomHdr, IFERROR(INDEX(TblUnitCost[Unit], MATCH(TblDetailBudget[[#This Row],[Row Title]], TblUnitCost[Resource], 0)), "Invalid Resource"), "")</f>
        <v/>
      </c>
      <c r="N512" s="126" t="str">
        <f>IF(TblDetailBudget[[#This Row],[Level]]=LvlBottomHdr, IFERROR(INDEX(TblUnitCost[LCU], MATCH(TblDetailBudget[[#This Row],[Row Title]], TblUnitCost[Resource], 0)), "Invalid Resource"), "")</f>
        <v/>
      </c>
      <c r="O512" s="130"/>
      <c r="P512" s="109"/>
      <c r="Q512" s="186"/>
      <c r="R512" s="131"/>
      <c r="S512" s="109" t="s">
        <v>66</v>
      </c>
      <c r="T512" s="109" t="s">
        <v>66</v>
      </c>
      <c r="U512" s="109" t="s">
        <v>66</v>
      </c>
      <c r="V512" s="109" t="s">
        <v>66</v>
      </c>
      <c r="W512" s="109" t="s">
        <v>66</v>
      </c>
      <c r="X512" s="126" t="str">
        <f>IF(TblDetailBudget[[#This Row],[Level]]=LvlBottomHdr, IF(SUM(TblDetailBudget[[#This Row],[2021 Quant]:[2025 Quant]])&gt;0, SUM(TblDetailBudget[[#This Row],[2021 Quant]:[2025 Quant]]), ""), "")</f>
        <v/>
      </c>
      <c r="Y51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1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1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1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1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12" s="142">
        <f>SUM(TblDetailBudget[[#This Row],[2021 Cost (LCU)]:[2025 Cost (LCU)]])</f>
        <v>0</v>
      </c>
      <c r="AE512" s="135">
        <f>IFERROR(SUM(TblDetailBudget[[#This Row],[2021 Cost (LCU)]])/FX_Rate, "")</f>
        <v>0</v>
      </c>
      <c r="AF512" s="86">
        <f>IFERROR(SUM(TblDetailBudget[[#This Row],[2022 Cost (LCU)]])/FX_Rate, "")</f>
        <v>0</v>
      </c>
      <c r="AG512" s="86">
        <f>IFERROR(SUM(TblDetailBudget[[#This Row],[2023 Cost (LCU)]])/FX_Rate, "")</f>
        <v>0</v>
      </c>
      <c r="AH512" s="86">
        <f>IFERROR(SUM(TblDetailBudget[[#This Row],[2024 Cost (LCU)]])/FX_Rate, "")</f>
        <v>0</v>
      </c>
      <c r="AI512" s="86">
        <f>IFERROR(SUM(TblDetailBudget[[#This Row],[2025 Cost (LCU)]])/FX_Rate, "")</f>
        <v>0</v>
      </c>
      <c r="AJ512" s="126">
        <f>SUM(TblDetailBudget[[#This Row],[2021 Cost (USD)]:[2025 Cost (USD)]])</f>
        <v>0</v>
      </c>
      <c r="AK512" s="180"/>
    </row>
    <row r="513" spans="2:37" ht="12.75" customHeight="1">
      <c r="B513" s="123"/>
      <c r="C51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13" s="85" t="str">
        <f>IF(TblDetailBudget[[#This Row],[Level]]="", "", COUNTIFS($B$8:TblDetailBudget[[#This Row],[Level]], Lvl1Hdr))</f>
        <v/>
      </c>
      <c r="E513" s="85" t="str">
        <f>IF(TblDetailBudget[[#This Row],[Level]]="", "", COUNTIFS($B$8:TblDetailBudget[[#This Row],[Level]], Lvl2Hdr, $D$8:TblDetailBudget[[#This Row],[Lvl 1 Header]], TblDetailBudget[[#This Row],[Lvl 1 Header]]))</f>
        <v/>
      </c>
      <c r="F51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1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1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13" s="164"/>
      <c r="J513" s="164"/>
      <c r="K513" s="165"/>
      <c r="L513" s="165"/>
      <c r="M513" s="85" t="str">
        <f>IF(TblDetailBudget[[#This Row],[Level]]=LvlBottomHdr, IFERROR(INDEX(TblUnitCost[Unit], MATCH(TblDetailBudget[[#This Row],[Row Title]], TblUnitCost[Resource], 0)), "Invalid Resource"), "")</f>
        <v/>
      </c>
      <c r="N513" s="126" t="str">
        <f>IF(TblDetailBudget[[#This Row],[Level]]=LvlBottomHdr, IFERROR(INDEX(TblUnitCost[LCU], MATCH(TblDetailBudget[[#This Row],[Row Title]], TblUnitCost[Resource], 0)), "Invalid Resource"), "")</f>
        <v/>
      </c>
      <c r="O513" s="130"/>
      <c r="P513" s="109"/>
      <c r="Q513" s="186"/>
      <c r="R513" s="131"/>
      <c r="S513" s="109" t="s">
        <v>66</v>
      </c>
      <c r="T513" s="109" t="s">
        <v>66</v>
      </c>
      <c r="U513" s="109" t="s">
        <v>66</v>
      </c>
      <c r="V513" s="109" t="s">
        <v>66</v>
      </c>
      <c r="W513" s="109" t="s">
        <v>66</v>
      </c>
      <c r="X513" s="126" t="str">
        <f>IF(TblDetailBudget[[#This Row],[Level]]=LvlBottomHdr, IF(SUM(TblDetailBudget[[#This Row],[2021 Quant]:[2025 Quant]])&gt;0, SUM(TblDetailBudget[[#This Row],[2021 Quant]:[2025 Quant]]), ""), "")</f>
        <v/>
      </c>
      <c r="Y51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1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1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1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1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13" s="142">
        <f>SUM(TblDetailBudget[[#This Row],[2021 Cost (LCU)]:[2025 Cost (LCU)]])</f>
        <v>0</v>
      </c>
      <c r="AE513" s="135">
        <f>IFERROR(SUM(TblDetailBudget[[#This Row],[2021 Cost (LCU)]])/FX_Rate, "")</f>
        <v>0</v>
      </c>
      <c r="AF513" s="86">
        <f>IFERROR(SUM(TblDetailBudget[[#This Row],[2022 Cost (LCU)]])/FX_Rate, "")</f>
        <v>0</v>
      </c>
      <c r="AG513" s="86">
        <f>IFERROR(SUM(TblDetailBudget[[#This Row],[2023 Cost (LCU)]])/FX_Rate, "")</f>
        <v>0</v>
      </c>
      <c r="AH513" s="86">
        <f>IFERROR(SUM(TblDetailBudget[[#This Row],[2024 Cost (LCU)]])/FX_Rate, "")</f>
        <v>0</v>
      </c>
      <c r="AI513" s="86">
        <f>IFERROR(SUM(TblDetailBudget[[#This Row],[2025 Cost (LCU)]])/FX_Rate, "")</f>
        <v>0</v>
      </c>
      <c r="AJ513" s="126">
        <f>SUM(TblDetailBudget[[#This Row],[2021 Cost (USD)]:[2025 Cost (USD)]])</f>
        <v>0</v>
      </c>
      <c r="AK513" s="180"/>
    </row>
    <row r="514" spans="2:37" ht="12.75" customHeight="1">
      <c r="B514" s="123"/>
      <c r="C51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14" s="85" t="str">
        <f>IF(TblDetailBudget[[#This Row],[Level]]="", "", COUNTIFS($B$8:TblDetailBudget[[#This Row],[Level]], Lvl1Hdr))</f>
        <v/>
      </c>
      <c r="E514" s="85" t="str">
        <f>IF(TblDetailBudget[[#This Row],[Level]]="", "", COUNTIFS($B$8:TblDetailBudget[[#This Row],[Level]], Lvl2Hdr, $D$8:TblDetailBudget[[#This Row],[Lvl 1 Header]], TblDetailBudget[[#This Row],[Lvl 1 Header]]))</f>
        <v/>
      </c>
      <c r="F51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1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1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14" s="164"/>
      <c r="J514" s="164"/>
      <c r="K514" s="165"/>
      <c r="L514" s="165"/>
      <c r="M514" s="85" t="str">
        <f>IF(TblDetailBudget[[#This Row],[Level]]=LvlBottomHdr, IFERROR(INDEX(TblUnitCost[Unit], MATCH(TblDetailBudget[[#This Row],[Row Title]], TblUnitCost[Resource], 0)), "Invalid Resource"), "")</f>
        <v/>
      </c>
      <c r="N514" s="126" t="str">
        <f>IF(TblDetailBudget[[#This Row],[Level]]=LvlBottomHdr, IFERROR(INDEX(TblUnitCost[LCU], MATCH(TblDetailBudget[[#This Row],[Row Title]], TblUnitCost[Resource], 0)), "Invalid Resource"), "")</f>
        <v/>
      </c>
      <c r="O514" s="130"/>
      <c r="P514" s="109"/>
      <c r="Q514" s="186"/>
      <c r="R514" s="131"/>
      <c r="S514" s="109" t="s">
        <v>66</v>
      </c>
      <c r="T514" s="109" t="s">
        <v>66</v>
      </c>
      <c r="U514" s="109" t="s">
        <v>66</v>
      </c>
      <c r="V514" s="109" t="s">
        <v>66</v>
      </c>
      <c r="W514" s="109" t="s">
        <v>66</v>
      </c>
      <c r="X514" s="126" t="str">
        <f>IF(TblDetailBudget[[#This Row],[Level]]=LvlBottomHdr, IF(SUM(TblDetailBudget[[#This Row],[2021 Quant]:[2025 Quant]])&gt;0, SUM(TblDetailBudget[[#This Row],[2021 Quant]:[2025 Quant]]), ""), "")</f>
        <v/>
      </c>
      <c r="Y51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1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1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1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1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14" s="142">
        <f>SUM(TblDetailBudget[[#This Row],[2021 Cost (LCU)]:[2025 Cost (LCU)]])</f>
        <v>0</v>
      </c>
      <c r="AE514" s="135">
        <f>IFERROR(SUM(TblDetailBudget[[#This Row],[2021 Cost (LCU)]])/FX_Rate, "")</f>
        <v>0</v>
      </c>
      <c r="AF514" s="86">
        <f>IFERROR(SUM(TblDetailBudget[[#This Row],[2022 Cost (LCU)]])/FX_Rate, "")</f>
        <v>0</v>
      </c>
      <c r="AG514" s="86">
        <f>IFERROR(SUM(TblDetailBudget[[#This Row],[2023 Cost (LCU)]])/FX_Rate, "")</f>
        <v>0</v>
      </c>
      <c r="AH514" s="86">
        <f>IFERROR(SUM(TblDetailBudget[[#This Row],[2024 Cost (LCU)]])/FX_Rate, "")</f>
        <v>0</v>
      </c>
      <c r="AI514" s="86">
        <f>IFERROR(SUM(TblDetailBudget[[#This Row],[2025 Cost (LCU)]])/FX_Rate, "")</f>
        <v>0</v>
      </c>
      <c r="AJ514" s="126">
        <f>SUM(TblDetailBudget[[#This Row],[2021 Cost (USD)]:[2025 Cost (USD)]])</f>
        <v>0</v>
      </c>
      <c r="AK514" s="180"/>
    </row>
    <row r="515" spans="2:37" ht="12.75" customHeight="1">
      <c r="B515" s="123"/>
      <c r="C51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15" s="85" t="str">
        <f>IF(TblDetailBudget[[#This Row],[Level]]="", "", COUNTIFS($B$8:TblDetailBudget[[#This Row],[Level]], Lvl1Hdr))</f>
        <v/>
      </c>
      <c r="E515" s="85" t="str">
        <f>IF(TblDetailBudget[[#This Row],[Level]]="", "", COUNTIFS($B$8:TblDetailBudget[[#This Row],[Level]], Lvl2Hdr, $D$8:TblDetailBudget[[#This Row],[Lvl 1 Header]], TblDetailBudget[[#This Row],[Lvl 1 Header]]))</f>
        <v/>
      </c>
      <c r="F51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1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1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15" s="164"/>
      <c r="J515" s="164"/>
      <c r="K515" s="165"/>
      <c r="L515" s="165"/>
      <c r="M515" s="85" t="str">
        <f>IF(TblDetailBudget[[#This Row],[Level]]=LvlBottomHdr, IFERROR(INDEX(TblUnitCost[Unit], MATCH(TblDetailBudget[[#This Row],[Row Title]], TblUnitCost[Resource], 0)), "Invalid Resource"), "")</f>
        <v/>
      </c>
      <c r="N515" s="126" t="str">
        <f>IF(TblDetailBudget[[#This Row],[Level]]=LvlBottomHdr, IFERROR(INDEX(TblUnitCost[LCU], MATCH(TblDetailBudget[[#This Row],[Row Title]], TblUnitCost[Resource], 0)), "Invalid Resource"), "")</f>
        <v/>
      </c>
      <c r="O515" s="130"/>
      <c r="P515" s="109"/>
      <c r="Q515" s="186"/>
      <c r="R515" s="131"/>
      <c r="S515" s="109" t="s">
        <v>66</v>
      </c>
      <c r="T515" s="109" t="s">
        <v>66</v>
      </c>
      <c r="U515" s="109" t="s">
        <v>66</v>
      </c>
      <c r="V515" s="109" t="s">
        <v>66</v>
      </c>
      <c r="W515" s="109" t="s">
        <v>66</v>
      </c>
      <c r="X515" s="126" t="str">
        <f>IF(TblDetailBudget[[#This Row],[Level]]=LvlBottomHdr, IF(SUM(TblDetailBudget[[#This Row],[2021 Quant]:[2025 Quant]])&gt;0, SUM(TblDetailBudget[[#This Row],[2021 Quant]:[2025 Quant]]), ""), "")</f>
        <v/>
      </c>
      <c r="Y51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1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1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1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1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15" s="142">
        <f>SUM(TblDetailBudget[[#This Row],[2021 Cost (LCU)]:[2025 Cost (LCU)]])</f>
        <v>0</v>
      </c>
      <c r="AE515" s="135">
        <f>IFERROR(SUM(TblDetailBudget[[#This Row],[2021 Cost (LCU)]])/FX_Rate, "")</f>
        <v>0</v>
      </c>
      <c r="AF515" s="86">
        <f>IFERROR(SUM(TblDetailBudget[[#This Row],[2022 Cost (LCU)]])/FX_Rate, "")</f>
        <v>0</v>
      </c>
      <c r="AG515" s="86">
        <f>IFERROR(SUM(TblDetailBudget[[#This Row],[2023 Cost (LCU)]])/FX_Rate, "")</f>
        <v>0</v>
      </c>
      <c r="AH515" s="86">
        <f>IFERROR(SUM(TblDetailBudget[[#This Row],[2024 Cost (LCU)]])/FX_Rate, "")</f>
        <v>0</v>
      </c>
      <c r="AI515" s="86">
        <f>IFERROR(SUM(TblDetailBudget[[#This Row],[2025 Cost (LCU)]])/FX_Rate, "")</f>
        <v>0</v>
      </c>
      <c r="AJ515" s="126">
        <f>SUM(TblDetailBudget[[#This Row],[2021 Cost (USD)]:[2025 Cost (USD)]])</f>
        <v>0</v>
      </c>
      <c r="AK515" s="180"/>
    </row>
    <row r="516" spans="2:37" ht="12.75" customHeight="1">
      <c r="B516" s="123"/>
      <c r="C51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16" s="85" t="str">
        <f>IF(TblDetailBudget[[#This Row],[Level]]="", "", COUNTIFS($B$8:TblDetailBudget[[#This Row],[Level]], Lvl1Hdr))</f>
        <v/>
      </c>
      <c r="E516" s="85" t="str">
        <f>IF(TblDetailBudget[[#This Row],[Level]]="", "", COUNTIFS($B$8:TblDetailBudget[[#This Row],[Level]], Lvl2Hdr, $D$8:TblDetailBudget[[#This Row],[Lvl 1 Header]], TblDetailBudget[[#This Row],[Lvl 1 Header]]))</f>
        <v/>
      </c>
      <c r="F51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1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1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16" s="164"/>
      <c r="J516" s="164"/>
      <c r="K516" s="165"/>
      <c r="L516" s="165"/>
      <c r="M516" s="85" t="str">
        <f>IF(TblDetailBudget[[#This Row],[Level]]=LvlBottomHdr, IFERROR(INDEX(TblUnitCost[Unit], MATCH(TblDetailBudget[[#This Row],[Row Title]], TblUnitCost[Resource], 0)), "Invalid Resource"), "")</f>
        <v/>
      </c>
      <c r="N516" s="126" t="str">
        <f>IF(TblDetailBudget[[#This Row],[Level]]=LvlBottomHdr, IFERROR(INDEX(TblUnitCost[LCU], MATCH(TblDetailBudget[[#This Row],[Row Title]], TblUnitCost[Resource], 0)), "Invalid Resource"), "")</f>
        <v/>
      </c>
      <c r="O516" s="130"/>
      <c r="P516" s="109"/>
      <c r="Q516" s="186"/>
      <c r="R516" s="131"/>
      <c r="S516" s="109" t="s">
        <v>66</v>
      </c>
      <c r="T516" s="109" t="s">
        <v>66</v>
      </c>
      <c r="U516" s="109" t="s">
        <v>66</v>
      </c>
      <c r="V516" s="109" t="s">
        <v>66</v>
      </c>
      <c r="W516" s="109" t="s">
        <v>66</v>
      </c>
      <c r="X516" s="126" t="str">
        <f>IF(TblDetailBudget[[#This Row],[Level]]=LvlBottomHdr, IF(SUM(TblDetailBudget[[#This Row],[2021 Quant]:[2025 Quant]])&gt;0, SUM(TblDetailBudget[[#This Row],[2021 Quant]:[2025 Quant]]), ""), "")</f>
        <v/>
      </c>
      <c r="Y51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1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1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1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1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16" s="142">
        <f>SUM(TblDetailBudget[[#This Row],[2021 Cost (LCU)]:[2025 Cost (LCU)]])</f>
        <v>0</v>
      </c>
      <c r="AE516" s="135">
        <f>IFERROR(SUM(TblDetailBudget[[#This Row],[2021 Cost (LCU)]])/FX_Rate, "")</f>
        <v>0</v>
      </c>
      <c r="AF516" s="86">
        <f>IFERROR(SUM(TblDetailBudget[[#This Row],[2022 Cost (LCU)]])/FX_Rate, "")</f>
        <v>0</v>
      </c>
      <c r="AG516" s="86">
        <f>IFERROR(SUM(TblDetailBudget[[#This Row],[2023 Cost (LCU)]])/FX_Rate, "")</f>
        <v>0</v>
      </c>
      <c r="AH516" s="86">
        <f>IFERROR(SUM(TblDetailBudget[[#This Row],[2024 Cost (LCU)]])/FX_Rate, "")</f>
        <v>0</v>
      </c>
      <c r="AI516" s="86">
        <f>IFERROR(SUM(TblDetailBudget[[#This Row],[2025 Cost (LCU)]])/FX_Rate, "")</f>
        <v>0</v>
      </c>
      <c r="AJ516" s="126">
        <f>SUM(TblDetailBudget[[#This Row],[2021 Cost (USD)]:[2025 Cost (USD)]])</f>
        <v>0</v>
      </c>
      <c r="AK516" s="180"/>
    </row>
    <row r="517" spans="2:37" ht="12.75" customHeight="1">
      <c r="B517" s="123"/>
      <c r="C51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17" s="85" t="str">
        <f>IF(TblDetailBudget[[#This Row],[Level]]="", "", COUNTIFS($B$8:TblDetailBudget[[#This Row],[Level]], Lvl1Hdr))</f>
        <v/>
      </c>
      <c r="E517" s="85" t="str">
        <f>IF(TblDetailBudget[[#This Row],[Level]]="", "", COUNTIFS($B$8:TblDetailBudget[[#This Row],[Level]], Lvl2Hdr, $D$8:TblDetailBudget[[#This Row],[Lvl 1 Header]], TblDetailBudget[[#This Row],[Lvl 1 Header]]))</f>
        <v/>
      </c>
      <c r="F51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1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1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17" s="164"/>
      <c r="J517" s="164"/>
      <c r="K517" s="165"/>
      <c r="L517" s="165"/>
      <c r="M517" s="85" t="str">
        <f>IF(TblDetailBudget[[#This Row],[Level]]=LvlBottomHdr, IFERROR(INDEX(TblUnitCost[Unit], MATCH(TblDetailBudget[[#This Row],[Row Title]], TblUnitCost[Resource], 0)), "Invalid Resource"), "")</f>
        <v/>
      </c>
      <c r="N517" s="126" t="str">
        <f>IF(TblDetailBudget[[#This Row],[Level]]=LvlBottomHdr, IFERROR(INDEX(TblUnitCost[LCU], MATCH(TblDetailBudget[[#This Row],[Row Title]], TblUnitCost[Resource], 0)), "Invalid Resource"), "")</f>
        <v/>
      </c>
      <c r="O517" s="130"/>
      <c r="P517" s="109"/>
      <c r="Q517" s="186"/>
      <c r="R517" s="131"/>
      <c r="S517" s="109" t="s">
        <v>66</v>
      </c>
      <c r="T517" s="109" t="s">
        <v>66</v>
      </c>
      <c r="U517" s="109" t="s">
        <v>66</v>
      </c>
      <c r="V517" s="109" t="s">
        <v>66</v>
      </c>
      <c r="W517" s="109" t="s">
        <v>66</v>
      </c>
      <c r="X517" s="126" t="str">
        <f>IF(TblDetailBudget[[#This Row],[Level]]=LvlBottomHdr, IF(SUM(TblDetailBudget[[#This Row],[2021 Quant]:[2025 Quant]])&gt;0, SUM(TblDetailBudget[[#This Row],[2021 Quant]:[2025 Quant]]), ""), "")</f>
        <v/>
      </c>
      <c r="Y51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1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1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1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1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17" s="142">
        <f>SUM(TblDetailBudget[[#This Row],[2021 Cost (LCU)]:[2025 Cost (LCU)]])</f>
        <v>0</v>
      </c>
      <c r="AE517" s="135">
        <f>IFERROR(SUM(TblDetailBudget[[#This Row],[2021 Cost (LCU)]])/FX_Rate, "")</f>
        <v>0</v>
      </c>
      <c r="AF517" s="86">
        <f>IFERROR(SUM(TblDetailBudget[[#This Row],[2022 Cost (LCU)]])/FX_Rate, "")</f>
        <v>0</v>
      </c>
      <c r="AG517" s="86">
        <f>IFERROR(SUM(TblDetailBudget[[#This Row],[2023 Cost (LCU)]])/FX_Rate, "")</f>
        <v>0</v>
      </c>
      <c r="AH517" s="86">
        <f>IFERROR(SUM(TblDetailBudget[[#This Row],[2024 Cost (LCU)]])/FX_Rate, "")</f>
        <v>0</v>
      </c>
      <c r="AI517" s="86">
        <f>IFERROR(SUM(TblDetailBudget[[#This Row],[2025 Cost (LCU)]])/FX_Rate, "")</f>
        <v>0</v>
      </c>
      <c r="AJ517" s="126">
        <f>SUM(TblDetailBudget[[#This Row],[2021 Cost (USD)]:[2025 Cost (USD)]])</f>
        <v>0</v>
      </c>
      <c r="AK517" s="180"/>
    </row>
    <row r="518" spans="2:37" ht="12.75" customHeight="1">
      <c r="B518" s="123"/>
      <c r="C51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18" s="85" t="str">
        <f>IF(TblDetailBudget[[#This Row],[Level]]="", "", COUNTIFS($B$8:TblDetailBudget[[#This Row],[Level]], Lvl1Hdr))</f>
        <v/>
      </c>
      <c r="E518" s="85" t="str">
        <f>IF(TblDetailBudget[[#This Row],[Level]]="", "", COUNTIFS($B$8:TblDetailBudget[[#This Row],[Level]], Lvl2Hdr, $D$8:TblDetailBudget[[#This Row],[Lvl 1 Header]], TblDetailBudget[[#This Row],[Lvl 1 Header]]))</f>
        <v/>
      </c>
      <c r="F51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1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1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18" s="164"/>
      <c r="J518" s="164"/>
      <c r="K518" s="165"/>
      <c r="L518" s="165"/>
      <c r="M518" s="85" t="str">
        <f>IF(TblDetailBudget[[#This Row],[Level]]=LvlBottomHdr, IFERROR(INDEX(TblUnitCost[Unit], MATCH(TblDetailBudget[[#This Row],[Row Title]], TblUnitCost[Resource], 0)), "Invalid Resource"), "")</f>
        <v/>
      </c>
      <c r="N518" s="126" t="str">
        <f>IF(TblDetailBudget[[#This Row],[Level]]=LvlBottomHdr, IFERROR(INDEX(TblUnitCost[LCU], MATCH(TblDetailBudget[[#This Row],[Row Title]], TblUnitCost[Resource], 0)), "Invalid Resource"), "")</f>
        <v/>
      </c>
      <c r="O518" s="130"/>
      <c r="P518" s="109"/>
      <c r="Q518" s="186"/>
      <c r="R518" s="131"/>
      <c r="S518" s="109" t="s">
        <v>66</v>
      </c>
      <c r="T518" s="109" t="s">
        <v>66</v>
      </c>
      <c r="U518" s="109" t="s">
        <v>66</v>
      </c>
      <c r="V518" s="109" t="s">
        <v>66</v>
      </c>
      <c r="W518" s="109" t="s">
        <v>66</v>
      </c>
      <c r="X518" s="126" t="str">
        <f>IF(TblDetailBudget[[#This Row],[Level]]=LvlBottomHdr, IF(SUM(TblDetailBudget[[#This Row],[2021 Quant]:[2025 Quant]])&gt;0, SUM(TblDetailBudget[[#This Row],[2021 Quant]:[2025 Quant]]), ""), "")</f>
        <v/>
      </c>
      <c r="Y51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1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1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1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1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18" s="142">
        <f>SUM(TblDetailBudget[[#This Row],[2021 Cost (LCU)]:[2025 Cost (LCU)]])</f>
        <v>0</v>
      </c>
      <c r="AE518" s="135">
        <f>IFERROR(SUM(TblDetailBudget[[#This Row],[2021 Cost (LCU)]])/FX_Rate, "")</f>
        <v>0</v>
      </c>
      <c r="AF518" s="86">
        <f>IFERROR(SUM(TblDetailBudget[[#This Row],[2022 Cost (LCU)]])/FX_Rate, "")</f>
        <v>0</v>
      </c>
      <c r="AG518" s="86">
        <f>IFERROR(SUM(TblDetailBudget[[#This Row],[2023 Cost (LCU)]])/FX_Rate, "")</f>
        <v>0</v>
      </c>
      <c r="AH518" s="86">
        <f>IFERROR(SUM(TblDetailBudget[[#This Row],[2024 Cost (LCU)]])/FX_Rate, "")</f>
        <v>0</v>
      </c>
      <c r="AI518" s="86">
        <f>IFERROR(SUM(TblDetailBudget[[#This Row],[2025 Cost (LCU)]])/FX_Rate, "")</f>
        <v>0</v>
      </c>
      <c r="AJ518" s="126">
        <f>SUM(TblDetailBudget[[#This Row],[2021 Cost (USD)]:[2025 Cost (USD)]])</f>
        <v>0</v>
      </c>
      <c r="AK518" s="180"/>
    </row>
    <row r="519" spans="2:37" ht="12.75" customHeight="1">
      <c r="B519" s="123"/>
      <c r="C51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19" s="85" t="str">
        <f>IF(TblDetailBudget[[#This Row],[Level]]="", "", COUNTIFS($B$8:TblDetailBudget[[#This Row],[Level]], Lvl1Hdr))</f>
        <v/>
      </c>
      <c r="E519" s="85" t="str">
        <f>IF(TblDetailBudget[[#This Row],[Level]]="", "", COUNTIFS($B$8:TblDetailBudget[[#This Row],[Level]], Lvl2Hdr, $D$8:TblDetailBudget[[#This Row],[Lvl 1 Header]], TblDetailBudget[[#This Row],[Lvl 1 Header]]))</f>
        <v/>
      </c>
      <c r="F51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1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1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19" s="164"/>
      <c r="J519" s="164"/>
      <c r="K519" s="165"/>
      <c r="L519" s="165"/>
      <c r="M519" s="85" t="str">
        <f>IF(TblDetailBudget[[#This Row],[Level]]=LvlBottomHdr, IFERROR(INDEX(TblUnitCost[Unit], MATCH(TblDetailBudget[[#This Row],[Row Title]], TblUnitCost[Resource], 0)), "Invalid Resource"), "")</f>
        <v/>
      </c>
      <c r="N519" s="126" t="str">
        <f>IF(TblDetailBudget[[#This Row],[Level]]=LvlBottomHdr, IFERROR(INDEX(TblUnitCost[LCU], MATCH(TblDetailBudget[[#This Row],[Row Title]], TblUnitCost[Resource], 0)), "Invalid Resource"), "")</f>
        <v/>
      </c>
      <c r="O519" s="130"/>
      <c r="P519" s="109"/>
      <c r="Q519" s="186"/>
      <c r="R519" s="131"/>
      <c r="S519" s="109" t="s">
        <v>66</v>
      </c>
      <c r="T519" s="109" t="s">
        <v>66</v>
      </c>
      <c r="U519" s="109" t="s">
        <v>66</v>
      </c>
      <c r="V519" s="109" t="s">
        <v>66</v>
      </c>
      <c r="W519" s="109" t="s">
        <v>66</v>
      </c>
      <c r="X519" s="126" t="str">
        <f>IF(TblDetailBudget[[#This Row],[Level]]=LvlBottomHdr, IF(SUM(TblDetailBudget[[#This Row],[2021 Quant]:[2025 Quant]])&gt;0, SUM(TblDetailBudget[[#This Row],[2021 Quant]:[2025 Quant]]), ""), "")</f>
        <v/>
      </c>
      <c r="Y51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1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1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1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1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19" s="142">
        <f>SUM(TblDetailBudget[[#This Row],[2021 Cost (LCU)]:[2025 Cost (LCU)]])</f>
        <v>0</v>
      </c>
      <c r="AE519" s="135">
        <f>IFERROR(SUM(TblDetailBudget[[#This Row],[2021 Cost (LCU)]])/FX_Rate, "")</f>
        <v>0</v>
      </c>
      <c r="AF519" s="86">
        <f>IFERROR(SUM(TblDetailBudget[[#This Row],[2022 Cost (LCU)]])/FX_Rate, "")</f>
        <v>0</v>
      </c>
      <c r="AG519" s="86">
        <f>IFERROR(SUM(TblDetailBudget[[#This Row],[2023 Cost (LCU)]])/FX_Rate, "")</f>
        <v>0</v>
      </c>
      <c r="AH519" s="86">
        <f>IFERROR(SUM(TblDetailBudget[[#This Row],[2024 Cost (LCU)]])/FX_Rate, "")</f>
        <v>0</v>
      </c>
      <c r="AI519" s="86">
        <f>IFERROR(SUM(TblDetailBudget[[#This Row],[2025 Cost (LCU)]])/FX_Rate, "")</f>
        <v>0</v>
      </c>
      <c r="AJ519" s="126">
        <f>SUM(TblDetailBudget[[#This Row],[2021 Cost (USD)]:[2025 Cost (USD)]])</f>
        <v>0</v>
      </c>
      <c r="AK519" s="180"/>
    </row>
    <row r="520" spans="2:37" ht="12.75" customHeight="1">
      <c r="B520" s="123"/>
      <c r="C52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20" s="85" t="str">
        <f>IF(TblDetailBudget[[#This Row],[Level]]="", "", COUNTIFS($B$8:TblDetailBudget[[#This Row],[Level]], Lvl1Hdr))</f>
        <v/>
      </c>
      <c r="E520" s="85" t="str">
        <f>IF(TblDetailBudget[[#This Row],[Level]]="", "", COUNTIFS($B$8:TblDetailBudget[[#This Row],[Level]], Lvl2Hdr, $D$8:TblDetailBudget[[#This Row],[Lvl 1 Header]], TblDetailBudget[[#This Row],[Lvl 1 Header]]))</f>
        <v/>
      </c>
      <c r="F52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2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2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20" s="164"/>
      <c r="J520" s="164"/>
      <c r="K520" s="165"/>
      <c r="L520" s="165"/>
      <c r="M520" s="85" t="str">
        <f>IF(TblDetailBudget[[#This Row],[Level]]=LvlBottomHdr, IFERROR(INDEX(TblUnitCost[Unit], MATCH(TblDetailBudget[[#This Row],[Row Title]], TblUnitCost[Resource], 0)), "Invalid Resource"), "")</f>
        <v/>
      </c>
      <c r="N520" s="126" t="str">
        <f>IF(TblDetailBudget[[#This Row],[Level]]=LvlBottomHdr, IFERROR(INDEX(TblUnitCost[LCU], MATCH(TblDetailBudget[[#This Row],[Row Title]], TblUnitCost[Resource], 0)), "Invalid Resource"), "")</f>
        <v/>
      </c>
      <c r="O520" s="130"/>
      <c r="P520" s="109"/>
      <c r="Q520" s="186"/>
      <c r="R520" s="131"/>
      <c r="S520" s="109" t="s">
        <v>66</v>
      </c>
      <c r="T520" s="109" t="s">
        <v>66</v>
      </c>
      <c r="U520" s="109" t="s">
        <v>66</v>
      </c>
      <c r="V520" s="109" t="s">
        <v>66</v>
      </c>
      <c r="W520" s="109" t="s">
        <v>66</v>
      </c>
      <c r="X520" s="126" t="str">
        <f>IF(TblDetailBudget[[#This Row],[Level]]=LvlBottomHdr, IF(SUM(TblDetailBudget[[#This Row],[2021 Quant]:[2025 Quant]])&gt;0, SUM(TblDetailBudget[[#This Row],[2021 Quant]:[2025 Quant]]), ""), "")</f>
        <v/>
      </c>
      <c r="Y52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2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2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2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2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20" s="142">
        <f>SUM(TblDetailBudget[[#This Row],[2021 Cost (LCU)]:[2025 Cost (LCU)]])</f>
        <v>0</v>
      </c>
      <c r="AE520" s="135">
        <f>IFERROR(SUM(TblDetailBudget[[#This Row],[2021 Cost (LCU)]])/FX_Rate, "")</f>
        <v>0</v>
      </c>
      <c r="AF520" s="86">
        <f>IFERROR(SUM(TblDetailBudget[[#This Row],[2022 Cost (LCU)]])/FX_Rate, "")</f>
        <v>0</v>
      </c>
      <c r="AG520" s="86">
        <f>IFERROR(SUM(TblDetailBudget[[#This Row],[2023 Cost (LCU)]])/FX_Rate, "")</f>
        <v>0</v>
      </c>
      <c r="AH520" s="86">
        <f>IFERROR(SUM(TblDetailBudget[[#This Row],[2024 Cost (LCU)]])/FX_Rate, "")</f>
        <v>0</v>
      </c>
      <c r="AI520" s="86">
        <f>IFERROR(SUM(TblDetailBudget[[#This Row],[2025 Cost (LCU)]])/FX_Rate, "")</f>
        <v>0</v>
      </c>
      <c r="AJ520" s="126">
        <f>SUM(TblDetailBudget[[#This Row],[2021 Cost (USD)]:[2025 Cost (USD)]])</f>
        <v>0</v>
      </c>
      <c r="AK520" s="180"/>
    </row>
    <row r="521" spans="2:37" ht="12.75" customHeight="1">
      <c r="B521" s="123"/>
      <c r="C52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21" s="85" t="str">
        <f>IF(TblDetailBudget[[#This Row],[Level]]="", "", COUNTIFS($B$8:TblDetailBudget[[#This Row],[Level]], Lvl1Hdr))</f>
        <v/>
      </c>
      <c r="E521" s="85" t="str">
        <f>IF(TblDetailBudget[[#This Row],[Level]]="", "", COUNTIFS($B$8:TblDetailBudget[[#This Row],[Level]], Lvl2Hdr, $D$8:TblDetailBudget[[#This Row],[Lvl 1 Header]], TblDetailBudget[[#This Row],[Lvl 1 Header]]))</f>
        <v/>
      </c>
      <c r="F52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2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2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21" s="164"/>
      <c r="J521" s="164"/>
      <c r="K521" s="165"/>
      <c r="L521" s="165"/>
      <c r="M521" s="85" t="str">
        <f>IF(TblDetailBudget[[#This Row],[Level]]=LvlBottomHdr, IFERROR(INDEX(TblUnitCost[Unit], MATCH(TblDetailBudget[[#This Row],[Row Title]], TblUnitCost[Resource], 0)), "Invalid Resource"), "")</f>
        <v/>
      </c>
      <c r="N521" s="126" t="str">
        <f>IF(TblDetailBudget[[#This Row],[Level]]=LvlBottomHdr, IFERROR(INDEX(TblUnitCost[LCU], MATCH(TblDetailBudget[[#This Row],[Row Title]], TblUnitCost[Resource], 0)), "Invalid Resource"), "")</f>
        <v/>
      </c>
      <c r="O521" s="130"/>
      <c r="P521" s="109"/>
      <c r="Q521" s="186"/>
      <c r="R521" s="131"/>
      <c r="S521" s="109" t="s">
        <v>66</v>
      </c>
      <c r="T521" s="109" t="s">
        <v>66</v>
      </c>
      <c r="U521" s="109" t="s">
        <v>66</v>
      </c>
      <c r="V521" s="109" t="s">
        <v>66</v>
      </c>
      <c r="W521" s="109" t="s">
        <v>66</v>
      </c>
      <c r="X521" s="126" t="str">
        <f>IF(TblDetailBudget[[#This Row],[Level]]=LvlBottomHdr, IF(SUM(TblDetailBudget[[#This Row],[2021 Quant]:[2025 Quant]])&gt;0, SUM(TblDetailBudget[[#This Row],[2021 Quant]:[2025 Quant]]), ""), "")</f>
        <v/>
      </c>
      <c r="Y52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2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2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2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2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21" s="142">
        <f>SUM(TblDetailBudget[[#This Row],[2021 Cost (LCU)]:[2025 Cost (LCU)]])</f>
        <v>0</v>
      </c>
      <c r="AE521" s="135">
        <f>IFERROR(SUM(TblDetailBudget[[#This Row],[2021 Cost (LCU)]])/FX_Rate, "")</f>
        <v>0</v>
      </c>
      <c r="AF521" s="86">
        <f>IFERROR(SUM(TblDetailBudget[[#This Row],[2022 Cost (LCU)]])/FX_Rate, "")</f>
        <v>0</v>
      </c>
      <c r="AG521" s="86">
        <f>IFERROR(SUM(TblDetailBudget[[#This Row],[2023 Cost (LCU)]])/FX_Rate, "")</f>
        <v>0</v>
      </c>
      <c r="AH521" s="86">
        <f>IFERROR(SUM(TblDetailBudget[[#This Row],[2024 Cost (LCU)]])/FX_Rate, "")</f>
        <v>0</v>
      </c>
      <c r="AI521" s="86">
        <f>IFERROR(SUM(TblDetailBudget[[#This Row],[2025 Cost (LCU)]])/FX_Rate, "")</f>
        <v>0</v>
      </c>
      <c r="AJ521" s="126">
        <f>SUM(TblDetailBudget[[#This Row],[2021 Cost (USD)]:[2025 Cost (USD)]])</f>
        <v>0</v>
      </c>
      <c r="AK521" s="180"/>
    </row>
    <row r="522" spans="2:37" ht="12.75" customHeight="1">
      <c r="B522" s="123"/>
      <c r="C52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22" s="85" t="str">
        <f>IF(TblDetailBudget[[#This Row],[Level]]="", "", COUNTIFS($B$8:TblDetailBudget[[#This Row],[Level]], Lvl1Hdr))</f>
        <v/>
      </c>
      <c r="E522" s="85" t="str">
        <f>IF(TblDetailBudget[[#This Row],[Level]]="", "", COUNTIFS($B$8:TblDetailBudget[[#This Row],[Level]], Lvl2Hdr, $D$8:TblDetailBudget[[#This Row],[Lvl 1 Header]], TblDetailBudget[[#This Row],[Lvl 1 Header]]))</f>
        <v/>
      </c>
      <c r="F52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2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2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22" s="164"/>
      <c r="J522" s="164"/>
      <c r="K522" s="165"/>
      <c r="L522" s="165"/>
      <c r="M522" s="85" t="str">
        <f>IF(TblDetailBudget[[#This Row],[Level]]=LvlBottomHdr, IFERROR(INDEX(TblUnitCost[Unit], MATCH(TblDetailBudget[[#This Row],[Row Title]], TblUnitCost[Resource], 0)), "Invalid Resource"), "")</f>
        <v/>
      </c>
      <c r="N522" s="126" t="str">
        <f>IF(TblDetailBudget[[#This Row],[Level]]=LvlBottomHdr, IFERROR(INDEX(TblUnitCost[LCU], MATCH(TblDetailBudget[[#This Row],[Row Title]], TblUnitCost[Resource], 0)), "Invalid Resource"), "")</f>
        <v/>
      </c>
      <c r="O522" s="130"/>
      <c r="P522" s="109"/>
      <c r="Q522" s="186"/>
      <c r="R522" s="131"/>
      <c r="S522" s="109" t="s">
        <v>66</v>
      </c>
      <c r="T522" s="109" t="s">
        <v>66</v>
      </c>
      <c r="U522" s="109" t="s">
        <v>66</v>
      </c>
      <c r="V522" s="109" t="s">
        <v>66</v>
      </c>
      <c r="W522" s="109" t="s">
        <v>66</v>
      </c>
      <c r="X522" s="126" t="str">
        <f>IF(TblDetailBudget[[#This Row],[Level]]=LvlBottomHdr, IF(SUM(TblDetailBudget[[#This Row],[2021 Quant]:[2025 Quant]])&gt;0, SUM(TblDetailBudget[[#This Row],[2021 Quant]:[2025 Quant]]), ""), "")</f>
        <v/>
      </c>
      <c r="Y52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2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2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2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2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22" s="142">
        <f>SUM(TblDetailBudget[[#This Row],[2021 Cost (LCU)]:[2025 Cost (LCU)]])</f>
        <v>0</v>
      </c>
      <c r="AE522" s="135">
        <f>IFERROR(SUM(TblDetailBudget[[#This Row],[2021 Cost (LCU)]])/FX_Rate, "")</f>
        <v>0</v>
      </c>
      <c r="AF522" s="86">
        <f>IFERROR(SUM(TblDetailBudget[[#This Row],[2022 Cost (LCU)]])/FX_Rate, "")</f>
        <v>0</v>
      </c>
      <c r="AG522" s="86">
        <f>IFERROR(SUM(TblDetailBudget[[#This Row],[2023 Cost (LCU)]])/FX_Rate, "")</f>
        <v>0</v>
      </c>
      <c r="AH522" s="86">
        <f>IFERROR(SUM(TblDetailBudget[[#This Row],[2024 Cost (LCU)]])/FX_Rate, "")</f>
        <v>0</v>
      </c>
      <c r="AI522" s="86">
        <f>IFERROR(SUM(TblDetailBudget[[#This Row],[2025 Cost (LCU)]])/FX_Rate, "")</f>
        <v>0</v>
      </c>
      <c r="AJ522" s="126">
        <f>SUM(TblDetailBudget[[#This Row],[2021 Cost (USD)]:[2025 Cost (USD)]])</f>
        <v>0</v>
      </c>
      <c r="AK522" s="180"/>
    </row>
    <row r="523" spans="2:37" ht="12.75" customHeight="1">
      <c r="B523" s="123"/>
      <c r="C52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23" s="85" t="str">
        <f>IF(TblDetailBudget[[#This Row],[Level]]="", "", COUNTIFS($B$8:TblDetailBudget[[#This Row],[Level]], Lvl1Hdr))</f>
        <v/>
      </c>
      <c r="E523" s="85" t="str">
        <f>IF(TblDetailBudget[[#This Row],[Level]]="", "", COUNTIFS($B$8:TblDetailBudget[[#This Row],[Level]], Lvl2Hdr, $D$8:TblDetailBudget[[#This Row],[Lvl 1 Header]], TblDetailBudget[[#This Row],[Lvl 1 Header]]))</f>
        <v/>
      </c>
      <c r="F52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2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2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23" s="164"/>
      <c r="J523" s="164"/>
      <c r="K523" s="165"/>
      <c r="L523" s="165"/>
      <c r="M523" s="85" t="str">
        <f>IF(TblDetailBudget[[#This Row],[Level]]=LvlBottomHdr, IFERROR(INDEX(TblUnitCost[Unit], MATCH(TblDetailBudget[[#This Row],[Row Title]], TblUnitCost[Resource], 0)), "Invalid Resource"), "")</f>
        <v/>
      </c>
      <c r="N523" s="126" t="str">
        <f>IF(TblDetailBudget[[#This Row],[Level]]=LvlBottomHdr, IFERROR(INDEX(TblUnitCost[LCU], MATCH(TblDetailBudget[[#This Row],[Row Title]], TblUnitCost[Resource], 0)), "Invalid Resource"), "")</f>
        <v/>
      </c>
      <c r="O523" s="130"/>
      <c r="P523" s="109"/>
      <c r="Q523" s="186"/>
      <c r="R523" s="131"/>
      <c r="S523" s="109" t="s">
        <v>66</v>
      </c>
      <c r="T523" s="109" t="s">
        <v>66</v>
      </c>
      <c r="U523" s="109" t="s">
        <v>66</v>
      </c>
      <c r="V523" s="109" t="s">
        <v>66</v>
      </c>
      <c r="W523" s="109" t="s">
        <v>66</v>
      </c>
      <c r="X523" s="126" t="str">
        <f>IF(TblDetailBudget[[#This Row],[Level]]=LvlBottomHdr, IF(SUM(TblDetailBudget[[#This Row],[2021 Quant]:[2025 Quant]])&gt;0, SUM(TblDetailBudget[[#This Row],[2021 Quant]:[2025 Quant]]), ""), "")</f>
        <v/>
      </c>
      <c r="Y52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2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2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2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2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23" s="142">
        <f>SUM(TblDetailBudget[[#This Row],[2021 Cost (LCU)]:[2025 Cost (LCU)]])</f>
        <v>0</v>
      </c>
      <c r="AE523" s="135">
        <f>IFERROR(SUM(TblDetailBudget[[#This Row],[2021 Cost (LCU)]])/FX_Rate, "")</f>
        <v>0</v>
      </c>
      <c r="AF523" s="86">
        <f>IFERROR(SUM(TblDetailBudget[[#This Row],[2022 Cost (LCU)]])/FX_Rate, "")</f>
        <v>0</v>
      </c>
      <c r="AG523" s="86">
        <f>IFERROR(SUM(TblDetailBudget[[#This Row],[2023 Cost (LCU)]])/FX_Rate, "")</f>
        <v>0</v>
      </c>
      <c r="AH523" s="86">
        <f>IFERROR(SUM(TblDetailBudget[[#This Row],[2024 Cost (LCU)]])/FX_Rate, "")</f>
        <v>0</v>
      </c>
      <c r="AI523" s="86">
        <f>IFERROR(SUM(TblDetailBudget[[#This Row],[2025 Cost (LCU)]])/FX_Rate, "")</f>
        <v>0</v>
      </c>
      <c r="AJ523" s="126">
        <f>SUM(TblDetailBudget[[#This Row],[2021 Cost (USD)]:[2025 Cost (USD)]])</f>
        <v>0</v>
      </c>
      <c r="AK523" s="180"/>
    </row>
    <row r="524" spans="2:37" ht="12.75" customHeight="1">
      <c r="B524" s="123"/>
      <c r="C52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24" s="85" t="str">
        <f>IF(TblDetailBudget[[#This Row],[Level]]="", "", COUNTIFS($B$8:TblDetailBudget[[#This Row],[Level]], Lvl1Hdr))</f>
        <v/>
      </c>
      <c r="E524" s="85" t="str">
        <f>IF(TblDetailBudget[[#This Row],[Level]]="", "", COUNTIFS($B$8:TblDetailBudget[[#This Row],[Level]], Lvl2Hdr, $D$8:TblDetailBudget[[#This Row],[Lvl 1 Header]], TblDetailBudget[[#This Row],[Lvl 1 Header]]))</f>
        <v/>
      </c>
      <c r="F52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2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2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24" s="164"/>
      <c r="J524" s="164"/>
      <c r="K524" s="165"/>
      <c r="L524" s="165"/>
      <c r="M524" s="85" t="str">
        <f>IF(TblDetailBudget[[#This Row],[Level]]=LvlBottomHdr, IFERROR(INDEX(TblUnitCost[Unit], MATCH(TblDetailBudget[[#This Row],[Row Title]], TblUnitCost[Resource], 0)), "Invalid Resource"), "")</f>
        <v/>
      </c>
      <c r="N524" s="126" t="str">
        <f>IF(TblDetailBudget[[#This Row],[Level]]=LvlBottomHdr, IFERROR(INDEX(TblUnitCost[LCU], MATCH(TblDetailBudget[[#This Row],[Row Title]], TblUnitCost[Resource], 0)), "Invalid Resource"), "")</f>
        <v/>
      </c>
      <c r="O524" s="130"/>
      <c r="P524" s="109"/>
      <c r="Q524" s="186"/>
      <c r="R524" s="131"/>
      <c r="S524" s="109" t="s">
        <v>66</v>
      </c>
      <c r="T524" s="109" t="s">
        <v>66</v>
      </c>
      <c r="U524" s="109" t="s">
        <v>66</v>
      </c>
      <c r="V524" s="109" t="s">
        <v>66</v>
      </c>
      <c r="W524" s="109" t="s">
        <v>66</v>
      </c>
      <c r="X524" s="126" t="str">
        <f>IF(TblDetailBudget[[#This Row],[Level]]=LvlBottomHdr, IF(SUM(TblDetailBudget[[#This Row],[2021 Quant]:[2025 Quant]])&gt;0, SUM(TblDetailBudget[[#This Row],[2021 Quant]:[2025 Quant]]), ""), "")</f>
        <v/>
      </c>
      <c r="Y52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2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2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2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2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24" s="142">
        <f>SUM(TblDetailBudget[[#This Row],[2021 Cost (LCU)]:[2025 Cost (LCU)]])</f>
        <v>0</v>
      </c>
      <c r="AE524" s="135">
        <f>IFERROR(SUM(TblDetailBudget[[#This Row],[2021 Cost (LCU)]])/FX_Rate, "")</f>
        <v>0</v>
      </c>
      <c r="AF524" s="86">
        <f>IFERROR(SUM(TblDetailBudget[[#This Row],[2022 Cost (LCU)]])/FX_Rate, "")</f>
        <v>0</v>
      </c>
      <c r="AG524" s="86">
        <f>IFERROR(SUM(TblDetailBudget[[#This Row],[2023 Cost (LCU)]])/FX_Rate, "")</f>
        <v>0</v>
      </c>
      <c r="AH524" s="86">
        <f>IFERROR(SUM(TblDetailBudget[[#This Row],[2024 Cost (LCU)]])/FX_Rate, "")</f>
        <v>0</v>
      </c>
      <c r="AI524" s="86">
        <f>IFERROR(SUM(TblDetailBudget[[#This Row],[2025 Cost (LCU)]])/FX_Rate, "")</f>
        <v>0</v>
      </c>
      <c r="AJ524" s="126">
        <f>SUM(TblDetailBudget[[#This Row],[2021 Cost (USD)]:[2025 Cost (USD)]])</f>
        <v>0</v>
      </c>
      <c r="AK524" s="180"/>
    </row>
    <row r="525" spans="2:37" ht="12.75" customHeight="1">
      <c r="B525" s="123"/>
      <c r="C52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25" s="85" t="str">
        <f>IF(TblDetailBudget[[#This Row],[Level]]="", "", COUNTIFS($B$8:TblDetailBudget[[#This Row],[Level]], Lvl1Hdr))</f>
        <v/>
      </c>
      <c r="E525" s="85" t="str">
        <f>IF(TblDetailBudget[[#This Row],[Level]]="", "", COUNTIFS($B$8:TblDetailBudget[[#This Row],[Level]], Lvl2Hdr, $D$8:TblDetailBudget[[#This Row],[Lvl 1 Header]], TblDetailBudget[[#This Row],[Lvl 1 Header]]))</f>
        <v/>
      </c>
      <c r="F52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2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2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25" s="164"/>
      <c r="J525" s="164"/>
      <c r="K525" s="165"/>
      <c r="L525" s="165"/>
      <c r="M525" s="85" t="str">
        <f>IF(TblDetailBudget[[#This Row],[Level]]=LvlBottomHdr, IFERROR(INDEX(TblUnitCost[Unit], MATCH(TblDetailBudget[[#This Row],[Row Title]], TblUnitCost[Resource], 0)), "Invalid Resource"), "")</f>
        <v/>
      </c>
      <c r="N525" s="126" t="str">
        <f>IF(TblDetailBudget[[#This Row],[Level]]=LvlBottomHdr, IFERROR(INDEX(TblUnitCost[LCU], MATCH(TblDetailBudget[[#This Row],[Row Title]], TblUnitCost[Resource], 0)), "Invalid Resource"), "")</f>
        <v/>
      </c>
      <c r="O525" s="130"/>
      <c r="P525" s="109"/>
      <c r="Q525" s="186"/>
      <c r="R525" s="131"/>
      <c r="S525" s="109" t="s">
        <v>66</v>
      </c>
      <c r="T525" s="109" t="s">
        <v>66</v>
      </c>
      <c r="U525" s="109" t="s">
        <v>66</v>
      </c>
      <c r="V525" s="109" t="s">
        <v>66</v>
      </c>
      <c r="W525" s="109" t="s">
        <v>66</v>
      </c>
      <c r="X525" s="126" t="str">
        <f>IF(TblDetailBudget[[#This Row],[Level]]=LvlBottomHdr, IF(SUM(TblDetailBudget[[#This Row],[2021 Quant]:[2025 Quant]])&gt;0, SUM(TblDetailBudget[[#This Row],[2021 Quant]:[2025 Quant]]), ""), "")</f>
        <v/>
      </c>
      <c r="Y52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2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2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2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2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25" s="142">
        <f>SUM(TblDetailBudget[[#This Row],[2021 Cost (LCU)]:[2025 Cost (LCU)]])</f>
        <v>0</v>
      </c>
      <c r="AE525" s="135">
        <f>IFERROR(SUM(TblDetailBudget[[#This Row],[2021 Cost (LCU)]])/FX_Rate, "")</f>
        <v>0</v>
      </c>
      <c r="AF525" s="86">
        <f>IFERROR(SUM(TblDetailBudget[[#This Row],[2022 Cost (LCU)]])/FX_Rate, "")</f>
        <v>0</v>
      </c>
      <c r="AG525" s="86">
        <f>IFERROR(SUM(TblDetailBudget[[#This Row],[2023 Cost (LCU)]])/FX_Rate, "")</f>
        <v>0</v>
      </c>
      <c r="AH525" s="86">
        <f>IFERROR(SUM(TblDetailBudget[[#This Row],[2024 Cost (LCU)]])/FX_Rate, "")</f>
        <v>0</v>
      </c>
      <c r="AI525" s="86">
        <f>IFERROR(SUM(TblDetailBudget[[#This Row],[2025 Cost (LCU)]])/FX_Rate, "")</f>
        <v>0</v>
      </c>
      <c r="AJ525" s="126">
        <f>SUM(TblDetailBudget[[#This Row],[2021 Cost (USD)]:[2025 Cost (USD)]])</f>
        <v>0</v>
      </c>
      <c r="AK525" s="180"/>
    </row>
    <row r="526" spans="2:37" ht="12.75" customHeight="1">
      <c r="B526" s="123"/>
      <c r="C52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26" s="85" t="str">
        <f>IF(TblDetailBudget[[#This Row],[Level]]="", "", COUNTIFS($B$8:TblDetailBudget[[#This Row],[Level]], Lvl1Hdr))</f>
        <v/>
      </c>
      <c r="E526" s="85" t="str">
        <f>IF(TblDetailBudget[[#This Row],[Level]]="", "", COUNTIFS($B$8:TblDetailBudget[[#This Row],[Level]], Lvl2Hdr, $D$8:TblDetailBudget[[#This Row],[Lvl 1 Header]], TblDetailBudget[[#This Row],[Lvl 1 Header]]))</f>
        <v/>
      </c>
      <c r="F52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2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2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26" s="164"/>
      <c r="J526" s="164"/>
      <c r="K526" s="165"/>
      <c r="L526" s="165"/>
      <c r="M526" s="85" t="str">
        <f>IF(TblDetailBudget[[#This Row],[Level]]=LvlBottomHdr, IFERROR(INDEX(TblUnitCost[Unit], MATCH(TblDetailBudget[[#This Row],[Row Title]], TblUnitCost[Resource], 0)), "Invalid Resource"), "")</f>
        <v/>
      </c>
      <c r="N526" s="126" t="str">
        <f>IF(TblDetailBudget[[#This Row],[Level]]=LvlBottomHdr, IFERROR(INDEX(TblUnitCost[LCU], MATCH(TblDetailBudget[[#This Row],[Row Title]], TblUnitCost[Resource], 0)), "Invalid Resource"), "")</f>
        <v/>
      </c>
      <c r="O526" s="130"/>
      <c r="P526" s="109"/>
      <c r="Q526" s="186"/>
      <c r="R526" s="131"/>
      <c r="S526" s="109" t="s">
        <v>66</v>
      </c>
      <c r="T526" s="109" t="s">
        <v>66</v>
      </c>
      <c r="U526" s="109" t="s">
        <v>66</v>
      </c>
      <c r="V526" s="109" t="s">
        <v>66</v>
      </c>
      <c r="W526" s="109" t="s">
        <v>66</v>
      </c>
      <c r="X526" s="126" t="str">
        <f>IF(TblDetailBudget[[#This Row],[Level]]=LvlBottomHdr, IF(SUM(TblDetailBudget[[#This Row],[2021 Quant]:[2025 Quant]])&gt;0, SUM(TblDetailBudget[[#This Row],[2021 Quant]:[2025 Quant]]), ""), "")</f>
        <v/>
      </c>
      <c r="Y52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2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2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2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2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26" s="142">
        <f>SUM(TblDetailBudget[[#This Row],[2021 Cost (LCU)]:[2025 Cost (LCU)]])</f>
        <v>0</v>
      </c>
      <c r="AE526" s="135">
        <f>IFERROR(SUM(TblDetailBudget[[#This Row],[2021 Cost (LCU)]])/FX_Rate, "")</f>
        <v>0</v>
      </c>
      <c r="AF526" s="86">
        <f>IFERROR(SUM(TblDetailBudget[[#This Row],[2022 Cost (LCU)]])/FX_Rate, "")</f>
        <v>0</v>
      </c>
      <c r="AG526" s="86">
        <f>IFERROR(SUM(TblDetailBudget[[#This Row],[2023 Cost (LCU)]])/FX_Rate, "")</f>
        <v>0</v>
      </c>
      <c r="AH526" s="86">
        <f>IFERROR(SUM(TblDetailBudget[[#This Row],[2024 Cost (LCU)]])/FX_Rate, "")</f>
        <v>0</v>
      </c>
      <c r="AI526" s="86">
        <f>IFERROR(SUM(TblDetailBudget[[#This Row],[2025 Cost (LCU)]])/FX_Rate, "")</f>
        <v>0</v>
      </c>
      <c r="AJ526" s="126">
        <f>SUM(TblDetailBudget[[#This Row],[2021 Cost (USD)]:[2025 Cost (USD)]])</f>
        <v>0</v>
      </c>
      <c r="AK526" s="180"/>
    </row>
    <row r="527" spans="2:37" ht="12.75" customHeight="1">
      <c r="B527" s="123"/>
      <c r="C52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27" s="85" t="str">
        <f>IF(TblDetailBudget[[#This Row],[Level]]="", "", COUNTIFS($B$8:TblDetailBudget[[#This Row],[Level]], Lvl1Hdr))</f>
        <v/>
      </c>
      <c r="E527" s="85" t="str">
        <f>IF(TblDetailBudget[[#This Row],[Level]]="", "", COUNTIFS($B$8:TblDetailBudget[[#This Row],[Level]], Lvl2Hdr, $D$8:TblDetailBudget[[#This Row],[Lvl 1 Header]], TblDetailBudget[[#This Row],[Lvl 1 Header]]))</f>
        <v/>
      </c>
      <c r="F52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2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2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27" s="164"/>
      <c r="J527" s="164"/>
      <c r="K527" s="165"/>
      <c r="L527" s="165"/>
      <c r="M527" s="85" t="str">
        <f>IF(TblDetailBudget[[#This Row],[Level]]=LvlBottomHdr, IFERROR(INDEX(TblUnitCost[Unit], MATCH(TblDetailBudget[[#This Row],[Row Title]], TblUnitCost[Resource], 0)), "Invalid Resource"), "")</f>
        <v/>
      </c>
      <c r="N527" s="126" t="str">
        <f>IF(TblDetailBudget[[#This Row],[Level]]=LvlBottomHdr, IFERROR(INDEX(TblUnitCost[LCU], MATCH(TblDetailBudget[[#This Row],[Row Title]], TblUnitCost[Resource], 0)), "Invalid Resource"), "")</f>
        <v/>
      </c>
      <c r="O527" s="130"/>
      <c r="P527" s="109"/>
      <c r="Q527" s="186"/>
      <c r="R527" s="131"/>
      <c r="S527" s="109" t="s">
        <v>66</v>
      </c>
      <c r="T527" s="109" t="s">
        <v>66</v>
      </c>
      <c r="U527" s="109" t="s">
        <v>66</v>
      </c>
      <c r="V527" s="109" t="s">
        <v>66</v>
      </c>
      <c r="W527" s="109" t="s">
        <v>66</v>
      </c>
      <c r="X527" s="126" t="str">
        <f>IF(TblDetailBudget[[#This Row],[Level]]=LvlBottomHdr, IF(SUM(TblDetailBudget[[#This Row],[2021 Quant]:[2025 Quant]])&gt;0, SUM(TblDetailBudget[[#This Row],[2021 Quant]:[2025 Quant]]), ""), "")</f>
        <v/>
      </c>
      <c r="Y52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2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2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2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2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27" s="142">
        <f>SUM(TblDetailBudget[[#This Row],[2021 Cost (LCU)]:[2025 Cost (LCU)]])</f>
        <v>0</v>
      </c>
      <c r="AE527" s="135">
        <f>IFERROR(SUM(TblDetailBudget[[#This Row],[2021 Cost (LCU)]])/FX_Rate, "")</f>
        <v>0</v>
      </c>
      <c r="AF527" s="86">
        <f>IFERROR(SUM(TblDetailBudget[[#This Row],[2022 Cost (LCU)]])/FX_Rate, "")</f>
        <v>0</v>
      </c>
      <c r="AG527" s="86">
        <f>IFERROR(SUM(TblDetailBudget[[#This Row],[2023 Cost (LCU)]])/FX_Rate, "")</f>
        <v>0</v>
      </c>
      <c r="AH527" s="86">
        <f>IFERROR(SUM(TblDetailBudget[[#This Row],[2024 Cost (LCU)]])/FX_Rate, "")</f>
        <v>0</v>
      </c>
      <c r="AI527" s="86">
        <f>IFERROR(SUM(TblDetailBudget[[#This Row],[2025 Cost (LCU)]])/FX_Rate, "")</f>
        <v>0</v>
      </c>
      <c r="AJ527" s="126">
        <f>SUM(TblDetailBudget[[#This Row],[2021 Cost (USD)]:[2025 Cost (USD)]])</f>
        <v>0</v>
      </c>
      <c r="AK527" s="180"/>
    </row>
    <row r="528" spans="2:37" ht="12.75" customHeight="1">
      <c r="B528" s="123"/>
      <c r="C52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28" s="85" t="str">
        <f>IF(TblDetailBudget[[#This Row],[Level]]="", "", COUNTIFS($B$8:TblDetailBudget[[#This Row],[Level]], Lvl1Hdr))</f>
        <v/>
      </c>
      <c r="E528" s="85" t="str">
        <f>IF(TblDetailBudget[[#This Row],[Level]]="", "", COUNTIFS($B$8:TblDetailBudget[[#This Row],[Level]], Lvl2Hdr, $D$8:TblDetailBudget[[#This Row],[Lvl 1 Header]], TblDetailBudget[[#This Row],[Lvl 1 Header]]))</f>
        <v/>
      </c>
      <c r="F52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2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2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28" s="164"/>
      <c r="J528" s="164"/>
      <c r="K528" s="165"/>
      <c r="L528" s="165"/>
      <c r="M528" s="85" t="str">
        <f>IF(TblDetailBudget[[#This Row],[Level]]=LvlBottomHdr, IFERROR(INDEX(TblUnitCost[Unit], MATCH(TblDetailBudget[[#This Row],[Row Title]], TblUnitCost[Resource], 0)), "Invalid Resource"), "")</f>
        <v/>
      </c>
      <c r="N528" s="126" t="str">
        <f>IF(TblDetailBudget[[#This Row],[Level]]=LvlBottomHdr, IFERROR(INDEX(TblUnitCost[LCU], MATCH(TblDetailBudget[[#This Row],[Row Title]], TblUnitCost[Resource], 0)), "Invalid Resource"), "")</f>
        <v/>
      </c>
      <c r="O528" s="130"/>
      <c r="P528" s="109"/>
      <c r="Q528" s="186"/>
      <c r="R528" s="131"/>
      <c r="S528" s="109" t="s">
        <v>66</v>
      </c>
      <c r="T528" s="109" t="s">
        <v>66</v>
      </c>
      <c r="U528" s="109" t="s">
        <v>66</v>
      </c>
      <c r="V528" s="109" t="s">
        <v>66</v>
      </c>
      <c r="W528" s="109" t="s">
        <v>66</v>
      </c>
      <c r="X528" s="126" t="str">
        <f>IF(TblDetailBudget[[#This Row],[Level]]=LvlBottomHdr, IF(SUM(TblDetailBudget[[#This Row],[2021 Quant]:[2025 Quant]])&gt;0, SUM(TblDetailBudget[[#This Row],[2021 Quant]:[2025 Quant]]), ""), "")</f>
        <v/>
      </c>
      <c r="Y52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2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2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2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2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28" s="142">
        <f>SUM(TblDetailBudget[[#This Row],[2021 Cost (LCU)]:[2025 Cost (LCU)]])</f>
        <v>0</v>
      </c>
      <c r="AE528" s="135">
        <f>IFERROR(SUM(TblDetailBudget[[#This Row],[2021 Cost (LCU)]])/FX_Rate, "")</f>
        <v>0</v>
      </c>
      <c r="AF528" s="86">
        <f>IFERROR(SUM(TblDetailBudget[[#This Row],[2022 Cost (LCU)]])/FX_Rate, "")</f>
        <v>0</v>
      </c>
      <c r="AG528" s="86">
        <f>IFERROR(SUM(TblDetailBudget[[#This Row],[2023 Cost (LCU)]])/FX_Rate, "")</f>
        <v>0</v>
      </c>
      <c r="AH528" s="86">
        <f>IFERROR(SUM(TblDetailBudget[[#This Row],[2024 Cost (LCU)]])/FX_Rate, "")</f>
        <v>0</v>
      </c>
      <c r="AI528" s="86">
        <f>IFERROR(SUM(TblDetailBudget[[#This Row],[2025 Cost (LCU)]])/FX_Rate, "")</f>
        <v>0</v>
      </c>
      <c r="AJ528" s="126">
        <f>SUM(TblDetailBudget[[#This Row],[2021 Cost (USD)]:[2025 Cost (USD)]])</f>
        <v>0</v>
      </c>
      <c r="AK528" s="180"/>
    </row>
    <row r="529" spans="2:37" ht="12.75" customHeight="1">
      <c r="B529" s="123"/>
      <c r="C52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29" s="85" t="str">
        <f>IF(TblDetailBudget[[#This Row],[Level]]="", "", COUNTIFS($B$8:TblDetailBudget[[#This Row],[Level]], Lvl1Hdr))</f>
        <v/>
      </c>
      <c r="E529" s="85" t="str">
        <f>IF(TblDetailBudget[[#This Row],[Level]]="", "", COUNTIFS($B$8:TblDetailBudget[[#This Row],[Level]], Lvl2Hdr, $D$8:TblDetailBudget[[#This Row],[Lvl 1 Header]], TblDetailBudget[[#This Row],[Lvl 1 Header]]))</f>
        <v/>
      </c>
      <c r="F52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2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2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29" s="164"/>
      <c r="J529" s="164"/>
      <c r="K529" s="165"/>
      <c r="L529" s="165"/>
      <c r="M529" s="85" t="str">
        <f>IF(TblDetailBudget[[#This Row],[Level]]=LvlBottomHdr, IFERROR(INDEX(TblUnitCost[Unit], MATCH(TblDetailBudget[[#This Row],[Row Title]], TblUnitCost[Resource], 0)), "Invalid Resource"), "")</f>
        <v/>
      </c>
      <c r="N529" s="126" t="str">
        <f>IF(TblDetailBudget[[#This Row],[Level]]=LvlBottomHdr, IFERROR(INDEX(TblUnitCost[LCU], MATCH(TblDetailBudget[[#This Row],[Row Title]], TblUnitCost[Resource], 0)), "Invalid Resource"), "")</f>
        <v/>
      </c>
      <c r="O529" s="130"/>
      <c r="P529" s="109"/>
      <c r="Q529" s="186"/>
      <c r="R529" s="131"/>
      <c r="S529" s="109" t="s">
        <v>66</v>
      </c>
      <c r="T529" s="109" t="s">
        <v>66</v>
      </c>
      <c r="U529" s="109" t="s">
        <v>66</v>
      </c>
      <c r="V529" s="109" t="s">
        <v>66</v>
      </c>
      <c r="W529" s="109" t="s">
        <v>66</v>
      </c>
      <c r="X529" s="126" t="str">
        <f>IF(TblDetailBudget[[#This Row],[Level]]=LvlBottomHdr, IF(SUM(TblDetailBudget[[#This Row],[2021 Quant]:[2025 Quant]])&gt;0, SUM(TblDetailBudget[[#This Row],[2021 Quant]:[2025 Quant]]), ""), "")</f>
        <v/>
      </c>
      <c r="Y52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2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2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2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2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29" s="142">
        <f>SUM(TblDetailBudget[[#This Row],[2021 Cost (LCU)]:[2025 Cost (LCU)]])</f>
        <v>0</v>
      </c>
      <c r="AE529" s="135">
        <f>IFERROR(SUM(TblDetailBudget[[#This Row],[2021 Cost (LCU)]])/FX_Rate, "")</f>
        <v>0</v>
      </c>
      <c r="AF529" s="86">
        <f>IFERROR(SUM(TblDetailBudget[[#This Row],[2022 Cost (LCU)]])/FX_Rate, "")</f>
        <v>0</v>
      </c>
      <c r="AG529" s="86">
        <f>IFERROR(SUM(TblDetailBudget[[#This Row],[2023 Cost (LCU)]])/FX_Rate, "")</f>
        <v>0</v>
      </c>
      <c r="AH529" s="86">
        <f>IFERROR(SUM(TblDetailBudget[[#This Row],[2024 Cost (LCU)]])/FX_Rate, "")</f>
        <v>0</v>
      </c>
      <c r="AI529" s="86">
        <f>IFERROR(SUM(TblDetailBudget[[#This Row],[2025 Cost (LCU)]])/FX_Rate, "")</f>
        <v>0</v>
      </c>
      <c r="AJ529" s="126">
        <f>SUM(TblDetailBudget[[#This Row],[2021 Cost (USD)]:[2025 Cost (USD)]])</f>
        <v>0</v>
      </c>
      <c r="AK529" s="180"/>
    </row>
    <row r="530" spans="2:37" ht="12.75" customHeight="1">
      <c r="B530" s="123"/>
      <c r="C53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30" s="85" t="str">
        <f>IF(TblDetailBudget[[#This Row],[Level]]="", "", COUNTIFS($B$8:TblDetailBudget[[#This Row],[Level]], Lvl1Hdr))</f>
        <v/>
      </c>
      <c r="E530" s="85" t="str">
        <f>IF(TblDetailBudget[[#This Row],[Level]]="", "", COUNTIFS($B$8:TblDetailBudget[[#This Row],[Level]], Lvl2Hdr, $D$8:TblDetailBudget[[#This Row],[Lvl 1 Header]], TblDetailBudget[[#This Row],[Lvl 1 Header]]))</f>
        <v/>
      </c>
      <c r="F53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3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3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30" s="164"/>
      <c r="J530" s="164"/>
      <c r="K530" s="165"/>
      <c r="L530" s="165"/>
      <c r="M530" s="85" t="str">
        <f>IF(TblDetailBudget[[#This Row],[Level]]=LvlBottomHdr, IFERROR(INDEX(TblUnitCost[Unit], MATCH(TblDetailBudget[[#This Row],[Row Title]], TblUnitCost[Resource], 0)), "Invalid Resource"), "")</f>
        <v/>
      </c>
      <c r="N530" s="126" t="str">
        <f>IF(TblDetailBudget[[#This Row],[Level]]=LvlBottomHdr, IFERROR(INDEX(TblUnitCost[LCU], MATCH(TblDetailBudget[[#This Row],[Row Title]], TblUnitCost[Resource], 0)), "Invalid Resource"), "")</f>
        <v/>
      </c>
      <c r="O530" s="130"/>
      <c r="P530" s="109"/>
      <c r="Q530" s="186"/>
      <c r="R530" s="131"/>
      <c r="S530" s="109" t="s">
        <v>66</v>
      </c>
      <c r="T530" s="109" t="s">
        <v>66</v>
      </c>
      <c r="U530" s="109" t="s">
        <v>66</v>
      </c>
      <c r="V530" s="109" t="s">
        <v>66</v>
      </c>
      <c r="W530" s="109" t="s">
        <v>66</v>
      </c>
      <c r="X530" s="126" t="str">
        <f>IF(TblDetailBudget[[#This Row],[Level]]=LvlBottomHdr, IF(SUM(TblDetailBudget[[#This Row],[2021 Quant]:[2025 Quant]])&gt;0, SUM(TblDetailBudget[[#This Row],[2021 Quant]:[2025 Quant]]), ""), "")</f>
        <v/>
      </c>
      <c r="Y53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3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3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3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3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30" s="142">
        <f>SUM(TblDetailBudget[[#This Row],[2021 Cost (LCU)]:[2025 Cost (LCU)]])</f>
        <v>0</v>
      </c>
      <c r="AE530" s="135">
        <f>IFERROR(SUM(TblDetailBudget[[#This Row],[2021 Cost (LCU)]])/FX_Rate, "")</f>
        <v>0</v>
      </c>
      <c r="AF530" s="86">
        <f>IFERROR(SUM(TblDetailBudget[[#This Row],[2022 Cost (LCU)]])/FX_Rate, "")</f>
        <v>0</v>
      </c>
      <c r="AG530" s="86">
        <f>IFERROR(SUM(TblDetailBudget[[#This Row],[2023 Cost (LCU)]])/FX_Rate, "")</f>
        <v>0</v>
      </c>
      <c r="AH530" s="86">
        <f>IFERROR(SUM(TblDetailBudget[[#This Row],[2024 Cost (LCU)]])/FX_Rate, "")</f>
        <v>0</v>
      </c>
      <c r="AI530" s="86">
        <f>IFERROR(SUM(TblDetailBudget[[#This Row],[2025 Cost (LCU)]])/FX_Rate, "")</f>
        <v>0</v>
      </c>
      <c r="AJ530" s="126">
        <f>SUM(TblDetailBudget[[#This Row],[2021 Cost (USD)]:[2025 Cost (USD)]])</f>
        <v>0</v>
      </c>
      <c r="AK530" s="180"/>
    </row>
    <row r="531" spans="2:37" ht="12.75" customHeight="1">
      <c r="B531" s="123"/>
      <c r="C53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31" s="85" t="str">
        <f>IF(TblDetailBudget[[#This Row],[Level]]="", "", COUNTIFS($B$8:TblDetailBudget[[#This Row],[Level]], Lvl1Hdr))</f>
        <v/>
      </c>
      <c r="E531" s="85" t="str">
        <f>IF(TblDetailBudget[[#This Row],[Level]]="", "", COUNTIFS($B$8:TblDetailBudget[[#This Row],[Level]], Lvl2Hdr, $D$8:TblDetailBudget[[#This Row],[Lvl 1 Header]], TblDetailBudget[[#This Row],[Lvl 1 Header]]))</f>
        <v/>
      </c>
      <c r="F53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3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3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31" s="164"/>
      <c r="J531" s="164"/>
      <c r="K531" s="165"/>
      <c r="L531" s="165"/>
      <c r="M531" s="85" t="str">
        <f>IF(TblDetailBudget[[#This Row],[Level]]=LvlBottomHdr, IFERROR(INDEX(TblUnitCost[Unit], MATCH(TblDetailBudget[[#This Row],[Row Title]], TblUnitCost[Resource], 0)), "Invalid Resource"), "")</f>
        <v/>
      </c>
      <c r="N531" s="126" t="str">
        <f>IF(TblDetailBudget[[#This Row],[Level]]=LvlBottomHdr, IFERROR(INDEX(TblUnitCost[LCU], MATCH(TblDetailBudget[[#This Row],[Row Title]], TblUnitCost[Resource], 0)), "Invalid Resource"), "")</f>
        <v/>
      </c>
      <c r="O531" s="130"/>
      <c r="P531" s="109"/>
      <c r="Q531" s="186"/>
      <c r="R531" s="131"/>
      <c r="S531" s="109" t="s">
        <v>66</v>
      </c>
      <c r="T531" s="109" t="s">
        <v>66</v>
      </c>
      <c r="U531" s="109" t="s">
        <v>66</v>
      </c>
      <c r="V531" s="109" t="s">
        <v>66</v>
      </c>
      <c r="W531" s="109" t="s">
        <v>66</v>
      </c>
      <c r="X531" s="126" t="str">
        <f>IF(TblDetailBudget[[#This Row],[Level]]=LvlBottomHdr, IF(SUM(TblDetailBudget[[#This Row],[2021 Quant]:[2025 Quant]])&gt;0, SUM(TblDetailBudget[[#This Row],[2021 Quant]:[2025 Quant]]), ""), "")</f>
        <v/>
      </c>
      <c r="Y53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3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3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3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3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31" s="142">
        <f>SUM(TblDetailBudget[[#This Row],[2021 Cost (LCU)]:[2025 Cost (LCU)]])</f>
        <v>0</v>
      </c>
      <c r="AE531" s="135">
        <f>IFERROR(SUM(TblDetailBudget[[#This Row],[2021 Cost (LCU)]])/FX_Rate, "")</f>
        <v>0</v>
      </c>
      <c r="AF531" s="86">
        <f>IFERROR(SUM(TblDetailBudget[[#This Row],[2022 Cost (LCU)]])/FX_Rate, "")</f>
        <v>0</v>
      </c>
      <c r="AG531" s="86">
        <f>IFERROR(SUM(TblDetailBudget[[#This Row],[2023 Cost (LCU)]])/FX_Rate, "")</f>
        <v>0</v>
      </c>
      <c r="AH531" s="86">
        <f>IFERROR(SUM(TblDetailBudget[[#This Row],[2024 Cost (LCU)]])/FX_Rate, "")</f>
        <v>0</v>
      </c>
      <c r="AI531" s="86">
        <f>IFERROR(SUM(TblDetailBudget[[#This Row],[2025 Cost (LCU)]])/FX_Rate, "")</f>
        <v>0</v>
      </c>
      <c r="AJ531" s="126">
        <f>SUM(TblDetailBudget[[#This Row],[2021 Cost (USD)]:[2025 Cost (USD)]])</f>
        <v>0</v>
      </c>
      <c r="AK531" s="180"/>
    </row>
    <row r="532" spans="2:37" ht="12.75" customHeight="1">
      <c r="B532" s="123"/>
      <c r="C53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32" s="85" t="str">
        <f>IF(TblDetailBudget[[#This Row],[Level]]="", "", COUNTIFS($B$8:TblDetailBudget[[#This Row],[Level]], Lvl1Hdr))</f>
        <v/>
      </c>
      <c r="E532" s="85" t="str">
        <f>IF(TblDetailBudget[[#This Row],[Level]]="", "", COUNTIFS($B$8:TblDetailBudget[[#This Row],[Level]], Lvl2Hdr, $D$8:TblDetailBudget[[#This Row],[Lvl 1 Header]], TblDetailBudget[[#This Row],[Lvl 1 Header]]))</f>
        <v/>
      </c>
      <c r="F53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3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3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32" s="164"/>
      <c r="J532" s="164"/>
      <c r="K532" s="165"/>
      <c r="L532" s="165"/>
      <c r="M532" s="85" t="str">
        <f>IF(TblDetailBudget[[#This Row],[Level]]=LvlBottomHdr, IFERROR(INDEX(TblUnitCost[Unit], MATCH(TblDetailBudget[[#This Row],[Row Title]], TblUnitCost[Resource], 0)), "Invalid Resource"), "")</f>
        <v/>
      </c>
      <c r="N532" s="126" t="str">
        <f>IF(TblDetailBudget[[#This Row],[Level]]=LvlBottomHdr, IFERROR(INDEX(TblUnitCost[LCU], MATCH(TblDetailBudget[[#This Row],[Row Title]], TblUnitCost[Resource], 0)), "Invalid Resource"), "")</f>
        <v/>
      </c>
      <c r="O532" s="130"/>
      <c r="P532" s="109"/>
      <c r="Q532" s="186"/>
      <c r="R532" s="131"/>
      <c r="S532" s="109" t="s">
        <v>66</v>
      </c>
      <c r="T532" s="109" t="s">
        <v>66</v>
      </c>
      <c r="U532" s="109" t="s">
        <v>66</v>
      </c>
      <c r="V532" s="109" t="s">
        <v>66</v>
      </c>
      <c r="W532" s="109" t="s">
        <v>66</v>
      </c>
      <c r="X532" s="126" t="str">
        <f>IF(TblDetailBudget[[#This Row],[Level]]=LvlBottomHdr, IF(SUM(TblDetailBudget[[#This Row],[2021 Quant]:[2025 Quant]])&gt;0, SUM(TblDetailBudget[[#This Row],[2021 Quant]:[2025 Quant]]), ""), "")</f>
        <v/>
      </c>
      <c r="Y53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3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3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3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3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32" s="142">
        <f>SUM(TblDetailBudget[[#This Row],[2021 Cost (LCU)]:[2025 Cost (LCU)]])</f>
        <v>0</v>
      </c>
      <c r="AE532" s="135">
        <f>IFERROR(SUM(TblDetailBudget[[#This Row],[2021 Cost (LCU)]])/FX_Rate, "")</f>
        <v>0</v>
      </c>
      <c r="AF532" s="86">
        <f>IFERROR(SUM(TblDetailBudget[[#This Row],[2022 Cost (LCU)]])/FX_Rate, "")</f>
        <v>0</v>
      </c>
      <c r="AG532" s="86">
        <f>IFERROR(SUM(TblDetailBudget[[#This Row],[2023 Cost (LCU)]])/FX_Rate, "")</f>
        <v>0</v>
      </c>
      <c r="AH532" s="86">
        <f>IFERROR(SUM(TblDetailBudget[[#This Row],[2024 Cost (LCU)]])/FX_Rate, "")</f>
        <v>0</v>
      </c>
      <c r="AI532" s="86">
        <f>IFERROR(SUM(TblDetailBudget[[#This Row],[2025 Cost (LCU)]])/FX_Rate, "")</f>
        <v>0</v>
      </c>
      <c r="AJ532" s="126">
        <f>SUM(TblDetailBudget[[#This Row],[2021 Cost (USD)]:[2025 Cost (USD)]])</f>
        <v>0</v>
      </c>
      <c r="AK532" s="180"/>
    </row>
    <row r="533" spans="2:37" ht="12.75" customHeight="1">
      <c r="B533" s="123"/>
      <c r="C53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33" s="85" t="str">
        <f>IF(TblDetailBudget[[#This Row],[Level]]="", "", COUNTIFS($B$8:TblDetailBudget[[#This Row],[Level]], Lvl1Hdr))</f>
        <v/>
      </c>
      <c r="E533" s="85" t="str">
        <f>IF(TblDetailBudget[[#This Row],[Level]]="", "", COUNTIFS($B$8:TblDetailBudget[[#This Row],[Level]], Lvl2Hdr, $D$8:TblDetailBudget[[#This Row],[Lvl 1 Header]], TblDetailBudget[[#This Row],[Lvl 1 Header]]))</f>
        <v/>
      </c>
      <c r="F53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3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3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33" s="164"/>
      <c r="J533" s="164"/>
      <c r="K533" s="165"/>
      <c r="L533" s="165"/>
      <c r="M533" s="85" t="str">
        <f>IF(TblDetailBudget[[#This Row],[Level]]=LvlBottomHdr, IFERROR(INDEX(TblUnitCost[Unit], MATCH(TblDetailBudget[[#This Row],[Row Title]], TblUnitCost[Resource], 0)), "Invalid Resource"), "")</f>
        <v/>
      </c>
      <c r="N533" s="126" t="str">
        <f>IF(TblDetailBudget[[#This Row],[Level]]=LvlBottomHdr, IFERROR(INDEX(TblUnitCost[LCU], MATCH(TblDetailBudget[[#This Row],[Row Title]], TblUnitCost[Resource], 0)), "Invalid Resource"), "")</f>
        <v/>
      </c>
      <c r="O533" s="130"/>
      <c r="P533" s="109"/>
      <c r="Q533" s="186"/>
      <c r="R533" s="131"/>
      <c r="S533" s="109" t="s">
        <v>66</v>
      </c>
      <c r="T533" s="109" t="s">
        <v>66</v>
      </c>
      <c r="U533" s="109" t="s">
        <v>66</v>
      </c>
      <c r="V533" s="109" t="s">
        <v>66</v>
      </c>
      <c r="W533" s="109" t="s">
        <v>66</v>
      </c>
      <c r="X533" s="126" t="str">
        <f>IF(TblDetailBudget[[#This Row],[Level]]=LvlBottomHdr, IF(SUM(TblDetailBudget[[#This Row],[2021 Quant]:[2025 Quant]])&gt;0, SUM(TblDetailBudget[[#This Row],[2021 Quant]:[2025 Quant]]), ""), "")</f>
        <v/>
      </c>
      <c r="Y53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3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3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3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3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33" s="142">
        <f>SUM(TblDetailBudget[[#This Row],[2021 Cost (LCU)]:[2025 Cost (LCU)]])</f>
        <v>0</v>
      </c>
      <c r="AE533" s="135">
        <f>IFERROR(SUM(TblDetailBudget[[#This Row],[2021 Cost (LCU)]])/FX_Rate, "")</f>
        <v>0</v>
      </c>
      <c r="AF533" s="86">
        <f>IFERROR(SUM(TblDetailBudget[[#This Row],[2022 Cost (LCU)]])/FX_Rate, "")</f>
        <v>0</v>
      </c>
      <c r="AG533" s="86">
        <f>IFERROR(SUM(TblDetailBudget[[#This Row],[2023 Cost (LCU)]])/FX_Rate, "")</f>
        <v>0</v>
      </c>
      <c r="AH533" s="86">
        <f>IFERROR(SUM(TblDetailBudget[[#This Row],[2024 Cost (LCU)]])/FX_Rate, "")</f>
        <v>0</v>
      </c>
      <c r="AI533" s="86">
        <f>IFERROR(SUM(TblDetailBudget[[#This Row],[2025 Cost (LCU)]])/FX_Rate, "")</f>
        <v>0</v>
      </c>
      <c r="AJ533" s="126">
        <f>SUM(TblDetailBudget[[#This Row],[2021 Cost (USD)]:[2025 Cost (USD)]])</f>
        <v>0</v>
      </c>
      <c r="AK533" s="180"/>
    </row>
    <row r="534" spans="2:37" ht="12.75" customHeight="1">
      <c r="B534" s="123"/>
      <c r="C53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34" s="85" t="str">
        <f>IF(TblDetailBudget[[#This Row],[Level]]="", "", COUNTIFS($B$8:TblDetailBudget[[#This Row],[Level]], Lvl1Hdr))</f>
        <v/>
      </c>
      <c r="E534" s="85" t="str">
        <f>IF(TblDetailBudget[[#This Row],[Level]]="", "", COUNTIFS($B$8:TblDetailBudget[[#This Row],[Level]], Lvl2Hdr, $D$8:TblDetailBudget[[#This Row],[Lvl 1 Header]], TblDetailBudget[[#This Row],[Lvl 1 Header]]))</f>
        <v/>
      </c>
      <c r="F53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3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3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34" s="164"/>
      <c r="J534" s="164"/>
      <c r="K534" s="165"/>
      <c r="L534" s="165"/>
      <c r="M534" s="85" t="str">
        <f>IF(TblDetailBudget[[#This Row],[Level]]=LvlBottomHdr, IFERROR(INDEX(TblUnitCost[Unit], MATCH(TblDetailBudget[[#This Row],[Row Title]], TblUnitCost[Resource], 0)), "Invalid Resource"), "")</f>
        <v/>
      </c>
      <c r="N534" s="126" t="str">
        <f>IF(TblDetailBudget[[#This Row],[Level]]=LvlBottomHdr, IFERROR(INDEX(TblUnitCost[LCU], MATCH(TblDetailBudget[[#This Row],[Row Title]], TblUnitCost[Resource], 0)), "Invalid Resource"), "")</f>
        <v/>
      </c>
      <c r="O534" s="130"/>
      <c r="P534" s="109"/>
      <c r="Q534" s="186"/>
      <c r="R534" s="131"/>
      <c r="S534" s="109" t="s">
        <v>66</v>
      </c>
      <c r="T534" s="109" t="s">
        <v>66</v>
      </c>
      <c r="U534" s="109" t="s">
        <v>66</v>
      </c>
      <c r="V534" s="109" t="s">
        <v>66</v>
      </c>
      <c r="W534" s="109" t="s">
        <v>66</v>
      </c>
      <c r="X534" s="126" t="str">
        <f>IF(TblDetailBudget[[#This Row],[Level]]=LvlBottomHdr, IF(SUM(TblDetailBudget[[#This Row],[2021 Quant]:[2025 Quant]])&gt;0, SUM(TblDetailBudget[[#This Row],[2021 Quant]:[2025 Quant]]), ""), "")</f>
        <v/>
      </c>
      <c r="Y53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3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3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3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3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34" s="142">
        <f>SUM(TblDetailBudget[[#This Row],[2021 Cost (LCU)]:[2025 Cost (LCU)]])</f>
        <v>0</v>
      </c>
      <c r="AE534" s="135">
        <f>IFERROR(SUM(TblDetailBudget[[#This Row],[2021 Cost (LCU)]])/FX_Rate, "")</f>
        <v>0</v>
      </c>
      <c r="AF534" s="86">
        <f>IFERROR(SUM(TblDetailBudget[[#This Row],[2022 Cost (LCU)]])/FX_Rate, "")</f>
        <v>0</v>
      </c>
      <c r="AG534" s="86">
        <f>IFERROR(SUM(TblDetailBudget[[#This Row],[2023 Cost (LCU)]])/FX_Rate, "")</f>
        <v>0</v>
      </c>
      <c r="AH534" s="86">
        <f>IFERROR(SUM(TblDetailBudget[[#This Row],[2024 Cost (LCU)]])/FX_Rate, "")</f>
        <v>0</v>
      </c>
      <c r="AI534" s="86">
        <f>IFERROR(SUM(TblDetailBudget[[#This Row],[2025 Cost (LCU)]])/FX_Rate, "")</f>
        <v>0</v>
      </c>
      <c r="AJ534" s="126">
        <f>SUM(TblDetailBudget[[#This Row],[2021 Cost (USD)]:[2025 Cost (USD)]])</f>
        <v>0</v>
      </c>
      <c r="AK534" s="180"/>
    </row>
    <row r="535" spans="2:37" ht="12.75" customHeight="1">
      <c r="B535" s="123"/>
      <c r="C53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35" s="85" t="str">
        <f>IF(TblDetailBudget[[#This Row],[Level]]="", "", COUNTIFS($B$8:TblDetailBudget[[#This Row],[Level]], Lvl1Hdr))</f>
        <v/>
      </c>
      <c r="E535" s="85" t="str">
        <f>IF(TblDetailBudget[[#This Row],[Level]]="", "", COUNTIFS($B$8:TblDetailBudget[[#This Row],[Level]], Lvl2Hdr, $D$8:TblDetailBudget[[#This Row],[Lvl 1 Header]], TblDetailBudget[[#This Row],[Lvl 1 Header]]))</f>
        <v/>
      </c>
      <c r="F53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3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3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35" s="164"/>
      <c r="J535" s="164"/>
      <c r="K535" s="165"/>
      <c r="L535" s="165"/>
      <c r="M535" s="85" t="str">
        <f>IF(TblDetailBudget[[#This Row],[Level]]=LvlBottomHdr, IFERROR(INDEX(TblUnitCost[Unit], MATCH(TblDetailBudget[[#This Row],[Row Title]], TblUnitCost[Resource], 0)), "Invalid Resource"), "")</f>
        <v/>
      </c>
      <c r="N535" s="126" t="str">
        <f>IF(TblDetailBudget[[#This Row],[Level]]=LvlBottomHdr, IFERROR(INDEX(TblUnitCost[LCU], MATCH(TblDetailBudget[[#This Row],[Row Title]], TblUnitCost[Resource], 0)), "Invalid Resource"), "")</f>
        <v/>
      </c>
      <c r="O535" s="130"/>
      <c r="P535" s="109"/>
      <c r="Q535" s="186"/>
      <c r="R535" s="131"/>
      <c r="S535" s="109" t="s">
        <v>66</v>
      </c>
      <c r="T535" s="109" t="s">
        <v>66</v>
      </c>
      <c r="U535" s="109" t="s">
        <v>66</v>
      </c>
      <c r="V535" s="109" t="s">
        <v>66</v>
      </c>
      <c r="W535" s="109" t="s">
        <v>66</v>
      </c>
      <c r="X535" s="126" t="str">
        <f>IF(TblDetailBudget[[#This Row],[Level]]=LvlBottomHdr, IF(SUM(TblDetailBudget[[#This Row],[2021 Quant]:[2025 Quant]])&gt;0, SUM(TblDetailBudget[[#This Row],[2021 Quant]:[2025 Quant]]), ""), "")</f>
        <v/>
      </c>
      <c r="Y53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3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3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3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3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35" s="142">
        <f>SUM(TblDetailBudget[[#This Row],[2021 Cost (LCU)]:[2025 Cost (LCU)]])</f>
        <v>0</v>
      </c>
      <c r="AE535" s="135">
        <f>IFERROR(SUM(TblDetailBudget[[#This Row],[2021 Cost (LCU)]])/FX_Rate, "")</f>
        <v>0</v>
      </c>
      <c r="AF535" s="86">
        <f>IFERROR(SUM(TblDetailBudget[[#This Row],[2022 Cost (LCU)]])/FX_Rate, "")</f>
        <v>0</v>
      </c>
      <c r="AG535" s="86">
        <f>IFERROR(SUM(TblDetailBudget[[#This Row],[2023 Cost (LCU)]])/FX_Rate, "")</f>
        <v>0</v>
      </c>
      <c r="AH535" s="86">
        <f>IFERROR(SUM(TblDetailBudget[[#This Row],[2024 Cost (LCU)]])/FX_Rate, "")</f>
        <v>0</v>
      </c>
      <c r="AI535" s="86">
        <f>IFERROR(SUM(TblDetailBudget[[#This Row],[2025 Cost (LCU)]])/FX_Rate, "")</f>
        <v>0</v>
      </c>
      <c r="AJ535" s="126">
        <f>SUM(TblDetailBudget[[#This Row],[2021 Cost (USD)]:[2025 Cost (USD)]])</f>
        <v>0</v>
      </c>
      <c r="AK535" s="180"/>
    </row>
    <row r="536" spans="2:37" ht="12.75" customHeight="1">
      <c r="B536" s="123"/>
      <c r="C53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36" s="85" t="str">
        <f>IF(TblDetailBudget[[#This Row],[Level]]="", "", COUNTIFS($B$8:TblDetailBudget[[#This Row],[Level]], Lvl1Hdr))</f>
        <v/>
      </c>
      <c r="E536" s="85" t="str">
        <f>IF(TblDetailBudget[[#This Row],[Level]]="", "", COUNTIFS($B$8:TblDetailBudget[[#This Row],[Level]], Lvl2Hdr, $D$8:TblDetailBudget[[#This Row],[Lvl 1 Header]], TblDetailBudget[[#This Row],[Lvl 1 Header]]))</f>
        <v/>
      </c>
      <c r="F53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3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3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36" s="164"/>
      <c r="J536" s="164"/>
      <c r="K536" s="165"/>
      <c r="L536" s="165"/>
      <c r="M536" s="85" t="str">
        <f>IF(TblDetailBudget[[#This Row],[Level]]=LvlBottomHdr, IFERROR(INDEX(TblUnitCost[Unit], MATCH(TblDetailBudget[[#This Row],[Row Title]], TblUnitCost[Resource], 0)), "Invalid Resource"), "")</f>
        <v/>
      </c>
      <c r="N536" s="126" t="str">
        <f>IF(TblDetailBudget[[#This Row],[Level]]=LvlBottomHdr, IFERROR(INDEX(TblUnitCost[LCU], MATCH(TblDetailBudget[[#This Row],[Row Title]], TblUnitCost[Resource], 0)), "Invalid Resource"), "")</f>
        <v/>
      </c>
      <c r="O536" s="130"/>
      <c r="P536" s="109"/>
      <c r="Q536" s="186"/>
      <c r="R536" s="131"/>
      <c r="S536" s="109" t="s">
        <v>66</v>
      </c>
      <c r="T536" s="109" t="s">
        <v>66</v>
      </c>
      <c r="U536" s="109" t="s">
        <v>66</v>
      </c>
      <c r="V536" s="109" t="s">
        <v>66</v>
      </c>
      <c r="W536" s="109" t="s">
        <v>66</v>
      </c>
      <c r="X536" s="126" t="str">
        <f>IF(TblDetailBudget[[#This Row],[Level]]=LvlBottomHdr, IF(SUM(TblDetailBudget[[#This Row],[2021 Quant]:[2025 Quant]])&gt;0, SUM(TblDetailBudget[[#This Row],[2021 Quant]:[2025 Quant]]), ""), "")</f>
        <v/>
      </c>
      <c r="Y53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3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3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3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3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36" s="142">
        <f>SUM(TblDetailBudget[[#This Row],[2021 Cost (LCU)]:[2025 Cost (LCU)]])</f>
        <v>0</v>
      </c>
      <c r="AE536" s="135">
        <f>IFERROR(SUM(TblDetailBudget[[#This Row],[2021 Cost (LCU)]])/FX_Rate, "")</f>
        <v>0</v>
      </c>
      <c r="AF536" s="86">
        <f>IFERROR(SUM(TblDetailBudget[[#This Row],[2022 Cost (LCU)]])/FX_Rate, "")</f>
        <v>0</v>
      </c>
      <c r="AG536" s="86">
        <f>IFERROR(SUM(TblDetailBudget[[#This Row],[2023 Cost (LCU)]])/FX_Rate, "")</f>
        <v>0</v>
      </c>
      <c r="AH536" s="86">
        <f>IFERROR(SUM(TblDetailBudget[[#This Row],[2024 Cost (LCU)]])/FX_Rate, "")</f>
        <v>0</v>
      </c>
      <c r="AI536" s="86">
        <f>IFERROR(SUM(TblDetailBudget[[#This Row],[2025 Cost (LCU)]])/FX_Rate, "")</f>
        <v>0</v>
      </c>
      <c r="AJ536" s="126">
        <f>SUM(TblDetailBudget[[#This Row],[2021 Cost (USD)]:[2025 Cost (USD)]])</f>
        <v>0</v>
      </c>
      <c r="AK536" s="180"/>
    </row>
    <row r="537" spans="2:37" ht="12.75" customHeight="1">
      <c r="B537" s="123"/>
      <c r="C53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37" s="85" t="str">
        <f>IF(TblDetailBudget[[#This Row],[Level]]="", "", COUNTIFS($B$8:TblDetailBudget[[#This Row],[Level]], Lvl1Hdr))</f>
        <v/>
      </c>
      <c r="E537" s="85" t="str">
        <f>IF(TblDetailBudget[[#This Row],[Level]]="", "", COUNTIFS($B$8:TblDetailBudget[[#This Row],[Level]], Lvl2Hdr, $D$8:TblDetailBudget[[#This Row],[Lvl 1 Header]], TblDetailBudget[[#This Row],[Lvl 1 Header]]))</f>
        <v/>
      </c>
      <c r="F53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3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3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37" s="164"/>
      <c r="J537" s="164"/>
      <c r="K537" s="165"/>
      <c r="L537" s="165"/>
      <c r="M537" s="85" t="str">
        <f>IF(TblDetailBudget[[#This Row],[Level]]=LvlBottomHdr, IFERROR(INDEX(TblUnitCost[Unit], MATCH(TblDetailBudget[[#This Row],[Row Title]], TblUnitCost[Resource], 0)), "Invalid Resource"), "")</f>
        <v/>
      </c>
      <c r="N537" s="126" t="str">
        <f>IF(TblDetailBudget[[#This Row],[Level]]=LvlBottomHdr, IFERROR(INDEX(TblUnitCost[LCU], MATCH(TblDetailBudget[[#This Row],[Row Title]], TblUnitCost[Resource], 0)), "Invalid Resource"), "")</f>
        <v/>
      </c>
      <c r="O537" s="130"/>
      <c r="P537" s="109"/>
      <c r="Q537" s="186"/>
      <c r="R537" s="131"/>
      <c r="S537" s="109" t="s">
        <v>66</v>
      </c>
      <c r="T537" s="109" t="s">
        <v>66</v>
      </c>
      <c r="U537" s="109" t="s">
        <v>66</v>
      </c>
      <c r="V537" s="109" t="s">
        <v>66</v>
      </c>
      <c r="W537" s="109" t="s">
        <v>66</v>
      </c>
      <c r="X537" s="126" t="str">
        <f>IF(TblDetailBudget[[#This Row],[Level]]=LvlBottomHdr, IF(SUM(TblDetailBudget[[#This Row],[2021 Quant]:[2025 Quant]])&gt;0, SUM(TblDetailBudget[[#This Row],[2021 Quant]:[2025 Quant]]), ""), "")</f>
        <v/>
      </c>
      <c r="Y53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3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3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3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3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37" s="142">
        <f>SUM(TblDetailBudget[[#This Row],[2021 Cost (LCU)]:[2025 Cost (LCU)]])</f>
        <v>0</v>
      </c>
      <c r="AE537" s="135">
        <f>IFERROR(SUM(TblDetailBudget[[#This Row],[2021 Cost (LCU)]])/FX_Rate, "")</f>
        <v>0</v>
      </c>
      <c r="AF537" s="86">
        <f>IFERROR(SUM(TblDetailBudget[[#This Row],[2022 Cost (LCU)]])/FX_Rate, "")</f>
        <v>0</v>
      </c>
      <c r="AG537" s="86">
        <f>IFERROR(SUM(TblDetailBudget[[#This Row],[2023 Cost (LCU)]])/FX_Rate, "")</f>
        <v>0</v>
      </c>
      <c r="AH537" s="86">
        <f>IFERROR(SUM(TblDetailBudget[[#This Row],[2024 Cost (LCU)]])/FX_Rate, "")</f>
        <v>0</v>
      </c>
      <c r="AI537" s="86">
        <f>IFERROR(SUM(TblDetailBudget[[#This Row],[2025 Cost (LCU)]])/FX_Rate, "")</f>
        <v>0</v>
      </c>
      <c r="AJ537" s="126">
        <f>SUM(TblDetailBudget[[#This Row],[2021 Cost (USD)]:[2025 Cost (USD)]])</f>
        <v>0</v>
      </c>
      <c r="AK537" s="180"/>
    </row>
    <row r="538" spans="2:37" ht="12.75" customHeight="1">
      <c r="B538" s="123"/>
      <c r="C53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38" s="85" t="str">
        <f>IF(TblDetailBudget[[#This Row],[Level]]="", "", COUNTIFS($B$8:TblDetailBudget[[#This Row],[Level]], Lvl1Hdr))</f>
        <v/>
      </c>
      <c r="E538" s="85" t="str">
        <f>IF(TblDetailBudget[[#This Row],[Level]]="", "", COUNTIFS($B$8:TblDetailBudget[[#This Row],[Level]], Lvl2Hdr, $D$8:TblDetailBudget[[#This Row],[Lvl 1 Header]], TblDetailBudget[[#This Row],[Lvl 1 Header]]))</f>
        <v/>
      </c>
      <c r="F53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3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3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38" s="164"/>
      <c r="J538" s="164"/>
      <c r="K538" s="165"/>
      <c r="L538" s="165"/>
      <c r="M538" s="85" t="str">
        <f>IF(TblDetailBudget[[#This Row],[Level]]=LvlBottomHdr, IFERROR(INDEX(TblUnitCost[Unit], MATCH(TblDetailBudget[[#This Row],[Row Title]], TblUnitCost[Resource], 0)), "Invalid Resource"), "")</f>
        <v/>
      </c>
      <c r="N538" s="126" t="str">
        <f>IF(TblDetailBudget[[#This Row],[Level]]=LvlBottomHdr, IFERROR(INDEX(TblUnitCost[LCU], MATCH(TblDetailBudget[[#This Row],[Row Title]], TblUnitCost[Resource], 0)), "Invalid Resource"), "")</f>
        <v/>
      </c>
      <c r="O538" s="130"/>
      <c r="P538" s="109"/>
      <c r="Q538" s="186"/>
      <c r="R538" s="131"/>
      <c r="S538" s="109" t="s">
        <v>66</v>
      </c>
      <c r="T538" s="109" t="s">
        <v>66</v>
      </c>
      <c r="U538" s="109" t="s">
        <v>66</v>
      </c>
      <c r="V538" s="109" t="s">
        <v>66</v>
      </c>
      <c r="W538" s="109" t="s">
        <v>66</v>
      </c>
      <c r="X538" s="126" t="str">
        <f>IF(TblDetailBudget[[#This Row],[Level]]=LvlBottomHdr, IF(SUM(TblDetailBudget[[#This Row],[2021 Quant]:[2025 Quant]])&gt;0, SUM(TblDetailBudget[[#This Row],[2021 Quant]:[2025 Quant]]), ""), "")</f>
        <v/>
      </c>
      <c r="Y53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3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3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3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3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38" s="142">
        <f>SUM(TblDetailBudget[[#This Row],[2021 Cost (LCU)]:[2025 Cost (LCU)]])</f>
        <v>0</v>
      </c>
      <c r="AE538" s="135">
        <f>IFERROR(SUM(TblDetailBudget[[#This Row],[2021 Cost (LCU)]])/FX_Rate, "")</f>
        <v>0</v>
      </c>
      <c r="AF538" s="86">
        <f>IFERROR(SUM(TblDetailBudget[[#This Row],[2022 Cost (LCU)]])/FX_Rate, "")</f>
        <v>0</v>
      </c>
      <c r="AG538" s="86">
        <f>IFERROR(SUM(TblDetailBudget[[#This Row],[2023 Cost (LCU)]])/FX_Rate, "")</f>
        <v>0</v>
      </c>
      <c r="AH538" s="86">
        <f>IFERROR(SUM(TblDetailBudget[[#This Row],[2024 Cost (LCU)]])/FX_Rate, "")</f>
        <v>0</v>
      </c>
      <c r="AI538" s="86">
        <f>IFERROR(SUM(TblDetailBudget[[#This Row],[2025 Cost (LCU)]])/FX_Rate, "")</f>
        <v>0</v>
      </c>
      <c r="AJ538" s="126">
        <f>SUM(TblDetailBudget[[#This Row],[2021 Cost (USD)]:[2025 Cost (USD)]])</f>
        <v>0</v>
      </c>
      <c r="AK538" s="180"/>
    </row>
    <row r="539" spans="2:37" ht="12.75" customHeight="1">
      <c r="B539" s="123"/>
      <c r="C53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39" s="85" t="str">
        <f>IF(TblDetailBudget[[#This Row],[Level]]="", "", COUNTIFS($B$8:TblDetailBudget[[#This Row],[Level]], Lvl1Hdr))</f>
        <v/>
      </c>
      <c r="E539" s="85" t="str">
        <f>IF(TblDetailBudget[[#This Row],[Level]]="", "", COUNTIFS($B$8:TblDetailBudget[[#This Row],[Level]], Lvl2Hdr, $D$8:TblDetailBudget[[#This Row],[Lvl 1 Header]], TblDetailBudget[[#This Row],[Lvl 1 Header]]))</f>
        <v/>
      </c>
      <c r="F53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3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3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39" s="164"/>
      <c r="J539" s="164"/>
      <c r="K539" s="165"/>
      <c r="L539" s="165"/>
      <c r="M539" s="85" t="str">
        <f>IF(TblDetailBudget[[#This Row],[Level]]=LvlBottomHdr, IFERROR(INDEX(TblUnitCost[Unit], MATCH(TblDetailBudget[[#This Row],[Row Title]], TblUnitCost[Resource], 0)), "Invalid Resource"), "")</f>
        <v/>
      </c>
      <c r="N539" s="126" t="str">
        <f>IF(TblDetailBudget[[#This Row],[Level]]=LvlBottomHdr, IFERROR(INDEX(TblUnitCost[LCU], MATCH(TblDetailBudget[[#This Row],[Row Title]], TblUnitCost[Resource], 0)), "Invalid Resource"), "")</f>
        <v/>
      </c>
      <c r="O539" s="130"/>
      <c r="P539" s="109"/>
      <c r="Q539" s="186"/>
      <c r="R539" s="131"/>
      <c r="S539" s="109" t="s">
        <v>66</v>
      </c>
      <c r="T539" s="109" t="s">
        <v>66</v>
      </c>
      <c r="U539" s="109" t="s">
        <v>66</v>
      </c>
      <c r="V539" s="109" t="s">
        <v>66</v>
      </c>
      <c r="W539" s="109" t="s">
        <v>66</v>
      </c>
      <c r="X539" s="126" t="str">
        <f>IF(TblDetailBudget[[#This Row],[Level]]=LvlBottomHdr, IF(SUM(TblDetailBudget[[#This Row],[2021 Quant]:[2025 Quant]])&gt;0, SUM(TblDetailBudget[[#This Row],[2021 Quant]:[2025 Quant]]), ""), "")</f>
        <v/>
      </c>
      <c r="Y53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3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3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3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3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39" s="142">
        <f>SUM(TblDetailBudget[[#This Row],[2021 Cost (LCU)]:[2025 Cost (LCU)]])</f>
        <v>0</v>
      </c>
      <c r="AE539" s="135">
        <f>IFERROR(SUM(TblDetailBudget[[#This Row],[2021 Cost (LCU)]])/FX_Rate, "")</f>
        <v>0</v>
      </c>
      <c r="AF539" s="86">
        <f>IFERROR(SUM(TblDetailBudget[[#This Row],[2022 Cost (LCU)]])/FX_Rate, "")</f>
        <v>0</v>
      </c>
      <c r="AG539" s="86">
        <f>IFERROR(SUM(TblDetailBudget[[#This Row],[2023 Cost (LCU)]])/FX_Rate, "")</f>
        <v>0</v>
      </c>
      <c r="AH539" s="86">
        <f>IFERROR(SUM(TblDetailBudget[[#This Row],[2024 Cost (LCU)]])/FX_Rate, "")</f>
        <v>0</v>
      </c>
      <c r="AI539" s="86">
        <f>IFERROR(SUM(TblDetailBudget[[#This Row],[2025 Cost (LCU)]])/FX_Rate, "")</f>
        <v>0</v>
      </c>
      <c r="AJ539" s="126">
        <f>SUM(TblDetailBudget[[#This Row],[2021 Cost (USD)]:[2025 Cost (USD)]])</f>
        <v>0</v>
      </c>
      <c r="AK539" s="180"/>
    </row>
    <row r="540" spans="2:37" ht="12.75" customHeight="1">
      <c r="B540" s="123"/>
      <c r="C54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40" s="85" t="str">
        <f>IF(TblDetailBudget[[#This Row],[Level]]="", "", COUNTIFS($B$8:TblDetailBudget[[#This Row],[Level]], Lvl1Hdr))</f>
        <v/>
      </c>
      <c r="E540" s="85" t="str">
        <f>IF(TblDetailBudget[[#This Row],[Level]]="", "", COUNTIFS($B$8:TblDetailBudget[[#This Row],[Level]], Lvl2Hdr, $D$8:TblDetailBudget[[#This Row],[Lvl 1 Header]], TblDetailBudget[[#This Row],[Lvl 1 Header]]))</f>
        <v/>
      </c>
      <c r="F54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4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4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40" s="164"/>
      <c r="J540" s="164"/>
      <c r="K540" s="165"/>
      <c r="L540" s="165"/>
      <c r="M540" s="85" t="str">
        <f>IF(TblDetailBudget[[#This Row],[Level]]=LvlBottomHdr, IFERROR(INDEX(TblUnitCost[Unit], MATCH(TblDetailBudget[[#This Row],[Row Title]], TblUnitCost[Resource], 0)), "Invalid Resource"), "")</f>
        <v/>
      </c>
      <c r="N540" s="126" t="str">
        <f>IF(TblDetailBudget[[#This Row],[Level]]=LvlBottomHdr, IFERROR(INDEX(TblUnitCost[LCU], MATCH(TblDetailBudget[[#This Row],[Row Title]], TblUnitCost[Resource], 0)), "Invalid Resource"), "")</f>
        <v/>
      </c>
      <c r="O540" s="130"/>
      <c r="P540" s="109"/>
      <c r="Q540" s="186"/>
      <c r="R540" s="131"/>
      <c r="S540" s="109" t="s">
        <v>66</v>
      </c>
      <c r="T540" s="109" t="s">
        <v>66</v>
      </c>
      <c r="U540" s="109" t="s">
        <v>66</v>
      </c>
      <c r="V540" s="109" t="s">
        <v>66</v>
      </c>
      <c r="W540" s="109" t="s">
        <v>66</v>
      </c>
      <c r="X540" s="126" t="str">
        <f>IF(TblDetailBudget[[#This Row],[Level]]=LvlBottomHdr, IF(SUM(TblDetailBudget[[#This Row],[2021 Quant]:[2025 Quant]])&gt;0, SUM(TblDetailBudget[[#This Row],[2021 Quant]:[2025 Quant]]), ""), "")</f>
        <v/>
      </c>
      <c r="Y54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4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4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4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4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40" s="142">
        <f>SUM(TblDetailBudget[[#This Row],[2021 Cost (LCU)]:[2025 Cost (LCU)]])</f>
        <v>0</v>
      </c>
      <c r="AE540" s="135">
        <f>IFERROR(SUM(TblDetailBudget[[#This Row],[2021 Cost (LCU)]])/FX_Rate, "")</f>
        <v>0</v>
      </c>
      <c r="AF540" s="86">
        <f>IFERROR(SUM(TblDetailBudget[[#This Row],[2022 Cost (LCU)]])/FX_Rate, "")</f>
        <v>0</v>
      </c>
      <c r="AG540" s="86">
        <f>IFERROR(SUM(TblDetailBudget[[#This Row],[2023 Cost (LCU)]])/FX_Rate, "")</f>
        <v>0</v>
      </c>
      <c r="AH540" s="86">
        <f>IFERROR(SUM(TblDetailBudget[[#This Row],[2024 Cost (LCU)]])/FX_Rate, "")</f>
        <v>0</v>
      </c>
      <c r="AI540" s="86">
        <f>IFERROR(SUM(TblDetailBudget[[#This Row],[2025 Cost (LCU)]])/FX_Rate, "")</f>
        <v>0</v>
      </c>
      <c r="AJ540" s="126">
        <f>SUM(TblDetailBudget[[#This Row],[2021 Cost (USD)]:[2025 Cost (USD)]])</f>
        <v>0</v>
      </c>
      <c r="AK540" s="180"/>
    </row>
    <row r="541" spans="2:37" ht="12.75" customHeight="1">
      <c r="B541" s="123"/>
      <c r="C54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41" s="85" t="str">
        <f>IF(TblDetailBudget[[#This Row],[Level]]="", "", COUNTIFS($B$8:TblDetailBudget[[#This Row],[Level]], Lvl1Hdr))</f>
        <v/>
      </c>
      <c r="E541" s="85" t="str">
        <f>IF(TblDetailBudget[[#This Row],[Level]]="", "", COUNTIFS($B$8:TblDetailBudget[[#This Row],[Level]], Lvl2Hdr, $D$8:TblDetailBudget[[#This Row],[Lvl 1 Header]], TblDetailBudget[[#This Row],[Lvl 1 Header]]))</f>
        <v/>
      </c>
      <c r="F54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4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4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41" s="164"/>
      <c r="J541" s="164"/>
      <c r="K541" s="165"/>
      <c r="L541" s="165"/>
      <c r="M541" s="85" t="str">
        <f>IF(TblDetailBudget[[#This Row],[Level]]=LvlBottomHdr, IFERROR(INDEX(TblUnitCost[Unit], MATCH(TblDetailBudget[[#This Row],[Row Title]], TblUnitCost[Resource], 0)), "Invalid Resource"), "")</f>
        <v/>
      </c>
      <c r="N541" s="126" t="str">
        <f>IF(TblDetailBudget[[#This Row],[Level]]=LvlBottomHdr, IFERROR(INDEX(TblUnitCost[LCU], MATCH(TblDetailBudget[[#This Row],[Row Title]], TblUnitCost[Resource], 0)), "Invalid Resource"), "")</f>
        <v/>
      </c>
      <c r="O541" s="130"/>
      <c r="P541" s="109"/>
      <c r="Q541" s="186"/>
      <c r="R541" s="131"/>
      <c r="S541" s="109" t="s">
        <v>66</v>
      </c>
      <c r="T541" s="109" t="s">
        <v>66</v>
      </c>
      <c r="U541" s="109" t="s">
        <v>66</v>
      </c>
      <c r="V541" s="109" t="s">
        <v>66</v>
      </c>
      <c r="W541" s="109" t="s">
        <v>66</v>
      </c>
      <c r="X541" s="126" t="str">
        <f>IF(TblDetailBudget[[#This Row],[Level]]=LvlBottomHdr, IF(SUM(TblDetailBudget[[#This Row],[2021 Quant]:[2025 Quant]])&gt;0, SUM(TblDetailBudget[[#This Row],[2021 Quant]:[2025 Quant]]), ""), "")</f>
        <v/>
      </c>
      <c r="Y54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4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4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4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4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41" s="142">
        <f>SUM(TblDetailBudget[[#This Row],[2021 Cost (LCU)]:[2025 Cost (LCU)]])</f>
        <v>0</v>
      </c>
      <c r="AE541" s="135">
        <f>IFERROR(SUM(TblDetailBudget[[#This Row],[2021 Cost (LCU)]])/FX_Rate, "")</f>
        <v>0</v>
      </c>
      <c r="AF541" s="86">
        <f>IFERROR(SUM(TblDetailBudget[[#This Row],[2022 Cost (LCU)]])/FX_Rate, "")</f>
        <v>0</v>
      </c>
      <c r="AG541" s="86">
        <f>IFERROR(SUM(TblDetailBudget[[#This Row],[2023 Cost (LCU)]])/FX_Rate, "")</f>
        <v>0</v>
      </c>
      <c r="AH541" s="86">
        <f>IFERROR(SUM(TblDetailBudget[[#This Row],[2024 Cost (LCU)]])/FX_Rate, "")</f>
        <v>0</v>
      </c>
      <c r="AI541" s="86">
        <f>IFERROR(SUM(TblDetailBudget[[#This Row],[2025 Cost (LCU)]])/FX_Rate, "")</f>
        <v>0</v>
      </c>
      <c r="AJ541" s="126">
        <f>SUM(TblDetailBudget[[#This Row],[2021 Cost (USD)]:[2025 Cost (USD)]])</f>
        <v>0</v>
      </c>
      <c r="AK541" s="180"/>
    </row>
    <row r="542" spans="2:37" ht="12.75" customHeight="1">
      <c r="B542" s="123"/>
      <c r="C54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42" s="85" t="str">
        <f>IF(TblDetailBudget[[#This Row],[Level]]="", "", COUNTIFS($B$8:TblDetailBudget[[#This Row],[Level]], Lvl1Hdr))</f>
        <v/>
      </c>
      <c r="E542" s="85" t="str">
        <f>IF(TblDetailBudget[[#This Row],[Level]]="", "", COUNTIFS($B$8:TblDetailBudget[[#This Row],[Level]], Lvl2Hdr, $D$8:TblDetailBudget[[#This Row],[Lvl 1 Header]], TblDetailBudget[[#This Row],[Lvl 1 Header]]))</f>
        <v/>
      </c>
      <c r="F54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4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4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42" s="164"/>
      <c r="J542" s="164"/>
      <c r="K542" s="165"/>
      <c r="L542" s="165"/>
      <c r="M542" s="85" t="str">
        <f>IF(TblDetailBudget[[#This Row],[Level]]=LvlBottomHdr, IFERROR(INDEX(TblUnitCost[Unit], MATCH(TblDetailBudget[[#This Row],[Row Title]], TblUnitCost[Resource], 0)), "Invalid Resource"), "")</f>
        <v/>
      </c>
      <c r="N542" s="126" t="str">
        <f>IF(TblDetailBudget[[#This Row],[Level]]=LvlBottomHdr, IFERROR(INDEX(TblUnitCost[LCU], MATCH(TblDetailBudget[[#This Row],[Row Title]], TblUnitCost[Resource], 0)), "Invalid Resource"), "")</f>
        <v/>
      </c>
      <c r="O542" s="130"/>
      <c r="P542" s="109"/>
      <c r="Q542" s="186"/>
      <c r="R542" s="131"/>
      <c r="S542" s="109" t="s">
        <v>66</v>
      </c>
      <c r="T542" s="109" t="s">
        <v>66</v>
      </c>
      <c r="U542" s="109" t="s">
        <v>66</v>
      </c>
      <c r="V542" s="109" t="s">
        <v>66</v>
      </c>
      <c r="W542" s="109" t="s">
        <v>66</v>
      </c>
      <c r="X542" s="126" t="str">
        <f>IF(TblDetailBudget[[#This Row],[Level]]=LvlBottomHdr, IF(SUM(TblDetailBudget[[#This Row],[2021 Quant]:[2025 Quant]])&gt;0, SUM(TblDetailBudget[[#This Row],[2021 Quant]:[2025 Quant]]), ""), "")</f>
        <v/>
      </c>
      <c r="Y54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4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4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4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4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42" s="142">
        <f>SUM(TblDetailBudget[[#This Row],[2021 Cost (LCU)]:[2025 Cost (LCU)]])</f>
        <v>0</v>
      </c>
      <c r="AE542" s="135">
        <f>IFERROR(SUM(TblDetailBudget[[#This Row],[2021 Cost (LCU)]])/FX_Rate, "")</f>
        <v>0</v>
      </c>
      <c r="AF542" s="86">
        <f>IFERROR(SUM(TblDetailBudget[[#This Row],[2022 Cost (LCU)]])/FX_Rate, "")</f>
        <v>0</v>
      </c>
      <c r="AG542" s="86">
        <f>IFERROR(SUM(TblDetailBudget[[#This Row],[2023 Cost (LCU)]])/FX_Rate, "")</f>
        <v>0</v>
      </c>
      <c r="AH542" s="86">
        <f>IFERROR(SUM(TblDetailBudget[[#This Row],[2024 Cost (LCU)]])/FX_Rate, "")</f>
        <v>0</v>
      </c>
      <c r="AI542" s="86">
        <f>IFERROR(SUM(TblDetailBudget[[#This Row],[2025 Cost (LCU)]])/FX_Rate, "")</f>
        <v>0</v>
      </c>
      <c r="AJ542" s="126">
        <f>SUM(TblDetailBudget[[#This Row],[2021 Cost (USD)]:[2025 Cost (USD)]])</f>
        <v>0</v>
      </c>
      <c r="AK542" s="180"/>
    </row>
    <row r="543" spans="2:37" ht="12.75" customHeight="1">
      <c r="B543" s="123"/>
      <c r="C54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43" s="85" t="str">
        <f>IF(TblDetailBudget[[#This Row],[Level]]="", "", COUNTIFS($B$8:TblDetailBudget[[#This Row],[Level]], Lvl1Hdr))</f>
        <v/>
      </c>
      <c r="E543" s="85" t="str">
        <f>IF(TblDetailBudget[[#This Row],[Level]]="", "", COUNTIFS($B$8:TblDetailBudget[[#This Row],[Level]], Lvl2Hdr, $D$8:TblDetailBudget[[#This Row],[Lvl 1 Header]], TblDetailBudget[[#This Row],[Lvl 1 Header]]))</f>
        <v/>
      </c>
      <c r="F54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4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4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43" s="164"/>
      <c r="J543" s="164"/>
      <c r="K543" s="165"/>
      <c r="L543" s="165"/>
      <c r="M543" s="85" t="str">
        <f>IF(TblDetailBudget[[#This Row],[Level]]=LvlBottomHdr, IFERROR(INDEX(TblUnitCost[Unit], MATCH(TblDetailBudget[[#This Row],[Row Title]], TblUnitCost[Resource], 0)), "Invalid Resource"), "")</f>
        <v/>
      </c>
      <c r="N543" s="126" t="str">
        <f>IF(TblDetailBudget[[#This Row],[Level]]=LvlBottomHdr, IFERROR(INDEX(TblUnitCost[LCU], MATCH(TblDetailBudget[[#This Row],[Row Title]], TblUnitCost[Resource], 0)), "Invalid Resource"), "")</f>
        <v/>
      </c>
      <c r="O543" s="130"/>
      <c r="P543" s="109"/>
      <c r="Q543" s="186"/>
      <c r="R543" s="131"/>
      <c r="S543" s="109" t="s">
        <v>66</v>
      </c>
      <c r="T543" s="109" t="s">
        <v>66</v>
      </c>
      <c r="U543" s="109" t="s">
        <v>66</v>
      </c>
      <c r="V543" s="109" t="s">
        <v>66</v>
      </c>
      <c r="W543" s="109" t="s">
        <v>66</v>
      </c>
      <c r="X543" s="126" t="str">
        <f>IF(TblDetailBudget[[#This Row],[Level]]=LvlBottomHdr, IF(SUM(TblDetailBudget[[#This Row],[2021 Quant]:[2025 Quant]])&gt;0, SUM(TblDetailBudget[[#This Row],[2021 Quant]:[2025 Quant]]), ""), "")</f>
        <v/>
      </c>
      <c r="Y54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4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4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4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4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43" s="142">
        <f>SUM(TblDetailBudget[[#This Row],[2021 Cost (LCU)]:[2025 Cost (LCU)]])</f>
        <v>0</v>
      </c>
      <c r="AE543" s="135">
        <f>IFERROR(SUM(TblDetailBudget[[#This Row],[2021 Cost (LCU)]])/FX_Rate, "")</f>
        <v>0</v>
      </c>
      <c r="AF543" s="86">
        <f>IFERROR(SUM(TblDetailBudget[[#This Row],[2022 Cost (LCU)]])/FX_Rate, "")</f>
        <v>0</v>
      </c>
      <c r="AG543" s="86">
        <f>IFERROR(SUM(TblDetailBudget[[#This Row],[2023 Cost (LCU)]])/FX_Rate, "")</f>
        <v>0</v>
      </c>
      <c r="AH543" s="86">
        <f>IFERROR(SUM(TblDetailBudget[[#This Row],[2024 Cost (LCU)]])/FX_Rate, "")</f>
        <v>0</v>
      </c>
      <c r="AI543" s="86">
        <f>IFERROR(SUM(TblDetailBudget[[#This Row],[2025 Cost (LCU)]])/FX_Rate, "")</f>
        <v>0</v>
      </c>
      <c r="AJ543" s="126">
        <f>SUM(TblDetailBudget[[#This Row],[2021 Cost (USD)]:[2025 Cost (USD)]])</f>
        <v>0</v>
      </c>
      <c r="AK543" s="180"/>
    </row>
    <row r="544" spans="2:37" ht="12.75" customHeight="1">
      <c r="B544" s="123"/>
      <c r="C54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44" s="85" t="str">
        <f>IF(TblDetailBudget[[#This Row],[Level]]="", "", COUNTIFS($B$8:TblDetailBudget[[#This Row],[Level]], Lvl1Hdr))</f>
        <v/>
      </c>
      <c r="E544" s="85" t="str">
        <f>IF(TblDetailBudget[[#This Row],[Level]]="", "", COUNTIFS($B$8:TblDetailBudget[[#This Row],[Level]], Lvl2Hdr, $D$8:TblDetailBudget[[#This Row],[Lvl 1 Header]], TblDetailBudget[[#This Row],[Lvl 1 Header]]))</f>
        <v/>
      </c>
      <c r="F54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4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4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44" s="164"/>
      <c r="J544" s="164"/>
      <c r="K544" s="165"/>
      <c r="L544" s="165"/>
      <c r="M544" s="85" t="str">
        <f>IF(TblDetailBudget[[#This Row],[Level]]=LvlBottomHdr, IFERROR(INDEX(TblUnitCost[Unit], MATCH(TblDetailBudget[[#This Row],[Row Title]], TblUnitCost[Resource], 0)), "Invalid Resource"), "")</f>
        <v/>
      </c>
      <c r="N544" s="126" t="str">
        <f>IF(TblDetailBudget[[#This Row],[Level]]=LvlBottomHdr, IFERROR(INDEX(TblUnitCost[LCU], MATCH(TblDetailBudget[[#This Row],[Row Title]], TblUnitCost[Resource], 0)), "Invalid Resource"), "")</f>
        <v/>
      </c>
      <c r="O544" s="130"/>
      <c r="P544" s="109"/>
      <c r="Q544" s="186"/>
      <c r="R544" s="131"/>
      <c r="S544" s="109" t="s">
        <v>66</v>
      </c>
      <c r="T544" s="109" t="s">
        <v>66</v>
      </c>
      <c r="U544" s="109" t="s">
        <v>66</v>
      </c>
      <c r="V544" s="109" t="s">
        <v>66</v>
      </c>
      <c r="W544" s="109" t="s">
        <v>66</v>
      </c>
      <c r="X544" s="126" t="str">
        <f>IF(TblDetailBudget[[#This Row],[Level]]=LvlBottomHdr, IF(SUM(TblDetailBudget[[#This Row],[2021 Quant]:[2025 Quant]])&gt;0, SUM(TblDetailBudget[[#This Row],[2021 Quant]:[2025 Quant]]), ""), "")</f>
        <v/>
      </c>
      <c r="Y54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4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4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4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4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44" s="142">
        <f>SUM(TblDetailBudget[[#This Row],[2021 Cost (LCU)]:[2025 Cost (LCU)]])</f>
        <v>0</v>
      </c>
      <c r="AE544" s="135">
        <f>IFERROR(SUM(TblDetailBudget[[#This Row],[2021 Cost (LCU)]])/FX_Rate, "")</f>
        <v>0</v>
      </c>
      <c r="AF544" s="86">
        <f>IFERROR(SUM(TblDetailBudget[[#This Row],[2022 Cost (LCU)]])/FX_Rate, "")</f>
        <v>0</v>
      </c>
      <c r="AG544" s="86">
        <f>IFERROR(SUM(TblDetailBudget[[#This Row],[2023 Cost (LCU)]])/FX_Rate, "")</f>
        <v>0</v>
      </c>
      <c r="AH544" s="86">
        <f>IFERROR(SUM(TblDetailBudget[[#This Row],[2024 Cost (LCU)]])/FX_Rate, "")</f>
        <v>0</v>
      </c>
      <c r="AI544" s="86">
        <f>IFERROR(SUM(TblDetailBudget[[#This Row],[2025 Cost (LCU)]])/FX_Rate, "")</f>
        <v>0</v>
      </c>
      <c r="AJ544" s="126">
        <f>SUM(TblDetailBudget[[#This Row],[2021 Cost (USD)]:[2025 Cost (USD)]])</f>
        <v>0</v>
      </c>
      <c r="AK544" s="180"/>
    </row>
    <row r="545" spans="2:37" ht="12.75" customHeight="1">
      <c r="B545" s="123"/>
      <c r="C54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45" s="85" t="str">
        <f>IF(TblDetailBudget[[#This Row],[Level]]="", "", COUNTIFS($B$8:TblDetailBudget[[#This Row],[Level]], Lvl1Hdr))</f>
        <v/>
      </c>
      <c r="E545" s="85" t="str">
        <f>IF(TblDetailBudget[[#This Row],[Level]]="", "", COUNTIFS($B$8:TblDetailBudget[[#This Row],[Level]], Lvl2Hdr, $D$8:TblDetailBudget[[#This Row],[Lvl 1 Header]], TblDetailBudget[[#This Row],[Lvl 1 Header]]))</f>
        <v/>
      </c>
      <c r="F54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4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4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45" s="164"/>
      <c r="J545" s="164"/>
      <c r="K545" s="165"/>
      <c r="L545" s="165"/>
      <c r="M545" s="85" t="str">
        <f>IF(TblDetailBudget[[#This Row],[Level]]=LvlBottomHdr, IFERROR(INDEX(TblUnitCost[Unit], MATCH(TblDetailBudget[[#This Row],[Row Title]], TblUnitCost[Resource], 0)), "Invalid Resource"), "")</f>
        <v/>
      </c>
      <c r="N545" s="126" t="str">
        <f>IF(TblDetailBudget[[#This Row],[Level]]=LvlBottomHdr, IFERROR(INDEX(TblUnitCost[LCU], MATCH(TblDetailBudget[[#This Row],[Row Title]], TblUnitCost[Resource], 0)), "Invalid Resource"), "")</f>
        <v/>
      </c>
      <c r="O545" s="130"/>
      <c r="P545" s="109"/>
      <c r="Q545" s="186"/>
      <c r="R545" s="131"/>
      <c r="S545" s="109" t="s">
        <v>66</v>
      </c>
      <c r="T545" s="109" t="s">
        <v>66</v>
      </c>
      <c r="U545" s="109" t="s">
        <v>66</v>
      </c>
      <c r="V545" s="109" t="s">
        <v>66</v>
      </c>
      <c r="W545" s="109" t="s">
        <v>66</v>
      </c>
      <c r="X545" s="126" t="str">
        <f>IF(TblDetailBudget[[#This Row],[Level]]=LvlBottomHdr, IF(SUM(TblDetailBudget[[#This Row],[2021 Quant]:[2025 Quant]])&gt;0, SUM(TblDetailBudget[[#This Row],[2021 Quant]:[2025 Quant]]), ""), "")</f>
        <v/>
      </c>
      <c r="Y54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4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4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4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4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45" s="142">
        <f>SUM(TblDetailBudget[[#This Row],[2021 Cost (LCU)]:[2025 Cost (LCU)]])</f>
        <v>0</v>
      </c>
      <c r="AE545" s="135">
        <f>IFERROR(SUM(TblDetailBudget[[#This Row],[2021 Cost (LCU)]])/FX_Rate, "")</f>
        <v>0</v>
      </c>
      <c r="AF545" s="86">
        <f>IFERROR(SUM(TblDetailBudget[[#This Row],[2022 Cost (LCU)]])/FX_Rate, "")</f>
        <v>0</v>
      </c>
      <c r="AG545" s="86">
        <f>IFERROR(SUM(TblDetailBudget[[#This Row],[2023 Cost (LCU)]])/FX_Rate, "")</f>
        <v>0</v>
      </c>
      <c r="AH545" s="86">
        <f>IFERROR(SUM(TblDetailBudget[[#This Row],[2024 Cost (LCU)]])/FX_Rate, "")</f>
        <v>0</v>
      </c>
      <c r="AI545" s="86">
        <f>IFERROR(SUM(TblDetailBudget[[#This Row],[2025 Cost (LCU)]])/FX_Rate, "")</f>
        <v>0</v>
      </c>
      <c r="AJ545" s="126">
        <f>SUM(TblDetailBudget[[#This Row],[2021 Cost (USD)]:[2025 Cost (USD)]])</f>
        <v>0</v>
      </c>
      <c r="AK545" s="180"/>
    </row>
    <row r="546" spans="2:37" ht="12.75" customHeight="1">
      <c r="B546" s="123"/>
      <c r="C54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46" s="85" t="str">
        <f>IF(TblDetailBudget[[#This Row],[Level]]="", "", COUNTIFS($B$8:TblDetailBudget[[#This Row],[Level]], Lvl1Hdr))</f>
        <v/>
      </c>
      <c r="E546" s="85" t="str">
        <f>IF(TblDetailBudget[[#This Row],[Level]]="", "", COUNTIFS($B$8:TblDetailBudget[[#This Row],[Level]], Lvl2Hdr, $D$8:TblDetailBudget[[#This Row],[Lvl 1 Header]], TblDetailBudget[[#This Row],[Lvl 1 Header]]))</f>
        <v/>
      </c>
      <c r="F54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4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4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46" s="164"/>
      <c r="J546" s="164"/>
      <c r="K546" s="165"/>
      <c r="L546" s="165"/>
      <c r="M546" s="85" t="str">
        <f>IF(TblDetailBudget[[#This Row],[Level]]=LvlBottomHdr, IFERROR(INDEX(TblUnitCost[Unit], MATCH(TblDetailBudget[[#This Row],[Row Title]], TblUnitCost[Resource], 0)), "Invalid Resource"), "")</f>
        <v/>
      </c>
      <c r="N546" s="126" t="str">
        <f>IF(TblDetailBudget[[#This Row],[Level]]=LvlBottomHdr, IFERROR(INDEX(TblUnitCost[LCU], MATCH(TblDetailBudget[[#This Row],[Row Title]], TblUnitCost[Resource], 0)), "Invalid Resource"), "")</f>
        <v/>
      </c>
      <c r="O546" s="130"/>
      <c r="P546" s="109"/>
      <c r="Q546" s="186"/>
      <c r="R546" s="131"/>
      <c r="S546" s="109" t="s">
        <v>66</v>
      </c>
      <c r="T546" s="109" t="s">
        <v>66</v>
      </c>
      <c r="U546" s="109" t="s">
        <v>66</v>
      </c>
      <c r="V546" s="109" t="s">
        <v>66</v>
      </c>
      <c r="W546" s="109" t="s">
        <v>66</v>
      </c>
      <c r="X546" s="126" t="str">
        <f>IF(TblDetailBudget[[#This Row],[Level]]=LvlBottomHdr, IF(SUM(TblDetailBudget[[#This Row],[2021 Quant]:[2025 Quant]])&gt;0, SUM(TblDetailBudget[[#This Row],[2021 Quant]:[2025 Quant]]), ""), "")</f>
        <v/>
      </c>
      <c r="Y54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4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4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4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4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46" s="142">
        <f>SUM(TblDetailBudget[[#This Row],[2021 Cost (LCU)]:[2025 Cost (LCU)]])</f>
        <v>0</v>
      </c>
      <c r="AE546" s="135">
        <f>IFERROR(SUM(TblDetailBudget[[#This Row],[2021 Cost (LCU)]])/FX_Rate, "")</f>
        <v>0</v>
      </c>
      <c r="AF546" s="86">
        <f>IFERROR(SUM(TblDetailBudget[[#This Row],[2022 Cost (LCU)]])/FX_Rate, "")</f>
        <v>0</v>
      </c>
      <c r="AG546" s="86">
        <f>IFERROR(SUM(TblDetailBudget[[#This Row],[2023 Cost (LCU)]])/FX_Rate, "")</f>
        <v>0</v>
      </c>
      <c r="AH546" s="86">
        <f>IFERROR(SUM(TblDetailBudget[[#This Row],[2024 Cost (LCU)]])/FX_Rate, "")</f>
        <v>0</v>
      </c>
      <c r="AI546" s="86">
        <f>IFERROR(SUM(TblDetailBudget[[#This Row],[2025 Cost (LCU)]])/FX_Rate, "")</f>
        <v>0</v>
      </c>
      <c r="AJ546" s="126">
        <f>SUM(TblDetailBudget[[#This Row],[2021 Cost (USD)]:[2025 Cost (USD)]])</f>
        <v>0</v>
      </c>
      <c r="AK546" s="180"/>
    </row>
    <row r="547" spans="2:37" ht="12.75" customHeight="1">
      <c r="B547" s="123"/>
      <c r="C54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47" s="85" t="str">
        <f>IF(TblDetailBudget[[#This Row],[Level]]="", "", COUNTIFS($B$8:TblDetailBudget[[#This Row],[Level]], Lvl1Hdr))</f>
        <v/>
      </c>
      <c r="E547" s="85" t="str">
        <f>IF(TblDetailBudget[[#This Row],[Level]]="", "", COUNTIFS($B$8:TblDetailBudget[[#This Row],[Level]], Lvl2Hdr, $D$8:TblDetailBudget[[#This Row],[Lvl 1 Header]], TblDetailBudget[[#This Row],[Lvl 1 Header]]))</f>
        <v/>
      </c>
      <c r="F54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4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4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47" s="164"/>
      <c r="J547" s="164"/>
      <c r="K547" s="165"/>
      <c r="L547" s="165"/>
      <c r="M547" s="85" t="str">
        <f>IF(TblDetailBudget[[#This Row],[Level]]=LvlBottomHdr, IFERROR(INDEX(TblUnitCost[Unit], MATCH(TblDetailBudget[[#This Row],[Row Title]], TblUnitCost[Resource], 0)), "Invalid Resource"), "")</f>
        <v/>
      </c>
      <c r="N547" s="126" t="str">
        <f>IF(TblDetailBudget[[#This Row],[Level]]=LvlBottomHdr, IFERROR(INDEX(TblUnitCost[LCU], MATCH(TblDetailBudget[[#This Row],[Row Title]], TblUnitCost[Resource], 0)), "Invalid Resource"), "")</f>
        <v/>
      </c>
      <c r="O547" s="130"/>
      <c r="P547" s="109"/>
      <c r="Q547" s="186"/>
      <c r="R547" s="131"/>
      <c r="S547" s="109" t="s">
        <v>66</v>
      </c>
      <c r="T547" s="109" t="s">
        <v>66</v>
      </c>
      <c r="U547" s="109" t="s">
        <v>66</v>
      </c>
      <c r="V547" s="109" t="s">
        <v>66</v>
      </c>
      <c r="W547" s="109" t="s">
        <v>66</v>
      </c>
      <c r="X547" s="126" t="str">
        <f>IF(TblDetailBudget[[#This Row],[Level]]=LvlBottomHdr, IF(SUM(TblDetailBudget[[#This Row],[2021 Quant]:[2025 Quant]])&gt;0, SUM(TblDetailBudget[[#This Row],[2021 Quant]:[2025 Quant]]), ""), "")</f>
        <v/>
      </c>
      <c r="Y54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4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4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4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4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47" s="142">
        <f>SUM(TblDetailBudget[[#This Row],[2021 Cost (LCU)]:[2025 Cost (LCU)]])</f>
        <v>0</v>
      </c>
      <c r="AE547" s="135">
        <f>IFERROR(SUM(TblDetailBudget[[#This Row],[2021 Cost (LCU)]])/FX_Rate, "")</f>
        <v>0</v>
      </c>
      <c r="AF547" s="86">
        <f>IFERROR(SUM(TblDetailBudget[[#This Row],[2022 Cost (LCU)]])/FX_Rate, "")</f>
        <v>0</v>
      </c>
      <c r="AG547" s="86">
        <f>IFERROR(SUM(TblDetailBudget[[#This Row],[2023 Cost (LCU)]])/FX_Rate, "")</f>
        <v>0</v>
      </c>
      <c r="AH547" s="86">
        <f>IFERROR(SUM(TblDetailBudget[[#This Row],[2024 Cost (LCU)]])/FX_Rate, "")</f>
        <v>0</v>
      </c>
      <c r="AI547" s="86">
        <f>IFERROR(SUM(TblDetailBudget[[#This Row],[2025 Cost (LCU)]])/FX_Rate, "")</f>
        <v>0</v>
      </c>
      <c r="AJ547" s="126">
        <f>SUM(TblDetailBudget[[#This Row],[2021 Cost (USD)]:[2025 Cost (USD)]])</f>
        <v>0</v>
      </c>
      <c r="AK547" s="180"/>
    </row>
    <row r="548" spans="2:37" ht="12.75" customHeight="1">
      <c r="B548" s="123"/>
      <c r="C54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48" s="85" t="str">
        <f>IF(TblDetailBudget[[#This Row],[Level]]="", "", COUNTIFS($B$8:TblDetailBudget[[#This Row],[Level]], Lvl1Hdr))</f>
        <v/>
      </c>
      <c r="E548" s="85" t="str">
        <f>IF(TblDetailBudget[[#This Row],[Level]]="", "", COUNTIFS($B$8:TblDetailBudget[[#This Row],[Level]], Lvl2Hdr, $D$8:TblDetailBudget[[#This Row],[Lvl 1 Header]], TblDetailBudget[[#This Row],[Lvl 1 Header]]))</f>
        <v/>
      </c>
      <c r="F54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4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4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48" s="164"/>
      <c r="J548" s="164"/>
      <c r="K548" s="165"/>
      <c r="L548" s="165"/>
      <c r="M548" s="85" t="str">
        <f>IF(TblDetailBudget[[#This Row],[Level]]=LvlBottomHdr, IFERROR(INDEX(TblUnitCost[Unit], MATCH(TblDetailBudget[[#This Row],[Row Title]], TblUnitCost[Resource], 0)), "Invalid Resource"), "")</f>
        <v/>
      </c>
      <c r="N548" s="126" t="str">
        <f>IF(TblDetailBudget[[#This Row],[Level]]=LvlBottomHdr, IFERROR(INDEX(TblUnitCost[LCU], MATCH(TblDetailBudget[[#This Row],[Row Title]], TblUnitCost[Resource], 0)), "Invalid Resource"), "")</f>
        <v/>
      </c>
      <c r="O548" s="130"/>
      <c r="P548" s="109"/>
      <c r="Q548" s="186"/>
      <c r="R548" s="131"/>
      <c r="S548" s="109" t="s">
        <v>66</v>
      </c>
      <c r="T548" s="109" t="s">
        <v>66</v>
      </c>
      <c r="U548" s="109" t="s">
        <v>66</v>
      </c>
      <c r="V548" s="109" t="s">
        <v>66</v>
      </c>
      <c r="W548" s="109" t="s">
        <v>66</v>
      </c>
      <c r="X548" s="126" t="str">
        <f>IF(TblDetailBudget[[#This Row],[Level]]=LvlBottomHdr, IF(SUM(TblDetailBudget[[#This Row],[2021 Quant]:[2025 Quant]])&gt;0, SUM(TblDetailBudget[[#This Row],[2021 Quant]:[2025 Quant]]), ""), "")</f>
        <v/>
      </c>
      <c r="Y54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4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4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4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4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48" s="142">
        <f>SUM(TblDetailBudget[[#This Row],[2021 Cost (LCU)]:[2025 Cost (LCU)]])</f>
        <v>0</v>
      </c>
      <c r="AE548" s="135">
        <f>IFERROR(SUM(TblDetailBudget[[#This Row],[2021 Cost (LCU)]])/FX_Rate, "")</f>
        <v>0</v>
      </c>
      <c r="AF548" s="86">
        <f>IFERROR(SUM(TblDetailBudget[[#This Row],[2022 Cost (LCU)]])/FX_Rate, "")</f>
        <v>0</v>
      </c>
      <c r="AG548" s="86">
        <f>IFERROR(SUM(TblDetailBudget[[#This Row],[2023 Cost (LCU)]])/FX_Rate, "")</f>
        <v>0</v>
      </c>
      <c r="AH548" s="86">
        <f>IFERROR(SUM(TblDetailBudget[[#This Row],[2024 Cost (LCU)]])/FX_Rate, "")</f>
        <v>0</v>
      </c>
      <c r="AI548" s="86">
        <f>IFERROR(SUM(TblDetailBudget[[#This Row],[2025 Cost (LCU)]])/FX_Rate, "")</f>
        <v>0</v>
      </c>
      <c r="AJ548" s="126">
        <f>SUM(TblDetailBudget[[#This Row],[2021 Cost (USD)]:[2025 Cost (USD)]])</f>
        <v>0</v>
      </c>
      <c r="AK548" s="180"/>
    </row>
    <row r="549" spans="2:37" ht="12.75" customHeight="1">
      <c r="B549" s="123"/>
      <c r="C54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49" s="85" t="str">
        <f>IF(TblDetailBudget[[#This Row],[Level]]="", "", COUNTIFS($B$8:TblDetailBudget[[#This Row],[Level]], Lvl1Hdr))</f>
        <v/>
      </c>
      <c r="E549" s="85" t="str">
        <f>IF(TblDetailBudget[[#This Row],[Level]]="", "", COUNTIFS($B$8:TblDetailBudget[[#This Row],[Level]], Lvl2Hdr, $D$8:TblDetailBudget[[#This Row],[Lvl 1 Header]], TblDetailBudget[[#This Row],[Lvl 1 Header]]))</f>
        <v/>
      </c>
      <c r="F54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4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4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49" s="164"/>
      <c r="J549" s="164"/>
      <c r="K549" s="165"/>
      <c r="L549" s="165"/>
      <c r="M549" s="85" t="str">
        <f>IF(TblDetailBudget[[#This Row],[Level]]=LvlBottomHdr, IFERROR(INDEX(TblUnitCost[Unit], MATCH(TblDetailBudget[[#This Row],[Row Title]], TblUnitCost[Resource], 0)), "Invalid Resource"), "")</f>
        <v/>
      </c>
      <c r="N549" s="126" t="str">
        <f>IF(TblDetailBudget[[#This Row],[Level]]=LvlBottomHdr, IFERROR(INDEX(TblUnitCost[LCU], MATCH(TblDetailBudget[[#This Row],[Row Title]], TblUnitCost[Resource], 0)), "Invalid Resource"), "")</f>
        <v/>
      </c>
      <c r="O549" s="130"/>
      <c r="P549" s="109"/>
      <c r="Q549" s="186"/>
      <c r="R549" s="131"/>
      <c r="S549" s="109" t="s">
        <v>66</v>
      </c>
      <c r="T549" s="109" t="s">
        <v>66</v>
      </c>
      <c r="U549" s="109" t="s">
        <v>66</v>
      </c>
      <c r="V549" s="109" t="s">
        <v>66</v>
      </c>
      <c r="W549" s="109" t="s">
        <v>66</v>
      </c>
      <c r="X549" s="126" t="str">
        <f>IF(TblDetailBudget[[#This Row],[Level]]=LvlBottomHdr, IF(SUM(TblDetailBudget[[#This Row],[2021 Quant]:[2025 Quant]])&gt;0, SUM(TblDetailBudget[[#This Row],[2021 Quant]:[2025 Quant]]), ""), "")</f>
        <v/>
      </c>
      <c r="Y54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4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4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4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4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49" s="142">
        <f>SUM(TblDetailBudget[[#This Row],[2021 Cost (LCU)]:[2025 Cost (LCU)]])</f>
        <v>0</v>
      </c>
      <c r="AE549" s="135">
        <f>IFERROR(SUM(TblDetailBudget[[#This Row],[2021 Cost (LCU)]])/FX_Rate, "")</f>
        <v>0</v>
      </c>
      <c r="AF549" s="86">
        <f>IFERROR(SUM(TblDetailBudget[[#This Row],[2022 Cost (LCU)]])/FX_Rate, "")</f>
        <v>0</v>
      </c>
      <c r="AG549" s="86">
        <f>IFERROR(SUM(TblDetailBudget[[#This Row],[2023 Cost (LCU)]])/FX_Rate, "")</f>
        <v>0</v>
      </c>
      <c r="AH549" s="86">
        <f>IFERROR(SUM(TblDetailBudget[[#This Row],[2024 Cost (LCU)]])/FX_Rate, "")</f>
        <v>0</v>
      </c>
      <c r="AI549" s="86">
        <f>IFERROR(SUM(TblDetailBudget[[#This Row],[2025 Cost (LCU)]])/FX_Rate, "")</f>
        <v>0</v>
      </c>
      <c r="AJ549" s="126">
        <f>SUM(TblDetailBudget[[#This Row],[2021 Cost (USD)]:[2025 Cost (USD)]])</f>
        <v>0</v>
      </c>
      <c r="AK549" s="180"/>
    </row>
    <row r="550" spans="2:37" ht="12.75" customHeight="1">
      <c r="B550" s="123"/>
      <c r="C55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50" s="85" t="str">
        <f>IF(TblDetailBudget[[#This Row],[Level]]="", "", COUNTIFS($B$8:TblDetailBudget[[#This Row],[Level]], Lvl1Hdr))</f>
        <v/>
      </c>
      <c r="E550" s="85" t="str">
        <f>IF(TblDetailBudget[[#This Row],[Level]]="", "", COUNTIFS($B$8:TblDetailBudget[[#This Row],[Level]], Lvl2Hdr, $D$8:TblDetailBudget[[#This Row],[Lvl 1 Header]], TblDetailBudget[[#This Row],[Lvl 1 Header]]))</f>
        <v/>
      </c>
      <c r="F55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5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5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50" s="164"/>
      <c r="J550" s="164"/>
      <c r="K550" s="165"/>
      <c r="L550" s="165"/>
      <c r="M550" s="85" t="str">
        <f>IF(TblDetailBudget[[#This Row],[Level]]=LvlBottomHdr, IFERROR(INDEX(TblUnitCost[Unit], MATCH(TblDetailBudget[[#This Row],[Row Title]], TblUnitCost[Resource], 0)), "Invalid Resource"), "")</f>
        <v/>
      </c>
      <c r="N550" s="126" t="str">
        <f>IF(TblDetailBudget[[#This Row],[Level]]=LvlBottomHdr, IFERROR(INDEX(TblUnitCost[LCU], MATCH(TblDetailBudget[[#This Row],[Row Title]], TblUnitCost[Resource], 0)), "Invalid Resource"), "")</f>
        <v/>
      </c>
      <c r="O550" s="130"/>
      <c r="P550" s="109"/>
      <c r="Q550" s="186"/>
      <c r="R550" s="131"/>
      <c r="S550" s="109" t="s">
        <v>66</v>
      </c>
      <c r="T550" s="109" t="s">
        <v>66</v>
      </c>
      <c r="U550" s="109" t="s">
        <v>66</v>
      </c>
      <c r="V550" s="109" t="s">
        <v>66</v>
      </c>
      <c r="W550" s="109" t="s">
        <v>66</v>
      </c>
      <c r="X550" s="126" t="str">
        <f>IF(TblDetailBudget[[#This Row],[Level]]=LvlBottomHdr, IF(SUM(TblDetailBudget[[#This Row],[2021 Quant]:[2025 Quant]])&gt;0, SUM(TblDetailBudget[[#This Row],[2021 Quant]:[2025 Quant]]), ""), "")</f>
        <v/>
      </c>
      <c r="Y55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5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5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5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5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50" s="142">
        <f>SUM(TblDetailBudget[[#This Row],[2021 Cost (LCU)]:[2025 Cost (LCU)]])</f>
        <v>0</v>
      </c>
      <c r="AE550" s="135">
        <f>IFERROR(SUM(TblDetailBudget[[#This Row],[2021 Cost (LCU)]])/FX_Rate, "")</f>
        <v>0</v>
      </c>
      <c r="AF550" s="86">
        <f>IFERROR(SUM(TblDetailBudget[[#This Row],[2022 Cost (LCU)]])/FX_Rate, "")</f>
        <v>0</v>
      </c>
      <c r="AG550" s="86">
        <f>IFERROR(SUM(TblDetailBudget[[#This Row],[2023 Cost (LCU)]])/FX_Rate, "")</f>
        <v>0</v>
      </c>
      <c r="AH550" s="86">
        <f>IFERROR(SUM(TblDetailBudget[[#This Row],[2024 Cost (LCU)]])/FX_Rate, "")</f>
        <v>0</v>
      </c>
      <c r="AI550" s="86">
        <f>IFERROR(SUM(TblDetailBudget[[#This Row],[2025 Cost (LCU)]])/FX_Rate, "")</f>
        <v>0</v>
      </c>
      <c r="AJ550" s="126">
        <f>SUM(TblDetailBudget[[#This Row],[2021 Cost (USD)]:[2025 Cost (USD)]])</f>
        <v>0</v>
      </c>
      <c r="AK550" s="180"/>
    </row>
    <row r="551" spans="2:37" ht="12.75" customHeight="1">
      <c r="B551" s="123"/>
      <c r="C55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51" s="85" t="str">
        <f>IF(TblDetailBudget[[#This Row],[Level]]="", "", COUNTIFS($B$8:TblDetailBudget[[#This Row],[Level]], Lvl1Hdr))</f>
        <v/>
      </c>
      <c r="E551" s="85" t="str">
        <f>IF(TblDetailBudget[[#This Row],[Level]]="", "", COUNTIFS($B$8:TblDetailBudget[[#This Row],[Level]], Lvl2Hdr, $D$8:TblDetailBudget[[#This Row],[Lvl 1 Header]], TblDetailBudget[[#This Row],[Lvl 1 Header]]))</f>
        <v/>
      </c>
      <c r="F55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5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5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51" s="164"/>
      <c r="J551" s="164"/>
      <c r="K551" s="165"/>
      <c r="L551" s="165"/>
      <c r="M551" s="85" t="str">
        <f>IF(TblDetailBudget[[#This Row],[Level]]=LvlBottomHdr, IFERROR(INDEX(TblUnitCost[Unit], MATCH(TblDetailBudget[[#This Row],[Row Title]], TblUnitCost[Resource], 0)), "Invalid Resource"), "")</f>
        <v/>
      </c>
      <c r="N551" s="126" t="str">
        <f>IF(TblDetailBudget[[#This Row],[Level]]=LvlBottomHdr, IFERROR(INDEX(TblUnitCost[LCU], MATCH(TblDetailBudget[[#This Row],[Row Title]], TblUnitCost[Resource], 0)), "Invalid Resource"), "")</f>
        <v/>
      </c>
      <c r="O551" s="130"/>
      <c r="P551" s="109"/>
      <c r="Q551" s="186"/>
      <c r="R551" s="131"/>
      <c r="S551" s="109" t="s">
        <v>66</v>
      </c>
      <c r="T551" s="109" t="s">
        <v>66</v>
      </c>
      <c r="U551" s="109" t="s">
        <v>66</v>
      </c>
      <c r="V551" s="109" t="s">
        <v>66</v>
      </c>
      <c r="W551" s="109" t="s">
        <v>66</v>
      </c>
      <c r="X551" s="126" t="str">
        <f>IF(TblDetailBudget[[#This Row],[Level]]=LvlBottomHdr, IF(SUM(TblDetailBudget[[#This Row],[2021 Quant]:[2025 Quant]])&gt;0, SUM(TblDetailBudget[[#This Row],[2021 Quant]:[2025 Quant]]), ""), "")</f>
        <v/>
      </c>
      <c r="Y55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5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5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5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5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51" s="142">
        <f>SUM(TblDetailBudget[[#This Row],[2021 Cost (LCU)]:[2025 Cost (LCU)]])</f>
        <v>0</v>
      </c>
      <c r="AE551" s="135">
        <f>IFERROR(SUM(TblDetailBudget[[#This Row],[2021 Cost (LCU)]])/FX_Rate, "")</f>
        <v>0</v>
      </c>
      <c r="AF551" s="86">
        <f>IFERROR(SUM(TblDetailBudget[[#This Row],[2022 Cost (LCU)]])/FX_Rate, "")</f>
        <v>0</v>
      </c>
      <c r="AG551" s="86">
        <f>IFERROR(SUM(TblDetailBudget[[#This Row],[2023 Cost (LCU)]])/FX_Rate, "")</f>
        <v>0</v>
      </c>
      <c r="AH551" s="86">
        <f>IFERROR(SUM(TblDetailBudget[[#This Row],[2024 Cost (LCU)]])/FX_Rate, "")</f>
        <v>0</v>
      </c>
      <c r="AI551" s="86">
        <f>IFERROR(SUM(TblDetailBudget[[#This Row],[2025 Cost (LCU)]])/FX_Rate, "")</f>
        <v>0</v>
      </c>
      <c r="AJ551" s="126">
        <f>SUM(TblDetailBudget[[#This Row],[2021 Cost (USD)]:[2025 Cost (USD)]])</f>
        <v>0</v>
      </c>
      <c r="AK551" s="180"/>
    </row>
    <row r="552" spans="2:37" ht="12.75" customHeight="1">
      <c r="B552" s="123"/>
      <c r="C55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52" s="85" t="str">
        <f>IF(TblDetailBudget[[#This Row],[Level]]="", "", COUNTIFS($B$8:TblDetailBudget[[#This Row],[Level]], Lvl1Hdr))</f>
        <v/>
      </c>
      <c r="E552" s="85" t="str">
        <f>IF(TblDetailBudget[[#This Row],[Level]]="", "", COUNTIFS($B$8:TblDetailBudget[[#This Row],[Level]], Lvl2Hdr, $D$8:TblDetailBudget[[#This Row],[Lvl 1 Header]], TblDetailBudget[[#This Row],[Lvl 1 Header]]))</f>
        <v/>
      </c>
      <c r="F55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5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5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52" s="164"/>
      <c r="J552" s="164"/>
      <c r="K552" s="165"/>
      <c r="L552" s="165"/>
      <c r="M552" s="85" t="str">
        <f>IF(TblDetailBudget[[#This Row],[Level]]=LvlBottomHdr, IFERROR(INDEX(TblUnitCost[Unit], MATCH(TblDetailBudget[[#This Row],[Row Title]], TblUnitCost[Resource], 0)), "Invalid Resource"), "")</f>
        <v/>
      </c>
      <c r="N552" s="126" t="str">
        <f>IF(TblDetailBudget[[#This Row],[Level]]=LvlBottomHdr, IFERROR(INDEX(TblUnitCost[LCU], MATCH(TblDetailBudget[[#This Row],[Row Title]], TblUnitCost[Resource], 0)), "Invalid Resource"), "")</f>
        <v/>
      </c>
      <c r="O552" s="130"/>
      <c r="P552" s="109"/>
      <c r="Q552" s="186"/>
      <c r="R552" s="131"/>
      <c r="S552" s="109" t="s">
        <v>66</v>
      </c>
      <c r="T552" s="109" t="s">
        <v>66</v>
      </c>
      <c r="U552" s="109" t="s">
        <v>66</v>
      </c>
      <c r="V552" s="109" t="s">
        <v>66</v>
      </c>
      <c r="W552" s="109" t="s">
        <v>66</v>
      </c>
      <c r="X552" s="126" t="str">
        <f>IF(TblDetailBudget[[#This Row],[Level]]=LvlBottomHdr, IF(SUM(TblDetailBudget[[#This Row],[2021 Quant]:[2025 Quant]])&gt;0, SUM(TblDetailBudget[[#This Row],[2021 Quant]:[2025 Quant]]), ""), "")</f>
        <v/>
      </c>
      <c r="Y55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5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5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5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5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52" s="142">
        <f>SUM(TblDetailBudget[[#This Row],[2021 Cost (LCU)]:[2025 Cost (LCU)]])</f>
        <v>0</v>
      </c>
      <c r="AE552" s="135">
        <f>IFERROR(SUM(TblDetailBudget[[#This Row],[2021 Cost (LCU)]])/FX_Rate, "")</f>
        <v>0</v>
      </c>
      <c r="AF552" s="86">
        <f>IFERROR(SUM(TblDetailBudget[[#This Row],[2022 Cost (LCU)]])/FX_Rate, "")</f>
        <v>0</v>
      </c>
      <c r="AG552" s="86">
        <f>IFERROR(SUM(TblDetailBudget[[#This Row],[2023 Cost (LCU)]])/FX_Rate, "")</f>
        <v>0</v>
      </c>
      <c r="AH552" s="86">
        <f>IFERROR(SUM(TblDetailBudget[[#This Row],[2024 Cost (LCU)]])/FX_Rate, "")</f>
        <v>0</v>
      </c>
      <c r="AI552" s="86">
        <f>IFERROR(SUM(TblDetailBudget[[#This Row],[2025 Cost (LCU)]])/FX_Rate, "")</f>
        <v>0</v>
      </c>
      <c r="AJ552" s="126">
        <f>SUM(TblDetailBudget[[#This Row],[2021 Cost (USD)]:[2025 Cost (USD)]])</f>
        <v>0</v>
      </c>
      <c r="AK552" s="180"/>
    </row>
    <row r="553" spans="2:37" ht="12.75" customHeight="1">
      <c r="B553" s="123"/>
      <c r="C55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53" s="85" t="str">
        <f>IF(TblDetailBudget[[#This Row],[Level]]="", "", COUNTIFS($B$8:TblDetailBudget[[#This Row],[Level]], Lvl1Hdr))</f>
        <v/>
      </c>
      <c r="E553" s="85" t="str">
        <f>IF(TblDetailBudget[[#This Row],[Level]]="", "", COUNTIFS($B$8:TblDetailBudget[[#This Row],[Level]], Lvl2Hdr, $D$8:TblDetailBudget[[#This Row],[Lvl 1 Header]], TblDetailBudget[[#This Row],[Lvl 1 Header]]))</f>
        <v/>
      </c>
      <c r="F55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5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5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53" s="164"/>
      <c r="J553" s="164"/>
      <c r="K553" s="165"/>
      <c r="L553" s="165"/>
      <c r="M553" s="85" t="str">
        <f>IF(TblDetailBudget[[#This Row],[Level]]=LvlBottomHdr, IFERROR(INDEX(TblUnitCost[Unit], MATCH(TblDetailBudget[[#This Row],[Row Title]], TblUnitCost[Resource], 0)), "Invalid Resource"), "")</f>
        <v/>
      </c>
      <c r="N553" s="126" t="str">
        <f>IF(TblDetailBudget[[#This Row],[Level]]=LvlBottomHdr, IFERROR(INDEX(TblUnitCost[LCU], MATCH(TblDetailBudget[[#This Row],[Row Title]], TblUnitCost[Resource], 0)), "Invalid Resource"), "")</f>
        <v/>
      </c>
      <c r="O553" s="130"/>
      <c r="P553" s="109"/>
      <c r="Q553" s="186"/>
      <c r="R553" s="131"/>
      <c r="S553" s="109" t="s">
        <v>66</v>
      </c>
      <c r="T553" s="109" t="s">
        <v>66</v>
      </c>
      <c r="U553" s="109" t="s">
        <v>66</v>
      </c>
      <c r="V553" s="109" t="s">
        <v>66</v>
      </c>
      <c r="W553" s="109" t="s">
        <v>66</v>
      </c>
      <c r="X553" s="126" t="str">
        <f>IF(TblDetailBudget[[#This Row],[Level]]=LvlBottomHdr, IF(SUM(TblDetailBudget[[#This Row],[2021 Quant]:[2025 Quant]])&gt;0, SUM(TblDetailBudget[[#This Row],[2021 Quant]:[2025 Quant]]), ""), "")</f>
        <v/>
      </c>
      <c r="Y55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5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5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5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5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53" s="142">
        <f>SUM(TblDetailBudget[[#This Row],[2021 Cost (LCU)]:[2025 Cost (LCU)]])</f>
        <v>0</v>
      </c>
      <c r="AE553" s="135">
        <f>IFERROR(SUM(TblDetailBudget[[#This Row],[2021 Cost (LCU)]])/FX_Rate, "")</f>
        <v>0</v>
      </c>
      <c r="AF553" s="86">
        <f>IFERROR(SUM(TblDetailBudget[[#This Row],[2022 Cost (LCU)]])/FX_Rate, "")</f>
        <v>0</v>
      </c>
      <c r="AG553" s="86">
        <f>IFERROR(SUM(TblDetailBudget[[#This Row],[2023 Cost (LCU)]])/FX_Rate, "")</f>
        <v>0</v>
      </c>
      <c r="AH553" s="86">
        <f>IFERROR(SUM(TblDetailBudget[[#This Row],[2024 Cost (LCU)]])/FX_Rate, "")</f>
        <v>0</v>
      </c>
      <c r="AI553" s="86">
        <f>IFERROR(SUM(TblDetailBudget[[#This Row],[2025 Cost (LCU)]])/FX_Rate, "")</f>
        <v>0</v>
      </c>
      <c r="AJ553" s="126">
        <f>SUM(TblDetailBudget[[#This Row],[2021 Cost (USD)]:[2025 Cost (USD)]])</f>
        <v>0</v>
      </c>
      <c r="AK553" s="180"/>
    </row>
    <row r="554" spans="2:37" ht="12.75" customHeight="1">
      <c r="B554" s="123"/>
      <c r="C55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54" s="85" t="str">
        <f>IF(TblDetailBudget[[#This Row],[Level]]="", "", COUNTIFS($B$8:TblDetailBudget[[#This Row],[Level]], Lvl1Hdr))</f>
        <v/>
      </c>
      <c r="E554" s="85" t="str">
        <f>IF(TblDetailBudget[[#This Row],[Level]]="", "", COUNTIFS($B$8:TblDetailBudget[[#This Row],[Level]], Lvl2Hdr, $D$8:TblDetailBudget[[#This Row],[Lvl 1 Header]], TblDetailBudget[[#This Row],[Lvl 1 Header]]))</f>
        <v/>
      </c>
      <c r="F55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5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5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54" s="164"/>
      <c r="J554" s="164"/>
      <c r="K554" s="165"/>
      <c r="L554" s="165"/>
      <c r="M554" s="85" t="str">
        <f>IF(TblDetailBudget[[#This Row],[Level]]=LvlBottomHdr, IFERROR(INDEX(TblUnitCost[Unit], MATCH(TblDetailBudget[[#This Row],[Row Title]], TblUnitCost[Resource], 0)), "Invalid Resource"), "")</f>
        <v/>
      </c>
      <c r="N554" s="126" t="str">
        <f>IF(TblDetailBudget[[#This Row],[Level]]=LvlBottomHdr, IFERROR(INDEX(TblUnitCost[LCU], MATCH(TblDetailBudget[[#This Row],[Row Title]], TblUnitCost[Resource], 0)), "Invalid Resource"), "")</f>
        <v/>
      </c>
      <c r="O554" s="130"/>
      <c r="P554" s="109"/>
      <c r="Q554" s="186"/>
      <c r="R554" s="131"/>
      <c r="S554" s="109" t="s">
        <v>66</v>
      </c>
      <c r="T554" s="109" t="s">
        <v>66</v>
      </c>
      <c r="U554" s="109" t="s">
        <v>66</v>
      </c>
      <c r="V554" s="109" t="s">
        <v>66</v>
      </c>
      <c r="W554" s="109" t="s">
        <v>66</v>
      </c>
      <c r="X554" s="126" t="str">
        <f>IF(TblDetailBudget[[#This Row],[Level]]=LvlBottomHdr, IF(SUM(TblDetailBudget[[#This Row],[2021 Quant]:[2025 Quant]])&gt;0, SUM(TblDetailBudget[[#This Row],[2021 Quant]:[2025 Quant]]), ""), "")</f>
        <v/>
      </c>
      <c r="Y55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5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5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5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5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54" s="142">
        <f>SUM(TblDetailBudget[[#This Row],[2021 Cost (LCU)]:[2025 Cost (LCU)]])</f>
        <v>0</v>
      </c>
      <c r="AE554" s="135">
        <f>IFERROR(SUM(TblDetailBudget[[#This Row],[2021 Cost (LCU)]])/FX_Rate, "")</f>
        <v>0</v>
      </c>
      <c r="AF554" s="86">
        <f>IFERROR(SUM(TblDetailBudget[[#This Row],[2022 Cost (LCU)]])/FX_Rate, "")</f>
        <v>0</v>
      </c>
      <c r="AG554" s="86">
        <f>IFERROR(SUM(TblDetailBudget[[#This Row],[2023 Cost (LCU)]])/FX_Rate, "")</f>
        <v>0</v>
      </c>
      <c r="AH554" s="86">
        <f>IFERROR(SUM(TblDetailBudget[[#This Row],[2024 Cost (LCU)]])/FX_Rate, "")</f>
        <v>0</v>
      </c>
      <c r="AI554" s="86">
        <f>IFERROR(SUM(TblDetailBudget[[#This Row],[2025 Cost (LCU)]])/FX_Rate, "")</f>
        <v>0</v>
      </c>
      <c r="AJ554" s="126">
        <f>SUM(TblDetailBudget[[#This Row],[2021 Cost (USD)]:[2025 Cost (USD)]])</f>
        <v>0</v>
      </c>
      <c r="AK554" s="180"/>
    </row>
    <row r="555" spans="2:37" ht="12.75" customHeight="1">
      <c r="B555" s="123"/>
      <c r="C55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55" s="85" t="str">
        <f>IF(TblDetailBudget[[#This Row],[Level]]="", "", COUNTIFS($B$8:TblDetailBudget[[#This Row],[Level]], Lvl1Hdr))</f>
        <v/>
      </c>
      <c r="E555" s="85" t="str">
        <f>IF(TblDetailBudget[[#This Row],[Level]]="", "", COUNTIFS($B$8:TblDetailBudget[[#This Row],[Level]], Lvl2Hdr, $D$8:TblDetailBudget[[#This Row],[Lvl 1 Header]], TblDetailBudget[[#This Row],[Lvl 1 Header]]))</f>
        <v/>
      </c>
      <c r="F55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5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5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55" s="164"/>
      <c r="J555" s="164"/>
      <c r="K555" s="165"/>
      <c r="L555" s="165"/>
      <c r="M555" s="85" t="str">
        <f>IF(TblDetailBudget[[#This Row],[Level]]=LvlBottomHdr, IFERROR(INDEX(TblUnitCost[Unit], MATCH(TblDetailBudget[[#This Row],[Row Title]], TblUnitCost[Resource], 0)), "Invalid Resource"), "")</f>
        <v/>
      </c>
      <c r="N555" s="126" t="str">
        <f>IF(TblDetailBudget[[#This Row],[Level]]=LvlBottomHdr, IFERROR(INDEX(TblUnitCost[LCU], MATCH(TblDetailBudget[[#This Row],[Row Title]], TblUnitCost[Resource], 0)), "Invalid Resource"), "")</f>
        <v/>
      </c>
      <c r="O555" s="130"/>
      <c r="P555" s="109"/>
      <c r="Q555" s="186"/>
      <c r="R555" s="131"/>
      <c r="S555" s="109" t="s">
        <v>66</v>
      </c>
      <c r="T555" s="109" t="s">
        <v>66</v>
      </c>
      <c r="U555" s="109" t="s">
        <v>66</v>
      </c>
      <c r="V555" s="109" t="s">
        <v>66</v>
      </c>
      <c r="W555" s="109" t="s">
        <v>66</v>
      </c>
      <c r="X555" s="126" t="str">
        <f>IF(TblDetailBudget[[#This Row],[Level]]=LvlBottomHdr, IF(SUM(TblDetailBudget[[#This Row],[2021 Quant]:[2025 Quant]])&gt;0, SUM(TblDetailBudget[[#This Row],[2021 Quant]:[2025 Quant]]), ""), "")</f>
        <v/>
      </c>
      <c r="Y55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5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5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5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5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55" s="142">
        <f>SUM(TblDetailBudget[[#This Row],[2021 Cost (LCU)]:[2025 Cost (LCU)]])</f>
        <v>0</v>
      </c>
      <c r="AE555" s="135">
        <f>IFERROR(SUM(TblDetailBudget[[#This Row],[2021 Cost (LCU)]])/FX_Rate, "")</f>
        <v>0</v>
      </c>
      <c r="AF555" s="86">
        <f>IFERROR(SUM(TblDetailBudget[[#This Row],[2022 Cost (LCU)]])/FX_Rate, "")</f>
        <v>0</v>
      </c>
      <c r="AG555" s="86">
        <f>IFERROR(SUM(TblDetailBudget[[#This Row],[2023 Cost (LCU)]])/FX_Rate, "")</f>
        <v>0</v>
      </c>
      <c r="AH555" s="86">
        <f>IFERROR(SUM(TblDetailBudget[[#This Row],[2024 Cost (LCU)]])/FX_Rate, "")</f>
        <v>0</v>
      </c>
      <c r="AI555" s="86">
        <f>IFERROR(SUM(TblDetailBudget[[#This Row],[2025 Cost (LCU)]])/FX_Rate, "")</f>
        <v>0</v>
      </c>
      <c r="AJ555" s="126">
        <f>SUM(TblDetailBudget[[#This Row],[2021 Cost (USD)]:[2025 Cost (USD)]])</f>
        <v>0</v>
      </c>
      <c r="AK555" s="180"/>
    </row>
    <row r="556" spans="2:37" ht="12.75" customHeight="1">
      <c r="B556" s="123"/>
      <c r="C55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56" s="85" t="str">
        <f>IF(TblDetailBudget[[#This Row],[Level]]="", "", COUNTIFS($B$8:TblDetailBudget[[#This Row],[Level]], Lvl1Hdr))</f>
        <v/>
      </c>
      <c r="E556" s="85" t="str">
        <f>IF(TblDetailBudget[[#This Row],[Level]]="", "", COUNTIFS($B$8:TblDetailBudget[[#This Row],[Level]], Lvl2Hdr, $D$8:TblDetailBudget[[#This Row],[Lvl 1 Header]], TblDetailBudget[[#This Row],[Lvl 1 Header]]))</f>
        <v/>
      </c>
      <c r="F55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5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5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56" s="164"/>
      <c r="J556" s="164"/>
      <c r="K556" s="165"/>
      <c r="L556" s="165"/>
      <c r="M556" s="85" t="str">
        <f>IF(TblDetailBudget[[#This Row],[Level]]=LvlBottomHdr, IFERROR(INDEX(TblUnitCost[Unit], MATCH(TblDetailBudget[[#This Row],[Row Title]], TblUnitCost[Resource], 0)), "Invalid Resource"), "")</f>
        <v/>
      </c>
      <c r="N556" s="126" t="str">
        <f>IF(TblDetailBudget[[#This Row],[Level]]=LvlBottomHdr, IFERROR(INDEX(TblUnitCost[LCU], MATCH(TblDetailBudget[[#This Row],[Row Title]], TblUnitCost[Resource], 0)), "Invalid Resource"), "")</f>
        <v/>
      </c>
      <c r="O556" s="130"/>
      <c r="P556" s="109"/>
      <c r="Q556" s="186"/>
      <c r="R556" s="131"/>
      <c r="S556" s="109" t="s">
        <v>66</v>
      </c>
      <c r="T556" s="109" t="s">
        <v>66</v>
      </c>
      <c r="U556" s="109" t="s">
        <v>66</v>
      </c>
      <c r="V556" s="109" t="s">
        <v>66</v>
      </c>
      <c r="W556" s="109" t="s">
        <v>66</v>
      </c>
      <c r="X556" s="126" t="str">
        <f>IF(TblDetailBudget[[#This Row],[Level]]=LvlBottomHdr, IF(SUM(TblDetailBudget[[#This Row],[2021 Quant]:[2025 Quant]])&gt;0, SUM(TblDetailBudget[[#This Row],[2021 Quant]:[2025 Quant]]), ""), "")</f>
        <v/>
      </c>
      <c r="Y55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5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5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5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5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56" s="142">
        <f>SUM(TblDetailBudget[[#This Row],[2021 Cost (LCU)]:[2025 Cost (LCU)]])</f>
        <v>0</v>
      </c>
      <c r="AE556" s="135">
        <f>IFERROR(SUM(TblDetailBudget[[#This Row],[2021 Cost (LCU)]])/FX_Rate, "")</f>
        <v>0</v>
      </c>
      <c r="AF556" s="86">
        <f>IFERROR(SUM(TblDetailBudget[[#This Row],[2022 Cost (LCU)]])/FX_Rate, "")</f>
        <v>0</v>
      </c>
      <c r="AG556" s="86">
        <f>IFERROR(SUM(TblDetailBudget[[#This Row],[2023 Cost (LCU)]])/FX_Rate, "")</f>
        <v>0</v>
      </c>
      <c r="AH556" s="86">
        <f>IFERROR(SUM(TblDetailBudget[[#This Row],[2024 Cost (LCU)]])/FX_Rate, "")</f>
        <v>0</v>
      </c>
      <c r="AI556" s="86">
        <f>IFERROR(SUM(TblDetailBudget[[#This Row],[2025 Cost (LCU)]])/FX_Rate, "")</f>
        <v>0</v>
      </c>
      <c r="AJ556" s="126">
        <f>SUM(TblDetailBudget[[#This Row],[2021 Cost (USD)]:[2025 Cost (USD)]])</f>
        <v>0</v>
      </c>
      <c r="AK556" s="180"/>
    </row>
    <row r="557" spans="2:37" ht="12.75" customHeight="1">
      <c r="B557" s="123"/>
      <c r="C55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57" s="85" t="str">
        <f>IF(TblDetailBudget[[#This Row],[Level]]="", "", COUNTIFS($B$8:TblDetailBudget[[#This Row],[Level]], Lvl1Hdr))</f>
        <v/>
      </c>
      <c r="E557" s="85" t="str">
        <f>IF(TblDetailBudget[[#This Row],[Level]]="", "", COUNTIFS($B$8:TblDetailBudget[[#This Row],[Level]], Lvl2Hdr, $D$8:TblDetailBudget[[#This Row],[Lvl 1 Header]], TblDetailBudget[[#This Row],[Lvl 1 Header]]))</f>
        <v/>
      </c>
      <c r="F55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5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5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57" s="164"/>
      <c r="J557" s="164"/>
      <c r="K557" s="165"/>
      <c r="L557" s="165"/>
      <c r="M557" s="85" t="str">
        <f>IF(TblDetailBudget[[#This Row],[Level]]=LvlBottomHdr, IFERROR(INDEX(TblUnitCost[Unit], MATCH(TblDetailBudget[[#This Row],[Row Title]], TblUnitCost[Resource], 0)), "Invalid Resource"), "")</f>
        <v/>
      </c>
      <c r="N557" s="126" t="str">
        <f>IF(TblDetailBudget[[#This Row],[Level]]=LvlBottomHdr, IFERROR(INDEX(TblUnitCost[LCU], MATCH(TblDetailBudget[[#This Row],[Row Title]], TblUnitCost[Resource], 0)), "Invalid Resource"), "")</f>
        <v/>
      </c>
      <c r="O557" s="130"/>
      <c r="P557" s="109"/>
      <c r="Q557" s="186"/>
      <c r="R557" s="131"/>
      <c r="S557" s="109" t="s">
        <v>66</v>
      </c>
      <c r="T557" s="109" t="s">
        <v>66</v>
      </c>
      <c r="U557" s="109" t="s">
        <v>66</v>
      </c>
      <c r="V557" s="109" t="s">
        <v>66</v>
      </c>
      <c r="W557" s="109" t="s">
        <v>66</v>
      </c>
      <c r="X557" s="126" t="str">
        <f>IF(TblDetailBudget[[#This Row],[Level]]=LvlBottomHdr, IF(SUM(TblDetailBudget[[#This Row],[2021 Quant]:[2025 Quant]])&gt;0, SUM(TblDetailBudget[[#This Row],[2021 Quant]:[2025 Quant]]), ""), "")</f>
        <v/>
      </c>
      <c r="Y55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5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5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5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5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57" s="142">
        <f>SUM(TblDetailBudget[[#This Row],[2021 Cost (LCU)]:[2025 Cost (LCU)]])</f>
        <v>0</v>
      </c>
      <c r="AE557" s="135">
        <f>IFERROR(SUM(TblDetailBudget[[#This Row],[2021 Cost (LCU)]])/FX_Rate, "")</f>
        <v>0</v>
      </c>
      <c r="AF557" s="86">
        <f>IFERROR(SUM(TblDetailBudget[[#This Row],[2022 Cost (LCU)]])/FX_Rate, "")</f>
        <v>0</v>
      </c>
      <c r="AG557" s="86">
        <f>IFERROR(SUM(TblDetailBudget[[#This Row],[2023 Cost (LCU)]])/FX_Rate, "")</f>
        <v>0</v>
      </c>
      <c r="AH557" s="86">
        <f>IFERROR(SUM(TblDetailBudget[[#This Row],[2024 Cost (LCU)]])/FX_Rate, "")</f>
        <v>0</v>
      </c>
      <c r="AI557" s="86">
        <f>IFERROR(SUM(TblDetailBudget[[#This Row],[2025 Cost (LCU)]])/FX_Rate, "")</f>
        <v>0</v>
      </c>
      <c r="AJ557" s="126">
        <f>SUM(TblDetailBudget[[#This Row],[2021 Cost (USD)]:[2025 Cost (USD)]])</f>
        <v>0</v>
      </c>
      <c r="AK557" s="180"/>
    </row>
    <row r="558" spans="2:37" ht="12.75" customHeight="1">
      <c r="B558" s="123"/>
      <c r="C55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58" s="85" t="str">
        <f>IF(TblDetailBudget[[#This Row],[Level]]="", "", COUNTIFS($B$8:TblDetailBudget[[#This Row],[Level]], Lvl1Hdr))</f>
        <v/>
      </c>
      <c r="E558" s="85" t="str">
        <f>IF(TblDetailBudget[[#This Row],[Level]]="", "", COUNTIFS($B$8:TblDetailBudget[[#This Row],[Level]], Lvl2Hdr, $D$8:TblDetailBudget[[#This Row],[Lvl 1 Header]], TblDetailBudget[[#This Row],[Lvl 1 Header]]))</f>
        <v/>
      </c>
      <c r="F55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5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5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58" s="164"/>
      <c r="J558" s="164"/>
      <c r="K558" s="165"/>
      <c r="L558" s="165"/>
      <c r="M558" s="85" t="str">
        <f>IF(TblDetailBudget[[#This Row],[Level]]=LvlBottomHdr, IFERROR(INDEX(TblUnitCost[Unit], MATCH(TblDetailBudget[[#This Row],[Row Title]], TblUnitCost[Resource], 0)), "Invalid Resource"), "")</f>
        <v/>
      </c>
      <c r="N558" s="126" t="str">
        <f>IF(TblDetailBudget[[#This Row],[Level]]=LvlBottomHdr, IFERROR(INDEX(TblUnitCost[LCU], MATCH(TblDetailBudget[[#This Row],[Row Title]], TblUnitCost[Resource], 0)), "Invalid Resource"), "")</f>
        <v/>
      </c>
      <c r="O558" s="130"/>
      <c r="P558" s="109"/>
      <c r="Q558" s="186"/>
      <c r="R558" s="131"/>
      <c r="S558" s="109" t="s">
        <v>66</v>
      </c>
      <c r="T558" s="109" t="s">
        <v>66</v>
      </c>
      <c r="U558" s="109" t="s">
        <v>66</v>
      </c>
      <c r="V558" s="109" t="s">
        <v>66</v>
      </c>
      <c r="W558" s="109" t="s">
        <v>66</v>
      </c>
      <c r="X558" s="126" t="str">
        <f>IF(TblDetailBudget[[#This Row],[Level]]=LvlBottomHdr, IF(SUM(TblDetailBudget[[#This Row],[2021 Quant]:[2025 Quant]])&gt;0, SUM(TblDetailBudget[[#This Row],[2021 Quant]:[2025 Quant]]), ""), "")</f>
        <v/>
      </c>
      <c r="Y55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5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5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5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5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58" s="142">
        <f>SUM(TblDetailBudget[[#This Row],[2021 Cost (LCU)]:[2025 Cost (LCU)]])</f>
        <v>0</v>
      </c>
      <c r="AE558" s="135">
        <f>IFERROR(SUM(TblDetailBudget[[#This Row],[2021 Cost (LCU)]])/FX_Rate, "")</f>
        <v>0</v>
      </c>
      <c r="AF558" s="86">
        <f>IFERROR(SUM(TblDetailBudget[[#This Row],[2022 Cost (LCU)]])/FX_Rate, "")</f>
        <v>0</v>
      </c>
      <c r="AG558" s="86">
        <f>IFERROR(SUM(TblDetailBudget[[#This Row],[2023 Cost (LCU)]])/FX_Rate, "")</f>
        <v>0</v>
      </c>
      <c r="AH558" s="86">
        <f>IFERROR(SUM(TblDetailBudget[[#This Row],[2024 Cost (LCU)]])/FX_Rate, "")</f>
        <v>0</v>
      </c>
      <c r="AI558" s="86">
        <f>IFERROR(SUM(TblDetailBudget[[#This Row],[2025 Cost (LCU)]])/FX_Rate, "")</f>
        <v>0</v>
      </c>
      <c r="AJ558" s="126">
        <f>SUM(TblDetailBudget[[#This Row],[2021 Cost (USD)]:[2025 Cost (USD)]])</f>
        <v>0</v>
      </c>
      <c r="AK558" s="180"/>
    </row>
    <row r="559" spans="2:37" ht="12.75" customHeight="1">
      <c r="B559" s="123"/>
      <c r="C55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59" s="85" t="str">
        <f>IF(TblDetailBudget[[#This Row],[Level]]="", "", COUNTIFS($B$8:TblDetailBudget[[#This Row],[Level]], Lvl1Hdr))</f>
        <v/>
      </c>
      <c r="E559" s="85" t="str">
        <f>IF(TblDetailBudget[[#This Row],[Level]]="", "", COUNTIFS($B$8:TblDetailBudget[[#This Row],[Level]], Lvl2Hdr, $D$8:TblDetailBudget[[#This Row],[Lvl 1 Header]], TblDetailBudget[[#This Row],[Lvl 1 Header]]))</f>
        <v/>
      </c>
      <c r="F55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5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5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59" s="164"/>
      <c r="J559" s="164"/>
      <c r="K559" s="165"/>
      <c r="L559" s="165"/>
      <c r="M559" s="85" t="str">
        <f>IF(TblDetailBudget[[#This Row],[Level]]=LvlBottomHdr, IFERROR(INDEX(TblUnitCost[Unit], MATCH(TblDetailBudget[[#This Row],[Row Title]], TblUnitCost[Resource], 0)), "Invalid Resource"), "")</f>
        <v/>
      </c>
      <c r="N559" s="126" t="str">
        <f>IF(TblDetailBudget[[#This Row],[Level]]=LvlBottomHdr, IFERROR(INDEX(TblUnitCost[LCU], MATCH(TblDetailBudget[[#This Row],[Row Title]], TblUnitCost[Resource], 0)), "Invalid Resource"), "")</f>
        <v/>
      </c>
      <c r="O559" s="130"/>
      <c r="P559" s="109"/>
      <c r="Q559" s="186"/>
      <c r="R559" s="131"/>
      <c r="S559" s="109" t="s">
        <v>66</v>
      </c>
      <c r="T559" s="109" t="s">
        <v>66</v>
      </c>
      <c r="U559" s="109" t="s">
        <v>66</v>
      </c>
      <c r="V559" s="109" t="s">
        <v>66</v>
      </c>
      <c r="W559" s="109" t="s">
        <v>66</v>
      </c>
      <c r="X559" s="126" t="str">
        <f>IF(TblDetailBudget[[#This Row],[Level]]=LvlBottomHdr, IF(SUM(TblDetailBudget[[#This Row],[2021 Quant]:[2025 Quant]])&gt;0, SUM(TblDetailBudget[[#This Row],[2021 Quant]:[2025 Quant]]), ""), "")</f>
        <v/>
      </c>
      <c r="Y55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5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5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5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5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59" s="142">
        <f>SUM(TblDetailBudget[[#This Row],[2021 Cost (LCU)]:[2025 Cost (LCU)]])</f>
        <v>0</v>
      </c>
      <c r="AE559" s="135">
        <f>IFERROR(SUM(TblDetailBudget[[#This Row],[2021 Cost (LCU)]])/FX_Rate, "")</f>
        <v>0</v>
      </c>
      <c r="AF559" s="86">
        <f>IFERROR(SUM(TblDetailBudget[[#This Row],[2022 Cost (LCU)]])/FX_Rate, "")</f>
        <v>0</v>
      </c>
      <c r="AG559" s="86">
        <f>IFERROR(SUM(TblDetailBudget[[#This Row],[2023 Cost (LCU)]])/FX_Rate, "")</f>
        <v>0</v>
      </c>
      <c r="AH559" s="86">
        <f>IFERROR(SUM(TblDetailBudget[[#This Row],[2024 Cost (LCU)]])/FX_Rate, "")</f>
        <v>0</v>
      </c>
      <c r="AI559" s="86">
        <f>IFERROR(SUM(TblDetailBudget[[#This Row],[2025 Cost (LCU)]])/FX_Rate, "")</f>
        <v>0</v>
      </c>
      <c r="AJ559" s="126">
        <f>SUM(TblDetailBudget[[#This Row],[2021 Cost (USD)]:[2025 Cost (USD)]])</f>
        <v>0</v>
      </c>
      <c r="AK559" s="180"/>
    </row>
    <row r="560" spans="2:37" ht="12.75" customHeight="1">
      <c r="B560" s="123"/>
      <c r="C56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60" s="85" t="str">
        <f>IF(TblDetailBudget[[#This Row],[Level]]="", "", COUNTIFS($B$8:TblDetailBudget[[#This Row],[Level]], Lvl1Hdr))</f>
        <v/>
      </c>
      <c r="E560" s="85" t="str">
        <f>IF(TblDetailBudget[[#This Row],[Level]]="", "", COUNTIFS($B$8:TblDetailBudget[[#This Row],[Level]], Lvl2Hdr, $D$8:TblDetailBudget[[#This Row],[Lvl 1 Header]], TblDetailBudget[[#This Row],[Lvl 1 Header]]))</f>
        <v/>
      </c>
      <c r="F56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6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6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60" s="164"/>
      <c r="J560" s="164"/>
      <c r="K560" s="165"/>
      <c r="L560" s="165"/>
      <c r="M560" s="85" t="str">
        <f>IF(TblDetailBudget[[#This Row],[Level]]=LvlBottomHdr, IFERROR(INDEX(TblUnitCost[Unit], MATCH(TblDetailBudget[[#This Row],[Row Title]], TblUnitCost[Resource], 0)), "Invalid Resource"), "")</f>
        <v/>
      </c>
      <c r="N560" s="126" t="str">
        <f>IF(TblDetailBudget[[#This Row],[Level]]=LvlBottomHdr, IFERROR(INDEX(TblUnitCost[LCU], MATCH(TblDetailBudget[[#This Row],[Row Title]], TblUnitCost[Resource], 0)), "Invalid Resource"), "")</f>
        <v/>
      </c>
      <c r="O560" s="130"/>
      <c r="P560" s="109"/>
      <c r="Q560" s="186"/>
      <c r="R560" s="131"/>
      <c r="S560" s="109" t="s">
        <v>66</v>
      </c>
      <c r="T560" s="109" t="s">
        <v>66</v>
      </c>
      <c r="U560" s="109" t="s">
        <v>66</v>
      </c>
      <c r="V560" s="109" t="s">
        <v>66</v>
      </c>
      <c r="W560" s="109" t="s">
        <v>66</v>
      </c>
      <c r="X560" s="126" t="str">
        <f>IF(TblDetailBudget[[#This Row],[Level]]=LvlBottomHdr, IF(SUM(TblDetailBudget[[#This Row],[2021 Quant]:[2025 Quant]])&gt;0, SUM(TblDetailBudget[[#This Row],[2021 Quant]:[2025 Quant]]), ""), "")</f>
        <v/>
      </c>
      <c r="Y56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6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6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6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6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60" s="142">
        <f>SUM(TblDetailBudget[[#This Row],[2021 Cost (LCU)]:[2025 Cost (LCU)]])</f>
        <v>0</v>
      </c>
      <c r="AE560" s="135">
        <f>IFERROR(SUM(TblDetailBudget[[#This Row],[2021 Cost (LCU)]])/FX_Rate, "")</f>
        <v>0</v>
      </c>
      <c r="AF560" s="86">
        <f>IFERROR(SUM(TblDetailBudget[[#This Row],[2022 Cost (LCU)]])/FX_Rate, "")</f>
        <v>0</v>
      </c>
      <c r="AG560" s="86">
        <f>IFERROR(SUM(TblDetailBudget[[#This Row],[2023 Cost (LCU)]])/FX_Rate, "")</f>
        <v>0</v>
      </c>
      <c r="AH560" s="86">
        <f>IFERROR(SUM(TblDetailBudget[[#This Row],[2024 Cost (LCU)]])/FX_Rate, "")</f>
        <v>0</v>
      </c>
      <c r="AI560" s="86">
        <f>IFERROR(SUM(TblDetailBudget[[#This Row],[2025 Cost (LCU)]])/FX_Rate, "")</f>
        <v>0</v>
      </c>
      <c r="AJ560" s="126">
        <f>SUM(TblDetailBudget[[#This Row],[2021 Cost (USD)]:[2025 Cost (USD)]])</f>
        <v>0</v>
      </c>
      <c r="AK560" s="180"/>
    </row>
    <row r="561" spans="2:37" ht="12.75" customHeight="1">
      <c r="B561" s="123"/>
      <c r="C56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61" s="85" t="str">
        <f>IF(TblDetailBudget[[#This Row],[Level]]="", "", COUNTIFS($B$8:TblDetailBudget[[#This Row],[Level]], Lvl1Hdr))</f>
        <v/>
      </c>
      <c r="E561" s="85" t="str">
        <f>IF(TblDetailBudget[[#This Row],[Level]]="", "", COUNTIFS($B$8:TblDetailBudget[[#This Row],[Level]], Lvl2Hdr, $D$8:TblDetailBudget[[#This Row],[Lvl 1 Header]], TblDetailBudget[[#This Row],[Lvl 1 Header]]))</f>
        <v/>
      </c>
      <c r="F56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6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6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61" s="164"/>
      <c r="J561" s="164"/>
      <c r="K561" s="165"/>
      <c r="L561" s="165"/>
      <c r="M561" s="85" t="str">
        <f>IF(TblDetailBudget[[#This Row],[Level]]=LvlBottomHdr, IFERROR(INDEX(TblUnitCost[Unit], MATCH(TblDetailBudget[[#This Row],[Row Title]], TblUnitCost[Resource], 0)), "Invalid Resource"), "")</f>
        <v/>
      </c>
      <c r="N561" s="126" t="str">
        <f>IF(TblDetailBudget[[#This Row],[Level]]=LvlBottomHdr, IFERROR(INDEX(TblUnitCost[LCU], MATCH(TblDetailBudget[[#This Row],[Row Title]], TblUnitCost[Resource], 0)), "Invalid Resource"), "")</f>
        <v/>
      </c>
      <c r="O561" s="130"/>
      <c r="P561" s="109"/>
      <c r="Q561" s="186"/>
      <c r="R561" s="131"/>
      <c r="S561" s="109" t="s">
        <v>66</v>
      </c>
      <c r="T561" s="109" t="s">
        <v>66</v>
      </c>
      <c r="U561" s="109" t="s">
        <v>66</v>
      </c>
      <c r="V561" s="109" t="s">
        <v>66</v>
      </c>
      <c r="W561" s="109" t="s">
        <v>66</v>
      </c>
      <c r="X561" s="126" t="str">
        <f>IF(TblDetailBudget[[#This Row],[Level]]=LvlBottomHdr, IF(SUM(TblDetailBudget[[#This Row],[2021 Quant]:[2025 Quant]])&gt;0, SUM(TblDetailBudget[[#This Row],[2021 Quant]:[2025 Quant]]), ""), "")</f>
        <v/>
      </c>
      <c r="Y56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6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6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6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6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61" s="142">
        <f>SUM(TblDetailBudget[[#This Row],[2021 Cost (LCU)]:[2025 Cost (LCU)]])</f>
        <v>0</v>
      </c>
      <c r="AE561" s="135">
        <f>IFERROR(SUM(TblDetailBudget[[#This Row],[2021 Cost (LCU)]])/FX_Rate, "")</f>
        <v>0</v>
      </c>
      <c r="AF561" s="86">
        <f>IFERROR(SUM(TblDetailBudget[[#This Row],[2022 Cost (LCU)]])/FX_Rate, "")</f>
        <v>0</v>
      </c>
      <c r="AG561" s="86">
        <f>IFERROR(SUM(TblDetailBudget[[#This Row],[2023 Cost (LCU)]])/FX_Rate, "")</f>
        <v>0</v>
      </c>
      <c r="AH561" s="86">
        <f>IFERROR(SUM(TblDetailBudget[[#This Row],[2024 Cost (LCU)]])/FX_Rate, "")</f>
        <v>0</v>
      </c>
      <c r="AI561" s="86">
        <f>IFERROR(SUM(TblDetailBudget[[#This Row],[2025 Cost (LCU)]])/FX_Rate, "")</f>
        <v>0</v>
      </c>
      <c r="AJ561" s="126">
        <f>SUM(TblDetailBudget[[#This Row],[2021 Cost (USD)]:[2025 Cost (USD)]])</f>
        <v>0</v>
      </c>
      <c r="AK561" s="180"/>
    </row>
    <row r="562" spans="2:37" ht="12.75" customHeight="1">
      <c r="B562" s="123"/>
      <c r="C56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62" s="85" t="str">
        <f>IF(TblDetailBudget[[#This Row],[Level]]="", "", COUNTIFS($B$8:TblDetailBudget[[#This Row],[Level]], Lvl1Hdr))</f>
        <v/>
      </c>
      <c r="E562" s="85" t="str">
        <f>IF(TblDetailBudget[[#This Row],[Level]]="", "", COUNTIFS($B$8:TblDetailBudget[[#This Row],[Level]], Lvl2Hdr, $D$8:TblDetailBudget[[#This Row],[Lvl 1 Header]], TblDetailBudget[[#This Row],[Lvl 1 Header]]))</f>
        <v/>
      </c>
      <c r="F56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6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6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62" s="164"/>
      <c r="J562" s="164"/>
      <c r="K562" s="165"/>
      <c r="L562" s="165"/>
      <c r="M562" s="85" t="str">
        <f>IF(TblDetailBudget[[#This Row],[Level]]=LvlBottomHdr, IFERROR(INDEX(TblUnitCost[Unit], MATCH(TblDetailBudget[[#This Row],[Row Title]], TblUnitCost[Resource], 0)), "Invalid Resource"), "")</f>
        <v/>
      </c>
      <c r="N562" s="126" t="str">
        <f>IF(TblDetailBudget[[#This Row],[Level]]=LvlBottomHdr, IFERROR(INDEX(TblUnitCost[LCU], MATCH(TblDetailBudget[[#This Row],[Row Title]], TblUnitCost[Resource], 0)), "Invalid Resource"), "")</f>
        <v/>
      </c>
      <c r="O562" s="130"/>
      <c r="P562" s="109"/>
      <c r="Q562" s="186"/>
      <c r="R562" s="131"/>
      <c r="S562" s="109" t="s">
        <v>66</v>
      </c>
      <c r="T562" s="109" t="s">
        <v>66</v>
      </c>
      <c r="U562" s="109" t="s">
        <v>66</v>
      </c>
      <c r="V562" s="109" t="s">
        <v>66</v>
      </c>
      <c r="W562" s="109" t="s">
        <v>66</v>
      </c>
      <c r="X562" s="126" t="str">
        <f>IF(TblDetailBudget[[#This Row],[Level]]=LvlBottomHdr, IF(SUM(TblDetailBudget[[#This Row],[2021 Quant]:[2025 Quant]])&gt;0, SUM(TblDetailBudget[[#This Row],[2021 Quant]:[2025 Quant]]), ""), "")</f>
        <v/>
      </c>
      <c r="Y56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6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6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6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6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62" s="142">
        <f>SUM(TblDetailBudget[[#This Row],[2021 Cost (LCU)]:[2025 Cost (LCU)]])</f>
        <v>0</v>
      </c>
      <c r="AE562" s="135">
        <f>IFERROR(SUM(TblDetailBudget[[#This Row],[2021 Cost (LCU)]])/FX_Rate, "")</f>
        <v>0</v>
      </c>
      <c r="AF562" s="86">
        <f>IFERROR(SUM(TblDetailBudget[[#This Row],[2022 Cost (LCU)]])/FX_Rate, "")</f>
        <v>0</v>
      </c>
      <c r="AG562" s="86">
        <f>IFERROR(SUM(TblDetailBudget[[#This Row],[2023 Cost (LCU)]])/FX_Rate, "")</f>
        <v>0</v>
      </c>
      <c r="AH562" s="86">
        <f>IFERROR(SUM(TblDetailBudget[[#This Row],[2024 Cost (LCU)]])/FX_Rate, "")</f>
        <v>0</v>
      </c>
      <c r="AI562" s="86">
        <f>IFERROR(SUM(TblDetailBudget[[#This Row],[2025 Cost (LCU)]])/FX_Rate, "")</f>
        <v>0</v>
      </c>
      <c r="AJ562" s="126">
        <f>SUM(TblDetailBudget[[#This Row],[2021 Cost (USD)]:[2025 Cost (USD)]])</f>
        <v>0</v>
      </c>
      <c r="AK562" s="180"/>
    </row>
    <row r="563" spans="2:37" ht="12.75" customHeight="1">
      <c r="B563" s="123"/>
      <c r="C56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63" s="85" t="str">
        <f>IF(TblDetailBudget[[#This Row],[Level]]="", "", COUNTIFS($B$8:TblDetailBudget[[#This Row],[Level]], Lvl1Hdr))</f>
        <v/>
      </c>
      <c r="E563" s="85" t="str">
        <f>IF(TblDetailBudget[[#This Row],[Level]]="", "", COUNTIFS($B$8:TblDetailBudget[[#This Row],[Level]], Lvl2Hdr, $D$8:TblDetailBudget[[#This Row],[Lvl 1 Header]], TblDetailBudget[[#This Row],[Lvl 1 Header]]))</f>
        <v/>
      </c>
      <c r="F56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6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6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63" s="164"/>
      <c r="J563" s="164"/>
      <c r="K563" s="165"/>
      <c r="L563" s="165"/>
      <c r="M563" s="85" t="str">
        <f>IF(TblDetailBudget[[#This Row],[Level]]=LvlBottomHdr, IFERROR(INDEX(TblUnitCost[Unit], MATCH(TblDetailBudget[[#This Row],[Row Title]], TblUnitCost[Resource], 0)), "Invalid Resource"), "")</f>
        <v/>
      </c>
      <c r="N563" s="126" t="str">
        <f>IF(TblDetailBudget[[#This Row],[Level]]=LvlBottomHdr, IFERROR(INDEX(TblUnitCost[LCU], MATCH(TblDetailBudget[[#This Row],[Row Title]], TblUnitCost[Resource], 0)), "Invalid Resource"), "")</f>
        <v/>
      </c>
      <c r="O563" s="130"/>
      <c r="P563" s="109"/>
      <c r="Q563" s="186"/>
      <c r="R563" s="131"/>
      <c r="S563" s="109" t="s">
        <v>66</v>
      </c>
      <c r="T563" s="109" t="s">
        <v>66</v>
      </c>
      <c r="U563" s="109" t="s">
        <v>66</v>
      </c>
      <c r="V563" s="109" t="s">
        <v>66</v>
      </c>
      <c r="W563" s="109" t="s">
        <v>66</v>
      </c>
      <c r="X563" s="126" t="str">
        <f>IF(TblDetailBudget[[#This Row],[Level]]=LvlBottomHdr, IF(SUM(TblDetailBudget[[#This Row],[2021 Quant]:[2025 Quant]])&gt;0, SUM(TblDetailBudget[[#This Row],[2021 Quant]:[2025 Quant]]), ""), "")</f>
        <v/>
      </c>
      <c r="Y56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6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6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6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6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63" s="142">
        <f>SUM(TblDetailBudget[[#This Row],[2021 Cost (LCU)]:[2025 Cost (LCU)]])</f>
        <v>0</v>
      </c>
      <c r="AE563" s="135">
        <f>IFERROR(SUM(TblDetailBudget[[#This Row],[2021 Cost (LCU)]])/FX_Rate, "")</f>
        <v>0</v>
      </c>
      <c r="AF563" s="86">
        <f>IFERROR(SUM(TblDetailBudget[[#This Row],[2022 Cost (LCU)]])/FX_Rate, "")</f>
        <v>0</v>
      </c>
      <c r="AG563" s="86">
        <f>IFERROR(SUM(TblDetailBudget[[#This Row],[2023 Cost (LCU)]])/FX_Rate, "")</f>
        <v>0</v>
      </c>
      <c r="AH563" s="86">
        <f>IFERROR(SUM(TblDetailBudget[[#This Row],[2024 Cost (LCU)]])/FX_Rate, "")</f>
        <v>0</v>
      </c>
      <c r="AI563" s="86">
        <f>IFERROR(SUM(TblDetailBudget[[#This Row],[2025 Cost (LCU)]])/FX_Rate, "")</f>
        <v>0</v>
      </c>
      <c r="AJ563" s="126">
        <f>SUM(TblDetailBudget[[#This Row],[2021 Cost (USD)]:[2025 Cost (USD)]])</f>
        <v>0</v>
      </c>
      <c r="AK563" s="180"/>
    </row>
    <row r="564" spans="2:37" ht="12.75" customHeight="1">
      <c r="B564" s="123"/>
      <c r="C56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64" s="85" t="str">
        <f>IF(TblDetailBudget[[#This Row],[Level]]="", "", COUNTIFS($B$8:TblDetailBudget[[#This Row],[Level]], Lvl1Hdr))</f>
        <v/>
      </c>
      <c r="E564" s="85" t="str">
        <f>IF(TblDetailBudget[[#This Row],[Level]]="", "", COUNTIFS($B$8:TblDetailBudget[[#This Row],[Level]], Lvl2Hdr, $D$8:TblDetailBudget[[#This Row],[Lvl 1 Header]], TblDetailBudget[[#This Row],[Lvl 1 Header]]))</f>
        <v/>
      </c>
      <c r="F56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6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6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64" s="164"/>
      <c r="J564" s="164"/>
      <c r="K564" s="165"/>
      <c r="L564" s="165"/>
      <c r="M564" s="85" t="str">
        <f>IF(TblDetailBudget[[#This Row],[Level]]=LvlBottomHdr, IFERROR(INDEX(TblUnitCost[Unit], MATCH(TblDetailBudget[[#This Row],[Row Title]], TblUnitCost[Resource], 0)), "Invalid Resource"), "")</f>
        <v/>
      </c>
      <c r="N564" s="126" t="str">
        <f>IF(TblDetailBudget[[#This Row],[Level]]=LvlBottomHdr, IFERROR(INDEX(TblUnitCost[LCU], MATCH(TblDetailBudget[[#This Row],[Row Title]], TblUnitCost[Resource], 0)), "Invalid Resource"), "")</f>
        <v/>
      </c>
      <c r="O564" s="130"/>
      <c r="P564" s="109"/>
      <c r="Q564" s="186"/>
      <c r="R564" s="131"/>
      <c r="S564" s="109" t="s">
        <v>66</v>
      </c>
      <c r="T564" s="109" t="s">
        <v>66</v>
      </c>
      <c r="U564" s="109" t="s">
        <v>66</v>
      </c>
      <c r="V564" s="109" t="s">
        <v>66</v>
      </c>
      <c r="W564" s="109" t="s">
        <v>66</v>
      </c>
      <c r="X564" s="126" t="str">
        <f>IF(TblDetailBudget[[#This Row],[Level]]=LvlBottomHdr, IF(SUM(TblDetailBudget[[#This Row],[2021 Quant]:[2025 Quant]])&gt;0, SUM(TblDetailBudget[[#This Row],[2021 Quant]:[2025 Quant]]), ""), "")</f>
        <v/>
      </c>
      <c r="Y56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6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6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6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6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64" s="142">
        <f>SUM(TblDetailBudget[[#This Row],[2021 Cost (LCU)]:[2025 Cost (LCU)]])</f>
        <v>0</v>
      </c>
      <c r="AE564" s="135">
        <f>IFERROR(SUM(TblDetailBudget[[#This Row],[2021 Cost (LCU)]])/FX_Rate, "")</f>
        <v>0</v>
      </c>
      <c r="AF564" s="86">
        <f>IFERROR(SUM(TblDetailBudget[[#This Row],[2022 Cost (LCU)]])/FX_Rate, "")</f>
        <v>0</v>
      </c>
      <c r="AG564" s="86">
        <f>IFERROR(SUM(TblDetailBudget[[#This Row],[2023 Cost (LCU)]])/FX_Rate, "")</f>
        <v>0</v>
      </c>
      <c r="AH564" s="86">
        <f>IFERROR(SUM(TblDetailBudget[[#This Row],[2024 Cost (LCU)]])/FX_Rate, "")</f>
        <v>0</v>
      </c>
      <c r="AI564" s="86">
        <f>IFERROR(SUM(TblDetailBudget[[#This Row],[2025 Cost (LCU)]])/FX_Rate, "")</f>
        <v>0</v>
      </c>
      <c r="AJ564" s="126">
        <f>SUM(TblDetailBudget[[#This Row],[2021 Cost (USD)]:[2025 Cost (USD)]])</f>
        <v>0</v>
      </c>
      <c r="AK564" s="180"/>
    </row>
    <row r="565" spans="2:37" ht="12.75" customHeight="1">
      <c r="B565" s="123"/>
      <c r="C56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65" s="85" t="str">
        <f>IF(TblDetailBudget[[#This Row],[Level]]="", "", COUNTIFS($B$8:TblDetailBudget[[#This Row],[Level]], Lvl1Hdr))</f>
        <v/>
      </c>
      <c r="E565" s="85" t="str">
        <f>IF(TblDetailBudget[[#This Row],[Level]]="", "", COUNTIFS($B$8:TblDetailBudget[[#This Row],[Level]], Lvl2Hdr, $D$8:TblDetailBudget[[#This Row],[Lvl 1 Header]], TblDetailBudget[[#This Row],[Lvl 1 Header]]))</f>
        <v/>
      </c>
      <c r="F56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6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6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65" s="164"/>
      <c r="J565" s="164"/>
      <c r="K565" s="165"/>
      <c r="L565" s="165"/>
      <c r="M565" s="85" t="str">
        <f>IF(TblDetailBudget[[#This Row],[Level]]=LvlBottomHdr, IFERROR(INDEX(TblUnitCost[Unit], MATCH(TblDetailBudget[[#This Row],[Row Title]], TblUnitCost[Resource], 0)), "Invalid Resource"), "")</f>
        <v/>
      </c>
      <c r="N565" s="126" t="str">
        <f>IF(TblDetailBudget[[#This Row],[Level]]=LvlBottomHdr, IFERROR(INDEX(TblUnitCost[LCU], MATCH(TblDetailBudget[[#This Row],[Row Title]], TblUnitCost[Resource], 0)), "Invalid Resource"), "")</f>
        <v/>
      </c>
      <c r="O565" s="130"/>
      <c r="P565" s="109"/>
      <c r="Q565" s="186"/>
      <c r="R565" s="131"/>
      <c r="S565" s="109" t="s">
        <v>66</v>
      </c>
      <c r="T565" s="109" t="s">
        <v>66</v>
      </c>
      <c r="U565" s="109" t="s">
        <v>66</v>
      </c>
      <c r="V565" s="109" t="s">
        <v>66</v>
      </c>
      <c r="W565" s="109" t="s">
        <v>66</v>
      </c>
      <c r="X565" s="126" t="str">
        <f>IF(TblDetailBudget[[#This Row],[Level]]=LvlBottomHdr, IF(SUM(TblDetailBudget[[#This Row],[2021 Quant]:[2025 Quant]])&gt;0, SUM(TblDetailBudget[[#This Row],[2021 Quant]:[2025 Quant]]), ""), "")</f>
        <v/>
      </c>
      <c r="Y56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6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6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6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6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65" s="142">
        <f>SUM(TblDetailBudget[[#This Row],[2021 Cost (LCU)]:[2025 Cost (LCU)]])</f>
        <v>0</v>
      </c>
      <c r="AE565" s="135">
        <f>IFERROR(SUM(TblDetailBudget[[#This Row],[2021 Cost (LCU)]])/FX_Rate, "")</f>
        <v>0</v>
      </c>
      <c r="AF565" s="86">
        <f>IFERROR(SUM(TblDetailBudget[[#This Row],[2022 Cost (LCU)]])/FX_Rate, "")</f>
        <v>0</v>
      </c>
      <c r="AG565" s="86">
        <f>IFERROR(SUM(TblDetailBudget[[#This Row],[2023 Cost (LCU)]])/FX_Rate, "")</f>
        <v>0</v>
      </c>
      <c r="AH565" s="86">
        <f>IFERROR(SUM(TblDetailBudget[[#This Row],[2024 Cost (LCU)]])/FX_Rate, "")</f>
        <v>0</v>
      </c>
      <c r="AI565" s="86">
        <f>IFERROR(SUM(TblDetailBudget[[#This Row],[2025 Cost (LCU)]])/FX_Rate, "")</f>
        <v>0</v>
      </c>
      <c r="AJ565" s="126">
        <f>SUM(TblDetailBudget[[#This Row],[2021 Cost (USD)]:[2025 Cost (USD)]])</f>
        <v>0</v>
      </c>
      <c r="AK565" s="180"/>
    </row>
    <row r="566" spans="2:37" ht="12.75" customHeight="1">
      <c r="B566" s="123"/>
      <c r="C56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66" s="85" t="str">
        <f>IF(TblDetailBudget[[#This Row],[Level]]="", "", COUNTIFS($B$8:TblDetailBudget[[#This Row],[Level]], Lvl1Hdr))</f>
        <v/>
      </c>
      <c r="E566" s="85" t="str">
        <f>IF(TblDetailBudget[[#This Row],[Level]]="", "", COUNTIFS($B$8:TblDetailBudget[[#This Row],[Level]], Lvl2Hdr, $D$8:TblDetailBudget[[#This Row],[Lvl 1 Header]], TblDetailBudget[[#This Row],[Lvl 1 Header]]))</f>
        <v/>
      </c>
      <c r="F56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6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6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66" s="164"/>
      <c r="J566" s="164"/>
      <c r="K566" s="165"/>
      <c r="L566" s="165"/>
      <c r="M566" s="85" t="str">
        <f>IF(TblDetailBudget[[#This Row],[Level]]=LvlBottomHdr, IFERROR(INDEX(TblUnitCost[Unit], MATCH(TblDetailBudget[[#This Row],[Row Title]], TblUnitCost[Resource], 0)), "Invalid Resource"), "")</f>
        <v/>
      </c>
      <c r="N566" s="126" t="str">
        <f>IF(TblDetailBudget[[#This Row],[Level]]=LvlBottomHdr, IFERROR(INDEX(TblUnitCost[LCU], MATCH(TblDetailBudget[[#This Row],[Row Title]], TblUnitCost[Resource], 0)), "Invalid Resource"), "")</f>
        <v/>
      </c>
      <c r="O566" s="130"/>
      <c r="P566" s="109"/>
      <c r="Q566" s="186"/>
      <c r="R566" s="131"/>
      <c r="S566" s="109" t="s">
        <v>66</v>
      </c>
      <c r="T566" s="109" t="s">
        <v>66</v>
      </c>
      <c r="U566" s="109" t="s">
        <v>66</v>
      </c>
      <c r="V566" s="109" t="s">
        <v>66</v>
      </c>
      <c r="W566" s="109" t="s">
        <v>66</v>
      </c>
      <c r="X566" s="126" t="str">
        <f>IF(TblDetailBudget[[#This Row],[Level]]=LvlBottomHdr, IF(SUM(TblDetailBudget[[#This Row],[2021 Quant]:[2025 Quant]])&gt;0, SUM(TblDetailBudget[[#This Row],[2021 Quant]:[2025 Quant]]), ""), "")</f>
        <v/>
      </c>
      <c r="Y56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6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6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6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6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66" s="142">
        <f>SUM(TblDetailBudget[[#This Row],[2021 Cost (LCU)]:[2025 Cost (LCU)]])</f>
        <v>0</v>
      </c>
      <c r="AE566" s="135">
        <f>IFERROR(SUM(TblDetailBudget[[#This Row],[2021 Cost (LCU)]])/FX_Rate, "")</f>
        <v>0</v>
      </c>
      <c r="AF566" s="86">
        <f>IFERROR(SUM(TblDetailBudget[[#This Row],[2022 Cost (LCU)]])/FX_Rate, "")</f>
        <v>0</v>
      </c>
      <c r="AG566" s="86">
        <f>IFERROR(SUM(TblDetailBudget[[#This Row],[2023 Cost (LCU)]])/FX_Rate, "")</f>
        <v>0</v>
      </c>
      <c r="AH566" s="86">
        <f>IFERROR(SUM(TblDetailBudget[[#This Row],[2024 Cost (LCU)]])/FX_Rate, "")</f>
        <v>0</v>
      </c>
      <c r="AI566" s="86">
        <f>IFERROR(SUM(TblDetailBudget[[#This Row],[2025 Cost (LCU)]])/FX_Rate, "")</f>
        <v>0</v>
      </c>
      <c r="AJ566" s="126">
        <f>SUM(TblDetailBudget[[#This Row],[2021 Cost (USD)]:[2025 Cost (USD)]])</f>
        <v>0</v>
      </c>
      <c r="AK566" s="180"/>
    </row>
    <row r="567" spans="2:37" ht="12.75" customHeight="1">
      <c r="B567" s="123"/>
      <c r="C56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67" s="85" t="str">
        <f>IF(TblDetailBudget[[#This Row],[Level]]="", "", COUNTIFS($B$8:TblDetailBudget[[#This Row],[Level]], Lvl1Hdr))</f>
        <v/>
      </c>
      <c r="E567" s="85" t="str">
        <f>IF(TblDetailBudget[[#This Row],[Level]]="", "", COUNTIFS($B$8:TblDetailBudget[[#This Row],[Level]], Lvl2Hdr, $D$8:TblDetailBudget[[#This Row],[Lvl 1 Header]], TblDetailBudget[[#This Row],[Lvl 1 Header]]))</f>
        <v/>
      </c>
      <c r="F56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6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6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67" s="164"/>
      <c r="J567" s="164"/>
      <c r="K567" s="165"/>
      <c r="L567" s="165"/>
      <c r="M567" s="85" t="str">
        <f>IF(TblDetailBudget[[#This Row],[Level]]=LvlBottomHdr, IFERROR(INDEX(TblUnitCost[Unit], MATCH(TblDetailBudget[[#This Row],[Row Title]], TblUnitCost[Resource], 0)), "Invalid Resource"), "")</f>
        <v/>
      </c>
      <c r="N567" s="126" t="str">
        <f>IF(TblDetailBudget[[#This Row],[Level]]=LvlBottomHdr, IFERROR(INDEX(TblUnitCost[LCU], MATCH(TblDetailBudget[[#This Row],[Row Title]], TblUnitCost[Resource], 0)), "Invalid Resource"), "")</f>
        <v/>
      </c>
      <c r="O567" s="130"/>
      <c r="P567" s="109"/>
      <c r="Q567" s="186"/>
      <c r="R567" s="131"/>
      <c r="S567" s="109" t="s">
        <v>66</v>
      </c>
      <c r="T567" s="109" t="s">
        <v>66</v>
      </c>
      <c r="U567" s="109" t="s">
        <v>66</v>
      </c>
      <c r="V567" s="109" t="s">
        <v>66</v>
      </c>
      <c r="W567" s="109" t="s">
        <v>66</v>
      </c>
      <c r="X567" s="126" t="str">
        <f>IF(TblDetailBudget[[#This Row],[Level]]=LvlBottomHdr, IF(SUM(TblDetailBudget[[#This Row],[2021 Quant]:[2025 Quant]])&gt;0, SUM(TblDetailBudget[[#This Row],[2021 Quant]:[2025 Quant]]), ""), "")</f>
        <v/>
      </c>
      <c r="Y56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6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6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6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6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67" s="142">
        <f>SUM(TblDetailBudget[[#This Row],[2021 Cost (LCU)]:[2025 Cost (LCU)]])</f>
        <v>0</v>
      </c>
      <c r="AE567" s="135">
        <f>IFERROR(SUM(TblDetailBudget[[#This Row],[2021 Cost (LCU)]])/FX_Rate, "")</f>
        <v>0</v>
      </c>
      <c r="AF567" s="86">
        <f>IFERROR(SUM(TblDetailBudget[[#This Row],[2022 Cost (LCU)]])/FX_Rate, "")</f>
        <v>0</v>
      </c>
      <c r="AG567" s="86">
        <f>IFERROR(SUM(TblDetailBudget[[#This Row],[2023 Cost (LCU)]])/FX_Rate, "")</f>
        <v>0</v>
      </c>
      <c r="AH567" s="86">
        <f>IFERROR(SUM(TblDetailBudget[[#This Row],[2024 Cost (LCU)]])/FX_Rate, "")</f>
        <v>0</v>
      </c>
      <c r="AI567" s="86">
        <f>IFERROR(SUM(TblDetailBudget[[#This Row],[2025 Cost (LCU)]])/FX_Rate, "")</f>
        <v>0</v>
      </c>
      <c r="AJ567" s="126">
        <f>SUM(TblDetailBudget[[#This Row],[2021 Cost (USD)]:[2025 Cost (USD)]])</f>
        <v>0</v>
      </c>
      <c r="AK567" s="180"/>
    </row>
    <row r="568" spans="2:37" ht="12.75" customHeight="1">
      <c r="B568" s="123"/>
      <c r="C56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68" s="85" t="str">
        <f>IF(TblDetailBudget[[#This Row],[Level]]="", "", COUNTIFS($B$8:TblDetailBudget[[#This Row],[Level]], Lvl1Hdr))</f>
        <v/>
      </c>
      <c r="E568" s="85" t="str">
        <f>IF(TblDetailBudget[[#This Row],[Level]]="", "", COUNTIFS($B$8:TblDetailBudget[[#This Row],[Level]], Lvl2Hdr, $D$8:TblDetailBudget[[#This Row],[Lvl 1 Header]], TblDetailBudget[[#This Row],[Lvl 1 Header]]))</f>
        <v/>
      </c>
      <c r="F56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6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6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68" s="164"/>
      <c r="J568" s="164"/>
      <c r="K568" s="165"/>
      <c r="L568" s="165"/>
      <c r="M568" s="85" t="str">
        <f>IF(TblDetailBudget[[#This Row],[Level]]=LvlBottomHdr, IFERROR(INDEX(TblUnitCost[Unit], MATCH(TblDetailBudget[[#This Row],[Row Title]], TblUnitCost[Resource], 0)), "Invalid Resource"), "")</f>
        <v/>
      </c>
      <c r="N568" s="126" t="str">
        <f>IF(TblDetailBudget[[#This Row],[Level]]=LvlBottomHdr, IFERROR(INDEX(TblUnitCost[LCU], MATCH(TblDetailBudget[[#This Row],[Row Title]], TblUnitCost[Resource], 0)), "Invalid Resource"), "")</f>
        <v/>
      </c>
      <c r="O568" s="130"/>
      <c r="P568" s="109"/>
      <c r="Q568" s="186"/>
      <c r="R568" s="131"/>
      <c r="S568" s="109" t="s">
        <v>66</v>
      </c>
      <c r="T568" s="109" t="s">
        <v>66</v>
      </c>
      <c r="U568" s="109" t="s">
        <v>66</v>
      </c>
      <c r="V568" s="109" t="s">
        <v>66</v>
      </c>
      <c r="W568" s="109" t="s">
        <v>66</v>
      </c>
      <c r="X568" s="126" t="str">
        <f>IF(TblDetailBudget[[#This Row],[Level]]=LvlBottomHdr, IF(SUM(TblDetailBudget[[#This Row],[2021 Quant]:[2025 Quant]])&gt;0, SUM(TblDetailBudget[[#This Row],[2021 Quant]:[2025 Quant]]), ""), "")</f>
        <v/>
      </c>
      <c r="Y56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6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6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6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6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68" s="142">
        <f>SUM(TblDetailBudget[[#This Row],[2021 Cost (LCU)]:[2025 Cost (LCU)]])</f>
        <v>0</v>
      </c>
      <c r="AE568" s="135">
        <f>IFERROR(SUM(TblDetailBudget[[#This Row],[2021 Cost (LCU)]])/FX_Rate, "")</f>
        <v>0</v>
      </c>
      <c r="AF568" s="86">
        <f>IFERROR(SUM(TblDetailBudget[[#This Row],[2022 Cost (LCU)]])/FX_Rate, "")</f>
        <v>0</v>
      </c>
      <c r="AG568" s="86">
        <f>IFERROR(SUM(TblDetailBudget[[#This Row],[2023 Cost (LCU)]])/FX_Rate, "")</f>
        <v>0</v>
      </c>
      <c r="AH568" s="86">
        <f>IFERROR(SUM(TblDetailBudget[[#This Row],[2024 Cost (LCU)]])/FX_Rate, "")</f>
        <v>0</v>
      </c>
      <c r="AI568" s="86">
        <f>IFERROR(SUM(TblDetailBudget[[#This Row],[2025 Cost (LCU)]])/FX_Rate, "")</f>
        <v>0</v>
      </c>
      <c r="AJ568" s="126">
        <f>SUM(TblDetailBudget[[#This Row],[2021 Cost (USD)]:[2025 Cost (USD)]])</f>
        <v>0</v>
      </c>
      <c r="AK568" s="180"/>
    </row>
    <row r="569" spans="2:37" ht="12.75" customHeight="1">
      <c r="B569" s="123"/>
      <c r="C56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69" s="85" t="str">
        <f>IF(TblDetailBudget[[#This Row],[Level]]="", "", COUNTIFS($B$8:TblDetailBudget[[#This Row],[Level]], Lvl1Hdr))</f>
        <v/>
      </c>
      <c r="E569" s="85" t="str">
        <f>IF(TblDetailBudget[[#This Row],[Level]]="", "", COUNTIFS($B$8:TblDetailBudget[[#This Row],[Level]], Lvl2Hdr, $D$8:TblDetailBudget[[#This Row],[Lvl 1 Header]], TblDetailBudget[[#This Row],[Lvl 1 Header]]))</f>
        <v/>
      </c>
      <c r="F56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6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6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69" s="164"/>
      <c r="J569" s="164"/>
      <c r="K569" s="165"/>
      <c r="L569" s="165"/>
      <c r="M569" s="85" t="str">
        <f>IF(TblDetailBudget[[#This Row],[Level]]=LvlBottomHdr, IFERROR(INDEX(TblUnitCost[Unit], MATCH(TblDetailBudget[[#This Row],[Row Title]], TblUnitCost[Resource], 0)), "Invalid Resource"), "")</f>
        <v/>
      </c>
      <c r="N569" s="126" t="str">
        <f>IF(TblDetailBudget[[#This Row],[Level]]=LvlBottomHdr, IFERROR(INDEX(TblUnitCost[LCU], MATCH(TblDetailBudget[[#This Row],[Row Title]], TblUnitCost[Resource], 0)), "Invalid Resource"), "")</f>
        <v/>
      </c>
      <c r="O569" s="130"/>
      <c r="P569" s="109"/>
      <c r="Q569" s="186"/>
      <c r="R569" s="131"/>
      <c r="S569" s="109" t="s">
        <v>66</v>
      </c>
      <c r="T569" s="109" t="s">
        <v>66</v>
      </c>
      <c r="U569" s="109" t="s">
        <v>66</v>
      </c>
      <c r="V569" s="109" t="s">
        <v>66</v>
      </c>
      <c r="W569" s="109" t="s">
        <v>66</v>
      </c>
      <c r="X569" s="126" t="str">
        <f>IF(TblDetailBudget[[#This Row],[Level]]=LvlBottomHdr, IF(SUM(TblDetailBudget[[#This Row],[2021 Quant]:[2025 Quant]])&gt;0, SUM(TblDetailBudget[[#This Row],[2021 Quant]:[2025 Quant]]), ""), "")</f>
        <v/>
      </c>
      <c r="Y56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6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6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6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6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69" s="142">
        <f>SUM(TblDetailBudget[[#This Row],[2021 Cost (LCU)]:[2025 Cost (LCU)]])</f>
        <v>0</v>
      </c>
      <c r="AE569" s="135">
        <f>IFERROR(SUM(TblDetailBudget[[#This Row],[2021 Cost (LCU)]])/FX_Rate, "")</f>
        <v>0</v>
      </c>
      <c r="AF569" s="86">
        <f>IFERROR(SUM(TblDetailBudget[[#This Row],[2022 Cost (LCU)]])/FX_Rate, "")</f>
        <v>0</v>
      </c>
      <c r="AG569" s="86">
        <f>IFERROR(SUM(TblDetailBudget[[#This Row],[2023 Cost (LCU)]])/FX_Rate, "")</f>
        <v>0</v>
      </c>
      <c r="AH569" s="86">
        <f>IFERROR(SUM(TblDetailBudget[[#This Row],[2024 Cost (LCU)]])/FX_Rate, "")</f>
        <v>0</v>
      </c>
      <c r="AI569" s="86">
        <f>IFERROR(SUM(TblDetailBudget[[#This Row],[2025 Cost (LCU)]])/FX_Rate, "")</f>
        <v>0</v>
      </c>
      <c r="AJ569" s="126">
        <f>SUM(TblDetailBudget[[#This Row],[2021 Cost (USD)]:[2025 Cost (USD)]])</f>
        <v>0</v>
      </c>
      <c r="AK569" s="180"/>
    </row>
    <row r="570" spans="2:37" ht="12.75" customHeight="1">
      <c r="B570" s="123"/>
      <c r="C57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70" s="85" t="str">
        <f>IF(TblDetailBudget[[#This Row],[Level]]="", "", COUNTIFS($B$8:TblDetailBudget[[#This Row],[Level]], Lvl1Hdr))</f>
        <v/>
      </c>
      <c r="E570" s="85" t="str">
        <f>IF(TblDetailBudget[[#This Row],[Level]]="", "", COUNTIFS($B$8:TblDetailBudget[[#This Row],[Level]], Lvl2Hdr, $D$8:TblDetailBudget[[#This Row],[Lvl 1 Header]], TblDetailBudget[[#This Row],[Lvl 1 Header]]))</f>
        <v/>
      </c>
      <c r="F57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7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7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70" s="164"/>
      <c r="J570" s="164"/>
      <c r="K570" s="165"/>
      <c r="L570" s="165"/>
      <c r="M570" s="85" t="str">
        <f>IF(TblDetailBudget[[#This Row],[Level]]=LvlBottomHdr, IFERROR(INDEX(TblUnitCost[Unit], MATCH(TblDetailBudget[[#This Row],[Row Title]], TblUnitCost[Resource], 0)), "Invalid Resource"), "")</f>
        <v/>
      </c>
      <c r="N570" s="126" t="str">
        <f>IF(TblDetailBudget[[#This Row],[Level]]=LvlBottomHdr, IFERROR(INDEX(TblUnitCost[LCU], MATCH(TblDetailBudget[[#This Row],[Row Title]], TblUnitCost[Resource], 0)), "Invalid Resource"), "")</f>
        <v/>
      </c>
      <c r="O570" s="130"/>
      <c r="P570" s="109"/>
      <c r="Q570" s="186"/>
      <c r="R570" s="131"/>
      <c r="S570" s="109" t="s">
        <v>66</v>
      </c>
      <c r="T570" s="109" t="s">
        <v>66</v>
      </c>
      <c r="U570" s="109" t="s">
        <v>66</v>
      </c>
      <c r="V570" s="109" t="s">
        <v>66</v>
      </c>
      <c r="W570" s="109" t="s">
        <v>66</v>
      </c>
      <c r="X570" s="126" t="str">
        <f>IF(TblDetailBudget[[#This Row],[Level]]=LvlBottomHdr, IF(SUM(TblDetailBudget[[#This Row],[2021 Quant]:[2025 Quant]])&gt;0, SUM(TblDetailBudget[[#This Row],[2021 Quant]:[2025 Quant]]), ""), "")</f>
        <v/>
      </c>
      <c r="Y57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7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7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7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7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70" s="142">
        <f>SUM(TblDetailBudget[[#This Row],[2021 Cost (LCU)]:[2025 Cost (LCU)]])</f>
        <v>0</v>
      </c>
      <c r="AE570" s="135">
        <f>IFERROR(SUM(TblDetailBudget[[#This Row],[2021 Cost (LCU)]])/FX_Rate, "")</f>
        <v>0</v>
      </c>
      <c r="AF570" s="86">
        <f>IFERROR(SUM(TblDetailBudget[[#This Row],[2022 Cost (LCU)]])/FX_Rate, "")</f>
        <v>0</v>
      </c>
      <c r="AG570" s="86">
        <f>IFERROR(SUM(TblDetailBudget[[#This Row],[2023 Cost (LCU)]])/FX_Rate, "")</f>
        <v>0</v>
      </c>
      <c r="AH570" s="86">
        <f>IFERROR(SUM(TblDetailBudget[[#This Row],[2024 Cost (LCU)]])/FX_Rate, "")</f>
        <v>0</v>
      </c>
      <c r="AI570" s="86">
        <f>IFERROR(SUM(TblDetailBudget[[#This Row],[2025 Cost (LCU)]])/FX_Rate, "")</f>
        <v>0</v>
      </c>
      <c r="AJ570" s="126">
        <f>SUM(TblDetailBudget[[#This Row],[2021 Cost (USD)]:[2025 Cost (USD)]])</f>
        <v>0</v>
      </c>
      <c r="AK570" s="180"/>
    </row>
    <row r="571" spans="2:37" ht="12.75" customHeight="1">
      <c r="B571" s="123"/>
      <c r="C57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71" s="85" t="str">
        <f>IF(TblDetailBudget[[#This Row],[Level]]="", "", COUNTIFS($B$8:TblDetailBudget[[#This Row],[Level]], Lvl1Hdr))</f>
        <v/>
      </c>
      <c r="E571" s="85" t="str">
        <f>IF(TblDetailBudget[[#This Row],[Level]]="", "", COUNTIFS($B$8:TblDetailBudget[[#This Row],[Level]], Lvl2Hdr, $D$8:TblDetailBudget[[#This Row],[Lvl 1 Header]], TblDetailBudget[[#This Row],[Lvl 1 Header]]))</f>
        <v/>
      </c>
      <c r="F57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7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7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71" s="164"/>
      <c r="J571" s="164"/>
      <c r="K571" s="165"/>
      <c r="L571" s="165"/>
      <c r="M571" s="85" t="str">
        <f>IF(TblDetailBudget[[#This Row],[Level]]=LvlBottomHdr, IFERROR(INDEX(TblUnitCost[Unit], MATCH(TblDetailBudget[[#This Row],[Row Title]], TblUnitCost[Resource], 0)), "Invalid Resource"), "")</f>
        <v/>
      </c>
      <c r="N571" s="126" t="str">
        <f>IF(TblDetailBudget[[#This Row],[Level]]=LvlBottomHdr, IFERROR(INDEX(TblUnitCost[LCU], MATCH(TblDetailBudget[[#This Row],[Row Title]], TblUnitCost[Resource], 0)), "Invalid Resource"), "")</f>
        <v/>
      </c>
      <c r="O571" s="130"/>
      <c r="P571" s="109"/>
      <c r="Q571" s="186"/>
      <c r="R571" s="131"/>
      <c r="S571" s="109" t="s">
        <v>66</v>
      </c>
      <c r="T571" s="109" t="s">
        <v>66</v>
      </c>
      <c r="U571" s="109" t="s">
        <v>66</v>
      </c>
      <c r="V571" s="109" t="s">
        <v>66</v>
      </c>
      <c r="W571" s="109" t="s">
        <v>66</v>
      </c>
      <c r="X571" s="126" t="str">
        <f>IF(TblDetailBudget[[#This Row],[Level]]=LvlBottomHdr, IF(SUM(TblDetailBudget[[#This Row],[2021 Quant]:[2025 Quant]])&gt;0, SUM(TblDetailBudget[[#This Row],[2021 Quant]:[2025 Quant]]), ""), "")</f>
        <v/>
      </c>
      <c r="Y57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7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7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7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7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71" s="142">
        <f>SUM(TblDetailBudget[[#This Row],[2021 Cost (LCU)]:[2025 Cost (LCU)]])</f>
        <v>0</v>
      </c>
      <c r="AE571" s="135">
        <f>IFERROR(SUM(TblDetailBudget[[#This Row],[2021 Cost (LCU)]])/FX_Rate, "")</f>
        <v>0</v>
      </c>
      <c r="AF571" s="86">
        <f>IFERROR(SUM(TblDetailBudget[[#This Row],[2022 Cost (LCU)]])/FX_Rate, "")</f>
        <v>0</v>
      </c>
      <c r="AG571" s="86">
        <f>IFERROR(SUM(TblDetailBudget[[#This Row],[2023 Cost (LCU)]])/FX_Rate, "")</f>
        <v>0</v>
      </c>
      <c r="AH571" s="86">
        <f>IFERROR(SUM(TblDetailBudget[[#This Row],[2024 Cost (LCU)]])/FX_Rate, "")</f>
        <v>0</v>
      </c>
      <c r="AI571" s="86">
        <f>IFERROR(SUM(TblDetailBudget[[#This Row],[2025 Cost (LCU)]])/FX_Rate, "")</f>
        <v>0</v>
      </c>
      <c r="AJ571" s="126">
        <f>SUM(TblDetailBudget[[#This Row],[2021 Cost (USD)]:[2025 Cost (USD)]])</f>
        <v>0</v>
      </c>
      <c r="AK571" s="180"/>
    </row>
    <row r="572" spans="2:37" ht="12.75" customHeight="1">
      <c r="B572" s="123"/>
      <c r="C57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72" s="85" t="str">
        <f>IF(TblDetailBudget[[#This Row],[Level]]="", "", COUNTIFS($B$8:TblDetailBudget[[#This Row],[Level]], Lvl1Hdr))</f>
        <v/>
      </c>
      <c r="E572" s="85" t="str">
        <f>IF(TblDetailBudget[[#This Row],[Level]]="", "", COUNTIFS($B$8:TblDetailBudget[[#This Row],[Level]], Lvl2Hdr, $D$8:TblDetailBudget[[#This Row],[Lvl 1 Header]], TblDetailBudget[[#This Row],[Lvl 1 Header]]))</f>
        <v/>
      </c>
      <c r="F57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7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7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72" s="164"/>
      <c r="J572" s="164"/>
      <c r="K572" s="165"/>
      <c r="L572" s="165"/>
      <c r="M572" s="85" t="str">
        <f>IF(TblDetailBudget[[#This Row],[Level]]=LvlBottomHdr, IFERROR(INDEX(TblUnitCost[Unit], MATCH(TblDetailBudget[[#This Row],[Row Title]], TblUnitCost[Resource], 0)), "Invalid Resource"), "")</f>
        <v/>
      </c>
      <c r="N572" s="126" t="str">
        <f>IF(TblDetailBudget[[#This Row],[Level]]=LvlBottomHdr, IFERROR(INDEX(TblUnitCost[LCU], MATCH(TblDetailBudget[[#This Row],[Row Title]], TblUnitCost[Resource], 0)), "Invalid Resource"), "")</f>
        <v/>
      </c>
      <c r="O572" s="130"/>
      <c r="P572" s="109"/>
      <c r="Q572" s="186"/>
      <c r="R572" s="131"/>
      <c r="S572" s="109" t="s">
        <v>66</v>
      </c>
      <c r="T572" s="109" t="s">
        <v>66</v>
      </c>
      <c r="U572" s="109" t="s">
        <v>66</v>
      </c>
      <c r="V572" s="109" t="s">
        <v>66</v>
      </c>
      <c r="W572" s="109" t="s">
        <v>66</v>
      </c>
      <c r="X572" s="126" t="str">
        <f>IF(TblDetailBudget[[#This Row],[Level]]=LvlBottomHdr, IF(SUM(TblDetailBudget[[#This Row],[2021 Quant]:[2025 Quant]])&gt;0, SUM(TblDetailBudget[[#This Row],[2021 Quant]:[2025 Quant]]), ""), "")</f>
        <v/>
      </c>
      <c r="Y57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7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7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7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7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72" s="142">
        <f>SUM(TblDetailBudget[[#This Row],[2021 Cost (LCU)]:[2025 Cost (LCU)]])</f>
        <v>0</v>
      </c>
      <c r="AE572" s="135">
        <f>IFERROR(SUM(TblDetailBudget[[#This Row],[2021 Cost (LCU)]])/FX_Rate, "")</f>
        <v>0</v>
      </c>
      <c r="AF572" s="86">
        <f>IFERROR(SUM(TblDetailBudget[[#This Row],[2022 Cost (LCU)]])/FX_Rate, "")</f>
        <v>0</v>
      </c>
      <c r="AG572" s="86">
        <f>IFERROR(SUM(TblDetailBudget[[#This Row],[2023 Cost (LCU)]])/FX_Rate, "")</f>
        <v>0</v>
      </c>
      <c r="AH572" s="86">
        <f>IFERROR(SUM(TblDetailBudget[[#This Row],[2024 Cost (LCU)]])/FX_Rate, "")</f>
        <v>0</v>
      </c>
      <c r="AI572" s="86">
        <f>IFERROR(SUM(TblDetailBudget[[#This Row],[2025 Cost (LCU)]])/FX_Rate, "")</f>
        <v>0</v>
      </c>
      <c r="AJ572" s="126">
        <f>SUM(TblDetailBudget[[#This Row],[2021 Cost (USD)]:[2025 Cost (USD)]])</f>
        <v>0</v>
      </c>
      <c r="AK572" s="180"/>
    </row>
    <row r="573" spans="2:37" ht="12.75" customHeight="1">
      <c r="B573" s="123"/>
      <c r="C57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73" s="85" t="str">
        <f>IF(TblDetailBudget[[#This Row],[Level]]="", "", COUNTIFS($B$8:TblDetailBudget[[#This Row],[Level]], Lvl1Hdr))</f>
        <v/>
      </c>
      <c r="E573" s="85" t="str">
        <f>IF(TblDetailBudget[[#This Row],[Level]]="", "", COUNTIFS($B$8:TblDetailBudget[[#This Row],[Level]], Lvl2Hdr, $D$8:TblDetailBudget[[#This Row],[Lvl 1 Header]], TblDetailBudget[[#This Row],[Lvl 1 Header]]))</f>
        <v/>
      </c>
      <c r="F57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7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7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73" s="164"/>
      <c r="J573" s="164"/>
      <c r="K573" s="165"/>
      <c r="L573" s="165"/>
      <c r="M573" s="85" t="str">
        <f>IF(TblDetailBudget[[#This Row],[Level]]=LvlBottomHdr, IFERROR(INDEX(TblUnitCost[Unit], MATCH(TblDetailBudget[[#This Row],[Row Title]], TblUnitCost[Resource], 0)), "Invalid Resource"), "")</f>
        <v/>
      </c>
      <c r="N573" s="126" t="str">
        <f>IF(TblDetailBudget[[#This Row],[Level]]=LvlBottomHdr, IFERROR(INDEX(TblUnitCost[LCU], MATCH(TblDetailBudget[[#This Row],[Row Title]], TblUnitCost[Resource], 0)), "Invalid Resource"), "")</f>
        <v/>
      </c>
      <c r="O573" s="130"/>
      <c r="P573" s="109"/>
      <c r="Q573" s="186"/>
      <c r="R573" s="131"/>
      <c r="S573" s="109" t="s">
        <v>66</v>
      </c>
      <c r="T573" s="109" t="s">
        <v>66</v>
      </c>
      <c r="U573" s="109" t="s">
        <v>66</v>
      </c>
      <c r="V573" s="109" t="s">
        <v>66</v>
      </c>
      <c r="W573" s="109" t="s">
        <v>66</v>
      </c>
      <c r="X573" s="126" t="str">
        <f>IF(TblDetailBudget[[#This Row],[Level]]=LvlBottomHdr, IF(SUM(TblDetailBudget[[#This Row],[2021 Quant]:[2025 Quant]])&gt;0, SUM(TblDetailBudget[[#This Row],[2021 Quant]:[2025 Quant]]), ""), "")</f>
        <v/>
      </c>
      <c r="Y57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7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7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7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7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73" s="142">
        <f>SUM(TblDetailBudget[[#This Row],[2021 Cost (LCU)]:[2025 Cost (LCU)]])</f>
        <v>0</v>
      </c>
      <c r="AE573" s="135">
        <f>IFERROR(SUM(TblDetailBudget[[#This Row],[2021 Cost (LCU)]])/FX_Rate, "")</f>
        <v>0</v>
      </c>
      <c r="AF573" s="86">
        <f>IFERROR(SUM(TblDetailBudget[[#This Row],[2022 Cost (LCU)]])/FX_Rate, "")</f>
        <v>0</v>
      </c>
      <c r="AG573" s="86">
        <f>IFERROR(SUM(TblDetailBudget[[#This Row],[2023 Cost (LCU)]])/FX_Rate, "")</f>
        <v>0</v>
      </c>
      <c r="AH573" s="86">
        <f>IFERROR(SUM(TblDetailBudget[[#This Row],[2024 Cost (LCU)]])/FX_Rate, "")</f>
        <v>0</v>
      </c>
      <c r="AI573" s="86">
        <f>IFERROR(SUM(TblDetailBudget[[#This Row],[2025 Cost (LCU)]])/FX_Rate, "")</f>
        <v>0</v>
      </c>
      <c r="AJ573" s="126">
        <f>SUM(TblDetailBudget[[#This Row],[2021 Cost (USD)]:[2025 Cost (USD)]])</f>
        <v>0</v>
      </c>
      <c r="AK573" s="180"/>
    </row>
    <row r="574" spans="2:37" ht="12.75" customHeight="1">
      <c r="B574" s="123"/>
      <c r="C57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74" s="85" t="str">
        <f>IF(TblDetailBudget[[#This Row],[Level]]="", "", COUNTIFS($B$8:TblDetailBudget[[#This Row],[Level]], Lvl1Hdr))</f>
        <v/>
      </c>
      <c r="E574" s="85" t="str">
        <f>IF(TblDetailBudget[[#This Row],[Level]]="", "", COUNTIFS($B$8:TblDetailBudget[[#This Row],[Level]], Lvl2Hdr, $D$8:TblDetailBudget[[#This Row],[Lvl 1 Header]], TblDetailBudget[[#This Row],[Lvl 1 Header]]))</f>
        <v/>
      </c>
      <c r="F57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7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7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74" s="164"/>
      <c r="J574" s="164"/>
      <c r="K574" s="165"/>
      <c r="L574" s="165"/>
      <c r="M574" s="85" t="str">
        <f>IF(TblDetailBudget[[#This Row],[Level]]=LvlBottomHdr, IFERROR(INDEX(TblUnitCost[Unit], MATCH(TblDetailBudget[[#This Row],[Row Title]], TblUnitCost[Resource], 0)), "Invalid Resource"), "")</f>
        <v/>
      </c>
      <c r="N574" s="126" t="str">
        <f>IF(TblDetailBudget[[#This Row],[Level]]=LvlBottomHdr, IFERROR(INDEX(TblUnitCost[LCU], MATCH(TblDetailBudget[[#This Row],[Row Title]], TblUnitCost[Resource], 0)), "Invalid Resource"), "")</f>
        <v/>
      </c>
      <c r="O574" s="130"/>
      <c r="P574" s="109"/>
      <c r="Q574" s="186"/>
      <c r="R574" s="131"/>
      <c r="S574" s="109" t="s">
        <v>66</v>
      </c>
      <c r="T574" s="109" t="s">
        <v>66</v>
      </c>
      <c r="U574" s="109" t="s">
        <v>66</v>
      </c>
      <c r="V574" s="109" t="s">
        <v>66</v>
      </c>
      <c r="W574" s="109" t="s">
        <v>66</v>
      </c>
      <c r="X574" s="126" t="str">
        <f>IF(TblDetailBudget[[#This Row],[Level]]=LvlBottomHdr, IF(SUM(TblDetailBudget[[#This Row],[2021 Quant]:[2025 Quant]])&gt;0, SUM(TblDetailBudget[[#This Row],[2021 Quant]:[2025 Quant]]), ""), "")</f>
        <v/>
      </c>
      <c r="Y57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7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7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7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7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74" s="142">
        <f>SUM(TblDetailBudget[[#This Row],[2021 Cost (LCU)]:[2025 Cost (LCU)]])</f>
        <v>0</v>
      </c>
      <c r="AE574" s="135">
        <f>IFERROR(SUM(TblDetailBudget[[#This Row],[2021 Cost (LCU)]])/FX_Rate, "")</f>
        <v>0</v>
      </c>
      <c r="AF574" s="86">
        <f>IFERROR(SUM(TblDetailBudget[[#This Row],[2022 Cost (LCU)]])/FX_Rate, "")</f>
        <v>0</v>
      </c>
      <c r="AG574" s="86">
        <f>IFERROR(SUM(TblDetailBudget[[#This Row],[2023 Cost (LCU)]])/FX_Rate, "")</f>
        <v>0</v>
      </c>
      <c r="AH574" s="86">
        <f>IFERROR(SUM(TblDetailBudget[[#This Row],[2024 Cost (LCU)]])/FX_Rate, "")</f>
        <v>0</v>
      </c>
      <c r="AI574" s="86">
        <f>IFERROR(SUM(TblDetailBudget[[#This Row],[2025 Cost (LCU)]])/FX_Rate, "")</f>
        <v>0</v>
      </c>
      <c r="AJ574" s="126">
        <f>SUM(TblDetailBudget[[#This Row],[2021 Cost (USD)]:[2025 Cost (USD)]])</f>
        <v>0</v>
      </c>
      <c r="AK574" s="180"/>
    </row>
    <row r="575" spans="2:37" ht="12.75" customHeight="1">
      <c r="B575" s="123"/>
      <c r="C57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75" s="85" t="str">
        <f>IF(TblDetailBudget[[#This Row],[Level]]="", "", COUNTIFS($B$8:TblDetailBudget[[#This Row],[Level]], Lvl1Hdr))</f>
        <v/>
      </c>
      <c r="E575" s="85" t="str">
        <f>IF(TblDetailBudget[[#This Row],[Level]]="", "", COUNTIFS($B$8:TblDetailBudget[[#This Row],[Level]], Lvl2Hdr, $D$8:TblDetailBudget[[#This Row],[Lvl 1 Header]], TblDetailBudget[[#This Row],[Lvl 1 Header]]))</f>
        <v/>
      </c>
      <c r="F57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7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7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75" s="164"/>
      <c r="J575" s="164"/>
      <c r="K575" s="165"/>
      <c r="L575" s="165"/>
      <c r="M575" s="85" t="str">
        <f>IF(TblDetailBudget[[#This Row],[Level]]=LvlBottomHdr, IFERROR(INDEX(TblUnitCost[Unit], MATCH(TblDetailBudget[[#This Row],[Row Title]], TblUnitCost[Resource], 0)), "Invalid Resource"), "")</f>
        <v/>
      </c>
      <c r="N575" s="126" t="str">
        <f>IF(TblDetailBudget[[#This Row],[Level]]=LvlBottomHdr, IFERROR(INDEX(TblUnitCost[LCU], MATCH(TblDetailBudget[[#This Row],[Row Title]], TblUnitCost[Resource], 0)), "Invalid Resource"), "")</f>
        <v/>
      </c>
      <c r="O575" s="130"/>
      <c r="P575" s="109"/>
      <c r="Q575" s="186"/>
      <c r="R575" s="131"/>
      <c r="S575" s="109" t="s">
        <v>66</v>
      </c>
      <c r="T575" s="109" t="s">
        <v>66</v>
      </c>
      <c r="U575" s="109" t="s">
        <v>66</v>
      </c>
      <c r="V575" s="109" t="s">
        <v>66</v>
      </c>
      <c r="W575" s="109" t="s">
        <v>66</v>
      </c>
      <c r="X575" s="126" t="str">
        <f>IF(TblDetailBudget[[#This Row],[Level]]=LvlBottomHdr, IF(SUM(TblDetailBudget[[#This Row],[2021 Quant]:[2025 Quant]])&gt;0, SUM(TblDetailBudget[[#This Row],[2021 Quant]:[2025 Quant]]), ""), "")</f>
        <v/>
      </c>
      <c r="Y57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7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7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7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7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75" s="142">
        <f>SUM(TblDetailBudget[[#This Row],[2021 Cost (LCU)]:[2025 Cost (LCU)]])</f>
        <v>0</v>
      </c>
      <c r="AE575" s="135">
        <f>IFERROR(SUM(TblDetailBudget[[#This Row],[2021 Cost (LCU)]])/FX_Rate, "")</f>
        <v>0</v>
      </c>
      <c r="AF575" s="86">
        <f>IFERROR(SUM(TblDetailBudget[[#This Row],[2022 Cost (LCU)]])/FX_Rate, "")</f>
        <v>0</v>
      </c>
      <c r="AG575" s="86">
        <f>IFERROR(SUM(TblDetailBudget[[#This Row],[2023 Cost (LCU)]])/FX_Rate, "")</f>
        <v>0</v>
      </c>
      <c r="AH575" s="86">
        <f>IFERROR(SUM(TblDetailBudget[[#This Row],[2024 Cost (LCU)]])/FX_Rate, "")</f>
        <v>0</v>
      </c>
      <c r="AI575" s="86">
        <f>IFERROR(SUM(TblDetailBudget[[#This Row],[2025 Cost (LCU)]])/FX_Rate, "")</f>
        <v>0</v>
      </c>
      <c r="AJ575" s="126">
        <f>SUM(TblDetailBudget[[#This Row],[2021 Cost (USD)]:[2025 Cost (USD)]])</f>
        <v>0</v>
      </c>
      <c r="AK575" s="180"/>
    </row>
    <row r="576" spans="2:37" ht="12.75" customHeight="1">
      <c r="B576" s="123"/>
      <c r="C57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76" s="85" t="str">
        <f>IF(TblDetailBudget[[#This Row],[Level]]="", "", COUNTIFS($B$8:TblDetailBudget[[#This Row],[Level]], Lvl1Hdr))</f>
        <v/>
      </c>
      <c r="E576" s="85" t="str">
        <f>IF(TblDetailBudget[[#This Row],[Level]]="", "", COUNTIFS($B$8:TblDetailBudget[[#This Row],[Level]], Lvl2Hdr, $D$8:TblDetailBudget[[#This Row],[Lvl 1 Header]], TblDetailBudget[[#This Row],[Lvl 1 Header]]))</f>
        <v/>
      </c>
      <c r="F57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7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7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76" s="164"/>
      <c r="J576" s="164"/>
      <c r="K576" s="165"/>
      <c r="L576" s="165"/>
      <c r="M576" s="85" t="str">
        <f>IF(TblDetailBudget[[#This Row],[Level]]=LvlBottomHdr, IFERROR(INDEX(TblUnitCost[Unit], MATCH(TblDetailBudget[[#This Row],[Row Title]], TblUnitCost[Resource], 0)), "Invalid Resource"), "")</f>
        <v/>
      </c>
      <c r="N576" s="126" t="str">
        <f>IF(TblDetailBudget[[#This Row],[Level]]=LvlBottomHdr, IFERROR(INDEX(TblUnitCost[LCU], MATCH(TblDetailBudget[[#This Row],[Row Title]], TblUnitCost[Resource], 0)), "Invalid Resource"), "")</f>
        <v/>
      </c>
      <c r="O576" s="130"/>
      <c r="P576" s="109"/>
      <c r="Q576" s="186"/>
      <c r="R576" s="131"/>
      <c r="S576" s="109" t="s">
        <v>66</v>
      </c>
      <c r="T576" s="109" t="s">
        <v>66</v>
      </c>
      <c r="U576" s="109" t="s">
        <v>66</v>
      </c>
      <c r="V576" s="109" t="s">
        <v>66</v>
      </c>
      <c r="W576" s="109" t="s">
        <v>66</v>
      </c>
      <c r="X576" s="126" t="str">
        <f>IF(TblDetailBudget[[#This Row],[Level]]=LvlBottomHdr, IF(SUM(TblDetailBudget[[#This Row],[2021 Quant]:[2025 Quant]])&gt;0, SUM(TblDetailBudget[[#This Row],[2021 Quant]:[2025 Quant]]), ""), "")</f>
        <v/>
      </c>
      <c r="Y57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7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7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7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7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76" s="142">
        <f>SUM(TblDetailBudget[[#This Row],[2021 Cost (LCU)]:[2025 Cost (LCU)]])</f>
        <v>0</v>
      </c>
      <c r="AE576" s="135">
        <f>IFERROR(SUM(TblDetailBudget[[#This Row],[2021 Cost (LCU)]])/FX_Rate, "")</f>
        <v>0</v>
      </c>
      <c r="AF576" s="86">
        <f>IFERROR(SUM(TblDetailBudget[[#This Row],[2022 Cost (LCU)]])/FX_Rate, "")</f>
        <v>0</v>
      </c>
      <c r="AG576" s="86">
        <f>IFERROR(SUM(TblDetailBudget[[#This Row],[2023 Cost (LCU)]])/FX_Rate, "")</f>
        <v>0</v>
      </c>
      <c r="AH576" s="86">
        <f>IFERROR(SUM(TblDetailBudget[[#This Row],[2024 Cost (LCU)]])/FX_Rate, "")</f>
        <v>0</v>
      </c>
      <c r="AI576" s="86">
        <f>IFERROR(SUM(TblDetailBudget[[#This Row],[2025 Cost (LCU)]])/FX_Rate, "")</f>
        <v>0</v>
      </c>
      <c r="AJ576" s="126">
        <f>SUM(TblDetailBudget[[#This Row],[2021 Cost (USD)]:[2025 Cost (USD)]])</f>
        <v>0</v>
      </c>
      <c r="AK576" s="180"/>
    </row>
    <row r="577" spans="2:37" ht="12.75" customHeight="1">
      <c r="B577" s="123"/>
      <c r="C57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77" s="85" t="str">
        <f>IF(TblDetailBudget[[#This Row],[Level]]="", "", COUNTIFS($B$8:TblDetailBudget[[#This Row],[Level]], Lvl1Hdr))</f>
        <v/>
      </c>
      <c r="E577" s="85" t="str">
        <f>IF(TblDetailBudget[[#This Row],[Level]]="", "", COUNTIFS($B$8:TblDetailBudget[[#This Row],[Level]], Lvl2Hdr, $D$8:TblDetailBudget[[#This Row],[Lvl 1 Header]], TblDetailBudget[[#This Row],[Lvl 1 Header]]))</f>
        <v/>
      </c>
      <c r="F57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7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7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77" s="164"/>
      <c r="J577" s="164"/>
      <c r="K577" s="165"/>
      <c r="L577" s="165"/>
      <c r="M577" s="85" t="str">
        <f>IF(TblDetailBudget[[#This Row],[Level]]=LvlBottomHdr, IFERROR(INDEX(TblUnitCost[Unit], MATCH(TblDetailBudget[[#This Row],[Row Title]], TblUnitCost[Resource], 0)), "Invalid Resource"), "")</f>
        <v/>
      </c>
      <c r="N577" s="126" t="str">
        <f>IF(TblDetailBudget[[#This Row],[Level]]=LvlBottomHdr, IFERROR(INDEX(TblUnitCost[LCU], MATCH(TblDetailBudget[[#This Row],[Row Title]], TblUnitCost[Resource], 0)), "Invalid Resource"), "")</f>
        <v/>
      </c>
      <c r="O577" s="130"/>
      <c r="P577" s="109"/>
      <c r="Q577" s="186"/>
      <c r="R577" s="131"/>
      <c r="S577" s="109" t="s">
        <v>66</v>
      </c>
      <c r="T577" s="109" t="s">
        <v>66</v>
      </c>
      <c r="U577" s="109" t="s">
        <v>66</v>
      </c>
      <c r="V577" s="109" t="s">
        <v>66</v>
      </c>
      <c r="W577" s="109" t="s">
        <v>66</v>
      </c>
      <c r="X577" s="126" t="str">
        <f>IF(TblDetailBudget[[#This Row],[Level]]=LvlBottomHdr, IF(SUM(TblDetailBudget[[#This Row],[2021 Quant]:[2025 Quant]])&gt;0, SUM(TblDetailBudget[[#This Row],[2021 Quant]:[2025 Quant]]), ""), "")</f>
        <v/>
      </c>
      <c r="Y57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7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7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7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7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77" s="142">
        <f>SUM(TblDetailBudget[[#This Row],[2021 Cost (LCU)]:[2025 Cost (LCU)]])</f>
        <v>0</v>
      </c>
      <c r="AE577" s="135">
        <f>IFERROR(SUM(TblDetailBudget[[#This Row],[2021 Cost (LCU)]])/FX_Rate, "")</f>
        <v>0</v>
      </c>
      <c r="AF577" s="86">
        <f>IFERROR(SUM(TblDetailBudget[[#This Row],[2022 Cost (LCU)]])/FX_Rate, "")</f>
        <v>0</v>
      </c>
      <c r="AG577" s="86">
        <f>IFERROR(SUM(TblDetailBudget[[#This Row],[2023 Cost (LCU)]])/FX_Rate, "")</f>
        <v>0</v>
      </c>
      <c r="AH577" s="86">
        <f>IFERROR(SUM(TblDetailBudget[[#This Row],[2024 Cost (LCU)]])/FX_Rate, "")</f>
        <v>0</v>
      </c>
      <c r="AI577" s="86">
        <f>IFERROR(SUM(TblDetailBudget[[#This Row],[2025 Cost (LCU)]])/FX_Rate, "")</f>
        <v>0</v>
      </c>
      <c r="AJ577" s="126">
        <f>SUM(TblDetailBudget[[#This Row],[2021 Cost (USD)]:[2025 Cost (USD)]])</f>
        <v>0</v>
      </c>
      <c r="AK577" s="180"/>
    </row>
    <row r="578" spans="2:37" ht="12.75" customHeight="1">
      <c r="B578" s="123"/>
      <c r="C57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78" s="85" t="str">
        <f>IF(TblDetailBudget[[#This Row],[Level]]="", "", COUNTIFS($B$8:TblDetailBudget[[#This Row],[Level]], Lvl1Hdr))</f>
        <v/>
      </c>
      <c r="E578" s="85" t="str">
        <f>IF(TblDetailBudget[[#This Row],[Level]]="", "", COUNTIFS($B$8:TblDetailBudget[[#This Row],[Level]], Lvl2Hdr, $D$8:TblDetailBudget[[#This Row],[Lvl 1 Header]], TblDetailBudget[[#This Row],[Lvl 1 Header]]))</f>
        <v/>
      </c>
      <c r="F57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7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7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78" s="164"/>
      <c r="J578" s="164"/>
      <c r="K578" s="165"/>
      <c r="L578" s="165"/>
      <c r="M578" s="85" t="str">
        <f>IF(TblDetailBudget[[#This Row],[Level]]=LvlBottomHdr, IFERROR(INDEX(TblUnitCost[Unit], MATCH(TblDetailBudget[[#This Row],[Row Title]], TblUnitCost[Resource], 0)), "Invalid Resource"), "")</f>
        <v/>
      </c>
      <c r="N578" s="126" t="str">
        <f>IF(TblDetailBudget[[#This Row],[Level]]=LvlBottomHdr, IFERROR(INDEX(TblUnitCost[LCU], MATCH(TblDetailBudget[[#This Row],[Row Title]], TblUnitCost[Resource], 0)), "Invalid Resource"), "")</f>
        <v/>
      </c>
      <c r="O578" s="130"/>
      <c r="P578" s="109"/>
      <c r="Q578" s="186"/>
      <c r="R578" s="131"/>
      <c r="S578" s="109" t="s">
        <v>66</v>
      </c>
      <c r="T578" s="109" t="s">
        <v>66</v>
      </c>
      <c r="U578" s="109" t="s">
        <v>66</v>
      </c>
      <c r="V578" s="109" t="s">
        <v>66</v>
      </c>
      <c r="W578" s="109" t="s">
        <v>66</v>
      </c>
      <c r="X578" s="126" t="str">
        <f>IF(TblDetailBudget[[#This Row],[Level]]=LvlBottomHdr, IF(SUM(TblDetailBudget[[#This Row],[2021 Quant]:[2025 Quant]])&gt;0, SUM(TblDetailBudget[[#This Row],[2021 Quant]:[2025 Quant]]), ""), "")</f>
        <v/>
      </c>
      <c r="Y57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7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7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7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7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78" s="142">
        <f>SUM(TblDetailBudget[[#This Row],[2021 Cost (LCU)]:[2025 Cost (LCU)]])</f>
        <v>0</v>
      </c>
      <c r="AE578" s="135">
        <f>IFERROR(SUM(TblDetailBudget[[#This Row],[2021 Cost (LCU)]])/FX_Rate, "")</f>
        <v>0</v>
      </c>
      <c r="AF578" s="86">
        <f>IFERROR(SUM(TblDetailBudget[[#This Row],[2022 Cost (LCU)]])/FX_Rate, "")</f>
        <v>0</v>
      </c>
      <c r="AG578" s="86">
        <f>IFERROR(SUM(TblDetailBudget[[#This Row],[2023 Cost (LCU)]])/FX_Rate, "")</f>
        <v>0</v>
      </c>
      <c r="AH578" s="86">
        <f>IFERROR(SUM(TblDetailBudget[[#This Row],[2024 Cost (LCU)]])/FX_Rate, "")</f>
        <v>0</v>
      </c>
      <c r="AI578" s="86">
        <f>IFERROR(SUM(TblDetailBudget[[#This Row],[2025 Cost (LCU)]])/FX_Rate, "")</f>
        <v>0</v>
      </c>
      <c r="AJ578" s="126">
        <f>SUM(TblDetailBudget[[#This Row],[2021 Cost (USD)]:[2025 Cost (USD)]])</f>
        <v>0</v>
      </c>
      <c r="AK578" s="180"/>
    </row>
    <row r="579" spans="2:37" ht="12.75" customHeight="1">
      <c r="B579" s="123"/>
      <c r="C57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79" s="85" t="str">
        <f>IF(TblDetailBudget[[#This Row],[Level]]="", "", COUNTIFS($B$8:TblDetailBudget[[#This Row],[Level]], Lvl1Hdr))</f>
        <v/>
      </c>
      <c r="E579" s="85" t="str">
        <f>IF(TblDetailBudget[[#This Row],[Level]]="", "", COUNTIFS($B$8:TblDetailBudget[[#This Row],[Level]], Lvl2Hdr, $D$8:TblDetailBudget[[#This Row],[Lvl 1 Header]], TblDetailBudget[[#This Row],[Lvl 1 Header]]))</f>
        <v/>
      </c>
      <c r="F57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7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7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79" s="164"/>
      <c r="J579" s="164"/>
      <c r="K579" s="165"/>
      <c r="L579" s="165"/>
      <c r="M579" s="85" t="str">
        <f>IF(TblDetailBudget[[#This Row],[Level]]=LvlBottomHdr, IFERROR(INDEX(TblUnitCost[Unit], MATCH(TblDetailBudget[[#This Row],[Row Title]], TblUnitCost[Resource], 0)), "Invalid Resource"), "")</f>
        <v/>
      </c>
      <c r="N579" s="126" t="str">
        <f>IF(TblDetailBudget[[#This Row],[Level]]=LvlBottomHdr, IFERROR(INDEX(TblUnitCost[LCU], MATCH(TblDetailBudget[[#This Row],[Row Title]], TblUnitCost[Resource], 0)), "Invalid Resource"), "")</f>
        <v/>
      </c>
      <c r="O579" s="130"/>
      <c r="P579" s="109"/>
      <c r="Q579" s="186"/>
      <c r="R579" s="131"/>
      <c r="S579" s="109" t="s">
        <v>66</v>
      </c>
      <c r="T579" s="109" t="s">
        <v>66</v>
      </c>
      <c r="U579" s="109" t="s">
        <v>66</v>
      </c>
      <c r="V579" s="109" t="s">
        <v>66</v>
      </c>
      <c r="W579" s="109" t="s">
        <v>66</v>
      </c>
      <c r="X579" s="126" t="str">
        <f>IF(TblDetailBudget[[#This Row],[Level]]=LvlBottomHdr, IF(SUM(TblDetailBudget[[#This Row],[2021 Quant]:[2025 Quant]])&gt;0, SUM(TblDetailBudget[[#This Row],[2021 Quant]:[2025 Quant]]), ""), "")</f>
        <v/>
      </c>
      <c r="Y57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7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7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7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7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79" s="142">
        <f>SUM(TblDetailBudget[[#This Row],[2021 Cost (LCU)]:[2025 Cost (LCU)]])</f>
        <v>0</v>
      </c>
      <c r="AE579" s="135">
        <f>IFERROR(SUM(TblDetailBudget[[#This Row],[2021 Cost (LCU)]])/FX_Rate, "")</f>
        <v>0</v>
      </c>
      <c r="AF579" s="86">
        <f>IFERROR(SUM(TblDetailBudget[[#This Row],[2022 Cost (LCU)]])/FX_Rate, "")</f>
        <v>0</v>
      </c>
      <c r="AG579" s="86">
        <f>IFERROR(SUM(TblDetailBudget[[#This Row],[2023 Cost (LCU)]])/FX_Rate, "")</f>
        <v>0</v>
      </c>
      <c r="AH579" s="86">
        <f>IFERROR(SUM(TblDetailBudget[[#This Row],[2024 Cost (LCU)]])/FX_Rate, "")</f>
        <v>0</v>
      </c>
      <c r="AI579" s="86">
        <f>IFERROR(SUM(TblDetailBudget[[#This Row],[2025 Cost (LCU)]])/FX_Rate, "")</f>
        <v>0</v>
      </c>
      <c r="AJ579" s="126">
        <f>SUM(TblDetailBudget[[#This Row],[2021 Cost (USD)]:[2025 Cost (USD)]])</f>
        <v>0</v>
      </c>
      <c r="AK579" s="180"/>
    </row>
    <row r="580" spans="2:37" ht="12.75" customHeight="1">
      <c r="B580" s="123"/>
      <c r="C58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80" s="85" t="str">
        <f>IF(TblDetailBudget[[#This Row],[Level]]="", "", COUNTIFS($B$8:TblDetailBudget[[#This Row],[Level]], Lvl1Hdr))</f>
        <v/>
      </c>
      <c r="E580" s="85" t="str">
        <f>IF(TblDetailBudget[[#This Row],[Level]]="", "", COUNTIFS($B$8:TblDetailBudget[[#This Row],[Level]], Lvl2Hdr, $D$8:TblDetailBudget[[#This Row],[Lvl 1 Header]], TblDetailBudget[[#This Row],[Lvl 1 Header]]))</f>
        <v/>
      </c>
      <c r="F58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8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8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80" s="164"/>
      <c r="J580" s="164"/>
      <c r="K580" s="165"/>
      <c r="L580" s="165"/>
      <c r="M580" s="85" t="str">
        <f>IF(TblDetailBudget[[#This Row],[Level]]=LvlBottomHdr, IFERROR(INDEX(TblUnitCost[Unit], MATCH(TblDetailBudget[[#This Row],[Row Title]], TblUnitCost[Resource], 0)), "Invalid Resource"), "")</f>
        <v/>
      </c>
      <c r="N580" s="126" t="str">
        <f>IF(TblDetailBudget[[#This Row],[Level]]=LvlBottomHdr, IFERROR(INDEX(TblUnitCost[LCU], MATCH(TblDetailBudget[[#This Row],[Row Title]], TblUnitCost[Resource], 0)), "Invalid Resource"), "")</f>
        <v/>
      </c>
      <c r="O580" s="130"/>
      <c r="P580" s="109"/>
      <c r="Q580" s="186"/>
      <c r="R580" s="131"/>
      <c r="S580" s="109" t="s">
        <v>66</v>
      </c>
      <c r="T580" s="109" t="s">
        <v>66</v>
      </c>
      <c r="U580" s="109" t="s">
        <v>66</v>
      </c>
      <c r="V580" s="109" t="s">
        <v>66</v>
      </c>
      <c r="W580" s="109" t="s">
        <v>66</v>
      </c>
      <c r="X580" s="126" t="str">
        <f>IF(TblDetailBudget[[#This Row],[Level]]=LvlBottomHdr, IF(SUM(TblDetailBudget[[#This Row],[2021 Quant]:[2025 Quant]])&gt;0, SUM(TblDetailBudget[[#This Row],[2021 Quant]:[2025 Quant]]), ""), "")</f>
        <v/>
      </c>
      <c r="Y58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8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8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8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8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80" s="142">
        <f>SUM(TblDetailBudget[[#This Row],[2021 Cost (LCU)]:[2025 Cost (LCU)]])</f>
        <v>0</v>
      </c>
      <c r="AE580" s="135">
        <f>IFERROR(SUM(TblDetailBudget[[#This Row],[2021 Cost (LCU)]])/FX_Rate, "")</f>
        <v>0</v>
      </c>
      <c r="AF580" s="86">
        <f>IFERROR(SUM(TblDetailBudget[[#This Row],[2022 Cost (LCU)]])/FX_Rate, "")</f>
        <v>0</v>
      </c>
      <c r="AG580" s="86">
        <f>IFERROR(SUM(TblDetailBudget[[#This Row],[2023 Cost (LCU)]])/FX_Rate, "")</f>
        <v>0</v>
      </c>
      <c r="AH580" s="86">
        <f>IFERROR(SUM(TblDetailBudget[[#This Row],[2024 Cost (LCU)]])/FX_Rate, "")</f>
        <v>0</v>
      </c>
      <c r="AI580" s="86">
        <f>IFERROR(SUM(TblDetailBudget[[#This Row],[2025 Cost (LCU)]])/FX_Rate, "")</f>
        <v>0</v>
      </c>
      <c r="AJ580" s="126">
        <f>SUM(TblDetailBudget[[#This Row],[2021 Cost (USD)]:[2025 Cost (USD)]])</f>
        <v>0</v>
      </c>
      <c r="AK580" s="180"/>
    </row>
    <row r="581" spans="2:37" ht="12.75" customHeight="1">
      <c r="B581" s="123"/>
      <c r="C58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81" s="85" t="str">
        <f>IF(TblDetailBudget[[#This Row],[Level]]="", "", COUNTIFS($B$8:TblDetailBudget[[#This Row],[Level]], Lvl1Hdr))</f>
        <v/>
      </c>
      <c r="E581" s="85" t="str">
        <f>IF(TblDetailBudget[[#This Row],[Level]]="", "", COUNTIFS($B$8:TblDetailBudget[[#This Row],[Level]], Lvl2Hdr, $D$8:TblDetailBudget[[#This Row],[Lvl 1 Header]], TblDetailBudget[[#This Row],[Lvl 1 Header]]))</f>
        <v/>
      </c>
      <c r="F58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8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8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81" s="164"/>
      <c r="J581" s="164"/>
      <c r="K581" s="165"/>
      <c r="L581" s="165"/>
      <c r="M581" s="85" t="str">
        <f>IF(TblDetailBudget[[#This Row],[Level]]=LvlBottomHdr, IFERROR(INDEX(TblUnitCost[Unit], MATCH(TblDetailBudget[[#This Row],[Row Title]], TblUnitCost[Resource], 0)), "Invalid Resource"), "")</f>
        <v/>
      </c>
      <c r="N581" s="126" t="str">
        <f>IF(TblDetailBudget[[#This Row],[Level]]=LvlBottomHdr, IFERROR(INDEX(TblUnitCost[LCU], MATCH(TblDetailBudget[[#This Row],[Row Title]], TblUnitCost[Resource], 0)), "Invalid Resource"), "")</f>
        <v/>
      </c>
      <c r="O581" s="130"/>
      <c r="P581" s="109"/>
      <c r="Q581" s="186"/>
      <c r="R581" s="131"/>
      <c r="S581" s="109" t="s">
        <v>66</v>
      </c>
      <c r="T581" s="109" t="s">
        <v>66</v>
      </c>
      <c r="U581" s="109" t="s">
        <v>66</v>
      </c>
      <c r="V581" s="109" t="s">
        <v>66</v>
      </c>
      <c r="W581" s="109" t="s">
        <v>66</v>
      </c>
      <c r="X581" s="126" t="str">
        <f>IF(TblDetailBudget[[#This Row],[Level]]=LvlBottomHdr, IF(SUM(TblDetailBudget[[#This Row],[2021 Quant]:[2025 Quant]])&gt;0, SUM(TblDetailBudget[[#This Row],[2021 Quant]:[2025 Quant]]), ""), "")</f>
        <v/>
      </c>
      <c r="Y58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8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8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8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8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81" s="142">
        <f>SUM(TblDetailBudget[[#This Row],[2021 Cost (LCU)]:[2025 Cost (LCU)]])</f>
        <v>0</v>
      </c>
      <c r="AE581" s="135">
        <f>IFERROR(SUM(TblDetailBudget[[#This Row],[2021 Cost (LCU)]])/FX_Rate, "")</f>
        <v>0</v>
      </c>
      <c r="AF581" s="86">
        <f>IFERROR(SUM(TblDetailBudget[[#This Row],[2022 Cost (LCU)]])/FX_Rate, "")</f>
        <v>0</v>
      </c>
      <c r="AG581" s="86">
        <f>IFERROR(SUM(TblDetailBudget[[#This Row],[2023 Cost (LCU)]])/FX_Rate, "")</f>
        <v>0</v>
      </c>
      <c r="AH581" s="86">
        <f>IFERROR(SUM(TblDetailBudget[[#This Row],[2024 Cost (LCU)]])/FX_Rate, "")</f>
        <v>0</v>
      </c>
      <c r="AI581" s="86">
        <f>IFERROR(SUM(TblDetailBudget[[#This Row],[2025 Cost (LCU)]])/FX_Rate, "")</f>
        <v>0</v>
      </c>
      <c r="AJ581" s="126">
        <f>SUM(TblDetailBudget[[#This Row],[2021 Cost (USD)]:[2025 Cost (USD)]])</f>
        <v>0</v>
      </c>
      <c r="AK581" s="180"/>
    </row>
    <row r="582" spans="2:37" ht="12.75" customHeight="1">
      <c r="B582" s="123"/>
      <c r="C58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82" s="85" t="str">
        <f>IF(TblDetailBudget[[#This Row],[Level]]="", "", COUNTIFS($B$8:TblDetailBudget[[#This Row],[Level]], Lvl1Hdr))</f>
        <v/>
      </c>
      <c r="E582" s="85" t="str">
        <f>IF(TblDetailBudget[[#This Row],[Level]]="", "", COUNTIFS($B$8:TblDetailBudget[[#This Row],[Level]], Lvl2Hdr, $D$8:TblDetailBudget[[#This Row],[Lvl 1 Header]], TblDetailBudget[[#This Row],[Lvl 1 Header]]))</f>
        <v/>
      </c>
      <c r="F58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8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8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82" s="164"/>
      <c r="J582" s="164"/>
      <c r="K582" s="165"/>
      <c r="L582" s="165"/>
      <c r="M582" s="85" t="str">
        <f>IF(TblDetailBudget[[#This Row],[Level]]=LvlBottomHdr, IFERROR(INDEX(TblUnitCost[Unit], MATCH(TblDetailBudget[[#This Row],[Row Title]], TblUnitCost[Resource], 0)), "Invalid Resource"), "")</f>
        <v/>
      </c>
      <c r="N582" s="126" t="str">
        <f>IF(TblDetailBudget[[#This Row],[Level]]=LvlBottomHdr, IFERROR(INDEX(TblUnitCost[LCU], MATCH(TblDetailBudget[[#This Row],[Row Title]], TblUnitCost[Resource], 0)), "Invalid Resource"), "")</f>
        <v/>
      </c>
      <c r="O582" s="130"/>
      <c r="P582" s="109"/>
      <c r="Q582" s="186"/>
      <c r="R582" s="131"/>
      <c r="S582" s="109" t="s">
        <v>66</v>
      </c>
      <c r="T582" s="109" t="s">
        <v>66</v>
      </c>
      <c r="U582" s="109" t="s">
        <v>66</v>
      </c>
      <c r="V582" s="109" t="s">
        <v>66</v>
      </c>
      <c r="W582" s="109" t="s">
        <v>66</v>
      </c>
      <c r="X582" s="126" t="str">
        <f>IF(TblDetailBudget[[#This Row],[Level]]=LvlBottomHdr, IF(SUM(TblDetailBudget[[#This Row],[2021 Quant]:[2025 Quant]])&gt;0, SUM(TblDetailBudget[[#This Row],[2021 Quant]:[2025 Quant]]), ""), "")</f>
        <v/>
      </c>
      <c r="Y58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8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8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8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8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82" s="142">
        <f>SUM(TblDetailBudget[[#This Row],[2021 Cost (LCU)]:[2025 Cost (LCU)]])</f>
        <v>0</v>
      </c>
      <c r="AE582" s="135">
        <f>IFERROR(SUM(TblDetailBudget[[#This Row],[2021 Cost (LCU)]])/FX_Rate, "")</f>
        <v>0</v>
      </c>
      <c r="AF582" s="86">
        <f>IFERROR(SUM(TblDetailBudget[[#This Row],[2022 Cost (LCU)]])/FX_Rate, "")</f>
        <v>0</v>
      </c>
      <c r="AG582" s="86">
        <f>IFERROR(SUM(TblDetailBudget[[#This Row],[2023 Cost (LCU)]])/FX_Rate, "")</f>
        <v>0</v>
      </c>
      <c r="AH582" s="86">
        <f>IFERROR(SUM(TblDetailBudget[[#This Row],[2024 Cost (LCU)]])/FX_Rate, "")</f>
        <v>0</v>
      </c>
      <c r="AI582" s="86">
        <f>IFERROR(SUM(TblDetailBudget[[#This Row],[2025 Cost (LCU)]])/FX_Rate, "")</f>
        <v>0</v>
      </c>
      <c r="AJ582" s="126">
        <f>SUM(TblDetailBudget[[#This Row],[2021 Cost (USD)]:[2025 Cost (USD)]])</f>
        <v>0</v>
      </c>
      <c r="AK582" s="180"/>
    </row>
    <row r="583" spans="2:37" ht="12.75" customHeight="1">
      <c r="B583" s="123"/>
      <c r="C58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83" s="85" t="str">
        <f>IF(TblDetailBudget[[#This Row],[Level]]="", "", COUNTIFS($B$8:TblDetailBudget[[#This Row],[Level]], Lvl1Hdr))</f>
        <v/>
      </c>
      <c r="E583" s="85" t="str">
        <f>IF(TblDetailBudget[[#This Row],[Level]]="", "", COUNTIFS($B$8:TblDetailBudget[[#This Row],[Level]], Lvl2Hdr, $D$8:TblDetailBudget[[#This Row],[Lvl 1 Header]], TblDetailBudget[[#This Row],[Lvl 1 Header]]))</f>
        <v/>
      </c>
      <c r="F58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8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8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83" s="164"/>
      <c r="J583" s="164"/>
      <c r="K583" s="165"/>
      <c r="L583" s="165"/>
      <c r="M583" s="85" t="str">
        <f>IF(TblDetailBudget[[#This Row],[Level]]=LvlBottomHdr, IFERROR(INDEX(TblUnitCost[Unit], MATCH(TblDetailBudget[[#This Row],[Row Title]], TblUnitCost[Resource], 0)), "Invalid Resource"), "")</f>
        <v/>
      </c>
      <c r="N583" s="126" t="str">
        <f>IF(TblDetailBudget[[#This Row],[Level]]=LvlBottomHdr, IFERROR(INDEX(TblUnitCost[LCU], MATCH(TblDetailBudget[[#This Row],[Row Title]], TblUnitCost[Resource], 0)), "Invalid Resource"), "")</f>
        <v/>
      </c>
      <c r="O583" s="130"/>
      <c r="P583" s="109"/>
      <c r="Q583" s="186"/>
      <c r="R583" s="131"/>
      <c r="S583" s="109" t="s">
        <v>66</v>
      </c>
      <c r="T583" s="109" t="s">
        <v>66</v>
      </c>
      <c r="U583" s="109" t="s">
        <v>66</v>
      </c>
      <c r="V583" s="109" t="s">
        <v>66</v>
      </c>
      <c r="W583" s="109" t="s">
        <v>66</v>
      </c>
      <c r="X583" s="126" t="str">
        <f>IF(TblDetailBudget[[#This Row],[Level]]=LvlBottomHdr, IF(SUM(TblDetailBudget[[#This Row],[2021 Quant]:[2025 Quant]])&gt;0, SUM(TblDetailBudget[[#This Row],[2021 Quant]:[2025 Quant]]), ""), "")</f>
        <v/>
      </c>
      <c r="Y58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8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8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8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8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83" s="142">
        <f>SUM(TblDetailBudget[[#This Row],[2021 Cost (LCU)]:[2025 Cost (LCU)]])</f>
        <v>0</v>
      </c>
      <c r="AE583" s="135">
        <f>IFERROR(SUM(TblDetailBudget[[#This Row],[2021 Cost (LCU)]])/FX_Rate, "")</f>
        <v>0</v>
      </c>
      <c r="AF583" s="86">
        <f>IFERROR(SUM(TblDetailBudget[[#This Row],[2022 Cost (LCU)]])/FX_Rate, "")</f>
        <v>0</v>
      </c>
      <c r="AG583" s="86">
        <f>IFERROR(SUM(TblDetailBudget[[#This Row],[2023 Cost (LCU)]])/FX_Rate, "")</f>
        <v>0</v>
      </c>
      <c r="AH583" s="86">
        <f>IFERROR(SUM(TblDetailBudget[[#This Row],[2024 Cost (LCU)]])/FX_Rate, "")</f>
        <v>0</v>
      </c>
      <c r="AI583" s="86">
        <f>IFERROR(SUM(TblDetailBudget[[#This Row],[2025 Cost (LCU)]])/FX_Rate, "")</f>
        <v>0</v>
      </c>
      <c r="AJ583" s="126">
        <f>SUM(TblDetailBudget[[#This Row],[2021 Cost (USD)]:[2025 Cost (USD)]])</f>
        <v>0</v>
      </c>
      <c r="AK583" s="180"/>
    </row>
    <row r="584" spans="2:37" ht="12.75" customHeight="1">
      <c r="B584" s="123"/>
      <c r="C58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84" s="85" t="str">
        <f>IF(TblDetailBudget[[#This Row],[Level]]="", "", COUNTIFS($B$8:TblDetailBudget[[#This Row],[Level]], Lvl1Hdr))</f>
        <v/>
      </c>
      <c r="E584" s="85" t="str">
        <f>IF(TblDetailBudget[[#This Row],[Level]]="", "", COUNTIFS($B$8:TblDetailBudget[[#This Row],[Level]], Lvl2Hdr, $D$8:TblDetailBudget[[#This Row],[Lvl 1 Header]], TblDetailBudget[[#This Row],[Lvl 1 Header]]))</f>
        <v/>
      </c>
      <c r="F58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8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8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84" s="164"/>
      <c r="J584" s="164"/>
      <c r="K584" s="165"/>
      <c r="L584" s="165"/>
      <c r="M584" s="85" t="str">
        <f>IF(TblDetailBudget[[#This Row],[Level]]=LvlBottomHdr, IFERROR(INDEX(TblUnitCost[Unit], MATCH(TblDetailBudget[[#This Row],[Row Title]], TblUnitCost[Resource], 0)), "Invalid Resource"), "")</f>
        <v/>
      </c>
      <c r="N584" s="126" t="str">
        <f>IF(TblDetailBudget[[#This Row],[Level]]=LvlBottomHdr, IFERROR(INDEX(TblUnitCost[LCU], MATCH(TblDetailBudget[[#This Row],[Row Title]], TblUnitCost[Resource], 0)), "Invalid Resource"), "")</f>
        <v/>
      </c>
      <c r="O584" s="130"/>
      <c r="P584" s="109"/>
      <c r="Q584" s="186"/>
      <c r="R584" s="131"/>
      <c r="S584" s="109" t="s">
        <v>66</v>
      </c>
      <c r="T584" s="109" t="s">
        <v>66</v>
      </c>
      <c r="U584" s="109" t="s">
        <v>66</v>
      </c>
      <c r="V584" s="109" t="s">
        <v>66</v>
      </c>
      <c r="W584" s="109" t="s">
        <v>66</v>
      </c>
      <c r="X584" s="126" t="str">
        <f>IF(TblDetailBudget[[#This Row],[Level]]=LvlBottomHdr, IF(SUM(TblDetailBudget[[#This Row],[2021 Quant]:[2025 Quant]])&gt;0, SUM(TblDetailBudget[[#This Row],[2021 Quant]:[2025 Quant]]), ""), "")</f>
        <v/>
      </c>
      <c r="Y58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8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8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8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8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84" s="142">
        <f>SUM(TblDetailBudget[[#This Row],[2021 Cost (LCU)]:[2025 Cost (LCU)]])</f>
        <v>0</v>
      </c>
      <c r="AE584" s="135">
        <f>IFERROR(SUM(TblDetailBudget[[#This Row],[2021 Cost (LCU)]])/FX_Rate, "")</f>
        <v>0</v>
      </c>
      <c r="AF584" s="86">
        <f>IFERROR(SUM(TblDetailBudget[[#This Row],[2022 Cost (LCU)]])/FX_Rate, "")</f>
        <v>0</v>
      </c>
      <c r="AG584" s="86">
        <f>IFERROR(SUM(TblDetailBudget[[#This Row],[2023 Cost (LCU)]])/FX_Rate, "")</f>
        <v>0</v>
      </c>
      <c r="AH584" s="86">
        <f>IFERROR(SUM(TblDetailBudget[[#This Row],[2024 Cost (LCU)]])/FX_Rate, "")</f>
        <v>0</v>
      </c>
      <c r="AI584" s="86">
        <f>IFERROR(SUM(TblDetailBudget[[#This Row],[2025 Cost (LCU)]])/FX_Rate, "")</f>
        <v>0</v>
      </c>
      <c r="AJ584" s="126">
        <f>SUM(TblDetailBudget[[#This Row],[2021 Cost (USD)]:[2025 Cost (USD)]])</f>
        <v>0</v>
      </c>
      <c r="AK584" s="180"/>
    </row>
    <row r="585" spans="2:37" ht="12.75" customHeight="1" thickBot="1">
      <c r="B585" s="166"/>
      <c r="C585" s="167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85" s="167" t="str">
        <f>IF(TblDetailBudget[[#This Row],[Level]]="", "", COUNTIFS($B$8:TblDetailBudget[[#This Row],[Level]], Lvl1Hdr))</f>
        <v/>
      </c>
      <c r="E585" s="167" t="str">
        <f>IF(TblDetailBudget[[#This Row],[Level]]="", "", COUNTIFS($B$8:TblDetailBudget[[#This Row],[Level]], Lvl2Hdr, $D$8:TblDetailBudget[[#This Row],[Lvl 1 Header]], TblDetailBudget[[#This Row],[Lvl 1 Header]]))</f>
        <v/>
      </c>
      <c r="F585" s="167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85" s="167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85" s="167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85" s="168"/>
      <c r="J585" s="168"/>
      <c r="K585" s="169"/>
      <c r="L585" s="169"/>
      <c r="M585" s="167" t="str">
        <f>IF(TblDetailBudget[[#This Row],[Level]]=LvlBottomHdr, IFERROR(INDEX(TblUnitCost[Unit], MATCH(TblDetailBudget[[#This Row],[Row Title]], TblUnitCost[Resource], 0)), "Invalid Resource"), "")</f>
        <v/>
      </c>
      <c r="N585" s="170" t="str">
        <f>IF(TblDetailBudget[[#This Row],[Level]]=LvlBottomHdr, IFERROR(INDEX(TblUnitCost[LCU], MATCH(TblDetailBudget[[#This Row],[Row Title]], TblUnitCost[Resource], 0)), "Invalid Resource"), "")</f>
        <v/>
      </c>
      <c r="O585" s="132"/>
      <c r="P585" s="124"/>
      <c r="Q585" s="187"/>
      <c r="R585" s="133"/>
      <c r="S585" s="124" t="s">
        <v>66</v>
      </c>
      <c r="T585" s="124" t="s">
        <v>66</v>
      </c>
      <c r="U585" s="124" t="s">
        <v>66</v>
      </c>
      <c r="V585" s="124" t="s">
        <v>66</v>
      </c>
      <c r="W585" s="124" t="s">
        <v>66</v>
      </c>
      <c r="X585" s="170" t="str">
        <f>IF(TblDetailBudget[[#This Row],[Level]]=LvlBottomHdr, IF(SUM(TblDetailBudget[[#This Row],[2021 Quant]:[2025 Quant]])&gt;0, SUM(TblDetailBudget[[#This Row],[2021 Quant]:[2025 Quant]]), ""), "")</f>
        <v/>
      </c>
      <c r="Y585" s="172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Z585" s="17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AA585" s="17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B585" s="17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C585" s="17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D585" s="173">
        <f>SUM(TblDetailBudget[[#This Row],[2021 Cost (LCU)]:[2025 Cost (LCU)]])</f>
        <v>0</v>
      </c>
      <c r="AE585" s="174">
        <f>IFERROR(SUM(TblDetailBudget[[#This Row],[2021 Cost (LCU)]])/FX_Rate, "")</f>
        <v>0</v>
      </c>
      <c r="AF585" s="171">
        <f>IFERROR(SUM(TblDetailBudget[[#This Row],[2022 Cost (LCU)]])/FX_Rate, "")</f>
        <v>0</v>
      </c>
      <c r="AG585" s="171">
        <f>IFERROR(SUM(TblDetailBudget[[#This Row],[2023 Cost (LCU)]])/FX_Rate, "")</f>
        <v>0</v>
      </c>
      <c r="AH585" s="171">
        <f>IFERROR(SUM(TblDetailBudget[[#This Row],[2024 Cost (LCU)]])/FX_Rate, "")</f>
        <v>0</v>
      </c>
      <c r="AI585" s="171">
        <f>IFERROR(SUM(TblDetailBudget[[#This Row],[2025 Cost (LCU)]])/FX_Rate, "")</f>
        <v>0</v>
      </c>
      <c r="AJ585" s="170">
        <f>SUM(TblDetailBudget[[#This Row],[2021 Cost (USD)]:[2025 Cost (USD)]])</f>
        <v>0</v>
      </c>
      <c r="AK585" s="182"/>
    </row>
    <row r="586" spans="2:37" ht="12.75" customHeight="1"/>
    <row r="587" spans="2:37" ht="12.75" customHeight="1"/>
  </sheetData>
  <sheetProtection insertRows="0" deleteRows="0"/>
  <mergeCells count="3">
    <mergeCell ref="AE5:AI5"/>
    <mergeCell ref="O5:R5"/>
    <mergeCell ref="O4:R4"/>
  </mergeCells>
  <conditionalFormatting sqref="B8:AK104 B105:H105 J105:AK105 B106:AK110 B111:H111 J111:AK111 B112:AK250 B251:I251 K251:AK251 B252:AK252 B253:H253 J253:AK253 B254:AK585">
    <cfRule type="expression" dxfId="59" priority="8">
      <formula>$B8=LvlTopHdr</formula>
    </cfRule>
    <cfRule type="expression" dxfId="58" priority="9">
      <formula>$B8=Lvl1Hdr</formula>
    </cfRule>
    <cfRule type="expression" dxfId="57" priority="10">
      <formula>$B8=Lvl2Hdr</formula>
    </cfRule>
    <cfRule type="expression" dxfId="56" priority="11">
      <formula>$B8=Lvl3Hdr</formula>
    </cfRule>
    <cfRule type="expression" dxfId="55" priority="12">
      <formula>$B8=Lvl4Hdr</formula>
    </cfRule>
    <cfRule type="expression" dxfId="54" priority="13">
      <formula>$B8=LvlBottomHdr</formula>
    </cfRule>
  </conditionalFormatting>
  <conditionalFormatting sqref="I105">
    <cfRule type="expression" dxfId="53" priority="20">
      <formula>$B111=LvlTopHdr</formula>
    </cfRule>
    <cfRule type="expression" dxfId="52" priority="21">
      <formula>$B111=Lvl1Hdr</formula>
    </cfRule>
    <cfRule type="expression" dxfId="51" priority="22">
      <formula>$B111=Lvl2Hdr</formula>
    </cfRule>
    <cfRule type="expression" dxfId="50" priority="23">
      <formula>$B111=Lvl3Hdr</formula>
    </cfRule>
    <cfRule type="expression" dxfId="49" priority="24">
      <formula>$B111=Lvl4Hdr</formula>
    </cfRule>
    <cfRule type="expression" dxfId="48" priority="25">
      <formula>$B111=LvlBottomHdr</formula>
    </cfRule>
  </conditionalFormatting>
  <conditionalFormatting sqref="J251">
    <cfRule type="expression" dxfId="47" priority="37">
      <formula>$B253=LvlTopHdr</formula>
    </cfRule>
    <cfRule type="expression" dxfId="46" priority="38">
      <formula>$B253=Lvl1Hdr</formula>
    </cfRule>
    <cfRule type="expression" dxfId="45" priority="39">
      <formula>$B253=Lvl2Hdr</formula>
    </cfRule>
    <cfRule type="expression" dxfId="44" priority="40">
      <formula>$B253=Lvl3Hdr</formula>
    </cfRule>
    <cfRule type="expression" dxfId="43" priority="41">
      <formula>$B253=Lvl4Hdr</formula>
    </cfRule>
    <cfRule type="expression" dxfId="42" priority="42">
      <formula>$B253=LvlBottomHdr</formula>
    </cfRule>
  </conditionalFormatting>
  <dataValidations count="1">
    <dataValidation type="list" allowBlank="1" showInputMessage="1" sqref="I99:I110 I254:J585 I218:I252 I8:I23 I25:I97 I197:I201 I203:I206 I208:I211 I213:I216 I161 I112:I153 I155 J8:J253 I157:I159 I171:I177 I168 I163:I165 I179:I189 I191 I193:I195" xr:uid="{00000000-0002-0000-0500-000000000000}">
      <formula1>INDIRECT("TblUnitCost[Resource]")</formula1>
    </dataValidation>
  </dataValidations>
  <pageMargins left="0.7" right="0.7" top="0.75" bottom="0.75" header="0.3" footer="0.3"/>
  <pageSetup orientation="portrait" horizontalDpi="300" verticalDpi="300" r:id="rId1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1000000}">
          <x14:formula1>
            <xm:f>'Data Validation'!$F$2:$F$7</xm:f>
          </x14:formula1>
          <xm:sqref>B8:B585</xm:sqref>
        </x14:dataValidation>
        <x14:dataValidation type="list" allowBlank="1" showInputMessage="1" showErrorMessage="1" xr:uid="{00000000-0002-0000-0500-000002000000}">
          <x14:formula1>
            <xm:f>'Data Validation'!$A$2:$A$5</xm:f>
          </x14:formula1>
          <xm:sqref>AK8:AK585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D074F-5C0F-4B50-BE71-78843200B4C6}">
  <dimension ref="A1:DR901"/>
  <sheetViews>
    <sheetView tabSelected="1" zoomScale="83" zoomScaleNormal="100" workbookViewId="0">
      <pane xSplit="22" ySplit="5" topLeftCell="DG6" activePane="bottomRight" state="frozen"/>
      <selection pane="topRight" activeCell="W1" sqref="W1"/>
      <selection pane="bottomLeft" activeCell="A6" sqref="A6"/>
      <selection pane="bottomRight" activeCell="DR6" sqref="DR6"/>
    </sheetView>
  </sheetViews>
  <sheetFormatPr defaultRowHeight="14.5" outlineLevelRow="1"/>
  <cols>
    <col min="1" max="1" width="6.1796875" style="244" customWidth="1"/>
    <col min="2" max="2" width="31.26953125" style="245" customWidth="1"/>
    <col min="3" max="3" width="16.54296875" style="246" bestFit="1" customWidth="1"/>
    <col min="4" max="4" width="4.81640625" style="247" bestFit="1" customWidth="1"/>
    <col min="5" max="5" width="5.26953125" style="246" bestFit="1" customWidth="1"/>
    <col min="6" max="6" width="4" style="246" bestFit="1" customWidth="1"/>
    <col min="7" max="7" width="4.90625" style="246" bestFit="1" customWidth="1"/>
    <col min="8" max="8" width="4.7265625" style="246" bestFit="1" customWidth="1"/>
    <col min="9" max="9" width="8.1796875" style="247" bestFit="1" customWidth="1"/>
    <col min="10" max="10" width="10.81640625" style="247" bestFit="1" customWidth="1"/>
    <col min="11" max="11" width="9.1796875" style="246" bestFit="1" customWidth="1"/>
    <col min="12" max="12" width="11.81640625" style="246" bestFit="1" customWidth="1"/>
    <col min="13" max="13" width="9.7265625" style="247" bestFit="1" customWidth="1"/>
    <col min="14" max="14" width="10.26953125" style="246" bestFit="1" customWidth="1"/>
    <col min="15" max="15" width="10.36328125" style="247" bestFit="1" customWidth="1"/>
    <col min="16" max="16" width="9.81640625" style="246" bestFit="1" customWidth="1"/>
    <col min="17" max="17" width="10.26953125" style="247" bestFit="1" customWidth="1"/>
    <col min="18" max="18" width="12.453125" style="247" bestFit="1" customWidth="1"/>
    <col min="19" max="19" width="3.6328125" style="247" bestFit="1" customWidth="1"/>
    <col min="20" max="20" width="4.54296875" style="247" bestFit="1" customWidth="1"/>
    <col min="21" max="21" width="17.81640625" style="247" bestFit="1" customWidth="1"/>
    <col min="22" max="22" width="26" style="247" customWidth="1"/>
    <col min="23" max="23" width="11" customWidth="1"/>
    <col min="24" max="24" width="10.36328125" customWidth="1"/>
    <col min="25" max="25" width="7.1796875" hidden="1" customWidth="1"/>
    <col min="26" max="26" width="5.26953125" hidden="1" customWidth="1"/>
    <col min="27" max="27" width="8.26953125" hidden="1" customWidth="1"/>
    <col min="28" max="28" width="13" style="199" customWidth="1"/>
    <col min="29" max="29" width="9.08984375" customWidth="1"/>
    <col min="30" max="30" width="11.6328125" style="199" customWidth="1"/>
    <col min="31" max="31" width="10.08984375" style="199" customWidth="1"/>
    <col min="32" max="32" width="13.81640625" style="199" customWidth="1"/>
    <col min="33" max="33" width="13.6328125" style="597" customWidth="1"/>
    <col min="34" max="34" width="11.08984375" style="199" customWidth="1"/>
    <col min="35" max="35" width="10.1796875" style="252" hidden="1" customWidth="1"/>
    <col min="36" max="36" width="9.81640625" style="252" customWidth="1"/>
    <col min="37" max="37" width="11.36328125" style="252" customWidth="1"/>
    <col min="38" max="38" width="9.81640625" style="252" customWidth="1"/>
    <col min="39" max="39" width="9.7265625" style="252" bestFit="1" customWidth="1"/>
    <col min="40" max="40" width="10.36328125" style="645" bestFit="1" customWidth="1"/>
    <col min="41" max="41" width="6.26953125" style="199" customWidth="1"/>
    <col min="42" max="42" width="10" style="199" bestFit="1" customWidth="1"/>
    <col min="43" max="43" width="9.90625" style="199" customWidth="1"/>
    <col min="44" max="45" width="11.08984375" style="199" customWidth="1"/>
    <col min="46" max="46" width="8.7265625" style="199" bestFit="1" customWidth="1"/>
    <col min="47" max="47" width="7" style="199" bestFit="1" customWidth="1"/>
    <col min="48" max="48" width="13" style="199" customWidth="1"/>
    <col min="49" max="49" width="9.7265625" style="249" bestFit="1" customWidth="1"/>
    <col min="50" max="50" width="7" style="249" bestFit="1" customWidth="1"/>
    <col min="51" max="52" width="16.26953125" style="199" customWidth="1"/>
    <col min="53" max="53" width="9.7265625" style="199" customWidth="1"/>
    <col min="54" max="54" width="6.7265625" bestFit="1" customWidth="1"/>
    <col min="55" max="55" width="16" style="199" customWidth="1"/>
    <col min="56" max="56" width="11.81640625" hidden="1" customWidth="1"/>
    <col min="57" max="57" width="16.26953125" style="199" customWidth="1"/>
    <col min="58" max="58" width="16.26953125" customWidth="1"/>
    <col min="59" max="59" width="15.81640625" customWidth="1"/>
    <col min="60" max="60" width="6.81640625" hidden="1" customWidth="1"/>
    <col min="61" max="61" width="10.08984375" customWidth="1"/>
    <col min="62" max="62" width="11.26953125" customWidth="1"/>
    <col min="63" max="63" width="12.26953125" customWidth="1"/>
    <col min="64" max="64" width="12.26953125" hidden="1" customWidth="1"/>
    <col min="65" max="65" width="11.7265625" style="199" customWidth="1"/>
    <col min="66" max="66" width="10.54296875" style="199" hidden="1" customWidth="1"/>
    <col min="67" max="67" width="11" customWidth="1"/>
    <col min="68" max="68" width="13.26953125" customWidth="1"/>
    <col min="69" max="69" width="9.08984375" customWidth="1"/>
    <col min="70" max="70" width="9.90625" customWidth="1"/>
    <col min="71" max="71" width="13.90625" bestFit="1" customWidth="1"/>
    <col min="72" max="72" width="15.26953125" bestFit="1" customWidth="1"/>
    <col min="73" max="73" width="16.26953125" bestFit="1" customWidth="1"/>
    <col min="74" max="74" width="9.08984375" style="597" bestFit="1" customWidth="1"/>
    <col min="75" max="75" width="6.6328125" bestFit="1" customWidth="1"/>
    <col min="76" max="76" width="16.54296875" style="199" customWidth="1"/>
    <col min="77" max="77" width="15.81640625" style="199" customWidth="1"/>
    <col min="78" max="78" width="16.453125" customWidth="1"/>
    <col min="79" max="79" width="8.6328125" hidden="1" customWidth="1"/>
    <col min="80" max="80" width="14.90625" style="275" bestFit="1" customWidth="1"/>
    <col min="81" max="82" width="14" customWidth="1"/>
    <col min="83" max="83" width="13.81640625" hidden="1" customWidth="1"/>
    <col min="84" max="84" width="15.6328125" customWidth="1"/>
    <col min="85" max="85" width="14.7265625" hidden="1" customWidth="1"/>
    <col min="86" max="86" width="19.08984375" customWidth="1"/>
    <col min="87" max="87" width="14.26953125" customWidth="1"/>
    <col min="88" max="88" width="17.36328125" customWidth="1"/>
    <col min="89" max="89" width="15.81640625" customWidth="1"/>
    <col min="90" max="90" width="16.6328125" customWidth="1"/>
    <col min="91" max="91" width="12.08984375" hidden="1" customWidth="1"/>
    <col min="92" max="92" width="15.7265625" style="199" customWidth="1"/>
    <col min="93" max="93" width="9.6328125" hidden="1" customWidth="1"/>
    <col min="94" max="94" width="13.90625" customWidth="1"/>
    <col min="95" max="95" width="16.81640625" customWidth="1"/>
    <col min="96" max="96" width="7.453125" hidden="1" customWidth="1"/>
    <col min="97" max="97" width="14.81640625" customWidth="1"/>
    <col min="98" max="98" width="10.54296875" customWidth="1"/>
    <col min="99" max="99" width="11" customWidth="1"/>
    <col min="102" max="102" width="12.6328125" customWidth="1"/>
    <col min="103" max="103" width="11.6328125" customWidth="1"/>
    <col min="104" max="104" width="10.81640625" customWidth="1"/>
    <col min="105" max="105" width="10.08984375" customWidth="1"/>
    <col min="106" max="106" width="12.26953125" customWidth="1"/>
    <col min="107" max="107" width="14.81640625" customWidth="1"/>
    <col min="108" max="108" width="11.6328125" customWidth="1"/>
    <col min="109" max="109" width="12" customWidth="1"/>
    <col min="110" max="110" width="11.1796875" customWidth="1"/>
    <col min="111" max="111" width="5.08984375" bestFit="1" customWidth="1"/>
    <col min="112" max="112" width="13.453125" bestFit="1" customWidth="1"/>
    <col min="113" max="113" width="13.90625" style="275" bestFit="1" customWidth="1"/>
    <col min="116" max="116" width="12.90625" customWidth="1"/>
    <col min="117" max="117" width="11.6328125" customWidth="1"/>
    <col min="122" max="122" width="12.26953125" bestFit="1" customWidth="1"/>
  </cols>
  <sheetData>
    <row r="1" spans="1:122" ht="18.5">
      <c r="A1" s="889" t="s">
        <v>187</v>
      </c>
      <c r="B1" s="889"/>
      <c r="C1" s="889"/>
      <c r="D1" s="889"/>
      <c r="E1" s="889"/>
      <c r="F1" s="889"/>
      <c r="G1" s="889"/>
      <c r="H1" s="889"/>
      <c r="I1" s="889"/>
      <c r="J1" s="889"/>
      <c r="K1" s="889"/>
      <c r="L1" s="889"/>
      <c r="M1" s="889"/>
      <c r="N1" s="889"/>
      <c r="O1" s="889"/>
      <c r="P1" s="889"/>
      <c r="Q1" s="889"/>
      <c r="R1" s="889"/>
      <c r="S1" s="889"/>
      <c r="T1" s="889"/>
      <c r="U1" s="889"/>
      <c r="V1" s="889"/>
      <c r="W1" s="889"/>
      <c r="X1" s="889"/>
      <c r="Y1" s="889"/>
      <c r="Z1" s="889"/>
      <c r="AA1" s="889"/>
      <c r="AB1" s="889"/>
      <c r="AC1" s="889"/>
      <c r="AD1" s="889"/>
      <c r="AE1" s="889"/>
      <c r="AF1" s="889"/>
      <c r="AG1" s="889"/>
      <c r="AH1" s="889"/>
      <c r="AI1" s="889"/>
      <c r="AJ1" s="889"/>
      <c r="AK1" s="889"/>
      <c r="AL1" s="889"/>
      <c r="AM1" s="889"/>
      <c r="AN1" s="889"/>
      <c r="AO1" s="889"/>
      <c r="AP1" s="889"/>
      <c r="AQ1" s="889"/>
      <c r="AR1" s="889"/>
      <c r="AS1" s="889"/>
      <c r="AT1" s="889"/>
      <c r="AU1" s="889"/>
      <c r="AV1" s="889"/>
      <c r="AW1" s="889"/>
      <c r="AX1" s="889"/>
      <c r="AY1" s="889"/>
      <c r="AZ1" s="889"/>
      <c r="BA1" s="889"/>
      <c r="BB1" s="889"/>
      <c r="BC1" s="889"/>
      <c r="BD1" s="889"/>
      <c r="BE1" s="889"/>
      <c r="BF1" s="889"/>
      <c r="BG1" s="889"/>
      <c r="BH1" s="889"/>
      <c r="BI1" s="889"/>
      <c r="BJ1" s="889"/>
      <c r="BK1" s="889"/>
      <c r="BL1" s="889"/>
      <c r="BM1" s="889"/>
      <c r="BN1" s="889"/>
      <c r="BO1" s="889"/>
      <c r="BP1" s="889"/>
      <c r="BQ1" s="889"/>
      <c r="BR1" s="889"/>
      <c r="BS1" s="889"/>
      <c r="BT1" s="889"/>
      <c r="BU1" s="889"/>
      <c r="BV1" s="889"/>
      <c r="BW1" s="889"/>
      <c r="BX1" s="889"/>
      <c r="BY1" s="889"/>
      <c r="BZ1" s="889"/>
      <c r="CA1" s="889"/>
      <c r="CB1" s="889"/>
      <c r="CC1" s="889"/>
      <c r="CD1" s="889"/>
      <c r="CE1" s="889"/>
      <c r="CF1" s="889"/>
      <c r="CG1" s="889"/>
      <c r="CH1" s="889"/>
      <c r="CI1" s="889"/>
      <c r="CJ1" s="889"/>
      <c r="CK1" s="889"/>
      <c r="CL1" s="889"/>
      <c r="CM1" s="889"/>
      <c r="CN1" s="889"/>
      <c r="CO1" s="889"/>
      <c r="CP1" s="889"/>
      <c r="CQ1" s="889"/>
      <c r="CR1" s="889"/>
      <c r="CS1" s="889"/>
      <c r="CT1" s="889"/>
      <c r="CU1" s="889"/>
      <c r="CV1" s="889"/>
      <c r="CW1" s="889"/>
      <c r="CX1" s="889"/>
      <c r="CY1" s="889"/>
      <c r="CZ1" s="889"/>
      <c r="DA1" s="889"/>
      <c r="DB1" s="889"/>
      <c r="DC1" s="889"/>
      <c r="DD1" s="889"/>
      <c r="DE1" s="889"/>
      <c r="DF1" s="889"/>
      <c r="DG1" s="889"/>
      <c r="DH1" s="889"/>
      <c r="DI1" s="889"/>
      <c r="DJ1" s="889"/>
      <c r="DK1" s="889"/>
      <c r="DL1" s="889"/>
      <c r="DM1" s="889"/>
      <c r="DN1" s="889"/>
    </row>
    <row r="2" spans="1:122" ht="17.25" customHeight="1">
      <c r="A2" s="888" t="s">
        <v>2557</v>
      </c>
      <c r="B2" s="888"/>
      <c r="C2" s="888"/>
      <c r="D2" s="888"/>
      <c r="E2" s="888"/>
      <c r="F2" s="888"/>
      <c r="G2" s="888"/>
      <c r="H2" s="888"/>
      <c r="I2" s="888"/>
      <c r="J2" s="888"/>
      <c r="K2" s="888"/>
      <c r="L2" s="888"/>
      <c r="M2" s="888"/>
      <c r="N2" s="888"/>
      <c r="O2" s="888"/>
      <c r="P2" s="888"/>
      <c r="Q2" s="888"/>
      <c r="R2" s="888"/>
      <c r="S2" s="888"/>
      <c r="T2" s="888"/>
      <c r="U2" s="888"/>
      <c r="V2" s="888"/>
      <c r="W2" s="888"/>
      <c r="X2" s="888"/>
      <c r="Y2" s="888"/>
      <c r="Z2" s="888"/>
      <c r="AA2" s="888"/>
      <c r="AB2" s="888"/>
      <c r="AC2" s="888"/>
      <c r="AD2" s="888"/>
      <c r="AE2" s="888"/>
      <c r="AF2" s="888"/>
      <c r="AG2" s="888"/>
      <c r="AH2" s="888"/>
      <c r="AI2" s="888"/>
      <c r="AJ2" s="888"/>
      <c r="AK2" s="888"/>
      <c r="AL2" s="888"/>
      <c r="AM2" s="888"/>
      <c r="AN2" s="888"/>
      <c r="AO2" s="888"/>
      <c r="AP2" s="888"/>
      <c r="AQ2" s="888"/>
      <c r="AR2" s="888"/>
      <c r="AS2" s="888"/>
      <c r="AT2" s="888"/>
      <c r="AU2" s="888"/>
      <c r="AV2" s="888"/>
      <c r="AW2" s="888"/>
      <c r="AX2" s="888"/>
      <c r="AY2" s="888"/>
      <c r="AZ2" s="888"/>
      <c r="BA2" s="888"/>
      <c r="BB2" s="888"/>
      <c r="BC2" s="888"/>
      <c r="BD2" s="888"/>
      <c r="BE2" s="888"/>
      <c r="BF2" s="888"/>
      <c r="BG2" s="888"/>
      <c r="BH2" s="888"/>
      <c r="BI2" s="888"/>
      <c r="BJ2" s="888"/>
      <c r="BK2" s="888"/>
      <c r="BL2" s="888"/>
      <c r="BM2" s="888"/>
      <c r="BN2" s="888"/>
      <c r="BO2" s="888"/>
      <c r="BP2" s="888"/>
      <c r="BQ2" s="888"/>
      <c r="BR2" s="888"/>
      <c r="BS2" s="888"/>
      <c r="BT2" s="888"/>
      <c r="BU2" s="888"/>
      <c r="BV2" s="888"/>
      <c r="BW2" s="888"/>
      <c r="BX2" s="888"/>
      <c r="BY2" s="888"/>
      <c r="BZ2" s="888"/>
      <c r="CA2" s="888"/>
      <c r="CB2" s="888"/>
      <c r="CC2" s="888"/>
      <c r="CD2" s="888"/>
      <c r="CE2" s="888"/>
      <c r="CF2" s="888"/>
      <c r="CG2" s="888"/>
      <c r="CH2" s="888"/>
      <c r="CI2" s="888"/>
      <c r="CJ2" s="888"/>
      <c r="CK2" s="888"/>
      <c r="CL2" s="888"/>
      <c r="CM2" s="888"/>
      <c r="CN2" s="888"/>
      <c r="CO2" s="888"/>
      <c r="CP2" s="888"/>
      <c r="CQ2" s="888"/>
      <c r="CR2" s="888"/>
      <c r="CS2" s="888"/>
      <c r="CT2" s="888"/>
      <c r="CU2" s="888"/>
      <c r="CV2" s="888"/>
      <c r="CW2" s="888"/>
      <c r="CX2" s="888"/>
      <c r="CY2" s="888"/>
      <c r="CZ2" s="888"/>
      <c r="DA2" s="888"/>
      <c r="DB2" s="888"/>
      <c r="DC2" s="888"/>
      <c r="DD2" s="888"/>
      <c r="DE2" s="888"/>
      <c r="DF2" s="888"/>
      <c r="DG2" s="888"/>
      <c r="DH2" s="888"/>
      <c r="DI2" s="888"/>
      <c r="DJ2" s="888"/>
      <c r="DK2" s="888"/>
      <c r="DL2" s="888"/>
      <c r="DM2" s="888"/>
      <c r="DN2" s="888"/>
    </row>
    <row r="3" spans="1:122" s="3" customFormat="1" ht="15" customHeight="1">
      <c r="A3" s="273"/>
      <c r="B3" s="273"/>
      <c r="C3" s="257"/>
      <c r="D3" s="257"/>
      <c r="E3" s="257"/>
      <c r="F3" s="257"/>
      <c r="G3" s="257"/>
      <c r="H3" s="257"/>
      <c r="I3" s="257"/>
      <c r="J3" s="257"/>
      <c r="K3" s="257"/>
      <c r="L3" s="257"/>
      <c r="M3" s="257"/>
      <c r="N3" s="257"/>
      <c r="O3" s="257"/>
      <c r="P3" s="257"/>
      <c r="Q3" s="257"/>
      <c r="R3" s="257"/>
      <c r="S3" s="257"/>
      <c r="T3" s="257"/>
      <c r="U3" s="257"/>
      <c r="V3" s="885" t="s">
        <v>219</v>
      </c>
      <c r="W3" s="912" t="s">
        <v>2655</v>
      </c>
      <c r="X3" s="913"/>
      <c r="Y3" s="913"/>
      <c r="Z3" s="913"/>
      <c r="AA3" s="913"/>
      <c r="AB3" s="913"/>
      <c r="AC3" s="913"/>
      <c r="AD3" s="913"/>
      <c r="AE3" s="913"/>
      <c r="AF3" s="913"/>
      <c r="AG3" s="913"/>
      <c r="AH3" s="913"/>
      <c r="AI3" s="913"/>
      <c r="AJ3" s="913"/>
      <c r="AK3" s="913"/>
      <c r="AL3" s="913"/>
      <c r="AM3" s="913"/>
      <c r="AN3" s="914"/>
      <c r="AO3" s="890" t="s">
        <v>1840</v>
      </c>
      <c r="AP3" s="891"/>
      <c r="AQ3" s="891"/>
      <c r="AR3" s="891"/>
      <c r="AS3" s="891"/>
      <c r="AT3" s="892"/>
      <c r="AU3" s="637"/>
      <c r="AV3" s="930" t="s">
        <v>1845</v>
      </c>
      <c r="AW3" s="931"/>
      <c r="AX3" s="931"/>
      <c r="AY3" s="931"/>
      <c r="AZ3" s="931"/>
      <c r="BA3" s="931"/>
      <c r="BB3" s="931"/>
      <c r="BC3" s="931"/>
      <c r="BD3" s="931"/>
      <c r="BE3" s="931"/>
      <c r="BF3" s="931"/>
      <c r="BG3" s="931"/>
      <c r="BH3" s="931"/>
      <c r="BI3" s="931"/>
      <c r="BJ3" s="931"/>
      <c r="BK3" s="931"/>
      <c r="BL3" s="931"/>
      <c r="BM3" s="931"/>
      <c r="BN3" s="931"/>
      <c r="BO3" s="931"/>
      <c r="BP3" s="931"/>
      <c r="BQ3" s="931"/>
      <c r="BR3" s="931"/>
      <c r="BS3" s="932"/>
      <c r="BT3" s="903" t="s">
        <v>1844</v>
      </c>
      <c r="BU3" s="904"/>
      <c r="BV3" s="904"/>
      <c r="BW3" s="904"/>
      <c r="BX3" s="904"/>
      <c r="BY3" s="904"/>
      <c r="BZ3" s="904"/>
      <c r="CA3" s="904"/>
      <c r="CB3" s="904"/>
      <c r="CC3" s="904"/>
      <c r="CD3" s="904"/>
      <c r="CE3" s="904"/>
      <c r="CF3" s="904"/>
      <c r="CG3" s="904"/>
      <c r="CH3" s="904"/>
      <c r="CI3" s="904"/>
      <c r="CJ3" s="904"/>
      <c r="CK3" s="904"/>
      <c r="CL3" s="904"/>
      <c r="CM3" s="904"/>
      <c r="CN3" s="904"/>
      <c r="CO3" s="904"/>
      <c r="CP3" s="904"/>
      <c r="CQ3" s="904"/>
      <c r="CR3" s="904"/>
      <c r="CS3" s="904"/>
      <c r="CT3" s="904"/>
      <c r="CU3" s="904"/>
      <c r="CV3" s="904"/>
      <c r="CW3" s="904"/>
      <c r="CX3" s="904"/>
      <c r="CY3" s="904"/>
      <c r="CZ3" s="904"/>
      <c r="DA3" s="904"/>
      <c r="DB3" s="904"/>
      <c r="DC3" s="904"/>
      <c r="DD3" s="904"/>
      <c r="DE3" s="904"/>
      <c r="DF3" s="904"/>
      <c r="DG3" s="904"/>
      <c r="DH3" s="904"/>
      <c r="DI3" s="904"/>
      <c r="DJ3" s="904"/>
      <c r="DK3" s="904"/>
      <c r="DL3" s="904"/>
      <c r="DM3" s="904"/>
      <c r="DN3" s="905"/>
    </row>
    <row r="4" spans="1:122" s="256" customFormat="1" ht="15.4" customHeight="1">
      <c r="A4" s="921" t="s">
        <v>188</v>
      </c>
      <c r="B4" s="922" t="s">
        <v>189</v>
      </c>
      <c r="C4" s="923" t="s">
        <v>190</v>
      </c>
      <c r="D4" s="924" t="s">
        <v>191</v>
      </c>
      <c r="E4" s="924"/>
      <c r="F4" s="924"/>
      <c r="G4" s="924"/>
      <c r="H4" s="924"/>
      <c r="I4" s="924"/>
      <c r="J4" s="924"/>
      <c r="K4" s="924"/>
      <c r="L4" s="924"/>
      <c r="M4" s="924"/>
      <c r="N4" s="924"/>
      <c r="O4" s="924"/>
      <c r="P4" s="924"/>
      <c r="Q4" s="924"/>
      <c r="R4" s="255"/>
      <c r="S4" s="925" t="s">
        <v>192</v>
      </c>
      <c r="T4" s="925"/>
      <c r="U4" s="926" t="s">
        <v>193</v>
      </c>
      <c r="V4" s="886"/>
      <c r="W4" s="915"/>
      <c r="X4" s="916"/>
      <c r="Y4" s="916"/>
      <c r="Z4" s="916"/>
      <c r="AA4" s="916"/>
      <c r="AB4" s="916"/>
      <c r="AC4" s="916"/>
      <c r="AD4" s="916"/>
      <c r="AE4" s="916"/>
      <c r="AF4" s="916"/>
      <c r="AG4" s="916"/>
      <c r="AH4" s="916"/>
      <c r="AI4" s="916"/>
      <c r="AJ4" s="916"/>
      <c r="AK4" s="916"/>
      <c r="AL4" s="916"/>
      <c r="AM4" s="916"/>
      <c r="AN4" s="917"/>
      <c r="AO4" s="893"/>
      <c r="AP4" s="894"/>
      <c r="AQ4" s="894"/>
      <c r="AR4" s="894"/>
      <c r="AS4" s="894"/>
      <c r="AT4" s="895"/>
      <c r="AU4" s="909" t="s">
        <v>2365</v>
      </c>
      <c r="AV4" s="910"/>
      <c r="AW4" s="910"/>
      <c r="AX4" s="910"/>
      <c r="AY4" s="910"/>
      <c r="AZ4" s="910"/>
      <c r="BA4" s="646"/>
      <c r="BB4" s="897" t="s">
        <v>194</v>
      </c>
      <c r="BC4" s="898"/>
      <c r="BD4" s="898"/>
      <c r="BE4" s="898"/>
      <c r="BF4" s="898"/>
      <c r="BG4" s="899"/>
      <c r="BH4" s="872"/>
      <c r="BI4" s="911" t="s">
        <v>195</v>
      </c>
      <c r="BJ4" s="911"/>
      <c r="BK4" s="911"/>
      <c r="BL4" s="911"/>
      <c r="BM4" s="873" t="s">
        <v>196</v>
      </c>
      <c r="BN4" s="640"/>
      <c r="BO4" s="279" t="s">
        <v>1897</v>
      </c>
      <c r="BP4" s="897" t="s">
        <v>190</v>
      </c>
      <c r="BQ4" s="898"/>
      <c r="BR4" s="898"/>
      <c r="BS4" s="899"/>
      <c r="BT4" s="640"/>
      <c r="BU4" s="640"/>
      <c r="BV4" s="649"/>
      <c r="BW4" s="918" t="s">
        <v>2368</v>
      </c>
      <c r="BX4" s="919"/>
      <c r="BY4" s="919"/>
      <c r="BZ4" s="920"/>
      <c r="CA4" s="647"/>
      <c r="CB4" s="906" t="s">
        <v>2367</v>
      </c>
      <c r="CC4" s="907"/>
      <c r="CD4" s="908"/>
      <c r="CE4" s="900" t="s">
        <v>1838</v>
      </c>
      <c r="CF4" s="901"/>
      <c r="CG4" s="901"/>
      <c r="CH4" s="901"/>
      <c r="CI4" s="901"/>
      <c r="CJ4" s="901"/>
      <c r="CK4" s="901"/>
      <c r="CL4" s="902"/>
      <c r="CM4" s="874"/>
      <c r="CN4" s="874" t="s">
        <v>1837</v>
      </c>
      <c r="CO4" s="874"/>
      <c r="CP4" s="874"/>
      <c r="CQ4" s="874"/>
      <c r="CR4" s="900" t="s">
        <v>1836</v>
      </c>
      <c r="CS4" s="901"/>
      <c r="CT4" s="901"/>
      <c r="CU4" s="901"/>
      <c r="CV4" s="902"/>
      <c r="CW4" s="896" t="s">
        <v>1842</v>
      </c>
      <c r="CX4" s="896"/>
      <c r="CY4" s="896"/>
      <c r="CZ4" s="896"/>
      <c r="DA4" s="896"/>
      <c r="DB4" s="900" t="s">
        <v>1841</v>
      </c>
      <c r="DC4" s="901"/>
      <c r="DD4" s="901"/>
      <c r="DE4" s="901"/>
      <c r="DF4" s="901"/>
      <c r="DG4" s="902"/>
      <c r="DH4" s="743"/>
      <c r="DI4" s="927" t="s">
        <v>1843</v>
      </c>
      <c r="DJ4" s="928"/>
      <c r="DK4" s="928"/>
      <c r="DL4" s="928"/>
      <c r="DM4" s="929"/>
      <c r="DN4" s="281" t="s">
        <v>96</v>
      </c>
    </row>
    <row r="5" spans="1:122" s="256" customFormat="1" ht="52" customHeight="1">
      <c r="A5" s="921"/>
      <c r="B5" s="922"/>
      <c r="C5" s="923"/>
      <c r="D5" s="258" t="s">
        <v>194</v>
      </c>
      <c r="E5" s="259" t="s">
        <v>197</v>
      </c>
      <c r="F5" s="260" t="s">
        <v>198</v>
      </c>
      <c r="G5" s="261" t="s">
        <v>195</v>
      </c>
      <c r="H5" s="262" t="s">
        <v>196</v>
      </c>
      <c r="I5" s="263" t="s">
        <v>199</v>
      </c>
      <c r="J5" s="263" t="s">
        <v>200</v>
      </c>
      <c r="K5" s="264" t="s">
        <v>201</v>
      </c>
      <c r="L5" s="264" t="s">
        <v>202</v>
      </c>
      <c r="M5" s="263" t="s">
        <v>203</v>
      </c>
      <c r="N5" s="264" t="s">
        <v>204</v>
      </c>
      <c r="O5" s="263" t="s">
        <v>205</v>
      </c>
      <c r="P5" s="264" t="s">
        <v>206</v>
      </c>
      <c r="Q5" s="255" t="s">
        <v>207</v>
      </c>
      <c r="R5" s="255" t="s">
        <v>208</v>
      </c>
      <c r="S5" s="265" t="s">
        <v>174</v>
      </c>
      <c r="T5" s="266" t="s">
        <v>209</v>
      </c>
      <c r="U5" s="926"/>
      <c r="V5" s="887"/>
      <c r="W5" s="622" t="s">
        <v>210</v>
      </c>
      <c r="X5" s="870" t="s">
        <v>211</v>
      </c>
      <c r="Y5" s="598"/>
      <c r="Z5" s="598"/>
      <c r="AA5" s="598"/>
      <c r="AB5" s="869" t="s">
        <v>212</v>
      </c>
      <c r="AC5" s="870" t="s">
        <v>213</v>
      </c>
      <c r="AD5" s="644" t="s">
        <v>214</v>
      </c>
      <c r="AE5" s="871" t="s">
        <v>2410</v>
      </c>
      <c r="AF5" s="871" t="s">
        <v>2668</v>
      </c>
      <c r="AG5" s="615" t="s">
        <v>1823</v>
      </c>
      <c r="AH5" s="644" t="s">
        <v>2407</v>
      </c>
      <c r="AI5" s="268" t="s">
        <v>1823</v>
      </c>
      <c r="AJ5" s="644" t="s">
        <v>2411</v>
      </c>
      <c r="AK5" s="869" t="s">
        <v>2660</v>
      </c>
      <c r="AL5" s="869" t="s">
        <v>2661</v>
      </c>
      <c r="AM5" s="869" t="s">
        <v>2662</v>
      </c>
      <c r="AN5" s="875" t="s">
        <v>2663</v>
      </c>
      <c r="AO5" s="631" t="s">
        <v>215</v>
      </c>
      <c r="AP5" s="630" t="s">
        <v>1823</v>
      </c>
      <c r="AQ5" s="630" t="s">
        <v>2356</v>
      </c>
      <c r="AR5" s="618" t="s">
        <v>216</v>
      </c>
      <c r="AS5" s="618" t="s">
        <v>217</v>
      </c>
      <c r="AT5" s="620" t="s">
        <v>218</v>
      </c>
      <c r="AU5" s="272" t="s">
        <v>1824</v>
      </c>
      <c r="AV5" s="272" t="s">
        <v>2366</v>
      </c>
      <c r="AW5" s="283" t="s">
        <v>1823</v>
      </c>
      <c r="AX5" s="283" t="s">
        <v>2409</v>
      </c>
      <c r="AY5" s="272" t="s">
        <v>220</v>
      </c>
      <c r="AZ5" s="272" t="s">
        <v>2412</v>
      </c>
      <c r="BA5" s="274" t="s">
        <v>1823</v>
      </c>
      <c r="BB5" s="271" t="s">
        <v>1824</v>
      </c>
      <c r="BC5" s="651" t="s">
        <v>1826</v>
      </c>
      <c r="BD5" s="271" t="s">
        <v>1832</v>
      </c>
      <c r="BE5" s="651" t="s">
        <v>2420</v>
      </c>
      <c r="BF5" s="271" t="s">
        <v>1823</v>
      </c>
      <c r="BG5" s="271" t="s">
        <v>1827</v>
      </c>
      <c r="BH5" s="635" t="s">
        <v>1824</v>
      </c>
      <c r="BI5" s="274" t="s">
        <v>2656</v>
      </c>
      <c r="BJ5" s="274" t="s">
        <v>2657</v>
      </c>
      <c r="BK5" s="274" t="s">
        <v>2658</v>
      </c>
      <c r="BL5" s="274" t="s">
        <v>2659</v>
      </c>
      <c r="BM5" s="274" t="s">
        <v>221</v>
      </c>
      <c r="BN5" s="274" t="s">
        <v>2408</v>
      </c>
      <c r="BO5" s="274" t="s">
        <v>1846</v>
      </c>
      <c r="BP5" s="271" t="s">
        <v>1847</v>
      </c>
      <c r="BQ5" s="271" t="s">
        <v>1848</v>
      </c>
      <c r="BR5" s="271" t="s">
        <v>222</v>
      </c>
      <c r="BS5" s="271" t="s">
        <v>223</v>
      </c>
      <c r="BT5" s="279" t="s">
        <v>2309</v>
      </c>
      <c r="BU5" s="279" t="s">
        <v>2310</v>
      </c>
      <c r="BV5" s="650" t="s">
        <v>1823</v>
      </c>
      <c r="BW5" s="274" t="s">
        <v>1824</v>
      </c>
      <c r="BX5" s="274" t="s">
        <v>224</v>
      </c>
      <c r="BY5" s="274" t="s">
        <v>2369</v>
      </c>
      <c r="BZ5" s="274" t="s">
        <v>227</v>
      </c>
      <c r="CA5" s="271" t="s">
        <v>2309</v>
      </c>
      <c r="CB5" s="648" t="s">
        <v>2413</v>
      </c>
      <c r="CC5" s="271" t="s">
        <v>226</v>
      </c>
      <c r="CD5" s="271" t="s">
        <v>227</v>
      </c>
      <c r="CE5" s="274" t="s">
        <v>1825</v>
      </c>
      <c r="CF5" s="619" t="s">
        <v>2532</v>
      </c>
      <c r="CG5" s="274" t="s">
        <v>1825</v>
      </c>
      <c r="CH5" s="617" t="s">
        <v>2315</v>
      </c>
      <c r="CI5" s="272" t="s">
        <v>1849</v>
      </c>
      <c r="CJ5" s="272" t="s">
        <v>1825</v>
      </c>
      <c r="CK5" s="621" t="s">
        <v>2419</v>
      </c>
      <c r="CL5" s="639" t="s">
        <v>227</v>
      </c>
      <c r="CM5" s="267" t="s">
        <v>2667</v>
      </c>
      <c r="CN5" s="267" t="s">
        <v>224</v>
      </c>
      <c r="CO5" s="267" t="s">
        <v>2666</v>
      </c>
      <c r="CP5" s="267" t="s">
        <v>225</v>
      </c>
      <c r="CQ5" s="267" t="s">
        <v>227</v>
      </c>
      <c r="CR5" s="272" t="s">
        <v>2309</v>
      </c>
      <c r="CS5" s="272" t="s">
        <v>224</v>
      </c>
      <c r="CT5" s="272" t="s">
        <v>225</v>
      </c>
      <c r="CU5" s="272" t="s">
        <v>226</v>
      </c>
      <c r="CV5" s="272" t="s">
        <v>227</v>
      </c>
      <c r="CW5" s="271" t="s">
        <v>1824</v>
      </c>
      <c r="CX5" s="267" t="s">
        <v>224</v>
      </c>
      <c r="CY5" s="267" t="s">
        <v>225</v>
      </c>
      <c r="CZ5" s="267" t="s">
        <v>226</v>
      </c>
      <c r="DA5" s="267" t="s">
        <v>227</v>
      </c>
      <c r="DB5" s="272" t="s">
        <v>1834</v>
      </c>
      <c r="DC5" s="272" t="s">
        <v>1835</v>
      </c>
      <c r="DD5" s="272" t="s">
        <v>1833</v>
      </c>
      <c r="DE5" s="272" t="s">
        <v>225</v>
      </c>
      <c r="DF5" s="272" t="s">
        <v>226</v>
      </c>
      <c r="DG5" s="272" t="s">
        <v>227</v>
      </c>
      <c r="DH5" s="280" t="s">
        <v>2531</v>
      </c>
      <c r="DI5" s="744" t="s">
        <v>228</v>
      </c>
      <c r="DJ5" s="280" t="s">
        <v>229</v>
      </c>
      <c r="DK5" s="280" t="s">
        <v>2308</v>
      </c>
      <c r="DL5" s="280" t="s">
        <v>1896</v>
      </c>
      <c r="DM5" s="280" t="s">
        <v>230</v>
      </c>
      <c r="DN5" s="282"/>
    </row>
    <row r="6" spans="1:122" s="4" customFormat="1" ht="15.75" customHeight="1">
      <c r="A6" s="627"/>
      <c r="B6" s="628" t="s">
        <v>2317</v>
      </c>
      <c r="C6" s="253">
        <f t="shared" ref="C6:T6" si="0">SUM(C8,C151,C283,C491,C602,C744)</f>
        <v>774</v>
      </c>
      <c r="D6" s="253">
        <f t="shared" si="0"/>
        <v>339</v>
      </c>
      <c r="E6" s="253">
        <f t="shared" si="0"/>
        <v>0</v>
      </c>
      <c r="F6" s="253">
        <f t="shared" si="0"/>
        <v>0</v>
      </c>
      <c r="G6" s="253">
        <f t="shared" si="0"/>
        <v>363</v>
      </c>
      <c r="H6" s="253">
        <f t="shared" si="0"/>
        <v>774</v>
      </c>
      <c r="I6" s="253">
        <f t="shared" si="0"/>
        <v>750</v>
      </c>
      <c r="J6" s="253">
        <f t="shared" si="0"/>
        <v>22</v>
      </c>
      <c r="K6" s="253">
        <f t="shared" si="0"/>
        <v>377</v>
      </c>
      <c r="L6" s="253">
        <f t="shared" si="0"/>
        <v>22</v>
      </c>
      <c r="M6" s="253">
        <f t="shared" si="0"/>
        <v>217</v>
      </c>
      <c r="N6" s="253">
        <f t="shared" si="0"/>
        <v>104</v>
      </c>
      <c r="O6" s="253">
        <f t="shared" si="0"/>
        <v>43</v>
      </c>
      <c r="P6" s="253">
        <f t="shared" si="0"/>
        <v>9</v>
      </c>
      <c r="Q6" s="253">
        <f t="shared" si="0"/>
        <v>86</v>
      </c>
      <c r="R6" s="253">
        <f t="shared" si="0"/>
        <v>688</v>
      </c>
      <c r="S6" s="253">
        <f t="shared" si="0"/>
        <v>17</v>
      </c>
      <c r="T6" s="253">
        <f t="shared" si="0"/>
        <v>0</v>
      </c>
      <c r="U6" s="254">
        <f>SUM(C6:T6)</f>
        <v>4585</v>
      </c>
      <c r="V6" s="865"/>
      <c r="W6" s="204">
        <f>SUM(W8,W151,W283,W491,W602,W744)</f>
        <v>140431790</v>
      </c>
      <c r="X6" s="205">
        <f>AVERAGE(X8,X151,X283,X491,X602,X744)</f>
        <v>3.2554047619047615</v>
      </c>
      <c r="Y6" s="205"/>
      <c r="Z6" s="205"/>
      <c r="AA6" s="205"/>
      <c r="AB6" s="204">
        <f>SUM(AB8,AB151,AB283,AB491,AB602,AB744)</f>
        <v>258169500.52052012</v>
      </c>
      <c r="AC6" s="633">
        <f>AVERAGE(AC8,AC151,AC283,AC491,AC602,AC744)</f>
        <v>15.676190476190477</v>
      </c>
      <c r="AD6" s="204">
        <f>SUM(AD8,AD151,AD283,AD491,AD602,AD744)</f>
        <v>41534537.682685092</v>
      </c>
      <c r="AE6" s="204">
        <f>SUM(AE8,AE151,AE283,AE491,AE602,AE744)</f>
        <v>39457810.798550844</v>
      </c>
      <c r="AF6" s="204">
        <f>SUM(AF8,AF151,AF283,AF491,AF602,AF744)</f>
        <v>21628351.049370985</v>
      </c>
      <c r="AG6" s="614">
        <v>1</v>
      </c>
      <c r="AH6" s="204">
        <f>SUM(AH8,AH151,AH283,AH491,AH602,AH744)</f>
        <v>12908475.026026007</v>
      </c>
      <c r="AI6" s="252">
        <v>1</v>
      </c>
      <c r="AJ6" s="199">
        <f>AD6+AH6</f>
        <v>54443012.708711103</v>
      </c>
      <c r="AK6" s="199">
        <f>AB6*0.04</f>
        <v>10326780.020820806</v>
      </c>
      <c r="AL6" s="199">
        <f>AB6*0.04</f>
        <v>10326780.020820806</v>
      </c>
      <c r="AM6" s="199">
        <f>AK6+AL6</f>
        <v>20653560.041641612</v>
      </c>
      <c r="AN6" s="645">
        <v>1</v>
      </c>
      <c r="AO6" s="204">
        <f>SUM(AO8,AO151,AO283,AO491,AO602,AO744)</f>
        <v>8801</v>
      </c>
      <c r="AP6" s="250">
        <f>AO6/8801</f>
        <v>1</v>
      </c>
      <c r="AQ6" s="204">
        <f>SUM(AQ8,AQ151,AQ283,AQ491,AQ602,AQ744)</f>
        <v>8801</v>
      </c>
      <c r="AR6" s="204"/>
      <c r="AS6" s="204"/>
      <c r="AT6" s="204"/>
      <c r="AU6" s="204"/>
      <c r="AV6" s="204">
        <f>SUM(AV8,AV151,AV283,AV491,AV602,AV744)</f>
        <v>34743979</v>
      </c>
      <c r="AW6" s="250">
        <f>AV6/34743979</f>
        <v>1</v>
      </c>
      <c r="AX6" s="199"/>
      <c r="AY6" s="204">
        <f>SUM(AY8,AY151,AY283,AY491,AY602,AY744)</f>
        <v>16870210.965226788</v>
      </c>
      <c r="AZ6" s="204">
        <f>SUM(AZ8,AZ151,AZ283,AZ491,AZ602,AZ744)</f>
        <v>12721595.591884999</v>
      </c>
      <c r="BA6" s="252">
        <v>1</v>
      </c>
      <c r="BB6" s="284">
        <v>1</v>
      </c>
      <c r="BC6" s="204">
        <f>SUM(BC8,BC151,BC283,BC491,BC602,BC744)</f>
        <v>11104066.863073897</v>
      </c>
      <c r="BD6" s="270">
        <v>1</v>
      </c>
      <c r="BE6" s="204">
        <f>SUM(BE8,BE151,BE283,BE491,BE602,BE744)</f>
        <v>47500730.469816118</v>
      </c>
      <c r="BF6" s="251">
        <v>1</v>
      </c>
      <c r="BG6" s="204">
        <f>SUM(BG8,BG151,BG283,BG491,BG602,BG744)</f>
        <v>58604797.332890004</v>
      </c>
      <c r="BH6" s="204">
        <v>1</v>
      </c>
      <c r="BI6" s="204">
        <f>AK6*0.85*0.75*12</f>
        <v>78999867.159279168</v>
      </c>
      <c r="BJ6" s="204">
        <f>AL6*0.85*0.75*2*12</f>
        <v>157999734.31855834</v>
      </c>
      <c r="BK6" s="204">
        <f>BI6+BJ6</f>
        <v>236999601.4778375</v>
      </c>
      <c r="BL6" s="251">
        <v>1</v>
      </c>
      <c r="BM6" s="204">
        <f>SUM(BM8,BM151,BM283,BM491,BM602,BM744)</f>
        <v>23157202</v>
      </c>
      <c r="BN6" s="251">
        <v>1</v>
      </c>
      <c r="BO6" s="204">
        <f>BG6/4</f>
        <v>14651199.333222501</v>
      </c>
      <c r="BP6" s="204"/>
      <c r="BT6" s="204">
        <f>'Detailed Budget'!$AD$12</f>
        <v>194045122715</v>
      </c>
      <c r="BU6" s="210">
        <f>'Detailed Budget'!$AD$24</f>
        <v>194045122715</v>
      </c>
      <c r="BV6" s="596">
        <f>AV6/34743979</f>
        <v>1</v>
      </c>
      <c r="BW6" s="278"/>
      <c r="BX6" s="616">
        <f t="shared" ref="BX6" si="1">BT6*BV6</f>
        <v>194045122715</v>
      </c>
      <c r="BY6" s="616">
        <f t="shared" ref="BY6" si="2">BU6*BV6</f>
        <v>194045122715</v>
      </c>
      <c r="BZ6" s="616">
        <f>BX6+BY6</f>
        <v>388090245430</v>
      </c>
      <c r="CA6" s="204">
        <f>'Detailed Budget'!$AD$96</f>
        <v>71050111380.677719</v>
      </c>
      <c r="CB6" s="616">
        <f>BA6*CA6</f>
        <v>71050111380.677719</v>
      </c>
      <c r="CE6" s="199">
        <f>'Detailed Budget'!$AD$175</f>
        <v>4330586076.5988197</v>
      </c>
      <c r="CF6" s="616">
        <f t="shared" ref="CF6:CF9" si="3">BB6*BD6*CE6</f>
        <v>4330586076.5988197</v>
      </c>
      <c r="CG6" s="204">
        <f>'Detailed Budget'!$AD$176</f>
        <v>20662817754.37001</v>
      </c>
      <c r="CH6" s="616">
        <f t="shared" ref="CH6:CH9" si="4">BB6*BF6*CG6</f>
        <v>20662817754.37001</v>
      </c>
      <c r="CI6" s="616">
        <f>CF6+CH6</f>
        <v>24993403830.96883</v>
      </c>
      <c r="CJ6" s="275">
        <f>'Detailed Budget'!$AD$178</f>
        <v>46025131033.061455</v>
      </c>
      <c r="CK6" s="616">
        <f>BB6*AG6*CJ6</f>
        <v>46025131033.061455</v>
      </c>
      <c r="CL6" s="616">
        <f>CI6+CK6</f>
        <v>71018534864.030289</v>
      </c>
      <c r="CM6" s="278">
        <f>'Detailed Budget'!$AD$189</f>
        <v>77498869683.252869</v>
      </c>
      <c r="CN6" s="616">
        <f>BH6*BL6*CM6</f>
        <v>77498869683.252869</v>
      </c>
      <c r="CO6" s="140">
        <f>'Detailed Budget'!$AD$191</f>
        <v>2684962805.4134097</v>
      </c>
      <c r="CP6" s="616">
        <f>BH6*AN6*CO6</f>
        <v>2684962805.4134097</v>
      </c>
      <c r="CQ6" s="616">
        <f>CN6+CP6</f>
        <v>80183832488.666275</v>
      </c>
      <c r="CR6" s="204">
        <f>'Detailed Budget'!$AD$195</f>
        <v>18734176418</v>
      </c>
      <c r="CS6" s="616">
        <f>BN6*CR6</f>
        <v>18734176418</v>
      </c>
      <c r="CW6" s="278"/>
      <c r="DH6" s="140">
        <f>'Detailed Budget'!$AD$163</f>
        <v>4928560000</v>
      </c>
      <c r="DI6" s="616">
        <f>AP6*DH6</f>
        <v>4928560000</v>
      </c>
      <c r="DR6" s="616"/>
    </row>
    <row r="7" spans="1:122" s="4" customFormat="1">
      <c r="A7" s="627"/>
      <c r="B7" s="629" t="s">
        <v>2316</v>
      </c>
      <c r="C7" s="253"/>
      <c r="D7" s="253"/>
      <c r="E7" s="253"/>
      <c r="F7" s="253"/>
      <c r="G7" s="253"/>
      <c r="H7" s="253"/>
      <c r="I7" s="253"/>
      <c r="J7" s="253"/>
      <c r="K7" s="253"/>
      <c r="L7" s="253"/>
      <c r="M7" s="253"/>
      <c r="N7" s="253"/>
      <c r="O7" s="253"/>
      <c r="P7" s="253"/>
      <c r="Q7" s="253"/>
      <c r="R7" s="253"/>
      <c r="S7" s="253"/>
      <c r="T7" s="253"/>
      <c r="U7" s="254"/>
      <c r="V7" s="865"/>
      <c r="W7" s="204"/>
      <c r="X7" s="205"/>
      <c r="Y7" s="205"/>
      <c r="Z7" s="205"/>
      <c r="AA7" s="205"/>
      <c r="AB7" s="204"/>
      <c r="AD7" s="204"/>
      <c r="AE7" s="204"/>
      <c r="AF7" s="204"/>
      <c r="AG7" s="614"/>
      <c r="AH7" s="204"/>
      <c r="AI7" s="252"/>
      <c r="AJ7" s="199"/>
      <c r="AK7" s="199"/>
      <c r="AL7" s="199"/>
      <c r="AM7" s="199"/>
      <c r="AN7" s="645"/>
      <c r="AO7" s="204"/>
      <c r="AP7" s="250"/>
      <c r="AQ7" s="204"/>
      <c r="AR7" s="204"/>
      <c r="AS7" s="204"/>
      <c r="AT7" s="204"/>
      <c r="AU7" s="204"/>
      <c r="AV7" s="199"/>
      <c r="AW7" s="250">
        <f t="shared" ref="AW7:AW70" si="5">AV7/34743979</f>
        <v>0</v>
      </c>
      <c r="AX7" s="199"/>
      <c r="AY7" s="204"/>
      <c r="AZ7" s="199"/>
      <c r="BA7" s="252">
        <f t="shared" ref="BA7:BA70" si="6">AZ7/12721596</f>
        <v>0</v>
      </c>
      <c r="BB7" s="284"/>
      <c r="BC7" s="204"/>
      <c r="BD7" s="270">
        <f t="shared" ref="BD7:BD73" si="7">BC7/11104067</f>
        <v>0</v>
      </c>
      <c r="BE7" s="204"/>
      <c r="BF7" s="251"/>
      <c r="BG7" s="204"/>
      <c r="BH7" s="204"/>
      <c r="BI7" s="199"/>
      <c r="BJ7" s="199"/>
      <c r="BK7" s="199"/>
      <c r="BL7" s="251">
        <f t="shared" ref="BL7:BL70" si="8">BK7/236999601</f>
        <v>0</v>
      </c>
      <c r="BM7" s="204"/>
      <c r="BN7" s="251">
        <f t="shared" ref="BN7:BN70" si="9">BM7/23157202</f>
        <v>0</v>
      </c>
      <c r="BT7" s="204"/>
      <c r="BU7" s="210"/>
      <c r="BV7" s="596"/>
      <c r="BW7" s="278"/>
      <c r="BX7" s="616"/>
      <c r="BY7" s="616"/>
      <c r="CA7" s="204"/>
      <c r="CB7" s="275"/>
      <c r="CE7" s="199">
        <f>'Detailed Budget'!$AD$175</f>
        <v>4330586076.5988197</v>
      </c>
      <c r="CF7" s="275"/>
      <c r="CG7" s="199"/>
      <c r="CH7" s="275"/>
      <c r="CI7" s="275"/>
      <c r="CJ7" s="275"/>
      <c r="CK7" s="616"/>
      <c r="CM7" s="278">
        <f>'Detailed Budget'!$AD$189</f>
        <v>77498869683.252869</v>
      </c>
      <c r="CN7" s="275">
        <f t="shared" ref="CN7:CN70" si="10">BH7*BL7*CM7</f>
        <v>0</v>
      </c>
      <c r="CO7" s="140">
        <f>'Detailed Budget'!$AD$191</f>
        <v>2684962805.4134097</v>
      </c>
      <c r="CP7" s="616">
        <f t="shared" ref="CP7:CP70" si="11">BH7*AN7*CO7</f>
        <v>0</v>
      </c>
      <c r="CQ7" s="616">
        <f t="shared" ref="CQ7:CQ70" si="12">CN7+CP7</f>
        <v>0</v>
      </c>
      <c r="CR7" s="204"/>
      <c r="CS7" s="275"/>
      <c r="CW7" s="278"/>
      <c r="DH7" s="140"/>
      <c r="DI7" s="616"/>
    </row>
    <row r="8" spans="1:122" s="4" customFormat="1">
      <c r="A8" s="627">
        <v>1</v>
      </c>
      <c r="B8" s="628" t="s">
        <v>2357</v>
      </c>
      <c r="C8" s="253">
        <f t="shared" ref="C8:T8" si="13">SUM(C9,C35,C44,C68,C87,C103,C131)</f>
        <v>121</v>
      </c>
      <c r="D8" s="253">
        <f t="shared" si="13"/>
        <v>89</v>
      </c>
      <c r="E8" s="253">
        <f t="shared" si="13"/>
        <v>0</v>
      </c>
      <c r="F8" s="253">
        <f t="shared" si="13"/>
        <v>0</v>
      </c>
      <c r="G8" s="253">
        <f t="shared" si="13"/>
        <v>32</v>
      </c>
      <c r="H8" s="253">
        <f t="shared" si="13"/>
        <v>121</v>
      </c>
      <c r="I8" s="253">
        <f t="shared" si="13"/>
        <v>121</v>
      </c>
      <c r="J8" s="253">
        <f t="shared" si="13"/>
        <v>0</v>
      </c>
      <c r="K8" s="253">
        <f t="shared" si="13"/>
        <v>75</v>
      </c>
      <c r="L8" s="253">
        <f t="shared" si="13"/>
        <v>0</v>
      </c>
      <c r="M8" s="253">
        <f t="shared" si="13"/>
        <v>30</v>
      </c>
      <c r="N8" s="253">
        <f t="shared" si="13"/>
        <v>16</v>
      </c>
      <c r="O8" s="253">
        <f t="shared" si="13"/>
        <v>0</v>
      </c>
      <c r="P8" s="253">
        <f t="shared" si="13"/>
        <v>0</v>
      </c>
      <c r="Q8" s="253">
        <f t="shared" si="13"/>
        <v>11</v>
      </c>
      <c r="R8" s="253">
        <f t="shared" si="13"/>
        <v>110</v>
      </c>
      <c r="S8" s="253">
        <f t="shared" si="13"/>
        <v>2</v>
      </c>
      <c r="T8" s="253">
        <f t="shared" si="13"/>
        <v>0</v>
      </c>
      <c r="U8" s="254">
        <f>SUM(C8:T8)</f>
        <v>728</v>
      </c>
      <c r="V8" s="865"/>
      <c r="W8" s="204">
        <f>SUM(W9,W35,W44,W68,W87,W103,W131)</f>
        <v>20369956</v>
      </c>
      <c r="X8" s="205">
        <f>AVERAGE(X9,X37,X46,X70,X89,X105,X133)</f>
        <v>3.9600000000000004</v>
      </c>
      <c r="Y8" s="205"/>
      <c r="Z8" s="205"/>
      <c r="AA8" s="205"/>
      <c r="AB8" s="204">
        <f>SUM(AB9,AB35,AB44,AB68,AB87,AB103,AB131)</f>
        <v>41427459.732225426</v>
      </c>
      <c r="AC8" s="633">
        <f>AVERAGE(AC9,AC35,AC44,AC68,AC87,AC103,AC131)</f>
        <v>18.057142857142853</v>
      </c>
      <c r="AD8" s="204">
        <f>SUM(AD9,AD35,AD44,AD68,AD87,AD103,AD131)</f>
        <v>7463132.9481669022</v>
      </c>
      <c r="AE8" s="204">
        <f>SUM(AE9,AE35,AE44,AE68,AE87,AE103,AE131)</f>
        <v>7089976.3007585565</v>
      </c>
      <c r="AF8" s="204">
        <f>SUM(AF9,AF35,AF44,AF68,AF87,AF103,AF131)</f>
        <v>5531044.162151956</v>
      </c>
      <c r="AG8" s="614">
        <f>AE8/21628351</f>
        <v>0.32780937856790637</v>
      </c>
      <c r="AH8" s="204">
        <f>SUM(AH9,AH35,AH44,AH68,AH87,AH103,AH131)</f>
        <v>2071372.986611271</v>
      </c>
      <c r="AI8" s="252">
        <f>AH8/12908475</f>
        <v>0.16046612683614997</v>
      </c>
      <c r="AJ8" s="204">
        <f>SUM(AJ9,AJ35,AJ44,AJ68,AJ87,AJ103,AJ131)</f>
        <v>9534505.9347781725</v>
      </c>
      <c r="AK8" s="199">
        <f t="shared" ref="AK8:AK16" si="14">AB8*0.04</f>
        <v>1657098.3892890171</v>
      </c>
      <c r="AL8" s="199">
        <f t="shared" ref="AL8:AL16" si="15">AB8*0.04</f>
        <v>1657098.3892890171</v>
      </c>
      <c r="AM8" s="199">
        <f t="shared" ref="AM8:AM70" si="16">AK8+AL8</f>
        <v>3314196.7785780341</v>
      </c>
      <c r="AN8" s="645">
        <f t="shared" ref="AN8:AN70" si="17">AM8/20653560</f>
        <v>0.16046612683615</v>
      </c>
      <c r="AO8" s="204">
        <f>SUM(AO9,AO35,AO44,AO68,AO87,AO103,AO131)</f>
        <v>1391</v>
      </c>
      <c r="AP8" s="250">
        <f t="shared" ref="AP8:AP70" si="18">AO8/8801</f>
        <v>0.15805022156573117</v>
      </c>
      <c r="AQ8" s="204">
        <f>SUM(AQ9,AQ35,AQ44,AQ68,AQ87,AQ103,AQ131)</f>
        <v>1391</v>
      </c>
      <c r="AR8" s="204"/>
      <c r="AS8" s="204"/>
      <c r="AT8" s="204"/>
      <c r="AU8" s="204"/>
      <c r="AV8" s="204">
        <f>SUM(AV9,AV35,AV44,AV68,AV87,AV103,AV131)</f>
        <v>6000277</v>
      </c>
      <c r="AW8" s="250">
        <f t="shared" si="5"/>
        <v>0.17269976475636253</v>
      </c>
      <c r="AX8" s="199"/>
      <c r="AY8" s="204">
        <f>SUM(AY9,AY35,AY44,AY68,AY87,AY103,AY131)</f>
        <v>3056555</v>
      </c>
      <c r="AZ8" s="204">
        <f>SUM(AZ9,AZ35,AZ44,AZ68,AZ87,AZ103,AZ131)</f>
        <v>2236878.0821555494</v>
      </c>
      <c r="BA8" s="252">
        <f t="shared" si="6"/>
        <v>0.17583313305622575</v>
      </c>
      <c r="BB8" s="284"/>
      <c r="BC8" s="204">
        <f>SUM(BC9,BC37,BC46,BC70,BC89,BC105,BC133)</f>
        <v>519374.23685683426</v>
      </c>
      <c r="BD8" s="270">
        <f t="shared" si="7"/>
        <v>4.6773334207802802E-2</v>
      </c>
      <c r="BE8" s="204">
        <f>SUM(BE9,BE37,BE46,BE70,BE89,BE105,BE133)</f>
        <v>2221767.568776458</v>
      </c>
      <c r="BF8" s="251">
        <f t="shared" ref="BF8:BF73" si="19">BE8/47500730</f>
        <v>4.6773335247194264E-2</v>
      </c>
      <c r="BG8" s="204">
        <f>SUM(BG9,BG37,BG46,BG70,BG89,BG105,BG133)</f>
        <v>2741141.8056332921</v>
      </c>
      <c r="BH8" s="204"/>
      <c r="BI8" s="204">
        <f>AK8*0.85*0.75*12</f>
        <v>12676802.678060979</v>
      </c>
      <c r="BJ8" s="204">
        <f>AL8*0.85*0.75*2*12</f>
        <v>25353605.356121957</v>
      </c>
      <c r="BK8" s="204">
        <f t="shared" ref="BK8:BK71" si="20">BI8+BJ8</f>
        <v>38030408.034182936</v>
      </c>
      <c r="BL8" s="251">
        <f t="shared" si="8"/>
        <v>0.16046612683614997</v>
      </c>
      <c r="BM8" s="204">
        <f>SUM(BM9,BM35,BM44,BM68,BM87,BM103,BM131)</f>
        <v>4092467</v>
      </c>
      <c r="BN8" s="251">
        <f t="shared" si="9"/>
        <v>0.1767254524100105</v>
      </c>
      <c r="BT8" s="204">
        <f>'Detailed Budget'!$AD$12</f>
        <v>194045122715</v>
      </c>
      <c r="BU8" s="210">
        <f>'Detailed Budget'!$AD$24</f>
        <v>194045122715</v>
      </c>
      <c r="BV8" s="596">
        <f>AV8/34743979</f>
        <v>0.17269976475636253</v>
      </c>
      <c r="BW8" s="278"/>
      <c r="BX8" s="613">
        <f>BT8*BV8</f>
        <v>33511547045</v>
      </c>
      <c r="BY8" s="613">
        <f>BU8*BV8</f>
        <v>33511547045</v>
      </c>
      <c r="BZ8" s="613">
        <f>BX8+BY8</f>
        <v>67023094090</v>
      </c>
      <c r="CA8" s="204">
        <f>'Detailed Budget'!$AD$96</f>
        <v>71050111380.677719</v>
      </c>
      <c r="CB8" s="616">
        <f t="shared" ref="CB8:CB70" si="21">BA8*CA8</f>
        <v>12492963688.058365</v>
      </c>
      <c r="CE8" s="199">
        <f>'Detailed Budget'!$AD$175</f>
        <v>4330586076.5988197</v>
      </c>
      <c r="CF8" s="616">
        <f t="shared" si="3"/>
        <v>0</v>
      </c>
      <c r="CG8" s="204">
        <f>'Detailed Budget'!$AD$176</f>
        <v>20662817754.37001</v>
      </c>
      <c r="CH8" s="616">
        <f t="shared" si="4"/>
        <v>0</v>
      </c>
      <c r="CI8" s="616">
        <f t="shared" ref="CI8" si="22">CF8+CH8</f>
        <v>0</v>
      </c>
      <c r="CJ8" s="275">
        <f>'Detailed Budget'!$AD$178</f>
        <v>46025131033.061455</v>
      </c>
      <c r="CK8" s="616">
        <f>SUM(CK11,CK37,CK46,CK70,CK89,CK105,CK133)</f>
        <v>607315122.94756675</v>
      </c>
      <c r="CL8" s="616">
        <f>SUM(CL11,CL37,CL46,CL70,CL89,CL105,CL133)</f>
        <v>1094164594.6270094</v>
      </c>
      <c r="CM8" s="278">
        <f>'Detailed Budget'!$AD$189</f>
        <v>77498869683.252869</v>
      </c>
      <c r="CN8" s="616">
        <f>SUM(CN9,CN37,CN46,CN70,CN89,CN105,CN133)</f>
        <v>1568860980.6912236</v>
      </c>
      <c r="CO8" s="140">
        <f>'Detailed Budget'!$AD$191</f>
        <v>2684962805.4134097</v>
      </c>
      <c r="CP8" s="616">
        <f>SUM(CP9,CP37,CP46,CP70,CP89,CP105,CP133)</f>
        <v>54353481.505429059</v>
      </c>
      <c r="CQ8" s="616">
        <f t="shared" si="12"/>
        <v>1623214462.1966527</v>
      </c>
      <c r="CR8" s="204">
        <f>'Detailed Budget'!$AD$195</f>
        <v>18734176418</v>
      </c>
      <c r="CS8" s="616">
        <f>BN8*CR8</f>
        <v>3310805803</v>
      </c>
      <c r="CW8" s="278"/>
      <c r="DH8" s="140">
        <f>'Detailed Budget'!$AD$163</f>
        <v>4928560000</v>
      </c>
      <c r="DI8" s="616">
        <f>AP8*DH8</f>
        <v>778960000</v>
      </c>
    </row>
    <row r="9" spans="1:122" s="213" customFormat="1" collapsed="1">
      <c r="A9" s="206">
        <v>1.1000000000000001</v>
      </c>
      <c r="B9" s="207" t="s">
        <v>231</v>
      </c>
      <c r="C9" s="208">
        <f t="shared" ref="C9:T9" si="23">COUNTA(C11:C33)</f>
        <v>23</v>
      </c>
      <c r="D9" s="208">
        <f t="shared" si="23"/>
        <v>8</v>
      </c>
      <c r="E9" s="208">
        <f t="shared" si="23"/>
        <v>0</v>
      </c>
      <c r="F9" s="208">
        <f t="shared" si="23"/>
        <v>0</v>
      </c>
      <c r="G9" s="208">
        <f t="shared" si="23"/>
        <v>15</v>
      </c>
      <c r="H9" s="208">
        <f t="shared" si="23"/>
        <v>23</v>
      </c>
      <c r="I9" s="208">
        <f t="shared" si="23"/>
        <v>23</v>
      </c>
      <c r="J9" s="208">
        <f t="shared" si="23"/>
        <v>0</v>
      </c>
      <c r="K9" s="208">
        <f t="shared" si="23"/>
        <v>23</v>
      </c>
      <c r="L9" s="208">
        <f t="shared" si="23"/>
        <v>0</v>
      </c>
      <c r="M9" s="208">
        <f t="shared" si="23"/>
        <v>0</v>
      </c>
      <c r="N9" s="208">
        <f t="shared" si="23"/>
        <v>0</v>
      </c>
      <c r="O9" s="208">
        <f t="shared" si="23"/>
        <v>0</v>
      </c>
      <c r="P9" s="208">
        <f t="shared" si="23"/>
        <v>0</v>
      </c>
      <c r="Q9" s="208">
        <f t="shared" si="23"/>
        <v>0</v>
      </c>
      <c r="R9" s="208">
        <f t="shared" si="23"/>
        <v>23</v>
      </c>
      <c r="S9" s="208">
        <f t="shared" si="23"/>
        <v>0</v>
      </c>
      <c r="T9" s="208">
        <f t="shared" si="23"/>
        <v>0</v>
      </c>
      <c r="U9" s="209">
        <f>SUM(C9:T9)</f>
        <v>138</v>
      </c>
      <c r="V9" s="866"/>
      <c r="W9" s="210">
        <f>SUM(W11:W33)</f>
        <v>4253641</v>
      </c>
      <c r="X9" s="211">
        <v>3.04</v>
      </c>
      <c r="Y9" s="212">
        <f t="shared" ref="Y9:Y80" si="24">1+X9/100</f>
        <v>1.0304</v>
      </c>
      <c r="Z9" s="210">
        <v>19</v>
      </c>
      <c r="AA9" s="212">
        <f>POWER(Y9,Z9)</f>
        <v>1.7664898659259882</v>
      </c>
      <c r="AB9" s="210">
        <f>SUM(AB11:AB33)</f>
        <v>7514013.7197872866</v>
      </c>
      <c r="AC9" s="213">
        <v>18.399999999999999</v>
      </c>
      <c r="AD9" s="210">
        <f>SUM(AD11:AD33)</f>
        <v>1382578.5244408608</v>
      </c>
      <c r="AE9" s="210">
        <f>SUM(AE11:AE33)</f>
        <v>1313449.5982188175</v>
      </c>
      <c r="AF9" s="210">
        <f>SUM(AF11:AF33)</f>
        <v>399893.00706563029</v>
      </c>
      <c r="AG9" s="614">
        <f t="shared" ref="AG9:AG72" si="25">AE9/21628351</f>
        <v>6.0728143269859897E-2</v>
      </c>
      <c r="AH9" s="210">
        <f>SUM(AH11:AH33)</f>
        <v>375700.68598936434</v>
      </c>
      <c r="AI9" s="252">
        <f t="shared" ref="AI9:AI68" si="26">AH9/12908475</f>
        <v>2.9104962901455388E-2</v>
      </c>
      <c r="AJ9" s="210">
        <f>SUM(AJ11:AJ33)</f>
        <v>1758279.2104302249</v>
      </c>
      <c r="AK9" s="199">
        <f t="shared" si="14"/>
        <v>300560.54879149148</v>
      </c>
      <c r="AL9" s="199">
        <f t="shared" si="15"/>
        <v>300560.54879149148</v>
      </c>
      <c r="AM9" s="199">
        <f t="shared" si="16"/>
        <v>601121.09758298297</v>
      </c>
      <c r="AN9" s="645">
        <f t="shared" si="17"/>
        <v>2.9104962901455388E-2</v>
      </c>
      <c r="AO9" s="210">
        <f>SUM(AO11:AO33)</f>
        <v>276</v>
      </c>
      <c r="AP9" s="250">
        <f t="shared" si="18"/>
        <v>3.1360072719009202E-2</v>
      </c>
      <c r="AQ9" s="210">
        <f>SUM(AQ11:AQ33)</f>
        <v>276</v>
      </c>
      <c r="AR9" s="210"/>
      <c r="AS9" s="210"/>
      <c r="AT9" s="210"/>
      <c r="AU9" s="210"/>
      <c r="AV9" s="199"/>
      <c r="AW9" s="250">
        <f t="shared" si="5"/>
        <v>0</v>
      </c>
      <c r="AX9" s="199"/>
      <c r="AY9" s="210">
        <v>619008</v>
      </c>
      <c r="AZ9" s="210">
        <f>SUM(AZ11:AZ33)</f>
        <v>619008.07408266421</v>
      </c>
      <c r="BA9" s="252">
        <f t="shared" si="6"/>
        <v>4.865805155914904E-2</v>
      </c>
      <c r="BB9" s="284"/>
      <c r="BC9" s="210">
        <f>SUM(BC11:BC33)</f>
        <v>303076.80535500403</v>
      </c>
      <c r="BD9" s="270">
        <f t="shared" si="7"/>
        <v>2.7294216196192263E-2</v>
      </c>
      <c r="BE9" s="210">
        <f>SUM(BE11:BE33)</f>
        <v>1296495.2229075171</v>
      </c>
      <c r="BF9" s="251">
        <f t="shared" si="19"/>
        <v>2.7294216802721077E-2</v>
      </c>
      <c r="BG9" s="210">
        <f>SUM(BG11:BG33)</f>
        <v>1599572.0282625211</v>
      </c>
      <c r="BH9" s="204"/>
      <c r="BI9" s="204">
        <f>AK9*0.85*0.75*12</f>
        <v>2299288.1982549098</v>
      </c>
      <c r="BJ9" s="204">
        <f>AL9*0.85*0.75*2*12</f>
        <v>4598576.3965098197</v>
      </c>
      <c r="BK9" s="204">
        <f t="shared" si="20"/>
        <v>6897864.59476473</v>
      </c>
      <c r="BL9" s="251">
        <f t="shared" si="8"/>
        <v>2.9104962901455391E-2</v>
      </c>
      <c r="BM9" s="210">
        <v>910321</v>
      </c>
      <c r="BN9" s="251">
        <f t="shared" si="9"/>
        <v>3.931049182884875E-2</v>
      </c>
      <c r="BT9" s="210">
        <f>'Detailed Budget'!$AD$12</f>
        <v>194045122715</v>
      </c>
      <c r="BU9" s="210">
        <f>'Detailed Budget'!$AD$24</f>
        <v>194045122715</v>
      </c>
      <c r="BV9" s="596">
        <f>AV9/34743979</f>
        <v>0</v>
      </c>
      <c r="BW9" s="278"/>
      <c r="BX9" s="275">
        <f t="shared" ref="BX9:BX79" si="27">BT9*BV9</f>
        <v>0</v>
      </c>
      <c r="BY9" s="275">
        <f t="shared" ref="BY9:BY79" si="28">BU9*BV9</f>
        <v>0</v>
      </c>
      <c r="CA9" s="210">
        <f>'Detailed Budget'!$AD$96</f>
        <v>71050111380.677719</v>
      </c>
      <c r="CB9" s="613">
        <f t="shared" si="21"/>
        <v>3457159982.8442984</v>
      </c>
      <c r="CE9" s="199">
        <f>'Detailed Budget'!$AD$175</f>
        <v>4330586076.5988197</v>
      </c>
      <c r="CF9" s="613">
        <f t="shared" si="3"/>
        <v>0</v>
      </c>
      <c r="CG9" s="210">
        <f>'Detailed Budget'!$AD$176</f>
        <v>20662817754.37001</v>
      </c>
      <c r="CH9" s="613">
        <f t="shared" si="4"/>
        <v>0</v>
      </c>
      <c r="CI9" s="613">
        <f>SUM(CI11:CI33)</f>
        <v>682175380.17379761</v>
      </c>
      <c r="CJ9" s="275">
        <f>'Detailed Budget'!$AD$178</f>
        <v>46025131033.061455</v>
      </c>
      <c r="CK9" s="613">
        <f>SUM(CK11:CK33)</f>
        <v>850972320.97817373</v>
      </c>
      <c r="CL9" s="613">
        <f>SUM(CL11:CL33)</f>
        <v>1533147701.1519713</v>
      </c>
      <c r="CM9" s="278">
        <f>'Detailed Budget'!$AD$189</f>
        <v>77498869683.252869</v>
      </c>
      <c r="CN9" s="613">
        <f>SUM(CN11:CN33)</f>
        <v>1568860980.6912236</v>
      </c>
      <c r="CO9" s="140">
        <f>'Detailed Budget'!$AD$191</f>
        <v>2684962805.4134097</v>
      </c>
      <c r="CP9" s="613">
        <f>SUM(CP11:CP33)</f>
        <v>54353481.505429059</v>
      </c>
      <c r="CQ9" s="616">
        <f t="shared" si="12"/>
        <v>1623214462.1966527</v>
      </c>
      <c r="CR9" s="210">
        <f>'Detailed Budget'!$AD$195</f>
        <v>18734176418</v>
      </c>
      <c r="CS9" s="613">
        <f>BN9*CR9</f>
        <v>736449688.99999988</v>
      </c>
      <c r="CW9" s="278"/>
      <c r="DH9" s="140">
        <f>'Detailed Budget'!$AD$163</f>
        <v>4928560000</v>
      </c>
      <c r="DI9" s="616">
        <f>AP9*DH9</f>
        <v>154560000</v>
      </c>
    </row>
    <row r="10" spans="1:122" s="213" customFormat="1">
      <c r="A10" s="623" t="s">
        <v>2319</v>
      </c>
      <c r="B10" s="215" t="s">
        <v>2318</v>
      </c>
      <c r="C10" s="208"/>
      <c r="D10" s="208"/>
      <c r="E10" s="208"/>
      <c r="F10" s="208"/>
      <c r="G10" s="208"/>
      <c r="H10" s="208"/>
      <c r="I10" s="208"/>
      <c r="J10" s="208"/>
      <c r="K10" s="208"/>
      <c r="L10" s="208"/>
      <c r="M10" s="208"/>
      <c r="N10" s="208"/>
      <c r="O10" s="208"/>
      <c r="P10" s="208"/>
      <c r="Q10" s="208"/>
      <c r="R10" s="208"/>
      <c r="S10" s="208"/>
      <c r="T10" s="208"/>
      <c r="U10" s="209"/>
      <c r="V10" s="866"/>
      <c r="W10" s="210"/>
      <c r="X10" s="211"/>
      <c r="Y10" s="212"/>
      <c r="Z10" s="210"/>
      <c r="AA10" s="212"/>
      <c r="AB10" s="210"/>
      <c r="AD10" s="210"/>
      <c r="AE10" s="210"/>
      <c r="AF10" s="210"/>
      <c r="AG10" s="614">
        <f t="shared" si="25"/>
        <v>0</v>
      </c>
      <c r="AH10" s="210"/>
      <c r="AI10" s="252"/>
      <c r="AJ10" s="199"/>
      <c r="AK10" s="199">
        <f t="shared" si="14"/>
        <v>0</v>
      </c>
      <c r="AL10" s="199">
        <f t="shared" si="15"/>
        <v>0</v>
      </c>
      <c r="AM10" s="199">
        <f t="shared" si="16"/>
        <v>0</v>
      </c>
      <c r="AN10" s="645">
        <f t="shared" si="17"/>
        <v>0</v>
      </c>
      <c r="AO10" s="210"/>
      <c r="AP10" s="250"/>
      <c r="AQ10" s="210"/>
      <c r="AR10" s="210"/>
      <c r="AS10" s="210"/>
      <c r="AT10" s="210"/>
      <c r="AU10" s="210"/>
      <c r="AV10" s="199"/>
      <c r="AW10" s="250">
        <f t="shared" si="5"/>
        <v>0</v>
      </c>
      <c r="AX10" s="199"/>
      <c r="AY10" s="210"/>
      <c r="AZ10" s="199"/>
      <c r="BA10" s="252"/>
      <c r="BB10" s="284"/>
      <c r="BC10" s="210"/>
      <c r="BD10" s="270">
        <f t="shared" si="7"/>
        <v>0</v>
      </c>
      <c r="BE10" s="210"/>
      <c r="BF10" s="251">
        <f t="shared" si="19"/>
        <v>0</v>
      </c>
      <c r="BG10" s="204"/>
      <c r="BH10" s="204"/>
      <c r="BI10" s="199"/>
      <c r="BJ10" s="199"/>
      <c r="BK10" s="199"/>
      <c r="BL10" s="251">
        <f t="shared" si="8"/>
        <v>0</v>
      </c>
      <c r="BM10" s="210"/>
      <c r="BN10" s="251">
        <f t="shared" si="9"/>
        <v>0</v>
      </c>
      <c r="BT10" s="210"/>
      <c r="BU10" s="210"/>
      <c r="BV10" s="596"/>
      <c r="BW10" s="278"/>
      <c r="BX10" s="275"/>
      <c r="BY10" s="275"/>
      <c r="CA10" s="210"/>
      <c r="CB10" s="275"/>
      <c r="CE10" s="199">
        <f>'Detailed Budget'!$AD$175</f>
        <v>4330586076.5988197</v>
      </c>
      <c r="CF10" s="275"/>
      <c r="CG10" s="199"/>
      <c r="CH10" s="275"/>
      <c r="CI10" s="275"/>
      <c r="CJ10" s="275">
        <f>'Detailed Budget'!$AD$178</f>
        <v>46025131033.061455</v>
      </c>
      <c r="CK10" s="613"/>
      <c r="CM10" s="278">
        <f>'Detailed Budget'!$AD$189</f>
        <v>77498869683.252869</v>
      </c>
      <c r="CN10" s="275">
        <f t="shared" si="10"/>
        <v>0</v>
      </c>
      <c r="CO10" s="140">
        <f>'Detailed Budget'!$AD$191</f>
        <v>2684962805.4134097</v>
      </c>
      <c r="CP10" s="616">
        <f t="shared" si="11"/>
        <v>0</v>
      </c>
      <c r="CQ10" s="616">
        <f t="shared" si="12"/>
        <v>0</v>
      </c>
      <c r="CR10" s="210"/>
      <c r="CS10" s="275"/>
      <c r="CW10" s="278"/>
      <c r="DH10" s="140"/>
      <c r="DI10" s="616"/>
    </row>
    <row r="11" spans="1:122" outlineLevel="1">
      <c r="A11" s="214" t="s">
        <v>232</v>
      </c>
      <c r="B11" s="215" t="s">
        <v>233</v>
      </c>
      <c r="C11" s="216" t="s">
        <v>234</v>
      </c>
      <c r="D11" s="217"/>
      <c r="E11" s="216"/>
      <c r="F11" s="216"/>
      <c r="G11" s="216" t="s">
        <v>234</v>
      </c>
      <c r="H11" s="216" t="s">
        <v>234</v>
      </c>
      <c r="I11" s="217" t="s">
        <v>234</v>
      </c>
      <c r="J11" s="217"/>
      <c r="K11" s="216" t="s">
        <v>234</v>
      </c>
      <c r="L11" s="216"/>
      <c r="M11" s="217"/>
      <c r="N11" s="216"/>
      <c r="O11" s="217"/>
      <c r="P11" s="216"/>
      <c r="Q11" s="217"/>
      <c r="R11" s="217" t="s">
        <v>234</v>
      </c>
      <c r="S11" s="217"/>
      <c r="T11" s="217"/>
      <c r="U11" s="218">
        <f t="shared" ref="U11:U33" si="29">COUNTA(C11:T11)</f>
        <v>6</v>
      </c>
      <c r="V11" s="867" t="s">
        <v>235</v>
      </c>
      <c r="W11" s="219">
        <v>184389</v>
      </c>
      <c r="X11" s="220">
        <v>3.04</v>
      </c>
      <c r="Y11" s="221">
        <f t="shared" si="24"/>
        <v>1.0304</v>
      </c>
      <c r="Z11" s="199">
        <v>19</v>
      </c>
      <c r="AA11" s="221">
        <f>POWER(Y11,Z11)</f>
        <v>1.7664898659259882</v>
      </c>
      <c r="AB11" s="199">
        <f t="shared" ref="AB11:AB42" si="30">W11*AA11</f>
        <v>325721.29988822702</v>
      </c>
      <c r="AC11">
        <v>18.399999999999999</v>
      </c>
      <c r="AD11" s="199">
        <f t="shared" ref="AD11:AD42" si="31">AB11*AC11/100</f>
        <v>59932.71917943377</v>
      </c>
      <c r="AE11" s="199">
        <f>AD11*0.95</f>
        <v>56936.083220462082</v>
      </c>
      <c r="AF11" s="199">
        <f>AE11*BB11</f>
        <v>0</v>
      </c>
      <c r="AG11" s="614">
        <f t="shared" si="25"/>
        <v>2.632474534025367E-3</v>
      </c>
      <c r="AH11" s="199">
        <f>AB11*0.05</f>
        <v>16286.064994411352</v>
      </c>
      <c r="AI11" s="252">
        <f t="shared" si="26"/>
        <v>1.2616567793183433E-3</v>
      </c>
      <c r="AJ11" s="199">
        <f t="shared" ref="AJ11:AJ70" si="32">AD11+AH11</f>
        <v>76218.784173845124</v>
      </c>
      <c r="AK11" s="199">
        <f t="shared" si="14"/>
        <v>13028.851995529081</v>
      </c>
      <c r="AL11" s="199">
        <f t="shared" si="15"/>
        <v>13028.851995529081</v>
      </c>
      <c r="AM11" s="199">
        <f t="shared" si="16"/>
        <v>26057.703991058163</v>
      </c>
      <c r="AN11" s="645">
        <f t="shared" si="17"/>
        <v>1.2616567793183433E-3</v>
      </c>
      <c r="AO11" s="199">
        <v>10</v>
      </c>
      <c r="AP11" s="250">
        <f t="shared" si="18"/>
        <v>1.1362345188046814E-3</v>
      </c>
      <c r="AQ11" s="199">
        <v>10</v>
      </c>
      <c r="AU11" s="199">
        <v>0</v>
      </c>
      <c r="AW11" s="250">
        <f t="shared" si="5"/>
        <v>0</v>
      </c>
      <c r="AX11" s="199">
        <v>1</v>
      </c>
      <c r="AY11" s="199">
        <f t="shared" ref="AY11:AY33" si="33">AJ11/1758279*619008</f>
        <v>26833.077773142672</v>
      </c>
      <c r="AZ11" s="199">
        <f t="shared" ref="AZ11:AZ70" si="34">AX11*AY11</f>
        <v>26833.077773142672</v>
      </c>
      <c r="BA11" s="252">
        <f t="shared" si="6"/>
        <v>2.1092540411708303E-3</v>
      </c>
      <c r="BB11" s="284">
        <v>0</v>
      </c>
      <c r="BC11" s="199">
        <f>AD11*BB11*0.18*4</f>
        <v>0</v>
      </c>
      <c r="BD11" s="270">
        <f t="shared" si="7"/>
        <v>0</v>
      </c>
      <c r="BE11" s="199">
        <f t="shared" ref="BE11:BE33" si="35">AD11*BB11*0.77*4</f>
        <v>0</v>
      </c>
      <c r="BF11" s="251">
        <f t="shared" si="19"/>
        <v>0</v>
      </c>
      <c r="BG11" s="199">
        <f t="shared" ref="BG11:BG79" si="36">BC11+BE11</f>
        <v>0</v>
      </c>
      <c r="BH11" s="636">
        <v>1</v>
      </c>
      <c r="BI11" s="199">
        <f t="shared" ref="BI11:BI42" si="37">AK11*0.85*0.75*12</f>
        <v>99670.717765797468</v>
      </c>
      <c r="BJ11" s="199">
        <f t="shared" ref="BJ11:BJ42" si="38">AL11*0.85*0.75*2*12</f>
        <v>199341.43553159494</v>
      </c>
      <c r="BK11" s="199">
        <f t="shared" si="20"/>
        <v>299012.15329739242</v>
      </c>
      <c r="BL11" s="251">
        <f t="shared" si="8"/>
        <v>1.2616567793183433E-3</v>
      </c>
      <c r="BM11" s="199">
        <f t="shared" ref="BM11:BM33" si="39">AH11/375701*910321</f>
        <v>39461.026113259046</v>
      </c>
      <c r="BN11" s="251">
        <f t="shared" si="9"/>
        <v>1.7040498292176683E-3</v>
      </c>
      <c r="BO11">
        <f>AD11*BB11*0.95*4</f>
        <v>0</v>
      </c>
      <c r="BT11" s="199">
        <f>'Detailed Budget'!$AD$12</f>
        <v>194045122715</v>
      </c>
      <c r="BU11" s="199">
        <f>'Detailed Budget'!$AD$24</f>
        <v>194045122715</v>
      </c>
      <c r="BV11" s="596">
        <f t="shared" ref="BV11:BV33" si="40">AV11/34743979</f>
        <v>0</v>
      </c>
      <c r="BW11" s="278"/>
      <c r="BX11" s="275">
        <f t="shared" si="27"/>
        <v>0</v>
      </c>
      <c r="BY11" s="275">
        <f t="shared" si="28"/>
        <v>0</v>
      </c>
      <c r="CA11" s="199">
        <f>'Detailed Budget'!$AD$96</f>
        <v>71050111380.677719</v>
      </c>
      <c r="CB11" s="275">
        <f t="shared" si="21"/>
        <v>149862734.55533206</v>
      </c>
      <c r="CE11" s="199">
        <f>'Detailed Budget'!$AD$175</f>
        <v>4330586076.5988197</v>
      </c>
      <c r="CF11" s="275">
        <f t="shared" ref="CF11:CF33" si="41">BB11*BD11*CE11</f>
        <v>0</v>
      </c>
      <c r="CG11" s="199">
        <f>'Detailed Budget'!$AD$176</f>
        <v>20662817754.37001</v>
      </c>
      <c r="CH11" s="275">
        <f t="shared" ref="CH11:CH33" si="42">BB11*BF11*CG11</f>
        <v>0</v>
      </c>
      <c r="CI11" s="275">
        <f t="shared" ref="CI11:CI78" si="43">CF11+CH11</f>
        <v>0</v>
      </c>
      <c r="CJ11" s="275">
        <f>'Detailed Budget'!$AD$178</f>
        <v>46025131033.061455</v>
      </c>
      <c r="CK11" s="275">
        <f t="shared" ref="CK11:CK33" si="44">BB11*AG11*CJ11</f>
        <v>0</v>
      </c>
      <c r="CL11" s="275">
        <f>CI11+CK11</f>
        <v>0</v>
      </c>
      <c r="CM11" s="278">
        <f>'Detailed Budget'!$AD$189</f>
        <v>77498869683.252869</v>
      </c>
      <c r="CN11" s="275">
        <f t="shared" si="10"/>
        <v>97776974.325384811</v>
      </c>
      <c r="CO11" s="140">
        <f>'Detailed Budget'!$AD$191</f>
        <v>2684962805.4134097</v>
      </c>
      <c r="CP11" s="616">
        <f t="shared" si="11"/>
        <v>3387501.5256674262</v>
      </c>
      <c r="CQ11" s="616">
        <f t="shared" si="12"/>
        <v>101164475.85105224</v>
      </c>
      <c r="CR11" s="199">
        <f>'Detailed Budget'!$AD$195</f>
        <v>18734176418</v>
      </c>
      <c r="CS11" s="275">
        <f t="shared" ref="CS11:CS33" si="45">BN11*CR11</f>
        <v>31923970.125626568</v>
      </c>
      <c r="CW11" s="278"/>
      <c r="DH11" s="140">
        <f>'Detailed Budget'!$AD$163</f>
        <v>4928560000</v>
      </c>
      <c r="DI11" s="616">
        <f t="shared" ref="DI11:DI35" si="46">AP11*DH11</f>
        <v>5600000</v>
      </c>
    </row>
    <row r="12" spans="1:122" outlineLevel="1">
      <c r="A12" s="214" t="s">
        <v>236</v>
      </c>
      <c r="B12" s="215" t="s">
        <v>237</v>
      </c>
      <c r="C12" s="216" t="s">
        <v>234</v>
      </c>
      <c r="D12" s="217" t="s">
        <v>234</v>
      </c>
      <c r="E12" s="216"/>
      <c r="F12" s="216"/>
      <c r="G12" s="216"/>
      <c r="H12" s="216" t="s">
        <v>234</v>
      </c>
      <c r="I12" s="217" t="s">
        <v>234</v>
      </c>
      <c r="J12" s="217"/>
      <c r="K12" s="216" t="s">
        <v>234</v>
      </c>
      <c r="L12" s="216"/>
      <c r="M12" s="217"/>
      <c r="N12" s="216"/>
      <c r="O12" s="217"/>
      <c r="P12" s="216"/>
      <c r="Q12" s="217"/>
      <c r="R12" s="217" t="s">
        <v>234</v>
      </c>
      <c r="S12" s="217"/>
      <c r="T12" s="217"/>
      <c r="U12" s="218">
        <f t="shared" si="29"/>
        <v>6</v>
      </c>
      <c r="V12" s="867" t="s">
        <v>238</v>
      </c>
      <c r="W12" s="219">
        <v>115597</v>
      </c>
      <c r="X12" s="220">
        <v>3.04</v>
      </c>
      <c r="Y12" s="221">
        <f t="shared" si="24"/>
        <v>1.0304</v>
      </c>
      <c r="Z12" s="199">
        <v>19</v>
      </c>
      <c r="AA12" s="221">
        <f t="shared" ref="AA12:AA35" si="47">POWER(Y12,Z12)</f>
        <v>1.7664898659259882</v>
      </c>
      <c r="AB12" s="199">
        <f t="shared" si="30"/>
        <v>204200.92903144646</v>
      </c>
      <c r="AC12">
        <v>18.399999999999999</v>
      </c>
      <c r="AD12" s="199">
        <f t="shared" si="31"/>
        <v>37572.970941786145</v>
      </c>
      <c r="AE12" s="199">
        <f t="shared" ref="AE12:AE81" si="48">AD12*0.95</f>
        <v>35694.322394696836</v>
      </c>
      <c r="AF12" s="199">
        <f t="shared" ref="AF12:AF75" si="49">AE12*BB12</f>
        <v>35694.322394696836</v>
      </c>
      <c r="AG12" s="614">
        <f t="shared" si="25"/>
        <v>1.650348766519317E-3</v>
      </c>
      <c r="AH12" s="199">
        <f t="shared" ref="AH12:AH33" si="50">AB12*0.05</f>
        <v>10210.046451572323</v>
      </c>
      <c r="AI12" s="252">
        <f t="shared" si="26"/>
        <v>7.9095682887190958E-4</v>
      </c>
      <c r="AJ12" s="199">
        <f t="shared" si="32"/>
        <v>47783.017393358467</v>
      </c>
      <c r="AK12" s="199">
        <f t="shared" si="14"/>
        <v>8168.0371612578583</v>
      </c>
      <c r="AL12" s="199">
        <f t="shared" si="15"/>
        <v>8168.0371612578583</v>
      </c>
      <c r="AM12" s="199">
        <f t="shared" si="16"/>
        <v>16336.074322515717</v>
      </c>
      <c r="AN12" s="645">
        <f t="shared" si="17"/>
        <v>7.9095682887190958E-4</v>
      </c>
      <c r="AO12" s="199">
        <v>10</v>
      </c>
      <c r="AP12" s="250">
        <f t="shared" si="18"/>
        <v>1.1362345188046814E-3</v>
      </c>
      <c r="AQ12" s="199">
        <v>10</v>
      </c>
      <c r="AU12" s="199">
        <v>0</v>
      </c>
      <c r="AW12" s="250">
        <f t="shared" si="5"/>
        <v>0</v>
      </c>
      <c r="AX12" s="199">
        <v>1</v>
      </c>
      <c r="AY12" s="199">
        <f t="shared" si="33"/>
        <v>16822.171015309879</v>
      </c>
      <c r="AZ12" s="199">
        <f t="shared" si="34"/>
        <v>16822.171015309879</v>
      </c>
      <c r="BA12" s="252">
        <f t="shared" si="6"/>
        <v>1.322331806112211E-3</v>
      </c>
      <c r="BB12" s="284">
        <v>1</v>
      </c>
      <c r="BC12" s="199">
        <f>AD12*BB12*0.18*4</f>
        <v>27052.539078086022</v>
      </c>
      <c r="BD12" s="270">
        <f t="shared" si="7"/>
        <v>2.4362730410475747E-3</v>
      </c>
      <c r="BE12" s="199">
        <f t="shared" si="35"/>
        <v>115724.75050070132</v>
      </c>
      <c r="BF12" s="251">
        <f t="shared" si="19"/>
        <v>2.4362730951861438E-3</v>
      </c>
      <c r="BG12" s="199">
        <f t="shared" si="36"/>
        <v>142777.28957878734</v>
      </c>
      <c r="BH12" s="636">
        <v>0</v>
      </c>
      <c r="BI12" s="199">
        <f t="shared" si="37"/>
        <v>62485.484283622616</v>
      </c>
      <c r="BJ12" s="199">
        <f t="shared" si="38"/>
        <v>124970.96856724523</v>
      </c>
      <c r="BK12" s="199">
        <f t="shared" si="20"/>
        <v>187456.45285086785</v>
      </c>
      <c r="BL12" s="251">
        <f t="shared" si="8"/>
        <v>7.9095682887190958E-4</v>
      </c>
      <c r="BM12" s="199">
        <f t="shared" si="39"/>
        <v>24738.873987138093</v>
      </c>
      <c r="BN12" s="251">
        <f t="shared" si="9"/>
        <v>1.0683015153185645E-3</v>
      </c>
      <c r="BO12">
        <f>AD12*BB12*0.95*4</f>
        <v>142777.28957878734</v>
      </c>
      <c r="BP12" s="199">
        <f>BC12+BE12</f>
        <v>142777.28957878734</v>
      </c>
      <c r="BT12" s="199">
        <f>'Detailed Budget'!$AD$12</f>
        <v>194045122715</v>
      </c>
      <c r="BU12" s="199">
        <f>'Detailed Budget'!$AD$24</f>
        <v>194045122715</v>
      </c>
      <c r="BV12" s="596">
        <f t="shared" si="40"/>
        <v>0</v>
      </c>
      <c r="BW12" s="278"/>
      <c r="BX12" s="275">
        <f t="shared" si="27"/>
        <v>0</v>
      </c>
      <c r="BY12" s="275">
        <f t="shared" si="28"/>
        <v>0</v>
      </c>
      <c r="CA12" s="199">
        <f>'Detailed Budget'!$AD$96</f>
        <v>71050111380.677719</v>
      </c>
      <c r="CB12" s="275">
        <f t="shared" si="21"/>
        <v>93951822.106485322</v>
      </c>
      <c r="CE12" s="199">
        <f>'Detailed Budget'!$AD$175</f>
        <v>4330586076.5988197</v>
      </c>
      <c r="CF12" s="275">
        <f t="shared" si="41"/>
        <v>10550490.110353692</v>
      </c>
      <c r="CG12" s="199">
        <f>'Detailed Budget'!$AD$176</f>
        <v>20662817754.37001</v>
      </c>
      <c r="CH12" s="275">
        <f t="shared" si="42"/>
        <v>50340266.965706229</v>
      </c>
      <c r="CI12" s="275">
        <f t="shared" si="43"/>
        <v>60890757.076059923</v>
      </c>
      <c r="CJ12" s="275">
        <f>'Detailed Budget'!$AD$178</f>
        <v>46025131033.061455</v>
      </c>
      <c r="CK12" s="275">
        <f t="shared" si="44"/>
        <v>75957518.229302913</v>
      </c>
      <c r="CL12" s="275">
        <f t="shared" ref="CL12:CL75" si="51">CI12+CK12</f>
        <v>136848275.30536282</v>
      </c>
      <c r="CM12" s="278">
        <f>'Detailed Budget'!$AD$189</f>
        <v>77498869683.252869</v>
      </c>
      <c r="CN12" s="275">
        <f t="shared" si="10"/>
        <v>0</v>
      </c>
      <c r="CO12" s="140">
        <f>'Detailed Budget'!$AD$191</f>
        <v>2684962805.4134097</v>
      </c>
      <c r="CP12" s="616">
        <f t="shared" si="11"/>
        <v>0</v>
      </c>
      <c r="CQ12" s="616">
        <f t="shared" si="12"/>
        <v>0</v>
      </c>
      <c r="CR12" s="199">
        <f>'Detailed Budget'!$AD$195</f>
        <v>18734176418</v>
      </c>
      <c r="CS12" s="275">
        <f t="shared" si="45"/>
        <v>20013749.055594716</v>
      </c>
      <c r="CW12" s="278"/>
      <c r="DH12" s="140">
        <f>'Detailed Budget'!$AD$163</f>
        <v>4928560000</v>
      </c>
      <c r="DI12" s="616">
        <f t="shared" si="46"/>
        <v>5600000</v>
      </c>
    </row>
    <row r="13" spans="1:122" outlineLevel="1">
      <c r="A13" s="214" t="s">
        <v>239</v>
      </c>
      <c r="B13" s="215" t="s">
        <v>240</v>
      </c>
      <c r="C13" s="216" t="s">
        <v>234</v>
      </c>
      <c r="D13" s="217" t="s">
        <v>234</v>
      </c>
      <c r="E13" s="216"/>
      <c r="F13" s="216"/>
      <c r="G13" s="216"/>
      <c r="H13" s="216" t="s">
        <v>234</v>
      </c>
      <c r="I13" s="217" t="s">
        <v>234</v>
      </c>
      <c r="J13" s="217"/>
      <c r="K13" s="216" t="s">
        <v>234</v>
      </c>
      <c r="L13" s="216"/>
      <c r="M13" s="217"/>
      <c r="N13" s="216"/>
      <c r="O13" s="217"/>
      <c r="P13" s="216"/>
      <c r="Q13" s="217"/>
      <c r="R13" s="217" t="s">
        <v>234</v>
      </c>
      <c r="S13" s="217"/>
      <c r="T13" s="217"/>
      <c r="U13" s="218">
        <f t="shared" si="29"/>
        <v>6</v>
      </c>
      <c r="V13" s="867" t="s">
        <v>238</v>
      </c>
      <c r="W13" s="219">
        <v>96780</v>
      </c>
      <c r="X13" s="220">
        <v>3.04</v>
      </c>
      <c r="Y13" s="221">
        <f t="shared" si="24"/>
        <v>1.0304</v>
      </c>
      <c r="Z13" s="199">
        <v>19</v>
      </c>
      <c r="AA13" s="221">
        <f t="shared" si="47"/>
        <v>1.7664898659259882</v>
      </c>
      <c r="AB13" s="199">
        <f t="shared" si="30"/>
        <v>170960.88922431713</v>
      </c>
      <c r="AC13">
        <v>18.399999999999999</v>
      </c>
      <c r="AD13" s="199">
        <f t="shared" si="31"/>
        <v>31456.803617274352</v>
      </c>
      <c r="AE13" s="199">
        <f t="shared" si="48"/>
        <v>29883.963436410635</v>
      </c>
      <c r="AF13" s="199">
        <f t="shared" si="49"/>
        <v>29883.963436410635</v>
      </c>
      <c r="AG13" s="614">
        <f t="shared" si="25"/>
        <v>1.3817032762419399E-3</v>
      </c>
      <c r="AH13" s="199">
        <f t="shared" si="50"/>
        <v>8548.0444612158572</v>
      </c>
      <c r="AI13" s="252">
        <f t="shared" si="26"/>
        <v>6.622040528579756E-4</v>
      </c>
      <c r="AJ13" s="199">
        <f t="shared" si="32"/>
        <v>40004.848078490206</v>
      </c>
      <c r="AK13" s="199">
        <f t="shared" si="14"/>
        <v>6838.4355689726854</v>
      </c>
      <c r="AL13" s="199">
        <f t="shared" si="15"/>
        <v>6838.4355689726854</v>
      </c>
      <c r="AM13" s="199">
        <f t="shared" si="16"/>
        <v>13676.871137945371</v>
      </c>
      <c r="AN13" s="645">
        <f t="shared" si="17"/>
        <v>6.622040528579756E-4</v>
      </c>
      <c r="AO13" s="199">
        <v>11</v>
      </c>
      <c r="AP13" s="250">
        <f t="shared" si="18"/>
        <v>1.2498579706851495E-3</v>
      </c>
      <c r="AQ13" s="199">
        <v>11</v>
      </c>
      <c r="AU13" s="199">
        <v>0</v>
      </c>
      <c r="AW13" s="250">
        <f t="shared" si="5"/>
        <v>0</v>
      </c>
      <c r="AX13" s="199">
        <v>1</v>
      </c>
      <c r="AY13" s="199">
        <f t="shared" si="33"/>
        <v>14083.840505045026</v>
      </c>
      <c r="AZ13" s="199">
        <f t="shared" si="34"/>
        <v>14083.840505045026</v>
      </c>
      <c r="BA13" s="252">
        <f t="shared" si="6"/>
        <v>1.1070812581255548E-3</v>
      </c>
      <c r="BB13" s="284">
        <v>1</v>
      </c>
      <c r="BC13" s="199">
        <f>AD13*BB13*0.18*4</f>
        <v>22648.898604437534</v>
      </c>
      <c r="BD13" s="270">
        <f t="shared" si="7"/>
        <v>2.039693979191366E-3</v>
      </c>
      <c r="BE13" s="199">
        <f t="shared" si="35"/>
        <v>96886.955141205006</v>
      </c>
      <c r="BF13" s="251">
        <f t="shared" si="19"/>
        <v>2.0396940245172024E-3</v>
      </c>
      <c r="BG13" s="199">
        <f t="shared" si="36"/>
        <v>119535.85374564254</v>
      </c>
      <c r="BH13" s="636">
        <v>0</v>
      </c>
      <c r="BI13" s="199">
        <f t="shared" si="37"/>
        <v>52314.032102641038</v>
      </c>
      <c r="BJ13" s="199">
        <f t="shared" si="38"/>
        <v>104628.06420528208</v>
      </c>
      <c r="BK13" s="199">
        <f t="shared" si="20"/>
        <v>156942.09630792312</v>
      </c>
      <c r="BL13" s="251">
        <f t="shared" si="8"/>
        <v>6.622040528579756E-4</v>
      </c>
      <c r="BM13" s="199">
        <f t="shared" si="39"/>
        <v>20711.854325589975</v>
      </c>
      <c r="BN13" s="251">
        <f t="shared" si="9"/>
        <v>8.9440228252057289E-4</v>
      </c>
      <c r="BT13" s="199">
        <f>'Detailed Budget'!$AD$12</f>
        <v>194045122715</v>
      </c>
      <c r="BU13" s="199">
        <f>'Detailed Budget'!$AD$24</f>
        <v>194045122715</v>
      </c>
      <c r="BV13" s="596">
        <f t="shared" si="40"/>
        <v>0</v>
      </c>
      <c r="BW13" s="278"/>
      <c r="BX13" s="275">
        <f t="shared" si="27"/>
        <v>0</v>
      </c>
      <c r="BY13" s="275">
        <f t="shared" si="28"/>
        <v>0</v>
      </c>
      <c r="CA13" s="199">
        <f>'Detailed Budget'!$AD$96</f>
        <v>71050111380.677719</v>
      </c>
      <c r="CB13" s="275">
        <f t="shared" si="21"/>
        <v>78658246.69728148</v>
      </c>
      <c r="CE13" s="199">
        <f>'Detailed Budget'!$AD$175</f>
        <v>4330586076.5988197</v>
      </c>
      <c r="CF13" s="275">
        <f t="shared" si="41"/>
        <v>8833070.3468085714</v>
      </c>
      <c r="CG13" s="199">
        <f>'Detailed Budget'!$AD$176</f>
        <v>20662817754.37001</v>
      </c>
      <c r="CH13" s="275">
        <f t="shared" si="42"/>
        <v>42145825.903276466</v>
      </c>
      <c r="CI13" s="275">
        <f t="shared" si="43"/>
        <v>50978896.250085041</v>
      </c>
      <c r="CJ13" s="275">
        <f>'Detailed Budget'!$AD$178</f>
        <v>46025131033.061455</v>
      </c>
      <c r="CK13" s="275">
        <f t="shared" si="44"/>
        <v>63593074.337845594</v>
      </c>
      <c r="CL13" s="275">
        <f t="shared" si="51"/>
        <v>114571970.58793063</v>
      </c>
      <c r="CM13" s="278">
        <f>'Detailed Budget'!$AD$189</f>
        <v>77498869683.252869</v>
      </c>
      <c r="CN13" s="275">
        <f t="shared" si="10"/>
        <v>0</v>
      </c>
      <c r="CO13" s="140">
        <f>'Detailed Budget'!$AD$191</f>
        <v>2684962805.4134097</v>
      </c>
      <c r="CP13" s="616">
        <f t="shared" si="11"/>
        <v>0</v>
      </c>
      <c r="CQ13" s="616">
        <f t="shared" si="12"/>
        <v>0</v>
      </c>
      <c r="CR13" s="199">
        <f>'Detailed Budget'!$AD$195</f>
        <v>18734176418</v>
      </c>
      <c r="CS13" s="275">
        <f t="shared" si="45"/>
        <v>16755890.149402291</v>
      </c>
      <c r="CW13" s="278"/>
      <c r="DH13" s="140">
        <f>'Detailed Budget'!$AD$163</f>
        <v>4928560000</v>
      </c>
      <c r="DI13" s="616">
        <f t="shared" si="46"/>
        <v>6160000</v>
      </c>
    </row>
    <row r="14" spans="1:122" outlineLevel="1">
      <c r="A14" s="214" t="s">
        <v>241</v>
      </c>
      <c r="B14" s="215" t="s">
        <v>242</v>
      </c>
      <c r="C14" s="216" t="s">
        <v>234</v>
      </c>
      <c r="D14" s="217"/>
      <c r="E14" s="216"/>
      <c r="F14" s="216"/>
      <c r="G14" s="216" t="s">
        <v>234</v>
      </c>
      <c r="H14" s="216" t="s">
        <v>234</v>
      </c>
      <c r="I14" s="217" t="s">
        <v>234</v>
      </c>
      <c r="J14" s="217"/>
      <c r="K14" s="216" t="s">
        <v>234</v>
      </c>
      <c r="L14" s="216"/>
      <c r="M14" s="217"/>
      <c r="N14" s="216"/>
      <c r="O14" s="217"/>
      <c r="P14" s="216"/>
      <c r="Q14" s="217"/>
      <c r="R14" s="217" t="s">
        <v>234</v>
      </c>
      <c r="S14" s="217"/>
      <c r="T14" s="217"/>
      <c r="U14" s="218">
        <f t="shared" si="29"/>
        <v>6</v>
      </c>
      <c r="V14" s="867" t="s">
        <v>235</v>
      </c>
      <c r="W14" s="219">
        <v>206215</v>
      </c>
      <c r="X14" s="220">
        <v>3.04</v>
      </c>
      <c r="Y14" s="221">
        <f t="shared" si="24"/>
        <v>1.0304</v>
      </c>
      <c r="Z14" s="199">
        <v>19</v>
      </c>
      <c r="AA14" s="221">
        <f t="shared" si="47"/>
        <v>1.7664898659259882</v>
      </c>
      <c r="AB14" s="199">
        <f t="shared" si="30"/>
        <v>364276.70770192763</v>
      </c>
      <c r="AC14">
        <v>18.399999999999999</v>
      </c>
      <c r="AD14" s="199">
        <f t="shared" si="31"/>
        <v>67026.914217154685</v>
      </c>
      <c r="AE14" s="199">
        <f t="shared" si="48"/>
        <v>63675.56850629695</v>
      </c>
      <c r="AF14" s="199">
        <f t="shared" si="49"/>
        <v>0</v>
      </c>
      <c r="AG14" s="614">
        <f t="shared" si="25"/>
        <v>2.9440787467475884E-3</v>
      </c>
      <c r="AH14" s="199">
        <f t="shared" si="50"/>
        <v>18213.835385096383</v>
      </c>
      <c r="AI14" s="252">
        <f t="shared" si="26"/>
        <v>1.4109982306272726E-3</v>
      </c>
      <c r="AJ14" s="199">
        <f t="shared" si="32"/>
        <v>85240.749602251075</v>
      </c>
      <c r="AK14" s="199">
        <f t="shared" si="14"/>
        <v>14571.068308077105</v>
      </c>
      <c r="AL14" s="199">
        <f t="shared" si="15"/>
        <v>14571.068308077105</v>
      </c>
      <c r="AM14" s="199">
        <f t="shared" si="16"/>
        <v>29142.13661615421</v>
      </c>
      <c r="AN14" s="645">
        <f t="shared" si="17"/>
        <v>1.4109982306272724E-3</v>
      </c>
      <c r="AO14" s="199">
        <v>13</v>
      </c>
      <c r="AP14" s="250">
        <f t="shared" si="18"/>
        <v>1.4771048744460858E-3</v>
      </c>
      <c r="AQ14" s="199">
        <v>13</v>
      </c>
      <c r="AU14" s="199">
        <v>0</v>
      </c>
      <c r="AW14" s="250">
        <f t="shared" si="5"/>
        <v>0</v>
      </c>
      <c r="AX14" s="199">
        <v>1</v>
      </c>
      <c r="AY14" s="199">
        <f t="shared" si="33"/>
        <v>30009.290863276099</v>
      </c>
      <c r="AZ14" s="199">
        <f t="shared" si="34"/>
        <v>30009.290863276099</v>
      </c>
      <c r="BA14" s="252">
        <f t="shared" si="6"/>
        <v>2.3589250014916445E-3</v>
      </c>
      <c r="BB14" s="284">
        <v>0</v>
      </c>
      <c r="BC14" s="199">
        <f>AD14*BB14*0.18*4</f>
        <v>0</v>
      </c>
      <c r="BD14" s="270">
        <f t="shared" si="7"/>
        <v>0</v>
      </c>
      <c r="BE14" s="199">
        <f t="shared" si="35"/>
        <v>0</v>
      </c>
      <c r="BF14" s="251">
        <f t="shared" si="19"/>
        <v>0</v>
      </c>
      <c r="BG14" s="199">
        <f t="shared" si="36"/>
        <v>0</v>
      </c>
      <c r="BH14" s="636">
        <v>1</v>
      </c>
      <c r="BI14" s="199">
        <f t="shared" si="37"/>
        <v>111468.67255678984</v>
      </c>
      <c r="BJ14" s="199">
        <f t="shared" si="38"/>
        <v>222937.34511357968</v>
      </c>
      <c r="BK14" s="199">
        <f t="shared" si="20"/>
        <v>334406.01767036953</v>
      </c>
      <c r="BL14" s="251">
        <f t="shared" si="8"/>
        <v>1.4109982306272724E-3</v>
      </c>
      <c r="BM14" s="199">
        <f t="shared" si="39"/>
        <v>44132.000824049777</v>
      </c>
      <c r="BN14" s="251">
        <f t="shared" si="9"/>
        <v>1.9057570437071706E-3</v>
      </c>
      <c r="BT14" s="199">
        <f>'Detailed Budget'!$AD$12</f>
        <v>194045122715</v>
      </c>
      <c r="BU14" s="199">
        <f>'Detailed Budget'!$AD$24</f>
        <v>194045122715</v>
      </c>
      <c r="BV14" s="596">
        <f t="shared" si="40"/>
        <v>0</v>
      </c>
      <c r="BW14" s="278"/>
      <c r="BX14" s="275">
        <f t="shared" si="27"/>
        <v>0</v>
      </c>
      <c r="BY14" s="275">
        <f t="shared" si="28"/>
        <v>0</v>
      </c>
      <c r="CA14" s="199">
        <f>'Detailed Budget'!$AD$96</f>
        <v>71050111380.677719</v>
      </c>
      <c r="CB14" s="275">
        <f t="shared" si="21"/>
        <v>167601884.09464669</v>
      </c>
      <c r="CE14" s="199">
        <f>'Detailed Budget'!$AD$175</f>
        <v>4330586076.5988197</v>
      </c>
      <c r="CF14" s="275">
        <f t="shared" si="41"/>
        <v>0</v>
      </c>
      <c r="CG14" s="199">
        <f>'Detailed Budget'!$AD$176</f>
        <v>20662817754.37001</v>
      </c>
      <c r="CH14" s="275">
        <f t="shared" si="42"/>
        <v>0</v>
      </c>
      <c r="CI14" s="275">
        <f t="shared" si="43"/>
        <v>0</v>
      </c>
      <c r="CJ14" s="275">
        <f>'Detailed Budget'!$AD$178</f>
        <v>46025131033.061455</v>
      </c>
      <c r="CK14" s="275">
        <f t="shared" si="44"/>
        <v>0</v>
      </c>
      <c r="CL14" s="275">
        <f t="shared" si="51"/>
        <v>0</v>
      </c>
      <c r="CM14" s="278">
        <f>'Detailed Budget'!$AD$189</f>
        <v>77498869683.252869</v>
      </c>
      <c r="CN14" s="275">
        <f t="shared" si="10"/>
        <v>109350767.99868336</v>
      </c>
      <c r="CO14" s="140">
        <f>'Detailed Budget'!$AD$191</f>
        <v>2684962805.4134097</v>
      </c>
      <c r="CP14" s="616">
        <f t="shared" si="11"/>
        <v>3788477.7677383586</v>
      </c>
      <c r="CQ14" s="616">
        <f t="shared" si="12"/>
        <v>113139245.76642172</v>
      </c>
      <c r="CR14" s="199">
        <f>'Detailed Budget'!$AD$195</f>
        <v>18734176418</v>
      </c>
      <c r="CS14" s="275">
        <f t="shared" si="45"/>
        <v>35702788.666656271</v>
      </c>
      <c r="CW14" s="278"/>
      <c r="DH14" s="140">
        <f>'Detailed Budget'!$AD$163</f>
        <v>4928560000</v>
      </c>
      <c r="DI14" s="616">
        <f t="shared" si="46"/>
        <v>7280000.0000000009</v>
      </c>
    </row>
    <row r="15" spans="1:122" outlineLevel="1">
      <c r="A15" s="214" t="s">
        <v>243</v>
      </c>
      <c r="B15" s="215" t="s">
        <v>244</v>
      </c>
      <c r="C15" s="216" t="s">
        <v>234</v>
      </c>
      <c r="D15" s="217"/>
      <c r="E15" s="216"/>
      <c r="F15" s="216"/>
      <c r="G15" s="216" t="s">
        <v>234</v>
      </c>
      <c r="H15" s="216" t="s">
        <v>234</v>
      </c>
      <c r="I15" s="217" t="s">
        <v>234</v>
      </c>
      <c r="J15" s="217"/>
      <c r="K15" s="216" t="s">
        <v>234</v>
      </c>
      <c r="L15" s="216"/>
      <c r="M15" s="217"/>
      <c r="N15" s="216"/>
      <c r="O15" s="217"/>
      <c r="P15" s="216"/>
      <c r="Q15" s="217"/>
      <c r="R15" s="217" t="s">
        <v>234</v>
      </c>
      <c r="S15" s="217"/>
      <c r="T15" s="217"/>
      <c r="U15" s="218">
        <f t="shared" si="29"/>
        <v>6</v>
      </c>
      <c r="V15" s="867" t="s">
        <v>235</v>
      </c>
      <c r="W15" s="219">
        <v>361325</v>
      </c>
      <c r="X15" s="220">
        <v>3.04</v>
      </c>
      <c r="Y15" s="221">
        <f t="shared" si="24"/>
        <v>1.0304</v>
      </c>
      <c r="Z15" s="199">
        <v>19</v>
      </c>
      <c r="AA15" s="221">
        <f t="shared" si="47"/>
        <v>1.7664898659259882</v>
      </c>
      <c r="AB15" s="199">
        <f t="shared" si="30"/>
        <v>638276.95080570772</v>
      </c>
      <c r="AC15">
        <v>18.399999999999999</v>
      </c>
      <c r="AD15" s="199">
        <f t="shared" si="31"/>
        <v>117442.95894825021</v>
      </c>
      <c r="AE15" s="199">
        <f t="shared" si="48"/>
        <v>111570.81100083768</v>
      </c>
      <c r="AF15" s="199">
        <f t="shared" si="49"/>
        <v>0</v>
      </c>
      <c r="AG15" s="614">
        <f t="shared" si="25"/>
        <v>5.1585444956408228E-3</v>
      </c>
      <c r="AH15" s="199">
        <f t="shared" si="50"/>
        <v>31913.847540285387</v>
      </c>
      <c r="AI15" s="252">
        <f t="shared" si="26"/>
        <v>2.4723174147438321E-3</v>
      </c>
      <c r="AJ15" s="199">
        <f t="shared" si="32"/>
        <v>149356.8064885356</v>
      </c>
      <c r="AK15" s="199">
        <f t="shared" si="14"/>
        <v>25531.07803222831</v>
      </c>
      <c r="AL15" s="199">
        <f t="shared" si="15"/>
        <v>25531.07803222831</v>
      </c>
      <c r="AM15" s="199">
        <f t="shared" si="16"/>
        <v>51062.15606445662</v>
      </c>
      <c r="AN15" s="645">
        <f t="shared" si="17"/>
        <v>2.4723174147438321E-3</v>
      </c>
      <c r="AO15" s="199">
        <v>17</v>
      </c>
      <c r="AP15" s="250">
        <f t="shared" si="18"/>
        <v>1.9315986819679581E-3</v>
      </c>
      <c r="AQ15" s="199">
        <v>17</v>
      </c>
      <c r="AU15" s="199">
        <v>0</v>
      </c>
      <c r="AW15" s="250">
        <f t="shared" si="5"/>
        <v>0</v>
      </c>
      <c r="AX15" s="199">
        <v>1</v>
      </c>
      <c r="AY15" s="199">
        <f t="shared" si="33"/>
        <v>52581.563034567007</v>
      </c>
      <c r="AZ15" s="199">
        <f t="shared" si="34"/>
        <v>52581.563034567007</v>
      </c>
      <c r="BA15" s="252">
        <f t="shared" si="6"/>
        <v>4.1332520726618744E-3</v>
      </c>
      <c r="BB15" s="284">
        <v>0</v>
      </c>
      <c r="BC15"/>
      <c r="BD15" s="270">
        <f t="shared" si="7"/>
        <v>0</v>
      </c>
      <c r="BE15" s="199">
        <f t="shared" si="35"/>
        <v>0</v>
      </c>
      <c r="BF15" s="251">
        <f t="shared" si="19"/>
        <v>0</v>
      </c>
      <c r="BG15" s="199">
        <f t="shared" si="36"/>
        <v>0</v>
      </c>
      <c r="BH15" s="636">
        <v>1</v>
      </c>
      <c r="BI15" s="199">
        <f t="shared" si="37"/>
        <v>195312.74694654654</v>
      </c>
      <c r="BJ15" s="199">
        <f t="shared" si="38"/>
        <v>390625.49389309308</v>
      </c>
      <c r="BK15" s="199">
        <f t="shared" si="20"/>
        <v>585938.24083963968</v>
      </c>
      <c r="BL15" s="251">
        <f t="shared" si="8"/>
        <v>2.4723174147438321E-3</v>
      </c>
      <c r="BM15" s="199">
        <f t="shared" si="39"/>
        <v>77327.038274372797</v>
      </c>
      <c r="BN15" s="251">
        <f t="shared" si="9"/>
        <v>3.3392219955749747E-3</v>
      </c>
      <c r="BT15" s="199">
        <f>'Detailed Budget'!$AD$12</f>
        <v>194045122715</v>
      </c>
      <c r="BU15" s="199">
        <f>'Detailed Budget'!$AD$24</f>
        <v>194045122715</v>
      </c>
      <c r="BV15" s="596">
        <f t="shared" si="40"/>
        <v>0</v>
      </c>
      <c r="BW15" s="278"/>
      <c r="BX15" s="275">
        <f t="shared" si="27"/>
        <v>0</v>
      </c>
      <c r="BY15" s="275">
        <f t="shared" si="28"/>
        <v>0</v>
      </c>
      <c r="CA15" s="199">
        <f>'Detailed Budget'!$AD$96</f>
        <v>71050111380.677719</v>
      </c>
      <c r="CB15" s="275">
        <f t="shared" si="21"/>
        <v>293668020.12704319</v>
      </c>
      <c r="CE15" s="199">
        <f>'Detailed Budget'!$AD$175</f>
        <v>4330586076.5988197</v>
      </c>
      <c r="CF15" s="275">
        <f t="shared" si="41"/>
        <v>0</v>
      </c>
      <c r="CG15" s="199">
        <f>'Detailed Budget'!$AD$176</f>
        <v>20662817754.37001</v>
      </c>
      <c r="CH15" s="275">
        <f t="shared" si="42"/>
        <v>0</v>
      </c>
      <c r="CI15" s="275">
        <f t="shared" si="43"/>
        <v>0</v>
      </c>
      <c r="CJ15" s="275">
        <f>'Detailed Budget'!$AD$178</f>
        <v>46025131033.061455</v>
      </c>
      <c r="CK15" s="275">
        <f t="shared" si="44"/>
        <v>0</v>
      </c>
      <c r="CL15" s="275">
        <f t="shared" si="51"/>
        <v>0</v>
      </c>
      <c r="CM15" s="278">
        <f>'Detailed Budget'!$AD$189</f>
        <v>77498869683.252869</v>
      </c>
      <c r="CN15" s="275">
        <f t="shared" si="10"/>
        <v>191601805.14086887</v>
      </c>
      <c r="CO15" s="140">
        <f>'Detailed Budget'!$AD$191</f>
        <v>2684962805.4134097</v>
      </c>
      <c r="CP15" s="616">
        <f t="shared" si="11"/>
        <v>6638080.3017630279</v>
      </c>
      <c r="CQ15" s="616">
        <f t="shared" si="12"/>
        <v>198239885.4426319</v>
      </c>
      <c r="CR15" s="199">
        <f>'Detailed Budget'!$AD$195</f>
        <v>18734176418</v>
      </c>
      <c r="CS15" s="275">
        <f t="shared" si="45"/>
        <v>62557573.963967592</v>
      </c>
      <c r="CW15" s="278"/>
      <c r="DH15" s="140">
        <f>'Detailed Budget'!$AD$163</f>
        <v>4928560000</v>
      </c>
      <c r="DI15" s="616">
        <f t="shared" si="46"/>
        <v>9520000</v>
      </c>
    </row>
    <row r="16" spans="1:122" outlineLevel="1">
      <c r="A16" s="214" t="s">
        <v>245</v>
      </c>
      <c r="B16" s="215" t="s">
        <v>246</v>
      </c>
      <c r="C16" s="216" t="s">
        <v>234</v>
      </c>
      <c r="D16" s="217" t="s">
        <v>234</v>
      </c>
      <c r="E16" s="216"/>
      <c r="F16" s="216"/>
      <c r="G16" s="216"/>
      <c r="H16" s="216" t="s">
        <v>234</v>
      </c>
      <c r="I16" s="217" t="s">
        <v>234</v>
      </c>
      <c r="J16" s="217"/>
      <c r="K16" s="216" t="s">
        <v>234</v>
      </c>
      <c r="L16" s="216"/>
      <c r="M16" s="217"/>
      <c r="N16" s="216"/>
      <c r="O16" s="217"/>
      <c r="P16" s="216"/>
      <c r="Q16" s="217"/>
      <c r="R16" s="217" t="s">
        <v>234</v>
      </c>
      <c r="S16" s="217"/>
      <c r="T16" s="217"/>
      <c r="U16" s="218">
        <f t="shared" si="29"/>
        <v>6</v>
      </c>
      <c r="V16" s="867" t="s">
        <v>238</v>
      </c>
      <c r="W16" s="219">
        <v>194164</v>
      </c>
      <c r="X16" s="220">
        <v>3.04</v>
      </c>
      <c r="Y16" s="221">
        <f t="shared" si="24"/>
        <v>1.0304</v>
      </c>
      <c r="Z16" s="199">
        <v>19</v>
      </c>
      <c r="AA16" s="221">
        <f t="shared" si="47"/>
        <v>1.7664898659259882</v>
      </c>
      <c r="AB16" s="199">
        <f t="shared" si="30"/>
        <v>342988.73832765355</v>
      </c>
      <c r="AC16">
        <v>18.399999999999999</v>
      </c>
      <c r="AD16" s="199">
        <f t="shared" si="31"/>
        <v>63109.927852288252</v>
      </c>
      <c r="AE16" s="199">
        <f t="shared" si="48"/>
        <v>59954.43145967384</v>
      </c>
      <c r="AF16" s="199">
        <f t="shared" si="49"/>
        <v>59954.43145967384</v>
      </c>
      <c r="AG16" s="614">
        <f t="shared" si="25"/>
        <v>2.7720297058094648E-3</v>
      </c>
      <c r="AH16" s="199">
        <f t="shared" si="50"/>
        <v>17149.436916382678</v>
      </c>
      <c r="AI16" s="252">
        <f t="shared" si="26"/>
        <v>1.3285408939772265E-3</v>
      </c>
      <c r="AJ16" s="199">
        <f t="shared" si="32"/>
        <v>80259.36476867093</v>
      </c>
      <c r="AK16" s="199">
        <f t="shared" si="14"/>
        <v>13719.549533106143</v>
      </c>
      <c r="AL16" s="199">
        <f t="shared" si="15"/>
        <v>13719.549533106143</v>
      </c>
      <c r="AM16" s="199">
        <f t="shared" si="16"/>
        <v>27439.099066212286</v>
      </c>
      <c r="AN16" s="645">
        <f t="shared" si="17"/>
        <v>1.3285408939772265E-3</v>
      </c>
      <c r="AO16" s="199">
        <v>10</v>
      </c>
      <c r="AP16" s="250">
        <f t="shared" si="18"/>
        <v>1.1362345188046814E-3</v>
      </c>
      <c r="AQ16" s="199">
        <v>10</v>
      </c>
      <c r="AU16" s="199">
        <v>0</v>
      </c>
      <c r="AW16" s="250">
        <f t="shared" si="5"/>
        <v>0</v>
      </c>
      <c r="AX16" s="199">
        <v>1</v>
      </c>
      <c r="AY16" s="199">
        <f t="shared" si="33"/>
        <v>28255.577679495378</v>
      </c>
      <c r="AZ16" s="199">
        <f t="shared" si="34"/>
        <v>28255.577679495378</v>
      </c>
      <c r="BA16" s="252">
        <f t="shared" si="6"/>
        <v>2.2210717648552415E-3</v>
      </c>
      <c r="BB16" s="284">
        <v>1</v>
      </c>
      <c r="BC16" s="199">
        <f t="shared" ref="BC16:BC33" si="52">AD16*BB16*0.18*4</f>
        <v>45439.148053647543</v>
      </c>
      <c r="BD16" s="270">
        <f t="shared" si="7"/>
        <v>4.0921176046260837E-3</v>
      </c>
      <c r="BE16" s="199">
        <f t="shared" si="35"/>
        <v>194378.57778504782</v>
      </c>
      <c r="BF16" s="251">
        <f t="shared" si="19"/>
        <v>4.0921176955606327E-3</v>
      </c>
      <c r="BG16" s="199">
        <f t="shared" si="36"/>
        <v>239817.72583869536</v>
      </c>
      <c r="BH16" s="636">
        <v>0</v>
      </c>
      <c r="BI16" s="199">
        <f t="shared" si="37"/>
        <v>104954.553928262</v>
      </c>
      <c r="BJ16" s="199">
        <f t="shared" si="38"/>
        <v>209909.107856524</v>
      </c>
      <c r="BK16" s="199">
        <f t="shared" si="20"/>
        <v>314863.66178478603</v>
      </c>
      <c r="BL16" s="251">
        <f t="shared" si="8"/>
        <v>1.3285408939772267E-3</v>
      </c>
      <c r="BM16" s="199">
        <f t="shared" si="39"/>
        <v>41552.970482267534</v>
      </c>
      <c r="BN16" s="251">
        <f t="shared" si="9"/>
        <v>1.7943864929047791E-3</v>
      </c>
      <c r="BT16" s="199">
        <f>'Detailed Budget'!$AD$12</f>
        <v>194045122715</v>
      </c>
      <c r="BU16" s="199">
        <f>'Detailed Budget'!$AD$24</f>
        <v>194045122715</v>
      </c>
      <c r="BV16" s="596">
        <f t="shared" si="40"/>
        <v>0</v>
      </c>
      <c r="BW16" s="278"/>
      <c r="BX16" s="275">
        <f t="shared" si="27"/>
        <v>0</v>
      </c>
      <c r="BY16" s="275">
        <f t="shared" si="28"/>
        <v>0</v>
      </c>
      <c r="CA16" s="199">
        <f>'Detailed Budget'!$AD$96</f>
        <v>71050111380.677719</v>
      </c>
      <c r="CB16" s="275">
        <f t="shared" si="21"/>
        <v>157807396.27744335</v>
      </c>
      <c r="CE16" s="199">
        <f>'Detailed Budget'!$AD$175</f>
        <v>4330586076.5988197</v>
      </c>
      <c r="CF16" s="275">
        <f t="shared" si="41"/>
        <v>17721267.522398632</v>
      </c>
      <c r="CG16" s="199">
        <f>'Detailed Budget'!$AD$176</f>
        <v>20662817754.37001</v>
      </c>
      <c r="CH16" s="275">
        <f t="shared" si="42"/>
        <v>84554682.172801927</v>
      </c>
      <c r="CI16" s="275">
        <f t="shared" si="43"/>
        <v>102275949.69520056</v>
      </c>
      <c r="CJ16" s="275">
        <f>'Detailed Budget'!$AD$178</f>
        <v>46025131033.061455</v>
      </c>
      <c r="CK16" s="275">
        <f t="shared" si="44"/>
        <v>127583030.43741941</v>
      </c>
      <c r="CL16" s="275">
        <f t="shared" si="51"/>
        <v>229858980.13261998</v>
      </c>
      <c r="CM16" s="278">
        <f>'Detailed Budget'!$AD$189</f>
        <v>77498869683.252869</v>
      </c>
      <c r="CN16" s="275">
        <f t="shared" si="10"/>
        <v>0</v>
      </c>
      <c r="CO16" s="140">
        <f>'Detailed Budget'!$AD$191</f>
        <v>2684962805.4134097</v>
      </c>
      <c r="CP16" s="616">
        <f t="shared" si="11"/>
        <v>0</v>
      </c>
      <c r="CQ16" s="616">
        <f t="shared" si="12"/>
        <v>0</v>
      </c>
      <c r="CR16" s="199">
        <f>'Detailed Budget'!$AD$195</f>
        <v>18734176418</v>
      </c>
      <c r="CS16" s="275">
        <f t="shared" si="45"/>
        <v>33616353.12015444</v>
      </c>
      <c r="CW16" s="278"/>
      <c r="DH16" s="140">
        <f>'Detailed Budget'!$AD$163</f>
        <v>4928560000</v>
      </c>
      <c r="DI16" s="616">
        <f t="shared" si="46"/>
        <v>5600000</v>
      </c>
    </row>
    <row r="17" spans="1:113" outlineLevel="1">
      <c r="A17" s="214" t="s">
        <v>247</v>
      </c>
      <c r="B17" s="215" t="s">
        <v>248</v>
      </c>
      <c r="C17" s="216" t="s">
        <v>234</v>
      </c>
      <c r="D17" s="217"/>
      <c r="E17" s="216"/>
      <c r="F17" s="216"/>
      <c r="G17" s="216" t="s">
        <v>234</v>
      </c>
      <c r="H17" s="216" t="s">
        <v>234</v>
      </c>
      <c r="I17" s="217" t="s">
        <v>234</v>
      </c>
      <c r="J17" s="217"/>
      <c r="K17" s="216" t="s">
        <v>234</v>
      </c>
      <c r="L17" s="216"/>
      <c r="M17" s="217"/>
      <c r="N17" s="216"/>
      <c r="O17" s="217"/>
      <c r="P17" s="216"/>
      <c r="Q17" s="217"/>
      <c r="R17" s="217" t="s">
        <v>234</v>
      </c>
      <c r="S17" s="217"/>
      <c r="T17" s="217"/>
      <c r="U17" s="218">
        <f t="shared" si="29"/>
        <v>6</v>
      </c>
      <c r="V17" s="867" t="s">
        <v>235</v>
      </c>
      <c r="W17" s="219">
        <v>168660</v>
      </c>
      <c r="X17" s="220">
        <v>3.04</v>
      </c>
      <c r="Y17" s="221">
        <f t="shared" si="24"/>
        <v>1.0304</v>
      </c>
      <c r="Z17" s="199">
        <v>19</v>
      </c>
      <c r="AA17" s="221">
        <f t="shared" si="47"/>
        <v>1.7664898659259882</v>
      </c>
      <c r="AB17" s="199">
        <f t="shared" si="30"/>
        <v>297936.18078707717</v>
      </c>
      <c r="AC17">
        <v>18.399999999999999</v>
      </c>
      <c r="AD17" s="199">
        <f t="shared" si="31"/>
        <v>54820.257264822198</v>
      </c>
      <c r="AE17" s="199">
        <f t="shared" si="48"/>
        <v>52079.244401581083</v>
      </c>
      <c r="AF17" s="199">
        <f t="shared" si="49"/>
        <v>0</v>
      </c>
      <c r="AG17" s="614">
        <f t="shared" si="25"/>
        <v>2.4079156289622396E-3</v>
      </c>
      <c r="AH17" s="199">
        <f t="shared" si="50"/>
        <v>14896.809039353859</v>
      </c>
      <c r="AI17" s="252">
        <f t="shared" si="26"/>
        <v>1.1540332254084127E-3</v>
      </c>
      <c r="AJ17" s="199">
        <f t="shared" si="32"/>
        <v>69717.066304176056</v>
      </c>
      <c r="AK17" s="199">
        <f t="shared" ref="AK17:AK80" si="53">AB17*0.04</f>
        <v>11917.447231483087</v>
      </c>
      <c r="AL17" s="199">
        <f t="shared" ref="AL17:AL80" si="54">AB17*0.04</f>
        <v>11917.447231483087</v>
      </c>
      <c r="AM17" s="199">
        <f t="shared" si="16"/>
        <v>23834.894462966175</v>
      </c>
      <c r="AN17" s="645">
        <f t="shared" si="17"/>
        <v>1.1540332254084127E-3</v>
      </c>
      <c r="AO17" s="199">
        <v>14</v>
      </c>
      <c r="AP17" s="250">
        <f t="shared" si="18"/>
        <v>1.5907283263265539E-3</v>
      </c>
      <c r="AQ17" s="199">
        <v>14</v>
      </c>
      <c r="AU17" s="199">
        <v>0</v>
      </c>
      <c r="AW17" s="250">
        <f t="shared" si="5"/>
        <v>0</v>
      </c>
      <c r="AX17" s="199">
        <v>1</v>
      </c>
      <c r="AY17" s="199">
        <f t="shared" si="33"/>
        <v>24544.126261426889</v>
      </c>
      <c r="AZ17" s="199">
        <f t="shared" si="34"/>
        <v>24544.126261426889</v>
      </c>
      <c r="BA17" s="252">
        <f t="shared" si="6"/>
        <v>1.9293275986304618E-3</v>
      </c>
      <c r="BB17" s="284">
        <v>0</v>
      </c>
      <c r="BC17" s="199">
        <f t="shared" si="52"/>
        <v>0</v>
      </c>
      <c r="BD17" s="270">
        <f t="shared" si="7"/>
        <v>0</v>
      </c>
      <c r="BE17" s="199">
        <f t="shared" si="35"/>
        <v>0</v>
      </c>
      <c r="BF17" s="251">
        <f t="shared" si="19"/>
        <v>0</v>
      </c>
      <c r="BG17" s="199">
        <f t="shared" si="36"/>
        <v>0</v>
      </c>
      <c r="BH17" s="636">
        <v>1</v>
      </c>
      <c r="BI17" s="199">
        <f t="shared" si="37"/>
        <v>91168.471320845623</v>
      </c>
      <c r="BJ17" s="199">
        <f t="shared" si="38"/>
        <v>182336.94264169125</v>
      </c>
      <c r="BK17" s="199">
        <f t="shared" si="20"/>
        <v>273505.41396253684</v>
      </c>
      <c r="BL17" s="251">
        <f t="shared" si="8"/>
        <v>1.1540332254084125E-3</v>
      </c>
      <c r="BM17" s="199">
        <f t="shared" si="39"/>
        <v>36094.868263628909</v>
      </c>
      <c r="BN17" s="251">
        <f t="shared" si="9"/>
        <v>1.5586886647026229E-3</v>
      </c>
      <c r="BT17" s="199">
        <f>'Detailed Budget'!$AD$12</f>
        <v>194045122715</v>
      </c>
      <c r="BU17" s="199">
        <f>'Detailed Budget'!$AD$24</f>
        <v>194045122715</v>
      </c>
      <c r="BV17" s="596">
        <f t="shared" si="40"/>
        <v>0</v>
      </c>
      <c r="BW17" s="278"/>
      <c r="BX17" s="275">
        <f t="shared" si="27"/>
        <v>0</v>
      </c>
      <c r="BY17" s="275">
        <f t="shared" si="28"/>
        <v>0</v>
      </c>
      <c r="CA17" s="199">
        <f>'Detailed Budget'!$AD$96</f>
        <v>71050111380.677719</v>
      </c>
      <c r="CB17" s="275">
        <f t="shared" si="21"/>
        <v>137078940.77250978</v>
      </c>
      <c r="CE17" s="199">
        <f>'Detailed Budget'!$AD$175</f>
        <v>4330586076.5988197</v>
      </c>
      <c r="CF17" s="275">
        <f t="shared" si="41"/>
        <v>0</v>
      </c>
      <c r="CG17" s="199">
        <f>'Detailed Budget'!$AD$176</f>
        <v>20662817754.37001</v>
      </c>
      <c r="CH17" s="275">
        <f t="shared" si="42"/>
        <v>0</v>
      </c>
      <c r="CI17" s="275">
        <f t="shared" si="43"/>
        <v>0</v>
      </c>
      <c r="CJ17" s="275">
        <f>'Detailed Budget'!$AD$178</f>
        <v>46025131033.061455</v>
      </c>
      <c r="CK17" s="275">
        <f t="shared" si="44"/>
        <v>0</v>
      </c>
      <c r="CL17" s="275">
        <f t="shared" si="51"/>
        <v>0</v>
      </c>
      <c r="CM17" s="278">
        <f>'Detailed Budget'!$AD$189</f>
        <v>77498869683.252869</v>
      </c>
      <c r="CN17" s="275">
        <f t="shared" si="10"/>
        <v>89436270.546070546</v>
      </c>
      <c r="CO17" s="140">
        <f>'Detailed Budget'!$AD$191</f>
        <v>2684962805.4134097</v>
      </c>
      <c r="CP17" s="616">
        <f t="shared" si="11"/>
        <v>3098536.2864328576</v>
      </c>
      <c r="CQ17" s="616">
        <f t="shared" si="12"/>
        <v>92534806.832503408</v>
      </c>
      <c r="CR17" s="199">
        <f>'Detailed Budget'!$AD$195</f>
        <v>18734176418</v>
      </c>
      <c r="CS17" s="275">
        <f t="shared" si="45"/>
        <v>29200748.425275788</v>
      </c>
      <c r="CW17" s="278"/>
      <c r="DH17" s="140">
        <f>'Detailed Budget'!$AD$163</f>
        <v>4928560000</v>
      </c>
      <c r="DI17" s="616">
        <f t="shared" si="46"/>
        <v>7840000.0000000009</v>
      </c>
    </row>
    <row r="18" spans="1:113" outlineLevel="1">
      <c r="A18" s="214" t="s">
        <v>249</v>
      </c>
      <c r="B18" s="215" t="s">
        <v>250</v>
      </c>
      <c r="C18" s="216" t="s">
        <v>234</v>
      </c>
      <c r="D18" s="217" t="s">
        <v>234</v>
      </c>
      <c r="E18" s="216"/>
      <c r="F18" s="216"/>
      <c r="G18" s="216"/>
      <c r="H18" s="216" t="s">
        <v>234</v>
      </c>
      <c r="I18" s="217" t="s">
        <v>234</v>
      </c>
      <c r="J18" s="217"/>
      <c r="K18" s="216" t="s">
        <v>234</v>
      </c>
      <c r="L18" s="216"/>
      <c r="M18" s="217"/>
      <c r="N18" s="216"/>
      <c r="O18" s="217"/>
      <c r="P18" s="216"/>
      <c r="Q18" s="217"/>
      <c r="R18" s="217" t="s">
        <v>234</v>
      </c>
      <c r="S18" s="217"/>
      <c r="T18" s="217"/>
      <c r="U18" s="218">
        <f t="shared" si="29"/>
        <v>6</v>
      </c>
      <c r="V18" s="867" t="s">
        <v>238</v>
      </c>
      <c r="W18" s="219">
        <v>122313</v>
      </c>
      <c r="X18" s="220">
        <v>3.04</v>
      </c>
      <c r="Y18" s="221">
        <f t="shared" si="24"/>
        <v>1.0304</v>
      </c>
      <c r="Z18" s="199">
        <v>19</v>
      </c>
      <c r="AA18" s="221">
        <f t="shared" si="47"/>
        <v>1.7664898659259882</v>
      </c>
      <c r="AB18" s="199">
        <f t="shared" si="30"/>
        <v>216064.67497100538</v>
      </c>
      <c r="AC18">
        <v>18.399999999999999</v>
      </c>
      <c r="AD18" s="199">
        <f t="shared" si="31"/>
        <v>39755.900194664988</v>
      </c>
      <c r="AE18" s="199">
        <f t="shared" si="48"/>
        <v>37768.105184931737</v>
      </c>
      <c r="AF18" s="199">
        <f t="shared" si="49"/>
        <v>37768.105184931737</v>
      </c>
      <c r="AG18" s="614">
        <f t="shared" si="25"/>
        <v>1.746231378662744E-3</v>
      </c>
      <c r="AH18" s="199">
        <f t="shared" si="50"/>
        <v>10803.23374855027</v>
      </c>
      <c r="AI18" s="252">
        <f t="shared" si="26"/>
        <v>8.3691015000224821E-4</v>
      </c>
      <c r="AJ18" s="199">
        <f t="shared" si="32"/>
        <v>50559.13394321526</v>
      </c>
      <c r="AK18" s="199">
        <f t="shared" si="53"/>
        <v>8642.5869988402155</v>
      </c>
      <c r="AL18" s="199">
        <f t="shared" si="54"/>
        <v>8642.5869988402155</v>
      </c>
      <c r="AM18" s="199">
        <f t="shared" si="16"/>
        <v>17285.173997680431</v>
      </c>
      <c r="AN18" s="645">
        <f t="shared" si="17"/>
        <v>8.369101500022481E-4</v>
      </c>
      <c r="AO18" s="199">
        <v>15</v>
      </c>
      <c r="AP18" s="250">
        <f t="shared" si="18"/>
        <v>1.7043517782070218E-3</v>
      </c>
      <c r="AQ18" s="199">
        <v>15</v>
      </c>
      <c r="AU18" s="199">
        <v>0</v>
      </c>
      <c r="AW18" s="250">
        <f t="shared" si="5"/>
        <v>0</v>
      </c>
      <c r="AX18" s="199">
        <v>1</v>
      </c>
      <c r="AY18" s="199">
        <f t="shared" si="33"/>
        <v>17799.51212743927</v>
      </c>
      <c r="AZ18" s="199">
        <f t="shared" si="34"/>
        <v>17799.51212743927</v>
      </c>
      <c r="BA18" s="252">
        <f t="shared" si="6"/>
        <v>1.3991571597965593E-3</v>
      </c>
      <c r="BB18" s="284">
        <v>1</v>
      </c>
      <c r="BC18" s="199">
        <f t="shared" si="52"/>
        <v>28624.24814015879</v>
      </c>
      <c r="BD18" s="270">
        <f t="shared" si="7"/>
        <v>2.5778165909984864E-3</v>
      </c>
      <c r="BE18" s="199">
        <f t="shared" si="35"/>
        <v>122448.17259956816</v>
      </c>
      <c r="BF18" s="251">
        <f t="shared" si="19"/>
        <v>2.5778166482824192E-3</v>
      </c>
      <c r="BG18" s="199">
        <f t="shared" si="36"/>
        <v>151072.42073972695</v>
      </c>
      <c r="BH18" s="636">
        <v>0</v>
      </c>
      <c r="BI18" s="199">
        <f t="shared" si="37"/>
        <v>66115.790541127644</v>
      </c>
      <c r="BJ18" s="199">
        <f t="shared" si="38"/>
        <v>132231.58108225529</v>
      </c>
      <c r="BK18" s="199">
        <f t="shared" si="20"/>
        <v>198347.37162338293</v>
      </c>
      <c r="BL18" s="251">
        <f t="shared" si="8"/>
        <v>8.3691015000224799E-4</v>
      </c>
      <c r="BM18" s="199">
        <f t="shared" si="39"/>
        <v>26176.162824198047</v>
      </c>
      <c r="BN18" s="251">
        <f t="shared" si="9"/>
        <v>1.1303681171930032E-3</v>
      </c>
      <c r="BT18" s="199">
        <f>'Detailed Budget'!$AD$12</f>
        <v>194045122715</v>
      </c>
      <c r="BU18" s="199">
        <f>'Detailed Budget'!$AD$24</f>
        <v>194045122715</v>
      </c>
      <c r="BV18" s="596">
        <f t="shared" si="40"/>
        <v>0</v>
      </c>
      <c r="BW18" s="278"/>
      <c r="BX18" s="275">
        <f t="shared" si="27"/>
        <v>0</v>
      </c>
      <c r="BY18" s="275">
        <f t="shared" si="28"/>
        <v>0</v>
      </c>
      <c r="CA18" s="199">
        <f>'Detailed Budget'!$AD$96</f>
        <v>71050111380.677719</v>
      </c>
      <c r="CB18" s="275">
        <f t="shared" si="21"/>
        <v>99410272.04261823</v>
      </c>
      <c r="CE18" s="199">
        <f>'Detailed Budget'!$AD$175</f>
        <v>4330586076.5988197</v>
      </c>
      <c r="CF18" s="275">
        <f t="shared" si="41"/>
        <v>11163456.63700348</v>
      </c>
      <c r="CG18" s="199">
        <f>'Detailed Budget'!$AD$176</f>
        <v>20662817754.37001</v>
      </c>
      <c r="CH18" s="275">
        <f t="shared" si="42"/>
        <v>53264955.607640564</v>
      </c>
      <c r="CI18" s="275">
        <f t="shared" si="43"/>
        <v>64428412.244644046</v>
      </c>
      <c r="CJ18" s="275">
        <f>'Detailed Budget'!$AD$178</f>
        <v>46025131033.061455</v>
      </c>
      <c r="CK18" s="275">
        <f t="shared" si="44"/>
        <v>80370528.016996339</v>
      </c>
      <c r="CL18" s="275">
        <f t="shared" si="51"/>
        <v>144798940.26164037</v>
      </c>
      <c r="CM18" s="278">
        <f>'Detailed Budget'!$AD$189</f>
        <v>77498869683.252869</v>
      </c>
      <c r="CN18" s="275">
        <f t="shared" si="10"/>
        <v>0</v>
      </c>
      <c r="CO18" s="140">
        <f>'Detailed Budget'!$AD$191</f>
        <v>2684962805.4134097</v>
      </c>
      <c r="CP18" s="616">
        <f t="shared" si="11"/>
        <v>0</v>
      </c>
      <c r="CQ18" s="616">
        <f t="shared" si="12"/>
        <v>0</v>
      </c>
      <c r="CR18" s="199">
        <f>'Detailed Budget'!$AD$195</f>
        <v>18734176418</v>
      </c>
      <c r="CS18" s="275">
        <f t="shared" si="45"/>
        <v>21176515.72477622</v>
      </c>
      <c r="CW18" s="278"/>
      <c r="DH18" s="140">
        <f>'Detailed Budget'!$AD$163</f>
        <v>4928560000</v>
      </c>
      <c r="DI18" s="616">
        <f t="shared" si="46"/>
        <v>8400000</v>
      </c>
    </row>
    <row r="19" spans="1:113" outlineLevel="1">
      <c r="A19" s="214" t="s">
        <v>251</v>
      </c>
      <c r="B19" s="215" t="s">
        <v>252</v>
      </c>
      <c r="C19" s="216" t="s">
        <v>234</v>
      </c>
      <c r="D19" s="217"/>
      <c r="E19" s="216"/>
      <c r="F19" s="216"/>
      <c r="G19" s="216" t="s">
        <v>234</v>
      </c>
      <c r="H19" s="216" t="s">
        <v>234</v>
      </c>
      <c r="I19" s="217" t="s">
        <v>234</v>
      </c>
      <c r="J19" s="217"/>
      <c r="K19" s="216" t="s">
        <v>234</v>
      </c>
      <c r="L19" s="216"/>
      <c r="M19" s="217"/>
      <c r="N19" s="216"/>
      <c r="O19" s="217"/>
      <c r="P19" s="216"/>
      <c r="Q19" s="217"/>
      <c r="R19" s="217" t="s">
        <v>234</v>
      </c>
      <c r="S19" s="217"/>
      <c r="T19" s="217"/>
      <c r="U19" s="218">
        <f t="shared" si="29"/>
        <v>6</v>
      </c>
      <c r="V19" s="867" t="s">
        <v>235</v>
      </c>
      <c r="W19" s="219">
        <v>225471</v>
      </c>
      <c r="X19" s="220">
        <v>3.04</v>
      </c>
      <c r="Y19" s="221">
        <f t="shared" si="24"/>
        <v>1.0304</v>
      </c>
      <c r="Z19" s="199">
        <v>19</v>
      </c>
      <c r="AA19" s="221">
        <f t="shared" si="47"/>
        <v>1.7664898659259882</v>
      </c>
      <c r="AB19" s="199">
        <f t="shared" si="30"/>
        <v>398292.23656019848</v>
      </c>
      <c r="AC19">
        <v>18.399999999999999</v>
      </c>
      <c r="AD19" s="199">
        <f t="shared" si="31"/>
        <v>73285.771527076518</v>
      </c>
      <c r="AE19" s="199">
        <f t="shared" si="48"/>
        <v>69621.482950722682</v>
      </c>
      <c r="AF19" s="199">
        <f t="shared" si="49"/>
        <v>0</v>
      </c>
      <c r="AG19" s="614">
        <f t="shared" si="25"/>
        <v>3.2189917276043228E-3</v>
      </c>
      <c r="AH19" s="199">
        <f t="shared" si="50"/>
        <v>19914.611828009925</v>
      </c>
      <c r="AI19" s="252">
        <f t="shared" si="26"/>
        <v>1.5427548047317692E-3</v>
      </c>
      <c r="AJ19" s="199">
        <f t="shared" si="32"/>
        <v>93200.383355086436</v>
      </c>
      <c r="AK19" s="199">
        <f t="shared" si="53"/>
        <v>15931.68946240794</v>
      </c>
      <c r="AL19" s="199">
        <f t="shared" si="54"/>
        <v>15931.68946240794</v>
      </c>
      <c r="AM19" s="199">
        <f t="shared" si="16"/>
        <v>31863.378924815879</v>
      </c>
      <c r="AN19" s="645">
        <f t="shared" si="17"/>
        <v>1.5427548047317692E-3</v>
      </c>
      <c r="AO19" s="199">
        <v>12</v>
      </c>
      <c r="AP19" s="250">
        <f t="shared" si="18"/>
        <v>1.3634814225656176E-3</v>
      </c>
      <c r="AQ19" s="199">
        <v>12</v>
      </c>
      <c r="AU19" s="199">
        <v>0</v>
      </c>
      <c r="AW19" s="250">
        <f t="shared" si="5"/>
        <v>0</v>
      </c>
      <c r="AX19" s="199">
        <v>1</v>
      </c>
      <c r="AY19" s="199">
        <f t="shared" si="33"/>
        <v>32811.506535575609</v>
      </c>
      <c r="AZ19" s="199">
        <f t="shared" si="34"/>
        <v>32811.506535575609</v>
      </c>
      <c r="BA19" s="252">
        <f t="shared" si="6"/>
        <v>2.5791973377849451E-3</v>
      </c>
      <c r="BB19" s="284">
        <v>0</v>
      </c>
      <c r="BC19" s="199">
        <f t="shared" si="52"/>
        <v>0</v>
      </c>
      <c r="BD19" s="270">
        <f t="shared" si="7"/>
        <v>0</v>
      </c>
      <c r="BE19" s="199">
        <f t="shared" si="35"/>
        <v>0</v>
      </c>
      <c r="BF19" s="251">
        <f t="shared" si="19"/>
        <v>0</v>
      </c>
      <c r="BG19" s="199">
        <f t="shared" si="36"/>
        <v>0</v>
      </c>
      <c r="BH19" s="636">
        <v>1</v>
      </c>
      <c r="BI19" s="199">
        <f t="shared" si="37"/>
        <v>121877.42438742073</v>
      </c>
      <c r="BJ19" s="199">
        <f t="shared" si="38"/>
        <v>243754.84877484146</v>
      </c>
      <c r="BK19" s="199">
        <f t="shared" si="20"/>
        <v>365632.27316226216</v>
      </c>
      <c r="BL19" s="251">
        <f t="shared" si="8"/>
        <v>1.542754804731769E-3</v>
      </c>
      <c r="BM19" s="199">
        <f t="shared" si="39"/>
        <v>48252.970723755927</v>
      </c>
      <c r="BN19" s="251">
        <f t="shared" si="9"/>
        <v>2.0837133399689619E-3</v>
      </c>
      <c r="BT19" s="199">
        <f>'Detailed Budget'!$AD$12</f>
        <v>194045122715</v>
      </c>
      <c r="BU19" s="199">
        <f>'Detailed Budget'!$AD$24</f>
        <v>194045122715</v>
      </c>
      <c r="BV19" s="596">
        <f t="shared" si="40"/>
        <v>0</v>
      </c>
      <c r="BW19" s="278"/>
      <c r="BX19" s="275">
        <f t="shared" si="27"/>
        <v>0</v>
      </c>
      <c r="BY19" s="275">
        <f t="shared" si="28"/>
        <v>0</v>
      </c>
      <c r="CA19" s="199">
        <f>'Detailed Budget'!$AD$96</f>
        <v>71050111380.677719</v>
      </c>
      <c r="CB19" s="275">
        <f t="shared" si="21"/>
        <v>183252258.1223678</v>
      </c>
      <c r="CE19" s="199">
        <f>'Detailed Budget'!$AD$175</f>
        <v>4330586076.5988197</v>
      </c>
      <c r="CF19" s="275">
        <f t="shared" si="41"/>
        <v>0</v>
      </c>
      <c r="CG19" s="199">
        <f>'Detailed Budget'!$AD$176</f>
        <v>20662817754.37001</v>
      </c>
      <c r="CH19" s="275">
        <f t="shared" si="42"/>
        <v>0</v>
      </c>
      <c r="CI19" s="275">
        <f t="shared" si="43"/>
        <v>0</v>
      </c>
      <c r="CJ19" s="275">
        <f>'Detailed Budget'!$AD$178</f>
        <v>46025131033.061455</v>
      </c>
      <c r="CK19" s="275">
        <f t="shared" si="44"/>
        <v>0</v>
      </c>
      <c r="CL19" s="275">
        <f t="shared" si="51"/>
        <v>0</v>
      </c>
      <c r="CM19" s="278">
        <f>'Detailed Budget'!$AD$189</f>
        <v>77498869683.252869</v>
      </c>
      <c r="CN19" s="275">
        <f t="shared" si="10"/>
        <v>119561753.56511959</v>
      </c>
      <c r="CO19" s="140">
        <f>'Detailed Budget'!$AD$191</f>
        <v>2684962805.4134097</v>
      </c>
      <c r="CP19" s="616">
        <f t="shared" si="11"/>
        <v>4142239.2685776283</v>
      </c>
      <c r="CQ19" s="616">
        <f t="shared" si="12"/>
        <v>123703992.83369723</v>
      </c>
      <c r="CR19" s="199">
        <f>'Detailed Budget'!$AD$195</f>
        <v>18734176418</v>
      </c>
      <c r="CS19" s="275">
        <f t="shared" si="45"/>
        <v>39036653.315518543</v>
      </c>
      <c r="CW19" s="278"/>
      <c r="DH19" s="140">
        <f>'Detailed Budget'!$AD$163</f>
        <v>4928560000</v>
      </c>
      <c r="DI19" s="616">
        <f t="shared" si="46"/>
        <v>6720000</v>
      </c>
    </row>
    <row r="20" spans="1:113" outlineLevel="1">
      <c r="A20" s="214" t="s">
        <v>253</v>
      </c>
      <c r="B20" s="215" t="s">
        <v>254</v>
      </c>
      <c r="C20" s="216" t="s">
        <v>234</v>
      </c>
      <c r="D20" s="217"/>
      <c r="E20" s="216"/>
      <c r="F20" s="216"/>
      <c r="G20" s="216" t="s">
        <v>234</v>
      </c>
      <c r="H20" s="216" t="s">
        <v>234</v>
      </c>
      <c r="I20" s="217" t="s">
        <v>234</v>
      </c>
      <c r="J20" s="217"/>
      <c r="K20" s="216" t="s">
        <v>234</v>
      </c>
      <c r="L20" s="216"/>
      <c r="M20" s="217"/>
      <c r="N20" s="216"/>
      <c r="O20" s="217"/>
      <c r="P20" s="216"/>
      <c r="Q20" s="217"/>
      <c r="R20" s="217" t="s">
        <v>234</v>
      </c>
      <c r="S20" s="217"/>
      <c r="T20" s="217"/>
      <c r="U20" s="218">
        <f t="shared" si="29"/>
        <v>6</v>
      </c>
      <c r="V20" s="867" t="s">
        <v>235</v>
      </c>
      <c r="W20" s="219">
        <v>226492</v>
      </c>
      <c r="X20" s="220">
        <v>3.04</v>
      </c>
      <c r="Y20" s="221">
        <f t="shared" si="24"/>
        <v>1.0304</v>
      </c>
      <c r="Z20" s="199">
        <v>19</v>
      </c>
      <c r="AA20" s="221">
        <f t="shared" si="47"/>
        <v>1.7664898659259882</v>
      </c>
      <c r="AB20" s="199">
        <f t="shared" si="30"/>
        <v>400095.82271330891</v>
      </c>
      <c r="AC20">
        <v>18.399999999999999</v>
      </c>
      <c r="AD20" s="199">
        <f t="shared" si="31"/>
        <v>73617.631379248836</v>
      </c>
      <c r="AE20" s="199">
        <f t="shared" si="48"/>
        <v>69936.74981028639</v>
      </c>
      <c r="AF20" s="199">
        <f t="shared" si="49"/>
        <v>0</v>
      </c>
      <c r="AG20" s="614">
        <f t="shared" si="25"/>
        <v>3.2335682831431019E-3</v>
      </c>
      <c r="AH20" s="199">
        <f t="shared" si="50"/>
        <v>20004.791135665448</v>
      </c>
      <c r="AI20" s="252">
        <f t="shared" si="26"/>
        <v>1.5497408590608454E-3</v>
      </c>
      <c r="AJ20" s="199">
        <f t="shared" si="32"/>
        <v>93622.422514914288</v>
      </c>
      <c r="AK20" s="199">
        <f t="shared" si="53"/>
        <v>16003.832908532357</v>
      </c>
      <c r="AL20" s="199">
        <f t="shared" si="54"/>
        <v>16003.832908532357</v>
      </c>
      <c r="AM20" s="199">
        <f t="shared" si="16"/>
        <v>32007.665817064713</v>
      </c>
      <c r="AN20" s="645">
        <f t="shared" si="17"/>
        <v>1.5497408590608454E-3</v>
      </c>
      <c r="AO20" s="199">
        <v>11</v>
      </c>
      <c r="AP20" s="250">
        <f t="shared" si="18"/>
        <v>1.2498579706851495E-3</v>
      </c>
      <c r="AQ20" s="199">
        <v>11</v>
      </c>
      <c r="AU20" s="199">
        <v>0</v>
      </c>
      <c r="AW20" s="250">
        <f t="shared" si="5"/>
        <v>0</v>
      </c>
      <c r="AX20" s="199">
        <v>1</v>
      </c>
      <c r="AY20" s="199">
        <f t="shared" si="33"/>
        <v>32960.086832699511</v>
      </c>
      <c r="AZ20" s="199">
        <f t="shared" si="34"/>
        <v>32960.086832699511</v>
      </c>
      <c r="BA20" s="252">
        <f t="shared" si="6"/>
        <v>2.590876713322724E-3</v>
      </c>
      <c r="BB20" s="284">
        <v>0</v>
      </c>
      <c r="BC20" s="199">
        <f t="shared" si="52"/>
        <v>0</v>
      </c>
      <c r="BD20" s="270">
        <f t="shared" si="7"/>
        <v>0</v>
      </c>
      <c r="BE20" s="199">
        <f t="shared" si="35"/>
        <v>0</v>
      </c>
      <c r="BF20" s="251">
        <f t="shared" si="19"/>
        <v>0</v>
      </c>
      <c r="BG20" s="199">
        <f t="shared" si="36"/>
        <v>0</v>
      </c>
      <c r="BH20" s="636">
        <v>1</v>
      </c>
      <c r="BI20" s="199">
        <f t="shared" si="37"/>
        <v>122429.32175027252</v>
      </c>
      <c r="BJ20" s="199">
        <f t="shared" si="38"/>
        <v>244858.64350054503</v>
      </c>
      <c r="BK20" s="199">
        <f t="shared" si="20"/>
        <v>367287.96525081753</v>
      </c>
      <c r="BL20" s="251">
        <f t="shared" si="8"/>
        <v>1.5497408590608452E-3</v>
      </c>
      <c r="BM20" s="199">
        <f t="shared" si="39"/>
        <v>48471.474580610928</v>
      </c>
      <c r="BN20" s="251">
        <f t="shared" si="9"/>
        <v>2.0931490160430834E-3</v>
      </c>
      <c r="BT20" s="199">
        <f>'Detailed Budget'!$AD$12</f>
        <v>194045122715</v>
      </c>
      <c r="BU20" s="199">
        <f>'Detailed Budget'!$AD$24</f>
        <v>194045122715</v>
      </c>
      <c r="BV20" s="596">
        <f t="shared" si="40"/>
        <v>0</v>
      </c>
      <c r="BW20" s="278"/>
      <c r="BX20" s="275">
        <f t="shared" si="27"/>
        <v>0</v>
      </c>
      <c r="BY20" s="275">
        <f t="shared" si="28"/>
        <v>0</v>
      </c>
      <c r="CA20" s="199">
        <f>'Detailed Budget'!$AD$96</f>
        <v>71050111380.677719</v>
      </c>
      <c r="CB20" s="275">
        <f t="shared" si="21"/>
        <v>184082079.05518377</v>
      </c>
      <c r="CE20" s="199">
        <f>'Detailed Budget'!$AD$175</f>
        <v>4330586076.5988197</v>
      </c>
      <c r="CF20" s="275">
        <f t="shared" si="41"/>
        <v>0</v>
      </c>
      <c r="CG20" s="199">
        <f>'Detailed Budget'!$AD$176</f>
        <v>20662817754.37001</v>
      </c>
      <c r="CH20" s="275">
        <f t="shared" si="42"/>
        <v>0</v>
      </c>
      <c r="CI20" s="275">
        <f t="shared" si="43"/>
        <v>0</v>
      </c>
      <c r="CJ20" s="275">
        <f>'Detailed Budget'!$AD$178</f>
        <v>46025131033.061455</v>
      </c>
      <c r="CK20" s="275">
        <f t="shared" si="44"/>
        <v>0</v>
      </c>
      <c r="CL20" s="275">
        <f t="shared" si="51"/>
        <v>0</v>
      </c>
      <c r="CM20" s="278">
        <f>'Detailed Budget'!$AD$189</f>
        <v>77498869683.252869</v>
      </c>
      <c r="CN20" s="275">
        <f t="shared" si="10"/>
        <v>120103164.87916879</v>
      </c>
      <c r="CO20" s="140">
        <f>'Detailed Budget'!$AD$191</f>
        <v>2684962805.4134097</v>
      </c>
      <c r="CP20" s="616">
        <f t="shared" si="11"/>
        <v>4160996.5646077953</v>
      </c>
      <c r="CQ20" s="616">
        <f t="shared" si="12"/>
        <v>124264161.44377659</v>
      </c>
      <c r="CR20" s="199">
        <f>'Detailed Budget'!$AD$195</f>
        <v>18734176418</v>
      </c>
      <c r="CS20" s="275">
        <f t="shared" si="45"/>
        <v>39213422.935714237</v>
      </c>
      <c r="CW20" s="278"/>
      <c r="DH20" s="140">
        <f>'Detailed Budget'!$AD$163</f>
        <v>4928560000</v>
      </c>
      <c r="DI20" s="616">
        <f t="shared" si="46"/>
        <v>6160000</v>
      </c>
    </row>
    <row r="21" spans="1:113" outlineLevel="1">
      <c r="A21" s="214" t="s">
        <v>255</v>
      </c>
      <c r="B21" s="215" t="s">
        <v>256</v>
      </c>
      <c r="C21" s="216" t="s">
        <v>234</v>
      </c>
      <c r="D21" s="217"/>
      <c r="E21" s="216"/>
      <c r="F21" s="216"/>
      <c r="G21" s="216" t="s">
        <v>234</v>
      </c>
      <c r="H21" s="216" t="s">
        <v>234</v>
      </c>
      <c r="I21" s="217" t="s">
        <v>234</v>
      </c>
      <c r="J21" s="217"/>
      <c r="K21" s="216" t="s">
        <v>234</v>
      </c>
      <c r="L21" s="216"/>
      <c r="M21" s="217"/>
      <c r="N21" s="216"/>
      <c r="O21" s="217"/>
      <c r="P21" s="216"/>
      <c r="Q21" s="217"/>
      <c r="R21" s="217" t="s">
        <v>234</v>
      </c>
      <c r="S21" s="217"/>
      <c r="T21" s="217"/>
      <c r="U21" s="218">
        <f t="shared" si="29"/>
        <v>6</v>
      </c>
      <c r="V21" s="867" t="s">
        <v>235</v>
      </c>
      <c r="W21" s="219">
        <v>248642</v>
      </c>
      <c r="X21" s="220">
        <v>3.04</v>
      </c>
      <c r="Y21" s="221">
        <f t="shared" si="24"/>
        <v>1.0304</v>
      </c>
      <c r="Z21" s="199">
        <v>19</v>
      </c>
      <c r="AA21" s="221">
        <f t="shared" si="47"/>
        <v>1.7664898659259882</v>
      </c>
      <c r="AB21" s="199">
        <f t="shared" si="30"/>
        <v>439223.57324356958</v>
      </c>
      <c r="AC21">
        <v>18.399999999999999</v>
      </c>
      <c r="AD21" s="199">
        <f t="shared" si="31"/>
        <v>80817.137476816803</v>
      </c>
      <c r="AE21" s="199">
        <f t="shared" si="48"/>
        <v>76776.280602975952</v>
      </c>
      <c r="AF21" s="199">
        <f t="shared" si="49"/>
        <v>0</v>
      </c>
      <c r="AG21" s="614">
        <f t="shared" si="25"/>
        <v>3.5497981608942795E-3</v>
      </c>
      <c r="AH21" s="199">
        <f t="shared" si="50"/>
        <v>21961.178662178481</v>
      </c>
      <c r="AI21" s="252">
        <f t="shared" si="26"/>
        <v>1.7012992365231742E-3</v>
      </c>
      <c r="AJ21" s="199">
        <f t="shared" si="32"/>
        <v>102778.31613899529</v>
      </c>
      <c r="AK21" s="199">
        <f t="shared" si="53"/>
        <v>17568.942929742785</v>
      </c>
      <c r="AL21" s="199">
        <f t="shared" si="54"/>
        <v>17568.942929742785</v>
      </c>
      <c r="AM21" s="199">
        <f t="shared" si="16"/>
        <v>35137.88585948557</v>
      </c>
      <c r="AN21" s="645">
        <f t="shared" si="17"/>
        <v>1.7012992365231742E-3</v>
      </c>
      <c r="AO21" s="199">
        <v>15</v>
      </c>
      <c r="AP21" s="250">
        <f t="shared" si="18"/>
        <v>1.7043517782070218E-3</v>
      </c>
      <c r="AQ21" s="199">
        <v>15</v>
      </c>
      <c r="AU21" s="199">
        <v>0</v>
      </c>
      <c r="AW21" s="250">
        <f t="shared" si="5"/>
        <v>0</v>
      </c>
      <c r="AX21" s="199">
        <v>1</v>
      </c>
      <c r="AY21" s="199">
        <f t="shared" si="33"/>
        <v>36183.449791851686</v>
      </c>
      <c r="AZ21" s="199">
        <f t="shared" si="34"/>
        <v>36183.449791851686</v>
      </c>
      <c r="BA21" s="252">
        <f t="shared" si="6"/>
        <v>2.8442539593186017E-3</v>
      </c>
      <c r="BB21" s="284">
        <v>0</v>
      </c>
      <c r="BC21" s="199">
        <f t="shared" si="52"/>
        <v>0</v>
      </c>
      <c r="BD21" s="270">
        <f t="shared" si="7"/>
        <v>0</v>
      </c>
      <c r="BE21" s="199">
        <f t="shared" si="35"/>
        <v>0</v>
      </c>
      <c r="BF21" s="251">
        <f t="shared" si="19"/>
        <v>0</v>
      </c>
      <c r="BG21" s="199">
        <f t="shared" si="36"/>
        <v>0</v>
      </c>
      <c r="BH21" s="636">
        <v>1</v>
      </c>
      <c r="BI21" s="199">
        <f t="shared" si="37"/>
        <v>134402.4134125323</v>
      </c>
      <c r="BJ21" s="199">
        <f t="shared" si="38"/>
        <v>268804.82682506461</v>
      </c>
      <c r="BK21" s="199">
        <f t="shared" si="20"/>
        <v>403207.24023759691</v>
      </c>
      <c r="BL21" s="251">
        <f t="shared" si="8"/>
        <v>1.7012992365231742E-3</v>
      </c>
      <c r="BM21" s="199">
        <f t="shared" si="39"/>
        <v>53211.788419336066</v>
      </c>
      <c r="BN21" s="251">
        <f t="shared" si="9"/>
        <v>2.2978505097177139E-3</v>
      </c>
      <c r="BT21" s="199">
        <f>'Detailed Budget'!$AD$12</f>
        <v>194045122715</v>
      </c>
      <c r="BU21" s="199">
        <f>'Detailed Budget'!$AD$24</f>
        <v>194045122715</v>
      </c>
      <c r="BV21" s="596">
        <f t="shared" si="40"/>
        <v>0</v>
      </c>
      <c r="BW21" s="278"/>
      <c r="BX21" s="275">
        <f t="shared" si="27"/>
        <v>0</v>
      </c>
      <c r="BY21" s="275">
        <f t="shared" si="28"/>
        <v>0</v>
      </c>
      <c r="CA21" s="199">
        <f>'Detailed Budget'!$AD$96</f>
        <v>71050111380.677719</v>
      </c>
      <c r="CB21" s="275">
        <f t="shared" si="21"/>
        <v>202084560.60452023</v>
      </c>
      <c r="CE21" s="199">
        <f>'Detailed Budget'!$AD$175</f>
        <v>4330586076.5988197</v>
      </c>
      <c r="CF21" s="275">
        <f t="shared" si="41"/>
        <v>0</v>
      </c>
      <c r="CG21" s="199">
        <f>'Detailed Budget'!$AD$176</f>
        <v>20662817754.37001</v>
      </c>
      <c r="CH21" s="275">
        <f t="shared" si="42"/>
        <v>0</v>
      </c>
      <c r="CI21" s="275">
        <f t="shared" si="43"/>
        <v>0</v>
      </c>
      <c r="CJ21" s="275">
        <f>'Detailed Budget'!$AD$178</f>
        <v>46025131033.061455</v>
      </c>
      <c r="CK21" s="275">
        <f t="shared" si="44"/>
        <v>0</v>
      </c>
      <c r="CL21" s="275">
        <f t="shared" si="51"/>
        <v>0</v>
      </c>
      <c r="CM21" s="278">
        <f>'Detailed Budget'!$AD$189</f>
        <v>77498869683.252869</v>
      </c>
      <c r="CN21" s="275">
        <f t="shared" si="10"/>
        <v>131848767.82352707</v>
      </c>
      <c r="CO21" s="140">
        <f>'Detailed Budget'!$AD$191</f>
        <v>2684962805.4134097</v>
      </c>
      <c r="CP21" s="616">
        <f t="shared" si="11"/>
        <v>4567925.1709429538</v>
      </c>
      <c r="CQ21" s="616">
        <f t="shared" si="12"/>
        <v>136416692.99447003</v>
      </c>
      <c r="CR21" s="199">
        <f>'Detailed Budget'!$AD$195</f>
        <v>18734176418</v>
      </c>
      <c r="CS21" s="275">
        <f t="shared" si="45"/>
        <v>43048336.831242874</v>
      </c>
      <c r="CW21" s="278"/>
      <c r="DH21" s="140">
        <f>'Detailed Budget'!$AD$163</f>
        <v>4928560000</v>
      </c>
      <c r="DI21" s="616">
        <f t="shared" si="46"/>
        <v>8400000</v>
      </c>
    </row>
    <row r="22" spans="1:113" outlineLevel="1">
      <c r="A22" s="214" t="s">
        <v>257</v>
      </c>
      <c r="B22" s="215" t="s">
        <v>258</v>
      </c>
      <c r="C22" s="216" t="s">
        <v>234</v>
      </c>
      <c r="D22" s="217" t="s">
        <v>234</v>
      </c>
      <c r="E22" s="216"/>
      <c r="F22" s="216"/>
      <c r="G22" s="216"/>
      <c r="H22" s="216" t="s">
        <v>234</v>
      </c>
      <c r="I22" s="217" t="s">
        <v>234</v>
      </c>
      <c r="J22" s="217"/>
      <c r="K22" s="216" t="s">
        <v>234</v>
      </c>
      <c r="L22" s="216"/>
      <c r="M22" s="217"/>
      <c r="N22" s="216"/>
      <c r="O22" s="217"/>
      <c r="P22" s="216"/>
      <c r="Q22" s="217"/>
      <c r="R22" s="217" t="s">
        <v>234</v>
      </c>
      <c r="S22" s="217"/>
      <c r="T22" s="217"/>
      <c r="U22" s="218">
        <f t="shared" si="29"/>
        <v>6</v>
      </c>
      <c r="V22" s="867" t="s">
        <v>238</v>
      </c>
      <c r="W22" s="219">
        <v>169570</v>
      </c>
      <c r="X22" s="220">
        <v>3.04</v>
      </c>
      <c r="Y22" s="221">
        <f t="shared" si="24"/>
        <v>1.0304</v>
      </c>
      <c r="Z22" s="199">
        <v>19</v>
      </c>
      <c r="AA22" s="221">
        <f t="shared" si="47"/>
        <v>1.7664898659259882</v>
      </c>
      <c r="AB22" s="199">
        <f t="shared" si="30"/>
        <v>299543.68656506983</v>
      </c>
      <c r="AC22">
        <v>18.399999999999999</v>
      </c>
      <c r="AD22" s="199">
        <f t="shared" si="31"/>
        <v>55116.038327972841</v>
      </c>
      <c r="AE22" s="199">
        <f t="shared" si="48"/>
        <v>52360.236411574195</v>
      </c>
      <c r="AF22" s="199">
        <f t="shared" si="49"/>
        <v>52360.236411574195</v>
      </c>
      <c r="AG22" s="614">
        <f t="shared" si="25"/>
        <v>2.4209074659262832E-3</v>
      </c>
      <c r="AH22" s="199">
        <f t="shared" si="50"/>
        <v>14977.184328253492</v>
      </c>
      <c r="AI22" s="252">
        <f t="shared" si="26"/>
        <v>1.1602597772590094E-3</v>
      </c>
      <c r="AJ22" s="199">
        <f t="shared" si="32"/>
        <v>70093.222656226339</v>
      </c>
      <c r="AK22" s="199">
        <f t="shared" si="53"/>
        <v>11981.747462602794</v>
      </c>
      <c r="AL22" s="199">
        <f t="shared" si="54"/>
        <v>11981.747462602794</v>
      </c>
      <c r="AM22" s="199">
        <f t="shared" si="16"/>
        <v>23963.494925205589</v>
      </c>
      <c r="AN22" s="645">
        <f t="shared" si="17"/>
        <v>1.1602597772590096E-3</v>
      </c>
      <c r="AO22" s="199">
        <v>10</v>
      </c>
      <c r="AP22" s="250">
        <f t="shared" si="18"/>
        <v>1.1362345188046814E-3</v>
      </c>
      <c r="AQ22" s="199">
        <v>10</v>
      </c>
      <c r="AU22" s="199">
        <v>0</v>
      </c>
      <c r="AW22" s="250">
        <f t="shared" si="5"/>
        <v>0</v>
      </c>
      <c r="AX22" s="199">
        <v>1</v>
      </c>
      <c r="AY22" s="199">
        <f t="shared" si="33"/>
        <v>24676.553362683255</v>
      </c>
      <c r="AZ22" s="199">
        <f t="shared" si="34"/>
        <v>24676.553362683255</v>
      </c>
      <c r="BA22" s="252">
        <f t="shared" si="6"/>
        <v>1.9397372281499314E-3</v>
      </c>
      <c r="BB22" s="284">
        <v>1</v>
      </c>
      <c r="BC22" s="199">
        <f t="shared" si="52"/>
        <v>39683.547596140445</v>
      </c>
      <c r="BD22" s="270">
        <f t="shared" si="7"/>
        <v>3.5737849561012594E-3</v>
      </c>
      <c r="BE22" s="199">
        <f t="shared" si="35"/>
        <v>169757.39805015636</v>
      </c>
      <c r="BF22" s="251">
        <f t="shared" si="19"/>
        <v>3.5737850355174829E-3</v>
      </c>
      <c r="BG22" s="199">
        <f t="shared" si="36"/>
        <v>209440.94564629681</v>
      </c>
      <c r="BH22" s="636">
        <v>0</v>
      </c>
      <c r="BI22" s="199">
        <f t="shared" si="37"/>
        <v>91660.368088911375</v>
      </c>
      <c r="BJ22" s="199">
        <f t="shared" si="38"/>
        <v>183320.73617782275</v>
      </c>
      <c r="BK22" s="199">
        <f t="shared" si="20"/>
        <v>274981.1042667341</v>
      </c>
      <c r="BL22" s="251">
        <f t="shared" si="8"/>
        <v>1.1602597772590094E-3</v>
      </c>
      <c r="BM22" s="199">
        <f t="shared" si="39"/>
        <v>36289.61704887676</v>
      </c>
      <c r="BN22" s="251">
        <f t="shared" si="9"/>
        <v>1.5670985229077658E-3</v>
      </c>
      <c r="BT22" s="199">
        <f>'Detailed Budget'!$AD$12</f>
        <v>194045122715</v>
      </c>
      <c r="BU22" s="199">
        <f>'Detailed Budget'!$AD$24</f>
        <v>194045122715</v>
      </c>
      <c r="BV22" s="596">
        <f t="shared" si="40"/>
        <v>0</v>
      </c>
      <c r="BW22" s="278"/>
      <c r="BX22" s="275">
        <f t="shared" si="27"/>
        <v>0</v>
      </c>
      <c r="BY22" s="275">
        <f t="shared" si="28"/>
        <v>0</v>
      </c>
      <c r="CA22" s="199">
        <f>'Detailed Budget'!$AD$96</f>
        <v>71050111380.677719</v>
      </c>
      <c r="CB22" s="275">
        <f t="shared" si="21"/>
        <v>137818546.10929969</v>
      </c>
      <c r="CE22" s="199">
        <f>'Detailed Budget'!$AD$175</f>
        <v>4330586076.5988197</v>
      </c>
      <c r="CF22" s="275">
        <f t="shared" si="41"/>
        <v>15476583.371650439</v>
      </c>
      <c r="CG22" s="199">
        <f>'Detailed Budget'!$AD$176</f>
        <v>20662817754.37001</v>
      </c>
      <c r="CH22" s="275">
        <f t="shared" si="42"/>
        <v>73844468.882192507</v>
      </c>
      <c r="CI22" s="275">
        <f t="shared" si="43"/>
        <v>89321052.25384295</v>
      </c>
      <c r="CJ22" s="275">
        <f>'Detailed Budget'!$AD$178</f>
        <v>46025131033.061455</v>
      </c>
      <c r="CK22" s="275">
        <f t="shared" si="44"/>
        <v>111422583.33817394</v>
      </c>
      <c r="CL22" s="275">
        <f t="shared" si="51"/>
        <v>200743635.59201688</v>
      </c>
      <c r="CM22" s="278">
        <f>'Detailed Budget'!$AD$189</f>
        <v>77498869683.252869</v>
      </c>
      <c r="CN22" s="275">
        <f t="shared" si="10"/>
        <v>0</v>
      </c>
      <c r="CO22" s="140">
        <f>'Detailed Budget'!$AD$191</f>
        <v>2684962805.4134097</v>
      </c>
      <c r="CP22" s="616">
        <f t="shared" si="11"/>
        <v>0</v>
      </c>
      <c r="CQ22" s="616">
        <f t="shared" si="12"/>
        <v>0</v>
      </c>
      <c r="CR22" s="199">
        <f>'Detailed Budget'!$AD$195</f>
        <v>18734176418</v>
      </c>
      <c r="CS22" s="275">
        <f t="shared" si="45"/>
        <v>29358300.192541298</v>
      </c>
      <c r="CW22" s="278"/>
      <c r="DH22" s="140">
        <f>'Detailed Budget'!$AD$163</f>
        <v>4928560000</v>
      </c>
      <c r="DI22" s="616">
        <f t="shared" si="46"/>
        <v>5600000</v>
      </c>
    </row>
    <row r="23" spans="1:113" outlineLevel="1">
      <c r="A23" s="214" t="s">
        <v>259</v>
      </c>
      <c r="B23" s="215" t="s">
        <v>260</v>
      </c>
      <c r="C23" s="216" t="s">
        <v>234</v>
      </c>
      <c r="D23" s="217" t="s">
        <v>234</v>
      </c>
      <c r="E23" s="216"/>
      <c r="F23" s="216"/>
      <c r="G23" s="216"/>
      <c r="H23" s="216" t="s">
        <v>234</v>
      </c>
      <c r="I23" s="217" t="s">
        <v>234</v>
      </c>
      <c r="J23" s="217"/>
      <c r="K23" s="216" t="s">
        <v>234</v>
      </c>
      <c r="L23" s="216"/>
      <c r="M23" s="217"/>
      <c r="N23" s="216"/>
      <c r="O23" s="217"/>
      <c r="P23" s="216"/>
      <c r="Q23" s="217"/>
      <c r="R23" s="217" t="s">
        <v>234</v>
      </c>
      <c r="S23" s="217"/>
      <c r="T23" s="217"/>
      <c r="U23" s="218">
        <f t="shared" si="29"/>
        <v>6</v>
      </c>
      <c r="V23" s="867" t="s">
        <v>238</v>
      </c>
      <c r="W23" s="219">
        <v>300377</v>
      </c>
      <c r="X23" s="220">
        <v>3.04</v>
      </c>
      <c r="Y23" s="221">
        <f t="shared" si="24"/>
        <v>1.0304</v>
      </c>
      <c r="Z23" s="199">
        <v>19</v>
      </c>
      <c r="AA23" s="221">
        <f t="shared" si="47"/>
        <v>1.7664898659259882</v>
      </c>
      <c r="AB23" s="199">
        <f t="shared" si="30"/>
        <v>530612.92645725061</v>
      </c>
      <c r="AC23">
        <v>18.399999999999999</v>
      </c>
      <c r="AD23" s="199">
        <f t="shared" si="31"/>
        <v>97632.7784681341</v>
      </c>
      <c r="AE23" s="199">
        <f t="shared" si="48"/>
        <v>92751.139544727397</v>
      </c>
      <c r="AF23" s="199">
        <f t="shared" si="49"/>
        <v>92751.139544727397</v>
      </c>
      <c r="AG23" s="614">
        <f t="shared" si="25"/>
        <v>4.2884055074160488E-3</v>
      </c>
      <c r="AH23" s="199">
        <f t="shared" si="50"/>
        <v>26530.646322862533</v>
      </c>
      <c r="AI23" s="252">
        <f t="shared" si="26"/>
        <v>2.0552889727766086E-3</v>
      </c>
      <c r="AJ23" s="199">
        <f t="shared" si="32"/>
        <v>124163.42479099664</v>
      </c>
      <c r="AK23" s="199">
        <f t="shared" si="53"/>
        <v>21224.517058290025</v>
      </c>
      <c r="AL23" s="199">
        <f t="shared" si="54"/>
        <v>21224.517058290025</v>
      </c>
      <c r="AM23" s="199">
        <f t="shared" si="16"/>
        <v>42449.034116580049</v>
      </c>
      <c r="AN23" s="645">
        <f t="shared" si="17"/>
        <v>2.0552889727766086E-3</v>
      </c>
      <c r="AO23" s="199">
        <v>11</v>
      </c>
      <c r="AP23" s="250">
        <f t="shared" si="18"/>
        <v>1.2498579706851495E-3</v>
      </c>
      <c r="AQ23" s="199">
        <v>11</v>
      </c>
      <c r="AU23" s="199">
        <v>0</v>
      </c>
      <c r="AW23" s="250">
        <f t="shared" si="5"/>
        <v>0</v>
      </c>
      <c r="AX23" s="199">
        <v>1</v>
      </c>
      <c r="AY23" s="199">
        <f t="shared" si="33"/>
        <v>43712.148784706667</v>
      </c>
      <c r="AZ23" s="199">
        <f t="shared" si="34"/>
        <v>43712.148784706667</v>
      </c>
      <c r="BA23" s="252">
        <f t="shared" si="6"/>
        <v>3.4360585562304186E-3</v>
      </c>
      <c r="BB23" s="284">
        <v>1</v>
      </c>
      <c r="BC23" s="199">
        <f t="shared" si="52"/>
        <v>70295.600497056555</v>
      </c>
      <c r="BD23" s="270">
        <f t="shared" si="7"/>
        <v>6.3306174662901941E-3</v>
      </c>
      <c r="BE23" s="199">
        <f t="shared" si="35"/>
        <v>300708.95768185303</v>
      </c>
      <c r="BF23" s="251">
        <f t="shared" si="19"/>
        <v>6.3306176069684202E-3</v>
      </c>
      <c r="BG23" s="199">
        <f t="shared" si="36"/>
        <v>371004.55817890959</v>
      </c>
      <c r="BH23" s="636">
        <v>0</v>
      </c>
      <c r="BI23" s="199">
        <f t="shared" si="37"/>
        <v>162367.55549591867</v>
      </c>
      <c r="BJ23" s="199">
        <f t="shared" si="38"/>
        <v>324735.11099183734</v>
      </c>
      <c r="BK23" s="199">
        <f t="shared" si="20"/>
        <v>487102.66648775601</v>
      </c>
      <c r="BL23" s="251">
        <f t="shared" si="8"/>
        <v>2.0552889727766081E-3</v>
      </c>
      <c r="BM23" s="199">
        <f t="shared" si="39"/>
        <v>64283.577875157491</v>
      </c>
      <c r="BN23" s="251">
        <f t="shared" si="9"/>
        <v>2.7759648110837177E-3</v>
      </c>
      <c r="BT23" s="199">
        <f>'Detailed Budget'!$AD$12</f>
        <v>194045122715</v>
      </c>
      <c r="BU23" s="199">
        <f>'Detailed Budget'!$AD$24</f>
        <v>194045122715</v>
      </c>
      <c r="BV23" s="596">
        <f t="shared" si="40"/>
        <v>0</v>
      </c>
      <c r="BW23" s="278"/>
      <c r="BX23" s="275">
        <f t="shared" si="27"/>
        <v>0</v>
      </c>
      <c r="BY23" s="275">
        <f t="shared" si="28"/>
        <v>0</v>
      </c>
      <c r="CA23" s="199">
        <f>'Detailed Budget'!$AD$96</f>
        <v>71050111380.677719</v>
      </c>
      <c r="CB23" s="275">
        <f t="shared" si="21"/>
        <v>244132343.13070193</v>
      </c>
      <c r="CE23" s="199">
        <f>'Detailed Budget'!$AD$175</f>
        <v>4330586076.5988197</v>
      </c>
      <c r="CF23" s="275">
        <f t="shared" si="41"/>
        <v>27415283.855789613</v>
      </c>
      <c r="CG23" s="199">
        <f>'Detailed Budget'!$AD$176</f>
        <v>20662817754.37001</v>
      </c>
      <c r="CH23" s="275">
        <f t="shared" si="42"/>
        <v>130808397.88539445</v>
      </c>
      <c r="CI23" s="275">
        <f t="shared" si="43"/>
        <v>158223681.74118406</v>
      </c>
      <c r="CJ23" s="275">
        <f>'Detailed Budget'!$AD$178</f>
        <v>46025131033.061455</v>
      </c>
      <c r="CK23" s="275">
        <f t="shared" si="44"/>
        <v>197374425.40172604</v>
      </c>
      <c r="CL23" s="275">
        <f t="shared" si="51"/>
        <v>355598107.14291012</v>
      </c>
      <c r="CM23" s="278">
        <f>'Detailed Budget'!$AD$189</f>
        <v>77498869683.252869</v>
      </c>
      <c r="CN23" s="275">
        <f t="shared" si="10"/>
        <v>0</v>
      </c>
      <c r="CO23" s="140">
        <f>'Detailed Budget'!$AD$191</f>
        <v>2684962805.4134097</v>
      </c>
      <c r="CP23" s="616">
        <f t="shared" si="11"/>
        <v>0</v>
      </c>
      <c r="CQ23" s="616">
        <f t="shared" si="12"/>
        <v>0</v>
      </c>
      <c r="CR23" s="199">
        <f>'Detailed Budget'!$AD$195</f>
        <v>18734176418</v>
      </c>
      <c r="CS23" s="275">
        <f t="shared" si="45"/>
        <v>52005414.501002409</v>
      </c>
      <c r="CW23" s="278"/>
      <c r="DH23" s="140">
        <f>'Detailed Budget'!$AD$163</f>
        <v>4928560000</v>
      </c>
      <c r="DI23" s="616">
        <f t="shared" si="46"/>
        <v>6160000</v>
      </c>
    </row>
    <row r="24" spans="1:113" outlineLevel="1">
      <c r="A24" s="214" t="s">
        <v>261</v>
      </c>
      <c r="B24" s="215" t="s">
        <v>262</v>
      </c>
      <c r="C24" s="216" t="s">
        <v>234</v>
      </c>
      <c r="D24" s="217"/>
      <c r="E24" s="216"/>
      <c r="F24" s="216"/>
      <c r="G24" s="216" t="s">
        <v>234</v>
      </c>
      <c r="H24" s="216" t="s">
        <v>234</v>
      </c>
      <c r="I24" s="217" t="s">
        <v>234</v>
      </c>
      <c r="J24" s="217"/>
      <c r="K24" s="216" t="s">
        <v>234</v>
      </c>
      <c r="L24" s="216"/>
      <c r="M24" s="217"/>
      <c r="N24" s="216"/>
      <c r="O24" s="217"/>
      <c r="P24" s="216"/>
      <c r="Q24" s="217"/>
      <c r="R24" s="217" t="s">
        <v>234</v>
      </c>
      <c r="S24" s="217"/>
      <c r="T24" s="217"/>
      <c r="U24" s="218">
        <f t="shared" si="29"/>
        <v>6</v>
      </c>
      <c r="V24" s="867" t="s">
        <v>235</v>
      </c>
      <c r="W24" s="219">
        <v>98707</v>
      </c>
      <c r="X24" s="220">
        <v>3.04</v>
      </c>
      <c r="Y24" s="221">
        <f t="shared" si="24"/>
        <v>1.0304</v>
      </c>
      <c r="Z24" s="199">
        <v>19</v>
      </c>
      <c r="AA24" s="221">
        <f t="shared" si="47"/>
        <v>1.7664898659259882</v>
      </c>
      <c r="AB24" s="199">
        <f t="shared" si="30"/>
        <v>174364.91519595651</v>
      </c>
      <c r="AC24">
        <v>18.399999999999999</v>
      </c>
      <c r="AD24" s="199">
        <f t="shared" si="31"/>
        <v>32083.144396055992</v>
      </c>
      <c r="AE24" s="199">
        <f t="shared" si="48"/>
        <v>30478.987176253191</v>
      </c>
      <c r="AF24" s="199">
        <f t="shared" si="49"/>
        <v>0</v>
      </c>
      <c r="AG24" s="614">
        <f t="shared" si="25"/>
        <v>1.4092145617690961E-3</v>
      </c>
      <c r="AH24" s="199">
        <f t="shared" si="50"/>
        <v>8718.2457597978264</v>
      </c>
      <c r="AI24" s="252">
        <f t="shared" si="26"/>
        <v>6.7538928957896474E-4</v>
      </c>
      <c r="AJ24" s="199">
        <f t="shared" si="32"/>
        <v>40801.39015585382</v>
      </c>
      <c r="AK24" s="199">
        <f t="shared" si="53"/>
        <v>6974.5966078382608</v>
      </c>
      <c r="AL24" s="199">
        <f t="shared" si="54"/>
        <v>6974.5966078382608</v>
      </c>
      <c r="AM24" s="199">
        <f t="shared" si="16"/>
        <v>13949.193215676522</v>
      </c>
      <c r="AN24" s="645">
        <f t="shared" si="17"/>
        <v>6.7538928957896463E-4</v>
      </c>
      <c r="AO24" s="199">
        <v>12</v>
      </c>
      <c r="AP24" s="250">
        <f t="shared" si="18"/>
        <v>1.3634814225656176E-3</v>
      </c>
      <c r="AQ24" s="199">
        <v>12</v>
      </c>
      <c r="AU24" s="199">
        <v>0</v>
      </c>
      <c r="AW24" s="250">
        <f t="shared" si="5"/>
        <v>0</v>
      </c>
      <c r="AX24" s="199">
        <v>1</v>
      </c>
      <c r="AY24" s="199">
        <f t="shared" si="33"/>
        <v>14364.265806276911</v>
      </c>
      <c r="AZ24" s="199">
        <f t="shared" si="34"/>
        <v>14364.265806276911</v>
      </c>
      <c r="BA24" s="252">
        <f t="shared" si="6"/>
        <v>1.1291245065695305E-3</v>
      </c>
      <c r="BB24" s="284">
        <v>0</v>
      </c>
      <c r="BC24" s="199">
        <f t="shared" si="52"/>
        <v>0</v>
      </c>
      <c r="BD24" s="270">
        <f t="shared" si="7"/>
        <v>0</v>
      </c>
      <c r="BE24" s="199">
        <f t="shared" si="35"/>
        <v>0</v>
      </c>
      <c r="BF24" s="251">
        <f t="shared" si="19"/>
        <v>0</v>
      </c>
      <c r="BG24" s="199">
        <f t="shared" si="36"/>
        <v>0</v>
      </c>
      <c r="BH24" s="636">
        <v>1</v>
      </c>
      <c r="BI24" s="199">
        <f t="shared" si="37"/>
        <v>53355.664049962696</v>
      </c>
      <c r="BJ24" s="199">
        <f t="shared" si="38"/>
        <v>106711.32809992539</v>
      </c>
      <c r="BK24" s="199">
        <f t="shared" si="20"/>
        <v>160066.99214988807</v>
      </c>
      <c r="BL24" s="251">
        <f t="shared" si="8"/>
        <v>6.7538928957896463E-4</v>
      </c>
      <c r="BM24" s="199">
        <f t="shared" si="39"/>
        <v>21124.250929076359</v>
      </c>
      <c r="BN24" s="251">
        <f t="shared" si="9"/>
        <v>9.1221085039014469E-4</v>
      </c>
      <c r="BT24" s="199">
        <f>'Detailed Budget'!$AD$12</f>
        <v>194045122715</v>
      </c>
      <c r="BU24" s="199">
        <f>'Detailed Budget'!$AD$24</f>
        <v>194045122715</v>
      </c>
      <c r="BV24" s="596">
        <f t="shared" si="40"/>
        <v>0</v>
      </c>
      <c r="BW24" s="278"/>
      <c r="BX24" s="275">
        <f t="shared" si="27"/>
        <v>0</v>
      </c>
      <c r="BY24" s="275">
        <f t="shared" si="28"/>
        <v>0</v>
      </c>
      <c r="CA24" s="199">
        <f>'Detailed Budget'!$AD$96</f>
        <v>71050111380.677719</v>
      </c>
      <c r="CB24" s="275">
        <f t="shared" si="21"/>
        <v>80224421.954417914</v>
      </c>
      <c r="CE24" s="199">
        <f>'Detailed Budget'!$AD$175</f>
        <v>4330586076.5988197</v>
      </c>
      <c r="CF24" s="275">
        <f t="shared" si="41"/>
        <v>0</v>
      </c>
      <c r="CG24" s="199">
        <f>'Detailed Budget'!$AD$176</f>
        <v>20662817754.37001</v>
      </c>
      <c r="CH24" s="275">
        <f t="shared" si="42"/>
        <v>0</v>
      </c>
      <c r="CI24" s="275">
        <f t="shared" si="43"/>
        <v>0</v>
      </c>
      <c r="CJ24" s="275">
        <f>'Detailed Budget'!$AD$178</f>
        <v>46025131033.061455</v>
      </c>
      <c r="CK24" s="275">
        <f t="shared" si="44"/>
        <v>0</v>
      </c>
      <c r="CL24" s="275">
        <f t="shared" si="51"/>
        <v>0</v>
      </c>
      <c r="CM24" s="278">
        <f>'Detailed Budget'!$AD$189</f>
        <v>77498869683.252869</v>
      </c>
      <c r="CN24" s="275">
        <f t="shared" si="10"/>
        <v>52341906.538544916</v>
      </c>
      <c r="CO24" s="140">
        <f>'Detailed Budget'!$AD$191</f>
        <v>2684962805.4134097</v>
      </c>
      <c r="CP24" s="616">
        <f t="shared" si="11"/>
        <v>1813395.1216941066</v>
      </c>
      <c r="CQ24" s="616">
        <f t="shared" si="12"/>
        <v>54155301.660239026</v>
      </c>
      <c r="CR24" s="199">
        <f>'Detailed Budget'!$AD$195</f>
        <v>18734176418</v>
      </c>
      <c r="CS24" s="275">
        <f t="shared" si="45"/>
        <v>17089519.001622774</v>
      </c>
      <c r="CW24" s="278"/>
      <c r="DH24" s="140">
        <f>'Detailed Budget'!$AD$163</f>
        <v>4928560000</v>
      </c>
      <c r="DI24" s="616">
        <f t="shared" si="46"/>
        <v>6720000</v>
      </c>
    </row>
    <row r="25" spans="1:113" outlineLevel="1">
      <c r="A25" s="214" t="s">
        <v>263</v>
      </c>
      <c r="B25" s="215" t="s">
        <v>264</v>
      </c>
      <c r="C25" s="216" t="s">
        <v>234</v>
      </c>
      <c r="D25" s="217"/>
      <c r="E25" s="216"/>
      <c r="F25" s="216"/>
      <c r="G25" s="216" t="s">
        <v>234</v>
      </c>
      <c r="H25" s="216" t="s">
        <v>234</v>
      </c>
      <c r="I25" s="217" t="s">
        <v>234</v>
      </c>
      <c r="J25" s="217"/>
      <c r="K25" s="216" t="s">
        <v>234</v>
      </c>
      <c r="L25" s="216"/>
      <c r="M25" s="217"/>
      <c r="N25" s="216"/>
      <c r="O25" s="217"/>
      <c r="P25" s="216"/>
      <c r="Q25" s="217"/>
      <c r="R25" s="217" t="s">
        <v>234</v>
      </c>
      <c r="S25" s="217"/>
      <c r="T25" s="217"/>
      <c r="U25" s="218">
        <f t="shared" si="29"/>
        <v>6</v>
      </c>
      <c r="V25" s="867" t="s">
        <v>235</v>
      </c>
      <c r="W25" s="219">
        <v>130988</v>
      </c>
      <c r="X25" s="220">
        <v>3.04</v>
      </c>
      <c r="Y25" s="221">
        <f t="shared" si="24"/>
        <v>1.0304</v>
      </c>
      <c r="Z25" s="199">
        <v>19</v>
      </c>
      <c r="AA25" s="221">
        <f t="shared" si="47"/>
        <v>1.7664898659259882</v>
      </c>
      <c r="AB25" s="199">
        <f t="shared" si="30"/>
        <v>231388.97455791335</v>
      </c>
      <c r="AC25">
        <v>18.399999999999999</v>
      </c>
      <c r="AD25" s="199">
        <f t="shared" si="31"/>
        <v>42575.571318656046</v>
      </c>
      <c r="AE25" s="199">
        <f t="shared" si="48"/>
        <v>40446.792752723239</v>
      </c>
      <c r="AF25" s="199">
        <f t="shared" si="49"/>
        <v>0</v>
      </c>
      <c r="AG25" s="614">
        <f t="shared" si="25"/>
        <v>1.8700821321386563E-3</v>
      </c>
      <c r="AH25" s="199">
        <f t="shared" si="50"/>
        <v>11569.448727895668</v>
      </c>
      <c r="AI25" s="252">
        <f t="shared" si="26"/>
        <v>8.9626766352304723E-4</v>
      </c>
      <c r="AJ25" s="199">
        <f t="shared" si="32"/>
        <v>54145.020046551712</v>
      </c>
      <c r="AK25" s="199">
        <f t="shared" si="53"/>
        <v>9255.5589823165337</v>
      </c>
      <c r="AL25" s="199">
        <f t="shared" si="54"/>
        <v>9255.5589823165337</v>
      </c>
      <c r="AM25" s="199">
        <f t="shared" si="16"/>
        <v>18511.117964633067</v>
      </c>
      <c r="AN25" s="645">
        <f t="shared" si="17"/>
        <v>8.9626766352304723E-4</v>
      </c>
      <c r="AO25" s="199">
        <v>13</v>
      </c>
      <c r="AP25" s="250">
        <f t="shared" si="18"/>
        <v>1.4771048744460858E-3</v>
      </c>
      <c r="AQ25" s="199">
        <v>13</v>
      </c>
      <c r="AU25" s="199">
        <v>0</v>
      </c>
      <c r="AW25" s="250">
        <f t="shared" si="5"/>
        <v>0</v>
      </c>
      <c r="AX25" s="199">
        <v>1</v>
      </c>
      <c r="AY25" s="199">
        <f t="shared" si="33"/>
        <v>19061.93531798758</v>
      </c>
      <c r="AZ25" s="199">
        <f t="shared" si="34"/>
        <v>19061.93531798758</v>
      </c>
      <c r="BA25" s="252">
        <f t="shared" si="6"/>
        <v>1.498391814831062E-3</v>
      </c>
      <c r="BB25" s="284">
        <v>0</v>
      </c>
      <c r="BC25" s="199">
        <f t="shared" si="52"/>
        <v>0</v>
      </c>
      <c r="BD25" s="270">
        <f t="shared" si="7"/>
        <v>0</v>
      </c>
      <c r="BE25" s="199">
        <f t="shared" si="35"/>
        <v>0</v>
      </c>
      <c r="BF25" s="251">
        <f t="shared" si="19"/>
        <v>0</v>
      </c>
      <c r="BG25" s="199">
        <f t="shared" si="36"/>
        <v>0</v>
      </c>
      <c r="BH25" s="636">
        <v>1</v>
      </c>
      <c r="BI25" s="199">
        <f t="shared" si="37"/>
        <v>70805.026214721482</v>
      </c>
      <c r="BJ25" s="199">
        <f t="shared" si="38"/>
        <v>141610.05242944296</v>
      </c>
      <c r="BK25" s="199">
        <f t="shared" si="20"/>
        <v>212415.07864416443</v>
      </c>
      <c r="BL25" s="251">
        <f t="shared" si="8"/>
        <v>8.9626766352304712E-4</v>
      </c>
      <c r="BM25" s="199">
        <f t="shared" si="39"/>
        <v>28032.696573676174</v>
      </c>
      <c r="BN25" s="251">
        <f t="shared" si="9"/>
        <v>1.2105390182145569E-3</v>
      </c>
      <c r="BT25" s="199">
        <f>'Detailed Budget'!$AD$12</f>
        <v>194045122715</v>
      </c>
      <c r="BU25" s="199">
        <f>'Detailed Budget'!$AD$24</f>
        <v>194045122715</v>
      </c>
      <c r="BV25" s="596">
        <f t="shared" si="40"/>
        <v>0</v>
      </c>
      <c r="BW25" s="278"/>
      <c r="BX25" s="275">
        <f t="shared" si="27"/>
        <v>0</v>
      </c>
      <c r="BY25" s="275">
        <f t="shared" si="28"/>
        <v>0</v>
      </c>
      <c r="CA25" s="199">
        <f>'Detailed Budget'!$AD$96</f>
        <v>71050111380.677719</v>
      </c>
      <c r="CB25" s="275">
        <f t="shared" si="21"/>
        <v>106460905.33564277</v>
      </c>
      <c r="CE25" s="199">
        <f>'Detailed Budget'!$AD$175</f>
        <v>4330586076.5988197</v>
      </c>
      <c r="CF25" s="275">
        <f t="shared" si="41"/>
        <v>0</v>
      </c>
      <c r="CG25" s="199">
        <f>'Detailed Budget'!$AD$176</f>
        <v>20662817754.37001</v>
      </c>
      <c r="CH25" s="275">
        <f t="shared" si="42"/>
        <v>0</v>
      </c>
      <c r="CI25" s="275">
        <f t="shared" si="43"/>
        <v>0</v>
      </c>
      <c r="CJ25" s="275">
        <f>'Detailed Budget'!$AD$178</f>
        <v>46025131033.061455</v>
      </c>
      <c r="CK25" s="275">
        <f t="shared" si="44"/>
        <v>0</v>
      </c>
      <c r="CL25" s="275">
        <f t="shared" si="51"/>
        <v>0</v>
      </c>
      <c r="CM25" s="278">
        <f>'Detailed Budget'!$AD$189</f>
        <v>77498869683.252869</v>
      </c>
      <c r="CN25" s="275">
        <f t="shared" si="10"/>
        <v>69459730.85668616</v>
      </c>
      <c r="CO25" s="140">
        <f>'Detailed Budget'!$AD$191</f>
        <v>2684962805.4134097</v>
      </c>
      <c r="CP25" s="616">
        <f t="shared" si="11"/>
        <v>2406445.3402541629</v>
      </c>
      <c r="CQ25" s="616">
        <f t="shared" si="12"/>
        <v>71866176.196940318</v>
      </c>
      <c r="CR25" s="199">
        <f>'Detailed Budget'!$AD$195</f>
        <v>18734176418</v>
      </c>
      <c r="CS25" s="275">
        <f t="shared" si="45"/>
        <v>22678451.528104022</v>
      </c>
      <c r="CW25" s="278"/>
      <c r="DH25" s="140">
        <f>'Detailed Budget'!$AD$163</f>
        <v>4928560000</v>
      </c>
      <c r="DI25" s="616">
        <f t="shared" si="46"/>
        <v>7280000.0000000009</v>
      </c>
    </row>
    <row r="26" spans="1:113" outlineLevel="1">
      <c r="A26" s="214" t="s">
        <v>265</v>
      </c>
      <c r="B26" s="215" t="s">
        <v>266</v>
      </c>
      <c r="C26" s="216" t="s">
        <v>234</v>
      </c>
      <c r="D26" s="217"/>
      <c r="E26" s="216"/>
      <c r="F26" s="216"/>
      <c r="G26" s="216" t="s">
        <v>234</v>
      </c>
      <c r="H26" s="216" t="s">
        <v>234</v>
      </c>
      <c r="I26" s="217" t="s">
        <v>234</v>
      </c>
      <c r="J26" s="217"/>
      <c r="K26" s="216" t="s">
        <v>234</v>
      </c>
      <c r="L26" s="216"/>
      <c r="M26" s="217"/>
      <c r="N26" s="216"/>
      <c r="O26" s="217"/>
      <c r="P26" s="216"/>
      <c r="Q26" s="217"/>
      <c r="R26" s="217" t="s">
        <v>234</v>
      </c>
      <c r="S26" s="217"/>
      <c r="T26" s="217"/>
      <c r="U26" s="218">
        <f t="shared" si="29"/>
        <v>6</v>
      </c>
      <c r="V26" s="867" t="s">
        <v>235</v>
      </c>
      <c r="W26" s="219">
        <v>70688</v>
      </c>
      <c r="X26" s="220">
        <v>3.04</v>
      </c>
      <c r="Y26" s="221">
        <f t="shared" si="24"/>
        <v>1.0304</v>
      </c>
      <c r="Z26" s="199">
        <v>19</v>
      </c>
      <c r="AA26" s="221">
        <f t="shared" si="47"/>
        <v>1.7664898659259882</v>
      </c>
      <c r="AB26" s="199">
        <f t="shared" si="30"/>
        <v>124869.63564257625</v>
      </c>
      <c r="AC26">
        <v>18.399999999999999</v>
      </c>
      <c r="AD26" s="199">
        <f t="shared" si="31"/>
        <v>22976.012958234027</v>
      </c>
      <c r="AE26" s="199">
        <f t="shared" si="48"/>
        <v>21827.212310322324</v>
      </c>
      <c r="AF26" s="199">
        <f t="shared" si="49"/>
        <v>0</v>
      </c>
      <c r="AG26" s="614">
        <f t="shared" si="25"/>
        <v>1.009194473971794E-3</v>
      </c>
      <c r="AH26" s="199">
        <f t="shared" si="50"/>
        <v>6243.4817821288125</v>
      </c>
      <c r="AI26" s="252">
        <f t="shared" si="26"/>
        <v>4.8367307386262224E-4</v>
      </c>
      <c r="AJ26" s="199">
        <f t="shared" si="32"/>
        <v>29219.494740362839</v>
      </c>
      <c r="AK26" s="199">
        <f t="shared" si="53"/>
        <v>4994.7854257030504</v>
      </c>
      <c r="AL26" s="199">
        <f t="shared" si="54"/>
        <v>4994.7854257030504</v>
      </c>
      <c r="AM26" s="199">
        <f t="shared" si="16"/>
        <v>9989.5708514061007</v>
      </c>
      <c r="AN26" s="645">
        <f t="shared" si="17"/>
        <v>4.8367307386262224E-4</v>
      </c>
      <c r="AO26" s="199">
        <v>11</v>
      </c>
      <c r="AP26" s="250">
        <f t="shared" si="18"/>
        <v>1.2498579706851495E-3</v>
      </c>
      <c r="AQ26" s="199">
        <v>11</v>
      </c>
      <c r="AU26" s="199">
        <v>0</v>
      </c>
      <c r="AW26" s="250">
        <f t="shared" si="5"/>
        <v>0</v>
      </c>
      <c r="AX26" s="199">
        <v>1</v>
      </c>
      <c r="AY26" s="199">
        <f t="shared" si="33"/>
        <v>10286.820806164733</v>
      </c>
      <c r="AZ26" s="199">
        <f t="shared" si="34"/>
        <v>10286.820806164733</v>
      </c>
      <c r="BA26" s="252">
        <f t="shared" si="6"/>
        <v>8.0861086974973369E-4</v>
      </c>
      <c r="BB26" s="284">
        <v>0</v>
      </c>
      <c r="BC26" s="199">
        <f t="shared" si="52"/>
        <v>0</v>
      </c>
      <c r="BD26" s="270">
        <f t="shared" si="7"/>
        <v>0</v>
      </c>
      <c r="BE26" s="199">
        <f t="shared" si="35"/>
        <v>0</v>
      </c>
      <c r="BF26" s="251">
        <f t="shared" si="19"/>
        <v>0</v>
      </c>
      <c r="BG26" s="199">
        <f t="shared" si="36"/>
        <v>0</v>
      </c>
      <c r="BH26" s="636">
        <v>1</v>
      </c>
      <c r="BI26" s="199">
        <f t="shared" si="37"/>
        <v>38210.108506628341</v>
      </c>
      <c r="BJ26" s="199">
        <f t="shared" si="38"/>
        <v>76420.217013256683</v>
      </c>
      <c r="BK26" s="199">
        <f t="shared" si="20"/>
        <v>114630.32551988502</v>
      </c>
      <c r="BL26" s="251">
        <f t="shared" si="8"/>
        <v>4.8367307386262235E-4</v>
      </c>
      <c r="BM26" s="199">
        <f t="shared" si="39"/>
        <v>15127.914430329658</v>
      </c>
      <c r="BN26" s="251">
        <f t="shared" si="9"/>
        <v>6.5327039209355506E-4</v>
      </c>
      <c r="BT26" s="199">
        <f>'Detailed Budget'!$AD$12</f>
        <v>194045122715</v>
      </c>
      <c r="BU26" s="199">
        <f>'Detailed Budget'!$AD$24</f>
        <v>194045122715</v>
      </c>
      <c r="BV26" s="596">
        <f t="shared" si="40"/>
        <v>0</v>
      </c>
      <c r="BW26" s="278"/>
      <c r="BX26" s="275">
        <f t="shared" si="27"/>
        <v>0</v>
      </c>
      <c r="BY26" s="275">
        <f t="shared" si="28"/>
        <v>0</v>
      </c>
      <c r="CA26" s="199">
        <f>'Detailed Budget'!$AD$96</f>
        <v>71050111380.677719</v>
      </c>
      <c r="CB26" s="275">
        <f t="shared" si="21"/>
        <v>57451892.359345265</v>
      </c>
      <c r="CE26" s="199">
        <f>'Detailed Budget'!$AD$175</f>
        <v>4330586076.5988197</v>
      </c>
      <c r="CF26" s="275">
        <f t="shared" si="41"/>
        <v>0</v>
      </c>
      <c r="CG26" s="199">
        <f>'Detailed Budget'!$AD$176</f>
        <v>20662817754.37001</v>
      </c>
      <c r="CH26" s="275">
        <f t="shared" si="42"/>
        <v>0</v>
      </c>
      <c r="CI26" s="275">
        <f t="shared" si="43"/>
        <v>0</v>
      </c>
      <c r="CJ26" s="275">
        <f>'Detailed Budget'!$AD$178</f>
        <v>46025131033.061455</v>
      </c>
      <c r="CK26" s="275">
        <f t="shared" si="44"/>
        <v>0</v>
      </c>
      <c r="CL26" s="275">
        <f t="shared" si="51"/>
        <v>0</v>
      </c>
      <c r="CM26" s="278">
        <f>'Detailed Budget'!$AD$189</f>
        <v>77498869683.252869</v>
      </c>
      <c r="CN26" s="275">
        <f t="shared" si="10"/>
        <v>37484116.520577706</v>
      </c>
      <c r="CO26" s="140">
        <f>'Detailed Budget'!$AD$191</f>
        <v>2684962805.4134097</v>
      </c>
      <c r="CP26" s="616">
        <f t="shared" si="11"/>
        <v>1298644.2133011136</v>
      </c>
      <c r="CQ26" s="616">
        <f t="shared" si="12"/>
        <v>38782760.733878821</v>
      </c>
      <c r="CR26" s="199">
        <f>'Detailed Budget'!$AD$195</f>
        <v>18734176418</v>
      </c>
      <c r="CS26" s="275">
        <f t="shared" si="45"/>
        <v>12238482.774136692</v>
      </c>
      <c r="CW26" s="278"/>
      <c r="DH26" s="140">
        <f>'Detailed Budget'!$AD$163</f>
        <v>4928560000</v>
      </c>
      <c r="DI26" s="616">
        <f t="shared" si="46"/>
        <v>6160000</v>
      </c>
    </row>
    <row r="27" spans="1:113" outlineLevel="1">
      <c r="A27" s="214" t="s">
        <v>267</v>
      </c>
      <c r="B27" s="215" t="s">
        <v>268</v>
      </c>
      <c r="C27" s="216" t="s">
        <v>234</v>
      </c>
      <c r="D27" s="217"/>
      <c r="E27" s="216"/>
      <c r="F27" s="216"/>
      <c r="G27" s="216" t="s">
        <v>234</v>
      </c>
      <c r="H27" s="216" t="s">
        <v>234</v>
      </c>
      <c r="I27" s="217" t="s">
        <v>234</v>
      </c>
      <c r="J27" s="217"/>
      <c r="K27" s="216" t="s">
        <v>234</v>
      </c>
      <c r="L27" s="216"/>
      <c r="M27" s="217"/>
      <c r="N27" s="216"/>
      <c r="O27" s="217"/>
      <c r="P27" s="216"/>
      <c r="Q27" s="217"/>
      <c r="R27" s="217" t="s">
        <v>234</v>
      </c>
      <c r="S27" s="217"/>
      <c r="T27" s="217"/>
      <c r="U27" s="218">
        <f t="shared" si="29"/>
        <v>6</v>
      </c>
      <c r="V27" s="867" t="s">
        <v>235</v>
      </c>
      <c r="W27" s="219">
        <v>168491</v>
      </c>
      <c r="X27" s="220">
        <v>3.04</v>
      </c>
      <c r="Y27" s="221">
        <f t="shared" si="24"/>
        <v>1.0304</v>
      </c>
      <c r="Z27" s="199">
        <v>19</v>
      </c>
      <c r="AA27" s="221">
        <f t="shared" si="47"/>
        <v>1.7664898659259882</v>
      </c>
      <c r="AB27" s="199">
        <f t="shared" si="30"/>
        <v>297637.64399973571</v>
      </c>
      <c r="AC27">
        <v>18.399999999999999</v>
      </c>
      <c r="AD27" s="199">
        <f t="shared" si="31"/>
        <v>54765.326495951369</v>
      </c>
      <c r="AE27" s="199">
        <f t="shared" si="48"/>
        <v>52027.060171153797</v>
      </c>
      <c r="AF27" s="199">
        <f t="shared" si="49"/>
        <v>0</v>
      </c>
      <c r="AG27" s="614">
        <f t="shared" si="25"/>
        <v>2.4055028592403459E-3</v>
      </c>
      <c r="AH27" s="199">
        <f t="shared" si="50"/>
        <v>14881.882199986787</v>
      </c>
      <c r="AI27" s="252">
        <f t="shared" si="26"/>
        <v>1.1528768657790163E-3</v>
      </c>
      <c r="AJ27" s="199">
        <f t="shared" si="32"/>
        <v>69647.208695938156</v>
      </c>
      <c r="AK27" s="199">
        <f t="shared" si="53"/>
        <v>11905.505759989428</v>
      </c>
      <c r="AL27" s="199">
        <f t="shared" si="54"/>
        <v>11905.505759989428</v>
      </c>
      <c r="AM27" s="199">
        <f t="shared" si="16"/>
        <v>23811.011519978856</v>
      </c>
      <c r="AN27" s="645">
        <f t="shared" si="17"/>
        <v>1.1528768657790161E-3</v>
      </c>
      <c r="AO27" s="199">
        <v>10</v>
      </c>
      <c r="AP27" s="250">
        <f t="shared" si="18"/>
        <v>1.1362345188046814E-3</v>
      </c>
      <c r="AQ27" s="199">
        <v>10</v>
      </c>
      <c r="AU27" s="199">
        <v>0</v>
      </c>
      <c r="AW27" s="250">
        <f t="shared" si="5"/>
        <v>0</v>
      </c>
      <c r="AX27" s="199">
        <v>1</v>
      </c>
      <c r="AY27" s="199">
        <f t="shared" si="33"/>
        <v>24519.532656907857</v>
      </c>
      <c r="AZ27" s="199">
        <f t="shared" si="34"/>
        <v>24519.532656907857</v>
      </c>
      <c r="BA27" s="252">
        <f t="shared" si="6"/>
        <v>1.9273943817197038E-3</v>
      </c>
      <c r="BB27" s="284">
        <v>0</v>
      </c>
      <c r="BC27" s="199">
        <f t="shared" si="52"/>
        <v>0</v>
      </c>
      <c r="BD27" s="270">
        <f t="shared" si="7"/>
        <v>0</v>
      </c>
      <c r="BE27" s="199">
        <f t="shared" si="35"/>
        <v>0</v>
      </c>
      <c r="BF27" s="251">
        <f t="shared" si="19"/>
        <v>0</v>
      </c>
      <c r="BG27" s="199">
        <f t="shared" si="36"/>
        <v>0</v>
      </c>
      <c r="BH27" s="636">
        <v>1</v>
      </c>
      <c r="BI27" s="199">
        <f t="shared" si="37"/>
        <v>91077.119063919119</v>
      </c>
      <c r="BJ27" s="199">
        <f t="shared" si="38"/>
        <v>182154.23812783824</v>
      </c>
      <c r="BK27" s="199">
        <f t="shared" si="20"/>
        <v>273231.35719175736</v>
      </c>
      <c r="BL27" s="251">
        <f t="shared" si="8"/>
        <v>1.1528768657790161E-3</v>
      </c>
      <c r="BM27" s="199">
        <f t="shared" si="39"/>
        <v>36058.700632082888</v>
      </c>
      <c r="BN27" s="251">
        <f t="shared" si="9"/>
        <v>1.5571268338930968E-3</v>
      </c>
      <c r="BT27" s="199">
        <f>'Detailed Budget'!$AD$12</f>
        <v>194045122715</v>
      </c>
      <c r="BU27" s="199">
        <f>'Detailed Budget'!$AD$24</f>
        <v>194045122715</v>
      </c>
      <c r="BV27" s="596">
        <f t="shared" si="40"/>
        <v>0</v>
      </c>
      <c r="BW27" s="278"/>
      <c r="BX27" s="275">
        <f t="shared" si="27"/>
        <v>0</v>
      </c>
      <c r="BY27" s="275">
        <f t="shared" si="28"/>
        <v>0</v>
      </c>
      <c r="CA27" s="199">
        <f>'Detailed Budget'!$AD$96</f>
        <v>71050111380.677719</v>
      </c>
      <c r="CB27" s="275">
        <f t="shared" si="21"/>
        <v>136941585.49567741</v>
      </c>
      <c r="CE27" s="199">
        <f>'Detailed Budget'!$AD$175</f>
        <v>4330586076.5988197</v>
      </c>
      <c r="CF27" s="275">
        <f t="shared" si="41"/>
        <v>0</v>
      </c>
      <c r="CG27" s="199">
        <f>'Detailed Budget'!$AD$176</f>
        <v>20662817754.37001</v>
      </c>
      <c r="CH27" s="275">
        <f t="shared" si="42"/>
        <v>0</v>
      </c>
      <c r="CI27" s="275">
        <f t="shared" si="43"/>
        <v>0</v>
      </c>
      <c r="CJ27" s="275">
        <f>'Detailed Budget'!$AD$178</f>
        <v>46025131033.061455</v>
      </c>
      <c r="CK27" s="275">
        <f t="shared" si="44"/>
        <v>0</v>
      </c>
      <c r="CL27" s="275">
        <f t="shared" si="51"/>
        <v>0</v>
      </c>
      <c r="CM27" s="278">
        <f>'Detailed Budget'!$AD$189</f>
        <v>77498869683.252869</v>
      </c>
      <c r="CN27" s="275">
        <f t="shared" si="10"/>
        <v>89346653.981844977</v>
      </c>
      <c r="CO27" s="140">
        <f>'Detailed Budget'!$AD$191</f>
        <v>2684962805.4134097</v>
      </c>
      <c r="CP27" s="616">
        <f t="shared" si="11"/>
        <v>3095431.5038382462</v>
      </c>
      <c r="CQ27" s="616">
        <f t="shared" si="12"/>
        <v>92442085.485683218</v>
      </c>
      <c r="CR27" s="199">
        <f>'Detailed Budget'!$AD$195</f>
        <v>18734176418</v>
      </c>
      <c r="CS27" s="275">
        <f t="shared" si="45"/>
        <v>29171488.811355058</v>
      </c>
      <c r="CW27" s="278"/>
      <c r="DH27" s="140">
        <f>'Detailed Budget'!$AD$163</f>
        <v>4928560000</v>
      </c>
      <c r="DI27" s="616">
        <f t="shared" si="46"/>
        <v>5600000</v>
      </c>
    </row>
    <row r="28" spans="1:113" outlineLevel="1">
      <c r="A28" s="214" t="s">
        <v>269</v>
      </c>
      <c r="B28" s="215" t="s">
        <v>270</v>
      </c>
      <c r="C28" s="216" t="s">
        <v>234</v>
      </c>
      <c r="D28" s="217"/>
      <c r="E28" s="216"/>
      <c r="F28" s="216"/>
      <c r="G28" s="216" t="s">
        <v>234</v>
      </c>
      <c r="H28" s="216" t="s">
        <v>234</v>
      </c>
      <c r="I28" s="217" t="s">
        <v>234</v>
      </c>
      <c r="J28" s="217"/>
      <c r="K28" s="216" t="s">
        <v>234</v>
      </c>
      <c r="L28" s="216"/>
      <c r="M28" s="217"/>
      <c r="N28" s="216"/>
      <c r="O28" s="217"/>
      <c r="P28" s="216"/>
      <c r="Q28" s="217"/>
      <c r="R28" s="217" t="s">
        <v>234</v>
      </c>
      <c r="S28" s="217"/>
      <c r="T28" s="217"/>
      <c r="U28" s="218">
        <f t="shared" si="29"/>
        <v>6</v>
      </c>
      <c r="V28" s="867" t="s">
        <v>235</v>
      </c>
      <c r="W28" s="219">
        <v>175596</v>
      </c>
      <c r="X28" s="220">
        <v>3.04</v>
      </c>
      <c r="Y28" s="221">
        <f t="shared" si="24"/>
        <v>1.0304</v>
      </c>
      <c r="Z28" s="199">
        <v>19</v>
      </c>
      <c r="AA28" s="221">
        <f t="shared" si="47"/>
        <v>1.7664898659259882</v>
      </c>
      <c r="AB28" s="199">
        <f t="shared" si="30"/>
        <v>310188.55449713982</v>
      </c>
      <c r="AC28">
        <v>18.399999999999999</v>
      </c>
      <c r="AD28" s="199">
        <f t="shared" si="31"/>
        <v>57074.694027473721</v>
      </c>
      <c r="AE28" s="199">
        <f t="shared" si="48"/>
        <v>54220.959326100034</v>
      </c>
      <c r="AF28" s="199">
        <f t="shared" si="49"/>
        <v>0</v>
      </c>
      <c r="AG28" s="614">
        <f t="shared" si="25"/>
        <v>2.5069391247673034E-3</v>
      </c>
      <c r="AH28" s="199">
        <f t="shared" si="50"/>
        <v>15509.427724856992</v>
      </c>
      <c r="AI28" s="252">
        <f t="shared" si="26"/>
        <v>1.2014918667663679E-3</v>
      </c>
      <c r="AJ28" s="199">
        <f t="shared" si="32"/>
        <v>72584.121752330713</v>
      </c>
      <c r="AK28" s="199">
        <f t="shared" si="53"/>
        <v>12407.542179885593</v>
      </c>
      <c r="AL28" s="199">
        <f t="shared" si="54"/>
        <v>12407.542179885593</v>
      </c>
      <c r="AM28" s="199">
        <f t="shared" si="16"/>
        <v>24815.084359771186</v>
      </c>
      <c r="AN28" s="645">
        <f t="shared" si="17"/>
        <v>1.2014918667663679E-3</v>
      </c>
      <c r="AO28" s="199">
        <v>12</v>
      </c>
      <c r="AP28" s="250">
        <f t="shared" si="18"/>
        <v>1.3634814225656176E-3</v>
      </c>
      <c r="AQ28" s="199">
        <v>12</v>
      </c>
      <c r="AU28" s="199">
        <v>0</v>
      </c>
      <c r="AW28" s="250">
        <f t="shared" si="5"/>
        <v>0</v>
      </c>
      <c r="AX28" s="199">
        <v>1</v>
      </c>
      <c r="AY28" s="199">
        <f t="shared" si="33"/>
        <v>25553.482716717161</v>
      </c>
      <c r="AZ28" s="199">
        <f t="shared" si="34"/>
        <v>25553.482716717161</v>
      </c>
      <c r="BA28" s="252">
        <f t="shared" si="6"/>
        <v>2.008669566044792E-3</v>
      </c>
      <c r="BB28" s="284">
        <v>0</v>
      </c>
      <c r="BC28" s="199">
        <f t="shared" si="52"/>
        <v>0</v>
      </c>
      <c r="BD28" s="270">
        <f t="shared" si="7"/>
        <v>0</v>
      </c>
      <c r="BE28" s="199">
        <f t="shared" si="35"/>
        <v>0</v>
      </c>
      <c r="BF28" s="251">
        <f t="shared" si="19"/>
        <v>0</v>
      </c>
      <c r="BG28" s="199">
        <f t="shared" si="36"/>
        <v>0</v>
      </c>
      <c r="BH28" s="636">
        <v>1</v>
      </c>
      <c r="BI28" s="199">
        <f t="shared" si="37"/>
        <v>94917.697676124793</v>
      </c>
      <c r="BJ28" s="199">
        <f t="shared" si="38"/>
        <v>189835.39535224959</v>
      </c>
      <c r="BK28" s="199">
        <f t="shared" si="20"/>
        <v>284753.09302837437</v>
      </c>
      <c r="BL28" s="251">
        <f t="shared" si="8"/>
        <v>1.2014918667663679E-3</v>
      </c>
      <c r="BM28" s="199">
        <f t="shared" si="39"/>
        <v>37579.239224594938</v>
      </c>
      <c r="BN28" s="251">
        <f t="shared" si="9"/>
        <v>1.622788419110173E-3</v>
      </c>
      <c r="BT28" s="199">
        <f>'Detailed Budget'!$AD$12</f>
        <v>194045122715</v>
      </c>
      <c r="BU28" s="199">
        <f>'Detailed Budget'!$AD$24</f>
        <v>194045122715</v>
      </c>
      <c r="BV28" s="596">
        <f t="shared" si="40"/>
        <v>0</v>
      </c>
      <c r="BW28" s="278"/>
      <c r="BX28" s="275">
        <f t="shared" si="27"/>
        <v>0</v>
      </c>
      <c r="BY28" s="275">
        <f t="shared" si="28"/>
        <v>0</v>
      </c>
      <c r="CA28" s="199">
        <f>'Detailed Budget'!$AD$96</f>
        <v>71050111380.677719</v>
      </c>
      <c r="CB28" s="275">
        <f t="shared" si="21"/>
        <v>142716196.39446005</v>
      </c>
      <c r="CE28" s="199">
        <f>'Detailed Budget'!$AD$175</f>
        <v>4330586076.5988197</v>
      </c>
      <c r="CF28" s="275">
        <f t="shared" si="41"/>
        <v>0</v>
      </c>
      <c r="CG28" s="199">
        <f>'Detailed Budget'!$AD$176</f>
        <v>20662817754.37001</v>
      </c>
      <c r="CH28" s="275">
        <f t="shared" si="42"/>
        <v>0</v>
      </c>
      <c r="CI28" s="275">
        <f t="shared" si="43"/>
        <v>0</v>
      </c>
      <c r="CJ28" s="275">
        <f>'Detailed Budget'!$AD$178</f>
        <v>46025131033.061455</v>
      </c>
      <c r="CK28" s="275">
        <f t="shared" si="44"/>
        <v>0</v>
      </c>
      <c r="CL28" s="275">
        <f t="shared" si="51"/>
        <v>0</v>
      </c>
      <c r="CM28" s="278">
        <f>'Detailed Budget'!$AD$189</f>
        <v>77498869683.252869</v>
      </c>
      <c r="CN28" s="275">
        <f t="shared" si="10"/>
        <v>93114261.608014971</v>
      </c>
      <c r="CO28" s="140">
        <f>'Detailed Budget'!$AD$191</f>
        <v>2684962805.4134097</v>
      </c>
      <c r="CP28" s="616">
        <f t="shared" si="11"/>
        <v>3225960.9732744219</v>
      </c>
      <c r="CQ28" s="616">
        <f t="shared" si="12"/>
        <v>96340222.581289396</v>
      </c>
      <c r="CR28" s="199">
        <f>'Detailed Budget'!$AD$195</f>
        <v>18734176418</v>
      </c>
      <c r="CS28" s="275">
        <f t="shared" si="45"/>
        <v>30401604.532697305</v>
      </c>
      <c r="CW28" s="278"/>
      <c r="DH28" s="140">
        <f>'Detailed Budget'!$AD$163</f>
        <v>4928560000</v>
      </c>
      <c r="DI28" s="616">
        <f t="shared" si="46"/>
        <v>6720000</v>
      </c>
    </row>
    <row r="29" spans="1:113" outlineLevel="1">
      <c r="A29" s="214" t="s">
        <v>271</v>
      </c>
      <c r="B29" s="215" t="s">
        <v>272</v>
      </c>
      <c r="C29" s="216" t="s">
        <v>234</v>
      </c>
      <c r="D29" s="217"/>
      <c r="E29" s="216"/>
      <c r="F29" s="216"/>
      <c r="G29" s="216" t="s">
        <v>234</v>
      </c>
      <c r="H29" s="216" t="s">
        <v>234</v>
      </c>
      <c r="I29" s="217" t="s">
        <v>234</v>
      </c>
      <c r="J29" s="217"/>
      <c r="K29" s="216" t="s">
        <v>234</v>
      </c>
      <c r="L29" s="216"/>
      <c r="M29" s="217"/>
      <c r="N29" s="216"/>
      <c r="O29" s="217"/>
      <c r="P29" s="216"/>
      <c r="Q29" s="217"/>
      <c r="R29" s="217" t="s">
        <v>234</v>
      </c>
      <c r="S29" s="217"/>
      <c r="T29" s="217"/>
      <c r="U29" s="218">
        <f t="shared" si="29"/>
        <v>6</v>
      </c>
      <c r="V29" s="867" t="s">
        <v>235</v>
      </c>
      <c r="W29" s="219">
        <v>266411</v>
      </c>
      <c r="X29" s="220">
        <v>3.04</v>
      </c>
      <c r="Y29" s="221">
        <f t="shared" si="24"/>
        <v>1.0304</v>
      </c>
      <c r="Z29" s="199">
        <v>19</v>
      </c>
      <c r="AA29" s="221">
        <f t="shared" si="47"/>
        <v>1.7664898659259882</v>
      </c>
      <c r="AB29" s="199">
        <f t="shared" si="30"/>
        <v>470612.33167120843</v>
      </c>
      <c r="AC29">
        <v>18.399999999999999</v>
      </c>
      <c r="AD29" s="199">
        <f t="shared" si="31"/>
        <v>86592.669027502357</v>
      </c>
      <c r="AE29" s="199">
        <f t="shared" si="48"/>
        <v>82263.035576127237</v>
      </c>
      <c r="AF29" s="199">
        <f t="shared" si="49"/>
        <v>0</v>
      </c>
      <c r="AG29" s="614">
        <f t="shared" si="25"/>
        <v>3.8034816235471319E-3</v>
      </c>
      <c r="AH29" s="199">
        <f t="shared" si="50"/>
        <v>23530.616583560422</v>
      </c>
      <c r="AI29" s="252">
        <f t="shared" si="26"/>
        <v>1.8228812143619151E-3</v>
      </c>
      <c r="AJ29" s="199">
        <f t="shared" si="32"/>
        <v>110123.28561106278</v>
      </c>
      <c r="AK29" s="199">
        <f t="shared" si="53"/>
        <v>18824.493266848338</v>
      </c>
      <c r="AL29" s="199">
        <f t="shared" si="54"/>
        <v>18824.493266848338</v>
      </c>
      <c r="AM29" s="199">
        <f t="shared" si="16"/>
        <v>37648.986533696676</v>
      </c>
      <c r="AN29" s="645">
        <f t="shared" si="17"/>
        <v>1.8228812143619151E-3</v>
      </c>
      <c r="AO29" s="199">
        <v>13</v>
      </c>
      <c r="AP29" s="250">
        <f t="shared" si="18"/>
        <v>1.4771048744460858E-3</v>
      </c>
      <c r="AQ29" s="199">
        <v>13</v>
      </c>
      <c r="AU29" s="199">
        <v>0</v>
      </c>
      <c r="AW29" s="250">
        <f t="shared" si="5"/>
        <v>0</v>
      </c>
      <c r="AX29" s="199">
        <v>1</v>
      </c>
      <c r="AY29" s="199">
        <f t="shared" si="33"/>
        <v>38769.270849241075</v>
      </c>
      <c r="AZ29" s="199">
        <f t="shared" si="34"/>
        <v>38769.270849241075</v>
      </c>
      <c r="BA29" s="252">
        <f t="shared" si="6"/>
        <v>3.0475162746278904E-3</v>
      </c>
      <c r="BB29" s="284">
        <v>0</v>
      </c>
      <c r="BC29" s="199">
        <f t="shared" si="52"/>
        <v>0</v>
      </c>
      <c r="BD29" s="270">
        <f t="shared" si="7"/>
        <v>0</v>
      </c>
      <c r="BE29" s="199">
        <f t="shared" si="35"/>
        <v>0</v>
      </c>
      <c r="BF29" s="251">
        <f t="shared" si="19"/>
        <v>0</v>
      </c>
      <c r="BG29" s="199">
        <f t="shared" si="36"/>
        <v>0</v>
      </c>
      <c r="BH29" s="636">
        <v>1</v>
      </c>
      <c r="BI29" s="199">
        <f t="shared" si="37"/>
        <v>144007.37349138979</v>
      </c>
      <c r="BJ29" s="199">
        <f t="shared" si="38"/>
        <v>288014.74698277959</v>
      </c>
      <c r="BK29" s="199">
        <f t="shared" si="20"/>
        <v>432022.12047416938</v>
      </c>
      <c r="BL29" s="251">
        <f t="shared" si="8"/>
        <v>1.8228812143619153E-3</v>
      </c>
      <c r="BM29" s="199">
        <f t="shared" si="39"/>
        <v>57014.52596336796</v>
      </c>
      <c r="BN29" s="251">
        <f t="shared" si="9"/>
        <v>2.4620645431761559E-3</v>
      </c>
      <c r="BT29" s="199">
        <f>'Detailed Budget'!$AD$12</f>
        <v>194045122715</v>
      </c>
      <c r="BU29" s="199">
        <f>'Detailed Budget'!$AD$24</f>
        <v>194045122715</v>
      </c>
      <c r="BV29" s="596">
        <f t="shared" si="40"/>
        <v>0</v>
      </c>
      <c r="BW29" s="278"/>
      <c r="BX29" s="275">
        <f t="shared" si="27"/>
        <v>0</v>
      </c>
      <c r="BY29" s="275">
        <f t="shared" si="28"/>
        <v>0</v>
      </c>
      <c r="CA29" s="199">
        <f>'Detailed Budget'!$AD$96</f>
        <v>71050111380.677719</v>
      </c>
      <c r="CB29" s="275">
        <f t="shared" si="21"/>
        <v>216526370.74673966</v>
      </c>
      <c r="CE29" s="199">
        <f>'Detailed Budget'!$AD$175</f>
        <v>4330586076.5988197</v>
      </c>
      <c r="CF29" s="275">
        <f t="shared" si="41"/>
        <v>0</v>
      </c>
      <c r="CG29" s="199">
        <f>'Detailed Budget'!$AD$176</f>
        <v>20662817754.37001</v>
      </c>
      <c r="CH29" s="275">
        <f t="shared" si="42"/>
        <v>0</v>
      </c>
      <c r="CI29" s="275">
        <f t="shared" si="43"/>
        <v>0</v>
      </c>
      <c r="CJ29" s="275">
        <f>'Detailed Budget'!$AD$178</f>
        <v>46025131033.061455</v>
      </c>
      <c r="CK29" s="275">
        <f t="shared" si="44"/>
        <v>0</v>
      </c>
      <c r="CL29" s="275">
        <f t="shared" si="51"/>
        <v>0</v>
      </c>
      <c r="CM29" s="278">
        <f>'Detailed Budget'!$AD$189</f>
        <v>77498869683.252869</v>
      </c>
      <c r="CN29" s="275">
        <f t="shared" si="10"/>
        <v>141271233.67988381</v>
      </c>
      <c r="CO29" s="140">
        <f>'Detailed Budget'!$AD$191</f>
        <v>2684962805.4134097</v>
      </c>
      <c r="CP29" s="616">
        <f t="shared" si="11"/>
        <v>4894368.2592485705</v>
      </c>
      <c r="CQ29" s="616">
        <f t="shared" si="12"/>
        <v>146165601.93913239</v>
      </c>
      <c r="CR29" s="199">
        <f>'Detailed Budget'!$AD$195</f>
        <v>18734176418</v>
      </c>
      <c r="CS29" s="275">
        <f t="shared" si="45"/>
        <v>46124751.504364684</v>
      </c>
      <c r="CW29" s="278"/>
      <c r="DH29" s="140">
        <f>'Detailed Budget'!$AD$163</f>
        <v>4928560000</v>
      </c>
      <c r="DI29" s="616">
        <f t="shared" si="46"/>
        <v>7280000.0000000009</v>
      </c>
    </row>
    <row r="30" spans="1:113" outlineLevel="1">
      <c r="A30" s="214" t="s">
        <v>273</v>
      </c>
      <c r="B30" s="215" t="s">
        <v>274</v>
      </c>
      <c r="C30" s="216" t="s">
        <v>234</v>
      </c>
      <c r="D30" s="217" t="s">
        <v>234</v>
      </c>
      <c r="E30" s="216"/>
      <c r="F30" s="216"/>
      <c r="G30" s="216"/>
      <c r="H30" s="216" t="s">
        <v>234</v>
      </c>
      <c r="I30" s="217" t="s">
        <v>234</v>
      </c>
      <c r="J30" s="217"/>
      <c r="K30" s="216" t="s">
        <v>234</v>
      </c>
      <c r="L30" s="216"/>
      <c r="M30" s="217"/>
      <c r="N30" s="216"/>
      <c r="O30" s="217"/>
      <c r="P30" s="216"/>
      <c r="Q30" s="217"/>
      <c r="R30" s="217" t="s">
        <v>234</v>
      </c>
      <c r="S30" s="217"/>
      <c r="T30" s="217"/>
      <c r="U30" s="218">
        <f t="shared" si="29"/>
        <v>6</v>
      </c>
      <c r="V30" s="867" t="s">
        <v>238</v>
      </c>
      <c r="W30" s="219">
        <v>79280</v>
      </c>
      <c r="X30" s="220">
        <v>3.04</v>
      </c>
      <c r="Y30" s="221">
        <f t="shared" si="24"/>
        <v>1.0304</v>
      </c>
      <c r="Z30" s="199">
        <v>19</v>
      </c>
      <c r="AA30" s="221">
        <f t="shared" si="47"/>
        <v>1.7664898659259882</v>
      </c>
      <c r="AB30" s="199">
        <f t="shared" si="30"/>
        <v>140047.31657061234</v>
      </c>
      <c r="AC30">
        <v>18.399999999999999</v>
      </c>
      <c r="AD30" s="199">
        <f t="shared" si="31"/>
        <v>25768.706248992668</v>
      </c>
      <c r="AE30" s="199">
        <f t="shared" si="48"/>
        <v>24480.270936543035</v>
      </c>
      <c r="AF30" s="199">
        <f t="shared" si="49"/>
        <v>24480.270936543035</v>
      </c>
      <c r="AG30" s="614">
        <f t="shared" si="25"/>
        <v>1.1318602577026346E-3</v>
      </c>
      <c r="AH30" s="199">
        <f t="shared" si="50"/>
        <v>7002.3658285306174</v>
      </c>
      <c r="AI30" s="252">
        <f t="shared" si="26"/>
        <v>5.4246267111572957E-4</v>
      </c>
      <c r="AJ30" s="199">
        <f t="shared" si="32"/>
        <v>32771.072077523284</v>
      </c>
      <c r="AK30" s="199">
        <f t="shared" si="53"/>
        <v>5601.8926628244935</v>
      </c>
      <c r="AL30" s="199">
        <f t="shared" si="54"/>
        <v>5601.8926628244935</v>
      </c>
      <c r="AM30" s="199">
        <f t="shared" si="16"/>
        <v>11203.785325648987</v>
      </c>
      <c r="AN30" s="645">
        <f t="shared" si="17"/>
        <v>5.4246267111572957E-4</v>
      </c>
      <c r="AO30" s="199">
        <v>10</v>
      </c>
      <c r="AP30" s="250">
        <f t="shared" si="18"/>
        <v>1.1362345188046814E-3</v>
      </c>
      <c r="AQ30" s="199">
        <v>10</v>
      </c>
      <c r="AU30" s="199">
        <v>0</v>
      </c>
      <c r="AW30" s="250">
        <f t="shared" si="5"/>
        <v>0</v>
      </c>
      <c r="AX30" s="199">
        <v>1</v>
      </c>
      <c r="AY30" s="199">
        <f t="shared" si="33"/>
        <v>11537.165480884169</v>
      </c>
      <c r="AZ30" s="199">
        <f t="shared" si="34"/>
        <v>11537.165480884169</v>
      </c>
      <c r="BA30" s="252">
        <f t="shared" si="6"/>
        <v>9.068960750588345E-4</v>
      </c>
      <c r="BB30" s="284">
        <v>1</v>
      </c>
      <c r="BC30" s="199">
        <f t="shared" si="52"/>
        <v>18553.468499274721</v>
      </c>
      <c r="BD30" s="270">
        <f t="shared" si="7"/>
        <v>1.6708714473061736E-3</v>
      </c>
      <c r="BE30" s="199">
        <f t="shared" si="35"/>
        <v>79367.615246897418</v>
      </c>
      <c r="BF30" s="251">
        <f t="shared" si="19"/>
        <v>1.6708714844360796E-3</v>
      </c>
      <c r="BG30" s="199">
        <f t="shared" si="36"/>
        <v>97921.083746172138</v>
      </c>
      <c r="BH30" s="636">
        <v>0</v>
      </c>
      <c r="BI30" s="199">
        <f t="shared" si="37"/>
        <v>42854.478870607374</v>
      </c>
      <c r="BJ30" s="199">
        <f t="shared" si="38"/>
        <v>85708.957741214748</v>
      </c>
      <c r="BK30" s="199">
        <f t="shared" si="20"/>
        <v>128563.43661182212</v>
      </c>
      <c r="BL30" s="251">
        <f t="shared" si="8"/>
        <v>5.4246267111572957E-4</v>
      </c>
      <c r="BM30" s="199">
        <f t="shared" si="39"/>
        <v>16966.685378515947</v>
      </c>
      <c r="BN30" s="251">
        <f t="shared" si="9"/>
        <v>7.3267424011398046E-4</v>
      </c>
      <c r="BT30" s="199">
        <f>'Detailed Budget'!$AD$12</f>
        <v>194045122715</v>
      </c>
      <c r="BU30" s="199">
        <f>'Detailed Budget'!$AD$24</f>
        <v>194045122715</v>
      </c>
      <c r="BV30" s="596">
        <f t="shared" si="40"/>
        <v>0</v>
      </c>
      <c r="BW30" s="278"/>
      <c r="BX30" s="275">
        <f t="shared" si="27"/>
        <v>0</v>
      </c>
      <c r="BY30" s="275">
        <f t="shared" si="28"/>
        <v>0</v>
      </c>
      <c r="CA30" s="199">
        <f>'Detailed Budget'!$AD$96</f>
        <v>71050111380.677719</v>
      </c>
      <c r="CB30" s="275">
        <f t="shared" si="21"/>
        <v>64435067.143629655</v>
      </c>
      <c r="CE30" s="199">
        <f>'Detailed Budget'!$AD$175</f>
        <v>4330586076.5988197</v>
      </c>
      <c r="CF30" s="275">
        <f t="shared" si="41"/>
        <v>7235852.6254906338</v>
      </c>
      <c r="CG30" s="199">
        <f>'Detailed Budget'!$AD$176</f>
        <v>20662817754.37001</v>
      </c>
      <c r="CH30" s="275">
        <f t="shared" si="42"/>
        <v>34524912.973876402</v>
      </c>
      <c r="CI30" s="275">
        <f t="shared" si="43"/>
        <v>41760765.599367037</v>
      </c>
      <c r="CJ30" s="275">
        <f>'Detailed Budget'!$AD$178</f>
        <v>46025131033.061455</v>
      </c>
      <c r="CK30" s="275">
        <f t="shared" si="44"/>
        <v>52094016.671878465</v>
      </c>
      <c r="CL30" s="275">
        <f t="shared" si="51"/>
        <v>93854782.271245509</v>
      </c>
      <c r="CM30" s="278">
        <f>'Detailed Budget'!$AD$189</f>
        <v>77498869683.252869</v>
      </c>
      <c r="CN30" s="275">
        <f t="shared" si="10"/>
        <v>0</v>
      </c>
      <c r="CO30" s="140">
        <f>'Detailed Budget'!$AD$191</f>
        <v>2684962805.4134097</v>
      </c>
      <c r="CP30" s="616">
        <f t="shared" si="11"/>
        <v>0</v>
      </c>
      <c r="CQ30" s="616">
        <f t="shared" si="12"/>
        <v>0</v>
      </c>
      <c r="CR30" s="199">
        <f>'Detailed Budget'!$AD$195</f>
        <v>18734176418</v>
      </c>
      <c r="CS30" s="275">
        <f t="shared" si="45"/>
        <v>13726048.471219402</v>
      </c>
      <c r="CW30" s="278"/>
      <c r="DH30" s="140">
        <f>'Detailed Budget'!$AD$163</f>
        <v>4928560000</v>
      </c>
      <c r="DI30" s="616">
        <f t="shared" si="46"/>
        <v>5600000</v>
      </c>
    </row>
    <row r="31" spans="1:113" outlineLevel="1">
      <c r="A31" s="214" t="s">
        <v>275</v>
      </c>
      <c r="B31" s="215" t="s">
        <v>276</v>
      </c>
      <c r="C31" s="216" t="s">
        <v>234</v>
      </c>
      <c r="D31" s="217" t="s">
        <v>234</v>
      </c>
      <c r="E31" s="216"/>
      <c r="F31" s="216"/>
      <c r="G31" s="216"/>
      <c r="H31" s="216" t="s">
        <v>234</v>
      </c>
      <c r="I31" s="217" t="s">
        <v>234</v>
      </c>
      <c r="J31" s="217"/>
      <c r="K31" s="216" t="s">
        <v>234</v>
      </c>
      <c r="L31" s="216"/>
      <c r="M31" s="217"/>
      <c r="N31" s="216"/>
      <c r="O31" s="217"/>
      <c r="P31" s="216"/>
      <c r="Q31" s="217"/>
      <c r="R31" s="217" t="s">
        <v>234</v>
      </c>
      <c r="S31" s="217"/>
      <c r="T31" s="217"/>
      <c r="U31" s="218">
        <f t="shared" si="29"/>
        <v>6</v>
      </c>
      <c r="V31" s="867" t="s">
        <v>238</v>
      </c>
      <c r="W31" s="219">
        <v>216983</v>
      </c>
      <c r="X31" s="220">
        <v>3.04</v>
      </c>
      <c r="Y31" s="221">
        <f t="shared" si="24"/>
        <v>1.0304</v>
      </c>
      <c r="Z31" s="199">
        <v>19</v>
      </c>
      <c r="AA31" s="221">
        <f t="shared" si="47"/>
        <v>1.7664898659259882</v>
      </c>
      <c r="AB31" s="199">
        <f t="shared" si="30"/>
        <v>383298.27057821868</v>
      </c>
      <c r="AC31">
        <v>18.399999999999999</v>
      </c>
      <c r="AD31" s="199">
        <f t="shared" si="31"/>
        <v>70526.88178639223</v>
      </c>
      <c r="AE31" s="199">
        <f t="shared" si="48"/>
        <v>67000.537697072621</v>
      </c>
      <c r="AF31" s="199">
        <f t="shared" si="49"/>
        <v>67000.537697072621</v>
      </c>
      <c r="AG31" s="614">
        <f t="shared" si="25"/>
        <v>3.0978107252408018E-3</v>
      </c>
      <c r="AH31" s="199">
        <f t="shared" si="50"/>
        <v>19164.913528910936</v>
      </c>
      <c r="AI31" s="252">
        <f t="shared" si="26"/>
        <v>1.4846768134044444E-3</v>
      </c>
      <c r="AJ31" s="199">
        <f t="shared" si="32"/>
        <v>89691.79531530317</v>
      </c>
      <c r="AK31" s="199">
        <f t="shared" si="53"/>
        <v>15331.930823128747</v>
      </c>
      <c r="AL31" s="199">
        <f t="shared" si="54"/>
        <v>15331.930823128747</v>
      </c>
      <c r="AM31" s="199">
        <f t="shared" si="16"/>
        <v>30663.861646257494</v>
      </c>
      <c r="AN31" s="645">
        <f t="shared" si="17"/>
        <v>1.4846768134044442E-3</v>
      </c>
      <c r="AO31" s="199">
        <v>13</v>
      </c>
      <c r="AP31" s="250">
        <f t="shared" si="18"/>
        <v>1.4771048744460858E-3</v>
      </c>
      <c r="AQ31" s="199">
        <v>13</v>
      </c>
      <c r="AU31" s="199">
        <v>0</v>
      </c>
      <c r="AW31" s="250">
        <f t="shared" si="5"/>
        <v>0</v>
      </c>
      <c r="AX31" s="199">
        <v>1</v>
      </c>
      <c r="AY31" s="199">
        <f t="shared" si="33"/>
        <v>31576.296386714046</v>
      </c>
      <c r="AZ31" s="199">
        <f t="shared" si="34"/>
        <v>31576.296386714046</v>
      </c>
      <c r="BA31" s="252">
        <f t="shared" si="6"/>
        <v>2.482101804420927E-3</v>
      </c>
      <c r="BB31" s="284">
        <v>1</v>
      </c>
      <c r="BC31" s="199">
        <f t="shared" si="52"/>
        <v>50779.354886202404</v>
      </c>
      <c r="BD31" s="270">
        <f t="shared" si="7"/>
        <v>4.5730411106311231E-3</v>
      </c>
      <c r="BE31" s="199">
        <f t="shared" si="35"/>
        <v>217222.79590208808</v>
      </c>
      <c r="BF31" s="251">
        <f t="shared" si="19"/>
        <v>4.573041212252698E-3</v>
      </c>
      <c r="BG31" s="199">
        <f t="shared" si="36"/>
        <v>268002.15078829048</v>
      </c>
      <c r="BH31" s="636">
        <v>0</v>
      </c>
      <c r="BI31" s="199">
        <f t="shared" si="37"/>
        <v>117289.27079693491</v>
      </c>
      <c r="BJ31" s="199">
        <f t="shared" si="38"/>
        <v>234578.54159386983</v>
      </c>
      <c r="BK31" s="199">
        <f t="shared" si="20"/>
        <v>351867.81239080476</v>
      </c>
      <c r="BL31" s="251">
        <f t="shared" si="8"/>
        <v>1.4846768134044444E-3</v>
      </c>
      <c r="BM31" s="199">
        <f t="shared" si="39"/>
        <v>46436.45677959796</v>
      </c>
      <c r="BN31" s="251">
        <f t="shared" si="9"/>
        <v>2.0052706186005527E-3</v>
      </c>
      <c r="BT31" s="199">
        <f>'Detailed Budget'!$AD$12</f>
        <v>194045122715</v>
      </c>
      <c r="BU31" s="199">
        <f>'Detailed Budget'!$AD$24</f>
        <v>194045122715</v>
      </c>
      <c r="BV31" s="596">
        <f t="shared" si="40"/>
        <v>0</v>
      </c>
      <c r="BW31" s="278"/>
      <c r="BX31" s="275">
        <f t="shared" si="27"/>
        <v>0</v>
      </c>
      <c r="BY31" s="275">
        <f t="shared" si="28"/>
        <v>0</v>
      </c>
      <c r="CA31" s="199">
        <f>'Detailed Budget'!$AD$96</f>
        <v>71050111380.677719</v>
      </c>
      <c r="CB31" s="275">
        <f t="shared" si="21"/>
        <v>176353609.66228801</v>
      </c>
      <c r="CE31" s="199">
        <f>'Detailed Budget'!$AD$175</f>
        <v>4330586076.5988197</v>
      </c>
      <c r="CF31" s="275">
        <f t="shared" si="41"/>
        <v>19803948.161413144</v>
      </c>
      <c r="CG31" s="199">
        <f>'Detailed Budget'!$AD$176</f>
        <v>20662817754.37001</v>
      </c>
      <c r="CH31" s="275">
        <f t="shared" si="42"/>
        <v>94491917.1520008</v>
      </c>
      <c r="CI31" s="275">
        <f t="shared" si="43"/>
        <v>114295865.31341395</v>
      </c>
      <c r="CJ31" s="275">
        <f>'Detailed Budget'!$AD$178</f>
        <v>46025131033.061455</v>
      </c>
      <c r="CK31" s="275">
        <f t="shared" si="44"/>
        <v>142577144.54483104</v>
      </c>
      <c r="CL31" s="275">
        <f t="shared" si="51"/>
        <v>256873009.85824499</v>
      </c>
      <c r="CM31" s="278">
        <f>'Detailed Budget'!$AD$189</f>
        <v>77498869683.252869</v>
      </c>
      <c r="CN31" s="275">
        <f t="shared" si="10"/>
        <v>0</v>
      </c>
      <c r="CO31" s="140">
        <f>'Detailed Budget'!$AD$191</f>
        <v>2684962805.4134097</v>
      </c>
      <c r="CP31" s="616">
        <f t="shared" si="11"/>
        <v>0</v>
      </c>
      <c r="CQ31" s="616">
        <f t="shared" si="12"/>
        <v>0</v>
      </c>
      <c r="CR31" s="199">
        <f>'Detailed Budget'!$AD$195</f>
        <v>18734176418</v>
      </c>
      <c r="CS31" s="275">
        <f t="shared" si="45"/>
        <v>37567093.534694746</v>
      </c>
      <c r="CW31" s="278"/>
      <c r="DH31" s="140">
        <f>'Detailed Budget'!$AD$163</f>
        <v>4928560000</v>
      </c>
      <c r="DI31" s="616">
        <f t="shared" si="46"/>
        <v>7280000.0000000009</v>
      </c>
    </row>
    <row r="32" spans="1:113" outlineLevel="1">
      <c r="A32" s="214" t="s">
        <v>277</v>
      </c>
      <c r="B32" s="215" t="s">
        <v>278</v>
      </c>
      <c r="C32" s="216" t="s">
        <v>234</v>
      </c>
      <c r="D32" s="217"/>
      <c r="E32" s="216"/>
      <c r="F32" s="216"/>
      <c r="G32" s="216" t="s">
        <v>234</v>
      </c>
      <c r="H32" s="216" t="s">
        <v>234</v>
      </c>
      <c r="I32" s="217" t="s">
        <v>234</v>
      </c>
      <c r="J32" s="217"/>
      <c r="K32" s="216" t="s">
        <v>234</v>
      </c>
      <c r="L32" s="216"/>
      <c r="M32" s="217"/>
      <c r="N32" s="216"/>
      <c r="O32" s="217"/>
      <c r="P32" s="216"/>
      <c r="Q32" s="217"/>
      <c r="R32" s="217" t="s">
        <v>234</v>
      </c>
      <c r="S32" s="217"/>
      <c r="T32" s="217"/>
      <c r="U32" s="218">
        <f t="shared" si="29"/>
        <v>6</v>
      </c>
      <c r="V32" s="867" t="s">
        <v>235</v>
      </c>
      <c r="W32" s="219">
        <v>191935</v>
      </c>
      <c r="X32" s="220">
        <v>3.04</v>
      </c>
      <c r="Y32" s="221">
        <f t="shared" si="24"/>
        <v>1.0304</v>
      </c>
      <c r="Z32" s="199">
        <v>19</v>
      </c>
      <c r="AA32" s="221">
        <f t="shared" si="47"/>
        <v>1.7664898659259882</v>
      </c>
      <c r="AB32" s="199">
        <f t="shared" si="30"/>
        <v>339051.23241650453</v>
      </c>
      <c r="AC32">
        <v>18.399999999999999</v>
      </c>
      <c r="AD32" s="199">
        <f t="shared" si="31"/>
        <v>62385.426764636832</v>
      </c>
      <c r="AE32" s="199">
        <f t="shared" si="48"/>
        <v>59266.155426404985</v>
      </c>
      <c r="AF32" s="199">
        <f t="shared" si="49"/>
        <v>0</v>
      </c>
      <c r="AG32" s="614">
        <f t="shared" si="25"/>
        <v>2.7402068436195152E-3</v>
      </c>
      <c r="AH32" s="199">
        <f t="shared" si="50"/>
        <v>16952.561620825229</v>
      </c>
      <c r="AI32" s="252">
        <f t="shared" si="26"/>
        <v>1.3132892631255999E-3</v>
      </c>
      <c r="AJ32" s="199">
        <f t="shared" si="32"/>
        <v>79337.988385462057</v>
      </c>
      <c r="AK32" s="199">
        <f t="shared" si="53"/>
        <v>13562.049296660181</v>
      </c>
      <c r="AL32" s="199">
        <f t="shared" si="54"/>
        <v>13562.049296660181</v>
      </c>
      <c r="AM32" s="199">
        <f t="shared" si="16"/>
        <v>27124.098593320363</v>
      </c>
      <c r="AN32" s="645">
        <f t="shared" si="17"/>
        <v>1.3132892631255997E-3</v>
      </c>
      <c r="AO32" s="199">
        <v>11</v>
      </c>
      <c r="AP32" s="250">
        <f t="shared" si="18"/>
        <v>1.2498579706851495E-3</v>
      </c>
      <c r="AQ32" s="199">
        <v>11</v>
      </c>
      <c r="AU32" s="199">
        <v>0</v>
      </c>
      <c r="AW32" s="250">
        <f t="shared" si="5"/>
        <v>0</v>
      </c>
      <c r="AX32" s="199">
        <v>1</v>
      </c>
      <c r="AY32" s="199">
        <f t="shared" si="33"/>
        <v>27931.204043560832</v>
      </c>
      <c r="AZ32" s="199">
        <f t="shared" si="34"/>
        <v>27931.204043560832</v>
      </c>
      <c r="BA32" s="252">
        <f t="shared" si="6"/>
        <v>2.1955738921092E-3</v>
      </c>
      <c r="BB32" s="284">
        <v>0</v>
      </c>
      <c r="BC32" s="199">
        <f t="shared" si="52"/>
        <v>0</v>
      </c>
      <c r="BD32" s="270">
        <f t="shared" si="7"/>
        <v>0</v>
      </c>
      <c r="BE32" s="199">
        <f t="shared" si="35"/>
        <v>0</v>
      </c>
      <c r="BF32" s="251">
        <f t="shared" si="19"/>
        <v>0</v>
      </c>
      <c r="BG32" s="199">
        <f t="shared" si="36"/>
        <v>0</v>
      </c>
      <c r="BH32" s="636">
        <v>1</v>
      </c>
      <c r="BI32" s="199">
        <f t="shared" si="37"/>
        <v>103749.67711945037</v>
      </c>
      <c r="BJ32" s="199">
        <f t="shared" si="38"/>
        <v>207499.35423890073</v>
      </c>
      <c r="BK32" s="199">
        <f t="shared" si="20"/>
        <v>311249.03135835112</v>
      </c>
      <c r="BL32" s="251">
        <f t="shared" si="8"/>
        <v>1.3132892631255997E-3</v>
      </c>
      <c r="BM32" s="199">
        <f t="shared" si="39"/>
        <v>41075.942963237365</v>
      </c>
      <c r="BN32" s="251">
        <f t="shared" si="9"/>
        <v>1.773786961103391E-3</v>
      </c>
      <c r="BT32" s="199">
        <f>'Detailed Budget'!$AD$12</f>
        <v>194045122715</v>
      </c>
      <c r="BU32" s="199">
        <f>'Detailed Budget'!$AD$24</f>
        <v>194045122715</v>
      </c>
      <c r="BV32" s="596">
        <f t="shared" si="40"/>
        <v>0</v>
      </c>
      <c r="BW32" s="278"/>
      <c r="BX32" s="275">
        <f t="shared" si="27"/>
        <v>0</v>
      </c>
      <c r="BY32" s="275">
        <f t="shared" si="28"/>
        <v>0</v>
      </c>
      <c r="CA32" s="199">
        <f>'Detailed Budget'!$AD$96</f>
        <v>71050111380.677719</v>
      </c>
      <c r="CB32" s="275">
        <f t="shared" si="21"/>
        <v>155995769.57886675</v>
      </c>
      <c r="CE32" s="199">
        <f>'Detailed Budget'!$AD$175</f>
        <v>4330586076.5988197</v>
      </c>
      <c r="CF32" s="275">
        <f t="shared" si="41"/>
        <v>0</v>
      </c>
      <c r="CG32" s="199">
        <f>'Detailed Budget'!$AD$176</f>
        <v>20662817754.37001</v>
      </c>
      <c r="CH32" s="275">
        <f t="shared" si="42"/>
        <v>0</v>
      </c>
      <c r="CI32" s="275">
        <f t="shared" si="43"/>
        <v>0</v>
      </c>
      <c r="CJ32" s="275">
        <f>'Detailed Budget'!$AD$178</f>
        <v>46025131033.061455</v>
      </c>
      <c r="CK32" s="275">
        <f t="shared" si="44"/>
        <v>0</v>
      </c>
      <c r="CL32" s="275">
        <f t="shared" si="51"/>
        <v>0</v>
      </c>
      <c r="CM32" s="278">
        <f>'Detailed Budget'!$AD$189</f>
        <v>77498869683.252869</v>
      </c>
      <c r="CN32" s="275">
        <f t="shared" si="10"/>
        <v>101778433.45938604</v>
      </c>
      <c r="CO32" s="140">
        <f>'Detailed Budget'!$AD$191</f>
        <v>2684962805.4134097</v>
      </c>
      <c r="CP32" s="616">
        <f t="shared" si="11"/>
        <v>3526132.8242410198</v>
      </c>
      <c r="CQ32" s="616">
        <f t="shared" si="12"/>
        <v>105304566.28362706</v>
      </c>
      <c r="CR32" s="199">
        <f>'Detailed Budget'!$AD$195</f>
        <v>18734176418</v>
      </c>
      <c r="CS32" s="275">
        <f t="shared" si="45"/>
        <v>33230437.857259031</v>
      </c>
      <c r="CW32" s="278"/>
      <c r="DH32" s="140">
        <f>'Detailed Budget'!$AD$163</f>
        <v>4928560000</v>
      </c>
      <c r="DI32" s="616">
        <f t="shared" si="46"/>
        <v>6160000</v>
      </c>
    </row>
    <row r="33" spans="1:113" outlineLevel="1">
      <c r="A33" s="214" t="s">
        <v>279</v>
      </c>
      <c r="B33" s="215" t="s">
        <v>280</v>
      </c>
      <c r="C33" s="216" t="s">
        <v>234</v>
      </c>
      <c r="D33" s="217"/>
      <c r="E33" s="216"/>
      <c r="F33" s="216"/>
      <c r="G33" s="216" t="s">
        <v>234</v>
      </c>
      <c r="H33" s="216" t="s">
        <v>234</v>
      </c>
      <c r="I33" s="217" t="s">
        <v>234</v>
      </c>
      <c r="J33" s="217"/>
      <c r="K33" s="216" t="s">
        <v>234</v>
      </c>
      <c r="L33" s="216"/>
      <c r="M33" s="217"/>
      <c r="N33" s="216"/>
      <c r="O33" s="217"/>
      <c r="P33" s="216"/>
      <c r="Q33" s="217"/>
      <c r="R33" s="217" t="s">
        <v>234</v>
      </c>
      <c r="S33" s="217"/>
      <c r="T33" s="217"/>
      <c r="U33" s="218">
        <f t="shared" si="29"/>
        <v>6</v>
      </c>
      <c r="V33" s="867" t="s">
        <v>235</v>
      </c>
      <c r="W33" s="219">
        <v>234567</v>
      </c>
      <c r="X33" s="220">
        <v>3.04</v>
      </c>
      <c r="Y33" s="221">
        <f t="shared" si="24"/>
        <v>1.0304</v>
      </c>
      <c r="Z33" s="199">
        <v>19</v>
      </c>
      <c r="AA33" s="221">
        <f t="shared" si="47"/>
        <v>1.7664898659259882</v>
      </c>
      <c r="AB33" s="199">
        <f t="shared" si="30"/>
        <v>414360.22838066128</v>
      </c>
      <c r="AC33">
        <v>18.399999999999999</v>
      </c>
      <c r="AD33" s="199">
        <f t="shared" si="31"/>
        <v>76242.282022041676</v>
      </c>
      <c r="AE33" s="199">
        <f t="shared" si="48"/>
        <v>72430.167920939595</v>
      </c>
      <c r="AF33" s="199">
        <f t="shared" si="49"/>
        <v>0</v>
      </c>
      <c r="AG33" s="614">
        <f t="shared" si="25"/>
        <v>3.3488529902690961E-3</v>
      </c>
      <c r="AH33" s="199">
        <f t="shared" si="50"/>
        <v>20718.011419033064</v>
      </c>
      <c r="AI33" s="252">
        <f t="shared" si="26"/>
        <v>1.6049929537790533E-3</v>
      </c>
      <c r="AJ33" s="199">
        <f t="shared" si="32"/>
        <v>96960.29344107474</v>
      </c>
      <c r="AK33" s="199">
        <f t="shared" si="53"/>
        <v>16574.409135226451</v>
      </c>
      <c r="AL33" s="199">
        <f t="shared" si="54"/>
        <v>16574.409135226451</v>
      </c>
      <c r="AM33" s="199">
        <f t="shared" si="16"/>
        <v>33148.818270452903</v>
      </c>
      <c r="AN33" s="645">
        <f t="shared" si="17"/>
        <v>1.6049929537790533E-3</v>
      </c>
      <c r="AO33" s="199">
        <v>12</v>
      </c>
      <c r="AP33" s="250">
        <f t="shared" si="18"/>
        <v>1.3634814225656176E-3</v>
      </c>
      <c r="AQ33" s="199">
        <v>12</v>
      </c>
      <c r="AU33" s="199">
        <v>0</v>
      </c>
      <c r="AW33" s="250">
        <f t="shared" si="5"/>
        <v>0</v>
      </c>
      <c r="AX33" s="199">
        <v>1</v>
      </c>
      <c r="AY33" s="199">
        <f t="shared" si="33"/>
        <v>34135.195450990883</v>
      </c>
      <c r="AZ33" s="199">
        <f t="shared" si="34"/>
        <v>34135.195450990883</v>
      </c>
      <c r="BA33" s="252">
        <f t="shared" si="6"/>
        <v>2.6832478763663681E-3</v>
      </c>
      <c r="BB33" s="284">
        <v>0</v>
      </c>
      <c r="BC33" s="199">
        <f t="shared" si="52"/>
        <v>0</v>
      </c>
      <c r="BD33" s="270">
        <f t="shared" si="7"/>
        <v>0</v>
      </c>
      <c r="BE33" s="199">
        <f t="shared" si="35"/>
        <v>0</v>
      </c>
      <c r="BF33" s="251">
        <f t="shared" si="19"/>
        <v>0</v>
      </c>
      <c r="BG33" s="199">
        <f t="shared" si="36"/>
        <v>0</v>
      </c>
      <c r="BH33" s="636">
        <v>1</v>
      </c>
      <c r="BI33" s="199">
        <f t="shared" si="37"/>
        <v>126794.22988448235</v>
      </c>
      <c r="BJ33" s="199">
        <f t="shared" si="38"/>
        <v>253588.45976896471</v>
      </c>
      <c r="BK33" s="199">
        <f t="shared" si="20"/>
        <v>380382.68965344707</v>
      </c>
      <c r="BL33" s="251">
        <f t="shared" si="8"/>
        <v>1.6049929537790533E-3</v>
      </c>
      <c r="BM33" s="199">
        <f t="shared" si="39"/>
        <v>50199.602537617946</v>
      </c>
      <c r="BN33" s="251">
        <f t="shared" si="9"/>
        <v>2.1677749556106973E-3</v>
      </c>
      <c r="BT33" s="199">
        <f>'Detailed Budget'!$AD$12</f>
        <v>194045122715</v>
      </c>
      <c r="BU33" s="199">
        <f>'Detailed Budget'!$AD$24</f>
        <v>194045122715</v>
      </c>
      <c r="BV33" s="596">
        <f t="shared" si="40"/>
        <v>0</v>
      </c>
      <c r="BW33" s="278"/>
      <c r="BX33" s="275">
        <f t="shared" si="27"/>
        <v>0</v>
      </c>
      <c r="BY33" s="275">
        <f t="shared" si="28"/>
        <v>0</v>
      </c>
      <c r="CA33" s="199">
        <f>'Detailed Budget'!$AD$96</f>
        <v>71050111380.677719</v>
      </c>
      <c r="CB33" s="275">
        <f t="shared" si="21"/>
        <v>190645060.47779742</v>
      </c>
      <c r="CE33" s="199">
        <f>'Detailed Budget'!$AD$175</f>
        <v>4330586076.5988197</v>
      </c>
      <c r="CF33" s="275">
        <f t="shared" si="41"/>
        <v>0</v>
      </c>
      <c r="CG33" s="199">
        <f>'Detailed Budget'!$AD$176</f>
        <v>20662817754.37001</v>
      </c>
      <c r="CH33" s="275">
        <f t="shared" si="42"/>
        <v>0</v>
      </c>
      <c r="CI33" s="275">
        <f t="shared" si="43"/>
        <v>0</v>
      </c>
      <c r="CJ33" s="275">
        <f>'Detailed Budget'!$AD$178</f>
        <v>46025131033.061455</v>
      </c>
      <c r="CK33" s="275">
        <f t="shared" si="44"/>
        <v>0</v>
      </c>
      <c r="CL33" s="275">
        <f t="shared" si="51"/>
        <v>0</v>
      </c>
      <c r="CM33" s="278">
        <f>'Detailed Budget'!$AD$189</f>
        <v>77498869683.252869</v>
      </c>
      <c r="CN33" s="275">
        <f t="shared" si="10"/>
        <v>124385139.76746194</v>
      </c>
      <c r="CO33" s="140">
        <f>'Detailed Budget'!$AD$191</f>
        <v>2684962805.4134097</v>
      </c>
      <c r="CP33" s="616">
        <f t="shared" si="11"/>
        <v>4309346.3838473624</v>
      </c>
      <c r="CQ33" s="616">
        <f t="shared" si="12"/>
        <v>128694486.1513093</v>
      </c>
      <c r="CR33" s="199">
        <f>'Detailed Budget'!$AD$195</f>
        <v>18734176418</v>
      </c>
      <c r="CS33" s="275">
        <f t="shared" si="45"/>
        <v>40611478.452932924</v>
      </c>
      <c r="CW33" s="278"/>
      <c r="DH33" s="140">
        <f>'Detailed Budget'!$AD$163</f>
        <v>4928560000</v>
      </c>
      <c r="DI33" s="616">
        <f t="shared" si="46"/>
        <v>6720000</v>
      </c>
    </row>
    <row r="34" spans="1:113" outlineLevel="1">
      <c r="A34" s="214"/>
      <c r="B34" s="215"/>
      <c r="C34" s="216"/>
      <c r="D34" s="217"/>
      <c r="E34" s="216"/>
      <c r="F34" s="216"/>
      <c r="G34" s="216"/>
      <c r="H34" s="216"/>
      <c r="I34" s="217"/>
      <c r="J34" s="217"/>
      <c r="K34" s="216"/>
      <c r="L34" s="216"/>
      <c r="M34" s="217"/>
      <c r="N34" s="216"/>
      <c r="O34" s="217"/>
      <c r="P34" s="216"/>
      <c r="Q34" s="217"/>
      <c r="R34" s="217"/>
      <c r="S34" s="217"/>
      <c r="T34" s="217"/>
      <c r="U34" s="218"/>
      <c r="V34" s="867"/>
      <c r="W34" s="219"/>
      <c r="X34" s="220"/>
      <c r="Y34" s="221"/>
      <c r="Z34" s="199"/>
      <c r="AA34" s="221"/>
      <c r="AF34" s="199">
        <f t="shared" si="49"/>
        <v>0</v>
      </c>
      <c r="AG34" s="614">
        <f t="shared" si="25"/>
        <v>0</v>
      </c>
      <c r="AJ34" s="199"/>
      <c r="AK34" s="199">
        <f t="shared" si="53"/>
        <v>0</v>
      </c>
      <c r="AL34" s="199">
        <f t="shared" si="54"/>
        <v>0</v>
      </c>
      <c r="AM34" s="199">
        <f t="shared" si="16"/>
        <v>0</v>
      </c>
      <c r="AN34" s="645">
        <f t="shared" si="17"/>
        <v>0</v>
      </c>
      <c r="AP34" s="250">
        <f t="shared" si="18"/>
        <v>0</v>
      </c>
      <c r="AW34" s="250">
        <f t="shared" si="5"/>
        <v>0</v>
      </c>
      <c r="AX34" s="199"/>
      <c r="BA34" s="252">
        <f t="shared" si="6"/>
        <v>0</v>
      </c>
      <c r="BB34" s="284"/>
      <c r="BD34" s="270"/>
      <c r="BF34" s="251"/>
      <c r="BG34" s="199"/>
      <c r="BH34" s="636"/>
      <c r="BI34" s="199">
        <f t="shared" si="37"/>
        <v>0</v>
      </c>
      <c r="BJ34" s="199">
        <f t="shared" si="38"/>
        <v>0</v>
      </c>
      <c r="BK34" s="199">
        <f t="shared" si="20"/>
        <v>0</v>
      </c>
      <c r="BL34" s="251">
        <f t="shared" si="8"/>
        <v>0</v>
      </c>
      <c r="BN34" s="251">
        <f t="shared" si="9"/>
        <v>0</v>
      </c>
      <c r="BT34" s="199"/>
      <c r="BU34" s="199"/>
      <c r="BV34" s="596"/>
      <c r="BW34" s="278"/>
      <c r="BX34" s="275"/>
      <c r="BY34" s="275"/>
      <c r="CA34" s="199">
        <f>'Detailed Budget'!$AD$96</f>
        <v>71050111380.677719</v>
      </c>
      <c r="CB34" s="275">
        <f t="shared" si="21"/>
        <v>0</v>
      </c>
      <c r="CE34" s="199"/>
      <c r="CF34" s="275"/>
      <c r="CG34" s="199"/>
      <c r="CH34" s="275"/>
      <c r="CI34" s="275"/>
      <c r="CJ34" s="275"/>
      <c r="CK34" s="275"/>
      <c r="CL34" s="275"/>
      <c r="CM34" s="278">
        <f>'Detailed Budget'!$AD$189</f>
        <v>77498869683.252869</v>
      </c>
      <c r="CN34" s="275">
        <f t="shared" si="10"/>
        <v>0</v>
      </c>
      <c r="CO34" s="140">
        <f>'Detailed Budget'!$AD$191</f>
        <v>2684962805.4134097</v>
      </c>
      <c r="CP34" s="616">
        <f t="shared" si="11"/>
        <v>0</v>
      </c>
      <c r="CQ34" s="616">
        <f t="shared" si="12"/>
        <v>0</v>
      </c>
      <c r="CR34" s="199"/>
      <c r="CS34" s="275"/>
      <c r="CW34" s="278"/>
      <c r="DH34" s="140">
        <f>'Detailed Budget'!$AD$163</f>
        <v>4928560000</v>
      </c>
      <c r="DI34" s="616">
        <f t="shared" si="46"/>
        <v>0</v>
      </c>
    </row>
    <row r="35" spans="1:113" s="213" customFormat="1">
      <c r="A35" s="206">
        <v>1.2</v>
      </c>
      <c r="B35" s="207" t="s">
        <v>281</v>
      </c>
      <c r="C35" s="208">
        <f t="shared" ref="C35:T35" si="55">COUNTA(C37:C42)</f>
        <v>6</v>
      </c>
      <c r="D35" s="208">
        <f t="shared" si="55"/>
        <v>6</v>
      </c>
      <c r="E35" s="208">
        <f t="shared" si="55"/>
        <v>0</v>
      </c>
      <c r="F35" s="208">
        <f t="shared" si="55"/>
        <v>0</v>
      </c>
      <c r="G35" s="208">
        <f t="shared" si="55"/>
        <v>0</v>
      </c>
      <c r="H35" s="208">
        <f t="shared" si="55"/>
        <v>6</v>
      </c>
      <c r="I35" s="208">
        <f t="shared" si="55"/>
        <v>6</v>
      </c>
      <c r="J35" s="208">
        <f t="shared" si="55"/>
        <v>0</v>
      </c>
      <c r="K35" s="208">
        <f t="shared" si="55"/>
        <v>0</v>
      </c>
      <c r="L35" s="208">
        <f t="shared" si="55"/>
        <v>0</v>
      </c>
      <c r="M35" s="208">
        <f t="shared" si="55"/>
        <v>6</v>
      </c>
      <c r="N35" s="208">
        <f t="shared" si="55"/>
        <v>0</v>
      </c>
      <c r="O35" s="208">
        <f t="shared" si="55"/>
        <v>0</v>
      </c>
      <c r="P35" s="208">
        <f t="shared" si="55"/>
        <v>0</v>
      </c>
      <c r="Q35" s="208">
        <f t="shared" si="55"/>
        <v>5</v>
      </c>
      <c r="R35" s="208">
        <f t="shared" si="55"/>
        <v>1</v>
      </c>
      <c r="S35" s="208">
        <f t="shared" si="55"/>
        <v>0</v>
      </c>
      <c r="T35" s="208">
        <f t="shared" si="55"/>
        <v>0</v>
      </c>
      <c r="U35" s="209">
        <f>SUM(C35:T35)</f>
        <v>36</v>
      </c>
      <c r="V35" s="866"/>
      <c r="W35" s="210">
        <f>SUM(W37:W42)</f>
        <v>1406239</v>
      </c>
      <c r="X35" s="211">
        <v>9.2799999999999994</v>
      </c>
      <c r="Y35" s="212">
        <f t="shared" si="24"/>
        <v>1.0928</v>
      </c>
      <c r="Z35" s="210">
        <v>19</v>
      </c>
      <c r="AA35" s="212">
        <f t="shared" si="47"/>
        <v>5.3984991883265403</v>
      </c>
      <c r="AB35" s="210">
        <f>SUM(AB37:AB42)</f>
        <v>7591580.1000931272</v>
      </c>
      <c r="AC35" s="213">
        <v>15.7</v>
      </c>
      <c r="AD35" s="210">
        <f>SUM(AD37:AD42)</f>
        <v>1191878.0757146208</v>
      </c>
      <c r="AE35" s="210">
        <f>SUM(AE37:AE42)</f>
        <v>1132284.1719288896</v>
      </c>
      <c r="AF35" s="210">
        <f>SUM(AF37:AF42)</f>
        <v>1132284.1719288896</v>
      </c>
      <c r="AG35" s="614">
        <f t="shared" si="25"/>
        <v>5.2351849289337386E-2</v>
      </c>
      <c r="AH35" s="210">
        <f>SUM(AH37:AH42)</f>
        <v>379579.00500465633</v>
      </c>
      <c r="AI35" s="252">
        <f t="shared" si="26"/>
        <v>2.9405410399342781E-2</v>
      </c>
      <c r="AJ35" s="210">
        <f>SUM(AJ37:AJ42)</f>
        <v>1571457.080719277</v>
      </c>
      <c r="AK35" s="199">
        <f t="shared" si="53"/>
        <v>303663.20400372508</v>
      </c>
      <c r="AL35" s="199">
        <f t="shared" si="54"/>
        <v>303663.20400372508</v>
      </c>
      <c r="AM35" s="199">
        <f t="shared" si="16"/>
        <v>607326.40800745017</v>
      </c>
      <c r="AN35" s="645">
        <f t="shared" si="17"/>
        <v>2.9405410399342784E-2</v>
      </c>
      <c r="AO35" s="210">
        <f>SUM(AO37:AO42)</f>
        <v>62</v>
      </c>
      <c r="AP35" s="250">
        <f t="shared" si="18"/>
        <v>7.0446540165890236E-3</v>
      </c>
      <c r="AQ35" s="210">
        <f>SUM(AQ37:AQ42)</f>
        <v>62</v>
      </c>
      <c r="AR35" s="210"/>
      <c r="AS35" s="210"/>
      <c r="AT35" s="210"/>
      <c r="AU35" s="199"/>
      <c r="AV35" s="199"/>
      <c r="AW35" s="250">
        <f t="shared" si="5"/>
        <v>0</v>
      </c>
      <c r="AX35" s="199"/>
      <c r="AY35" s="210">
        <v>405775</v>
      </c>
      <c r="AZ35" s="210">
        <f>SUM(AZ37:AZ42)</f>
        <v>405775.0208429913</v>
      </c>
      <c r="BA35" s="252">
        <f t="shared" si="6"/>
        <v>3.1896549838793128E-2</v>
      </c>
      <c r="BB35" s="284"/>
      <c r="BC35" s="210">
        <f>SUM(BC37:BC42)</f>
        <v>858152.21451452677</v>
      </c>
      <c r="BD35" s="270">
        <f t="shared" si="7"/>
        <v>7.7282694215959499E-2</v>
      </c>
      <c r="BE35" s="210">
        <f>SUM(BE37:BE42)</f>
        <v>3670984.4732010313</v>
      </c>
      <c r="BF35" s="251">
        <f t="shared" si="19"/>
        <v>7.7282695933326317E-2</v>
      </c>
      <c r="BG35" s="210">
        <f>SUM(BG37:BG42)</f>
        <v>4529136.6877155583</v>
      </c>
      <c r="BH35"/>
      <c r="BI35" s="199">
        <f t="shared" si="37"/>
        <v>2323023.5106284968</v>
      </c>
      <c r="BJ35" s="199">
        <f t="shared" si="38"/>
        <v>4646047.0212569935</v>
      </c>
      <c r="BK35" s="199">
        <f t="shared" si="20"/>
        <v>6969070.5318854898</v>
      </c>
      <c r="BL35" s="251">
        <f t="shared" si="8"/>
        <v>2.9405410399342781E-2</v>
      </c>
      <c r="BM35" s="210">
        <v>609975</v>
      </c>
      <c r="BN35" s="251">
        <f t="shared" si="9"/>
        <v>2.6340617489107709E-2</v>
      </c>
      <c r="BT35" s="210">
        <f>'Detailed Budget'!$AD$12</f>
        <v>194045122715</v>
      </c>
      <c r="BU35" s="210">
        <f>'Detailed Budget'!$AD$24</f>
        <v>194045122715</v>
      </c>
      <c r="BV35" s="596">
        <f>AV35/34743979</f>
        <v>0</v>
      </c>
      <c r="BW35" s="278"/>
      <c r="BX35" s="613">
        <f t="shared" si="27"/>
        <v>0</v>
      </c>
      <c r="BY35" s="613">
        <f t="shared" si="28"/>
        <v>0</v>
      </c>
      <c r="CA35" s="210">
        <f>'Detailed Budget'!$AD$96</f>
        <v>71050111380.677719</v>
      </c>
      <c r="CB35" s="613">
        <f t="shared" si="21"/>
        <v>2266253418.7055898</v>
      </c>
      <c r="CE35" s="210">
        <f>'Detailed Budget'!$AD$175</f>
        <v>4330586076.5988197</v>
      </c>
      <c r="CF35" s="613">
        <f>SUM(CF37:CF42)</f>
        <v>334679359.53367841</v>
      </c>
      <c r="CG35" s="240">
        <f>'Detailed Budget'!$AD$176</f>
        <v>20662817754.37001</v>
      </c>
      <c r="CH35" s="613">
        <f>SUM(CH37:CH42)</f>
        <v>1596878261.6367142</v>
      </c>
      <c r="CI35" s="613">
        <f>SUM(CI37:CI42)</f>
        <v>1931557621.1703925</v>
      </c>
      <c r="CJ35" s="275">
        <f>'Detailed Budget'!$AD$178</f>
        <v>46025131033.061455</v>
      </c>
      <c r="CK35" s="613">
        <f>SUM(CK37:CK42)</f>
        <v>2409500723.3648386</v>
      </c>
      <c r="CL35" s="613">
        <f>SUM(CL37:CL42)</f>
        <v>4341058344.5352306</v>
      </c>
      <c r="CM35" s="278">
        <f>'Detailed Budget'!$AD$189</f>
        <v>77498869683.252869</v>
      </c>
      <c r="CN35" s="275">
        <f t="shared" si="10"/>
        <v>0</v>
      </c>
      <c r="CO35" s="140">
        <f>'Detailed Budget'!$AD$191</f>
        <v>2684962805.4134097</v>
      </c>
      <c r="CP35" s="616">
        <f t="shared" si="11"/>
        <v>0</v>
      </c>
      <c r="CQ35" s="616">
        <f t="shared" si="12"/>
        <v>0</v>
      </c>
      <c r="CR35" s="210">
        <f>'Detailed Budget'!$AD$195</f>
        <v>18734176418</v>
      </c>
      <c r="CS35" s="275">
        <f>BN35*CR35</f>
        <v>493469775</v>
      </c>
      <c r="CW35" s="278"/>
      <c r="DH35" s="140">
        <f>'Detailed Budget'!$AD$163</f>
        <v>4928560000</v>
      </c>
      <c r="DI35" s="616">
        <f t="shared" si="46"/>
        <v>34720000</v>
      </c>
    </row>
    <row r="36" spans="1:113" s="213" customFormat="1">
      <c r="A36" s="214" t="s">
        <v>2320</v>
      </c>
      <c r="B36" s="215" t="s">
        <v>2318</v>
      </c>
      <c r="C36" s="208"/>
      <c r="D36" s="208"/>
      <c r="E36" s="208"/>
      <c r="F36" s="208"/>
      <c r="G36" s="208"/>
      <c r="H36" s="208"/>
      <c r="I36" s="208"/>
      <c r="J36" s="208"/>
      <c r="K36" s="208"/>
      <c r="L36" s="208"/>
      <c r="M36" s="208"/>
      <c r="N36" s="208"/>
      <c r="O36" s="208"/>
      <c r="P36" s="208"/>
      <c r="Q36" s="208"/>
      <c r="R36" s="208"/>
      <c r="S36" s="208"/>
      <c r="T36" s="208"/>
      <c r="U36" s="209"/>
      <c r="V36" s="866"/>
      <c r="W36" s="210"/>
      <c r="X36" s="211"/>
      <c r="Y36" s="212"/>
      <c r="Z36" s="210"/>
      <c r="AA36" s="212"/>
      <c r="AB36" s="210"/>
      <c r="AD36" s="210"/>
      <c r="AE36" s="199"/>
      <c r="AF36" s="199"/>
      <c r="AG36" s="614">
        <f t="shared" si="25"/>
        <v>0</v>
      </c>
      <c r="AH36" s="210"/>
      <c r="AI36" s="252"/>
      <c r="AJ36" s="199"/>
      <c r="AK36" s="199">
        <f t="shared" si="53"/>
        <v>0</v>
      </c>
      <c r="AL36" s="199">
        <f t="shared" si="54"/>
        <v>0</v>
      </c>
      <c r="AM36" s="199">
        <f t="shared" si="16"/>
        <v>0</v>
      </c>
      <c r="AN36" s="645">
        <f t="shared" si="17"/>
        <v>0</v>
      </c>
      <c r="AO36" s="210"/>
      <c r="AP36" s="250"/>
      <c r="AQ36" s="210"/>
      <c r="AR36" s="210"/>
      <c r="AS36" s="210"/>
      <c r="AT36" s="210"/>
      <c r="AU36" s="199"/>
      <c r="AV36" s="199"/>
      <c r="AW36" s="250">
        <f t="shared" si="5"/>
        <v>0</v>
      </c>
      <c r="AX36" s="199"/>
      <c r="AY36" s="210"/>
      <c r="AZ36" s="199"/>
      <c r="BA36" s="252">
        <f t="shared" si="6"/>
        <v>0</v>
      </c>
      <c r="BB36" s="284"/>
      <c r="BC36" s="210"/>
      <c r="BD36" s="270">
        <f t="shared" si="7"/>
        <v>0</v>
      </c>
      <c r="BE36" s="210"/>
      <c r="BF36" s="251">
        <f t="shared" si="19"/>
        <v>0</v>
      </c>
      <c r="BG36" s="204"/>
      <c r="BH36"/>
      <c r="BI36" s="199">
        <f t="shared" si="37"/>
        <v>0</v>
      </c>
      <c r="BJ36" s="199">
        <f t="shared" si="38"/>
        <v>0</v>
      </c>
      <c r="BK36" s="199">
        <f t="shared" si="20"/>
        <v>0</v>
      </c>
      <c r="BL36" s="251">
        <f t="shared" si="8"/>
        <v>0</v>
      </c>
      <c r="BM36" s="210"/>
      <c r="BN36" s="251">
        <f t="shared" si="9"/>
        <v>0</v>
      </c>
      <c r="BT36" s="210"/>
      <c r="BU36" s="210">
        <f>'Detailed Budget'!$AD$24</f>
        <v>194045122715</v>
      </c>
      <c r="BV36" s="596"/>
      <c r="BW36" s="278"/>
      <c r="BX36" s="275"/>
      <c r="BY36" s="275"/>
      <c r="CA36" s="210">
        <f>'Detailed Budget'!$AD$96</f>
        <v>71050111380.677719</v>
      </c>
      <c r="CB36" s="275"/>
      <c r="CE36" s="210"/>
      <c r="CF36" s="275"/>
      <c r="CG36" s="240"/>
      <c r="CH36" s="275"/>
      <c r="CI36" s="275"/>
      <c r="CJ36" s="275"/>
      <c r="CK36" s="275"/>
      <c r="CL36" s="275"/>
      <c r="CM36" s="278">
        <f>'Detailed Budget'!$AD$189</f>
        <v>77498869683.252869</v>
      </c>
      <c r="CN36" s="275">
        <f t="shared" si="10"/>
        <v>0</v>
      </c>
      <c r="CO36" s="140">
        <f>'Detailed Budget'!$AD$191</f>
        <v>2684962805.4134097</v>
      </c>
      <c r="CP36" s="616">
        <f t="shared" si="11"/>
        <v>0</v>
      </c>
      <c r="CQ36" s="616">
        <f t="shared" si="12"/>
        <v>0</v>
      </c>
      <c r="CR36" s="210"/>
      <c r="CS36" s="275"/>
      <c r="CW36" s="278"/>
      <c r="DH36" s="140"/>
      <c r="DI36" s="616"/>
    </row>
    <row r="37" spans="1:113" outlineLevel="1">
      <c r="A37" s="214" t="s">
        <v>282</v>
      </c>
      <c r="B37" s="215" t="s">
        <v>283</v>
      </c>
      <c r="C37" s="216" t="s">
        <v>234</v>
      </c>
      <c r="D37" s="217" t="s">
        <v>234</v>
      </c>
      <c r="E37" s="216"/>
      <c r="F37" s="216"/>
      <c r="G37" s="216"/>
      <c r="H37" s="216" t="s">
        <v>234</v>
      </c>
      <c r="I37" s="217" t="s">
        <v>234</v>
      </c>
      <c r="J37" s="217"/>
      <c r="K37" s="216"/>
      <c r="L37" s="216"/>
      <c r="M37" s="217" t="s">
        <v>234</v>
      </c>
      <c r="N37" s="216"/>
      <c r="O37" s="217"/>
      <c r="P37" s="216"/>
      <c r="Q37" s="217" t="s">
        <v>234</v>
      </c>
      <c r="R37" s="217"/>
      <c r="S37" s="217"/>
      <c r="T37" s="217"/>
      <c r="U37" s="218">
        <f t="shared" ref="U37:U42" si="56">COUNTA(C37:T37)</f>
        <v>6</v>
      </c>
      <c r="V37" s="867" t="s">
        <v>284</v>
      </c>
      <c r="W37" s="219">
        <v>58642</v>
      </c>
      <c r="X37" s="220">
        <v>9.2799999999999994</v>
      </c>
      <c r="Y37" s="221">
        <f t="shared" si="24"/>
        <v>1.0928</v>
      </c>
      <c r="Z37" s="199">
        <v>19</v>
      </c>
      <c r="AA37" s="221">
        <f>POWER(Y37,Z37)</f>
        <v>5.3984991883265403</v>
      </c>
      <c r="AB37" s="199">
        <f t="shared" si="30"/>
        <v>316578.78940184496</v>
      </c>
      <c r="AC37">
        <v>15.7</v>
      </c>
      <c r="AD37" s="199">
        <f t="shared" si="31"/>
        <v>49702.869936089657</v>
      </c>
      <c r="AE37" s="199">
        <f t="shared" si="48"/>
        <v>47217.726439285172</v>
      </c>
      <c r="AF37" s="199">
        <f t="shared" si="49"/>
        <v>47217.726439285172</v>
      </c>
      <c r="AG37" s="614">
        <f t="shared" si="25"/>
        <v>2.1831403808494311E-3</v>
      </c>
      <c r="AH37" s="199">
        <f>AB37*0.05</f>
        <v>15828.939470092249</v>
      </c>
      <c r="AI37" s="252">
        <f t="shared" si="26"/>
        <v>1.2262439575621636E-3</v>
      </c>
      <c r="AJ37" s="199">
        <f t="shared" si="32"/>
        <v>65531.809406181907</v>
      </c>
      <c r="AK37" s="199">
        <f t="shared" si="53"/>
        <v>12663.151576073798</v>
      </c>
      <c r="AL37" s="199">
        <f t="shared" si="54"/>
        <v>12663.151576073798</v>
      </c>
      <c r="AM37" s="199">
        <f t="shared" si="16"/>
        <v>25326.303152147597</v>
      </c>
      <c r="AN37" s="645">
        <f t="shared" si="17"/>
        <v>1.2262439575621634E-3</v>
      </c>
      <c r="AO37" s="199">
        <v>10</v>
      </c>
      <c r="AP37" s="250">
        <f t="shared" si="18"/>
        <v>1.1362345188046814E-3</v>
      </c>
      <c r="AQ37" s="199">
        <v>10</v>
      </c>
      <c r="AU37" s="199">
        <v>0</v>
      </c>
      <c r="AW37" s="250">
        <f t="shared" si="5"/>
        <v>0</v>
      </c>
      <c r="AX37" s="199">
        <v>1</v>
      </c>
      <c r="AY37" s="199">
        <f t="shared" ref="AY37:AY42" si="57">AJ37/1571457*405775</f>
        <v>16921.347489491258</v>
      </c>
      <c r="AZ37" s="199">
        <f t="shared" si="34"/>
        <v>16921.347489491258</v>
      </c>
      <c r="BA37" s="252">
        <f t="shared" si="6"/>
        <v>1.330127720569908E-3</v>
      </c>
      <c r="BB37" s="284">
        <v>1</v>
      </c>
      <c r="BC37" s="199">
        <f t="shared" ref="BC37:BC42" si="58">AD37*BB37*0.18*4</f>
        <v>35786.066353984548</v>
      </c>
      <c r="BD37" s="270">
        <f t="shared" si="7"/>
        <v>3.2227891234792214E-3</v>
      </c>
      <c r="BE37" s="199">
        <f t="shared" ref="BE37:BE42" si="59">AD37*BB37*0.77*4</f>
        <v>153084.83940315616</v>
      </c>
      <c r="BF37" s="251">
        <f t="shared" si="19"/>
        <v>3.2227891950956577E-3</v>
      </c>
      <c r="BG37" s="199">
        <f t="shared" si="36"/>
        <v>188870.90575714072</v>
      </c>
      <c r="BH37" s="636">
        <v>0</v>
      </c>
      <c r="BI37" s="199">
        <f t="shared" si="37"/>
        <v>96873.109556964555</v>
      </c>
      <c r="BJ37" s="199">
        <f t="shared" si="38"/>
        <v>193746.21911392911</v>
      </c>
      <c r="BK37" s="199">
        <f t="shared" si="20"/>
        <v>290619.32867089368</v>
      </c>
      <c r="BL37" s="251">
        <f t="shared" si="8"/>
        <v>1.2262439575621636E-3</v>
      </c>
      <c r="BM37" s="199">
        <f t="shared" ref="BM37:BM42" si="60">AH37/379579*609975</f>
        <v>25436.753227311099</v>
      </c>
      <c r="BN37" s="251">
        <f t="shared" si="9"/>
        <v>1.0984381112757533E-3</v>
      </c>
      <c r="BT37" s="199">
        <f>'Detailed Budget'!$AD$12</f>
        <v>194045122715</v>
      </c>
      <c r="BU37" s="199">
        <f>'Detailed Budget'!$AD$24</f>
        <v>194045122715</v>
      </c>
      <c r="BV37" s="596">
        <f t="shared" ref="BV37:BV42" si="61">AV37/34743979</f>
        <v>0</v>
      </c>
      <c r="BW37" s="278"/>
      <c r="BX37" s="275">
        <f t="shared" si="27"/>
        <v>0</v>
      </c>
      <c r="BY37" s="275">
        <f t="shared" si="28"/>
        <v>0</v>
      </c>
      <c r="CA37" s="199">
        <f>'Detailed Budget'!$AD$96</f>
        <v>71050111380.677719</v>
      </c>
      <c r="CB37" s="275">
        <f t="shared" si="21"/>
        <v>94505722.697018936</v>
      </c>
      <c r="CE37" s="199">
        <f>'Detailed Budget'!$AD$175</f>
        <v>4330586076.5988197</v>
      </c>
      <c r="CF37" s="275">
        <f t="shared" ref="CF37:CF42" si="62">BB37*BD37*CE37</f>
        <v>13956565.705953231</v>
      </c>
      <c r="CG37" s="199">
        <f>'Detailed Budget'!$AD$176</f>
        <v>20662817754.37001</v>
      </c>
      <c r="CH37" s="275">
        <f t="shared" ref="CH37:CH42" si="63">BB37*BF37*CG37</f>
        <v>66591905.79901439</v>
      </c>
      <c r="CI37" s="275">
        <f t="shared" si="43"/>
        <v>80548471.504967615</v>
      </c>
      <c r="CJ37" s="275">
        <f>'Detailed Budget'!$AD$178</f>
        <v>46025131033.061455</v>
      </c>
      <c r="CK37" s="275">
        <f t="shared" ref="CK37:CK42" si="64">BB37*AG37*CJ37</f>
        <v>100479322.09216276</v>
      </c>
      <c r="CL37" s="275">
        <f t="shared" si="51"/>
        <v>181027793.59713036</v>
      </c>
      <c r="CM37" s="278">
        <f>'Detailed Budget'!$AD$189</f>
        <v>77498869683.252869</v>
      </c>
      <c r="CN37" s="275">
        <f t="shared" si="10"/>
        <v>0</v>
      </c>
      <c r="CO37" s="140">
        <f>'Detailed Budget'!$AD$191</f>
        <v>2684962805.4134097</v>
      </c>
      <c r="CP37" s="616">
        <f t="shared" si="11"/>
        <v>0</v>
      </c>
      <c r="CQ37" s="616">
        <f t="shared" si="12"/>
        <v>0</v>
      </c>
      <c r="CR37" s="199">
        <f>'Detailed Budget'!$AD$195</f>
        <v>18734176418</v>
      </c>
      <c r="CS37" s="275">
        <f t="shared" ref="CS37:CS44" si="65">BN37*CR37</f>
        <v>20578333.36089468</v>
      </c>
      <c r="CW37" s="278"/>
      <c r="DH37" s="140">
        <f>'Detailed Budget'!$AD$163</f>
        <v>4928560000</v>
      </c>
      <c r="DI37" s="616">
        <f t="shared" ref="DI37:DI44" si="66">AP37*DH37</f>
        <v>5600000</v>
      </c>
    </row>
    <row r="38" spans="1:113" outlineLevel="1">
      <c r="A38" s="214" t="s">
        <v>285</v>
      </c>
      <c r="B38" s="215" t="s">
        <v>286</v>
      </c>
      <c r="C38" s="216" t="s">
        <v>234</v>
      </c>
      <c r="D38" s="217" t="s">
        <v>234</v>
      </c>
      <c r="E38" s="216"/>
      <c r="F38" s="216"/>
      <c r="G38" s="216"/>
      <c r="H38" s="216" t="s">
        <v>234</v>
      </c>
      <c r="I38" s="217" t="s">
        <v>234</v>
      </c>
      <c r="J38" s="217"/>
      <c r="K38" s="216"/>
      <c r="L38" s="216"/>
      <c r="M38" s="217" t="s">
        <v>234</v>
      </c>
      <c r="N38" s="216"/>
      <c r="O38" s="217"/>
      <c r="P38" s="216"/>
      <c r="Q38" s="217" t="s">
        <v>234</v>
      </c>
      <c r="R38" s="217"/>
      <c r="S38" s="217"/>
      <c r="T38" s="217"/>
      <c r="U38" s="218">
        <f t="shared" si="56"/>
        <v>6</v>
      </c>
      <c r="V38" s="867" t="s">
        <v>284</v>
      </c>
      <c r="W38" s="219">
        <v>776298</v>
      </c>
      <c r="X38" s="220">
        <v>9.2799999999999994</v>
      </c>
      <c r="Y38" s="221">
        <f t="shared" si="24"/>
        <v>1.0928</v>
      </c>
      <c r="Z38" s="199">
        <v>19</v>
      </c>
      <c r="AA38" s="221">
        <f t="shared" ref="AA38:AA44" si="67">POWER(Y38,Z38)</f>
        <v>5.3984991883265403</v>
      </c>
      <c r="AB38" s="199">
        <f t="shared" si="30"/>
        <v>4190844.1228995165</v>
      </c>
      <c r="AC38">
        <v>15.7</v>
      </c>
      <c r="AD38" s="199">
        <f t="shared" si="31"/>
        <v>657962.52729522402</v>
      </c>
      <c r="AE38" s="199">
        <f t="shared" si="48"/>
        <v>625064.40093046275</v>
      </c>
      <c r="AF38" s="199">
        <f t="shared" si="49"/>
        <v>625064.40093046275</v>
      </c>
      <c r="AG38" s="614">
        <f t="shared" si="25"/>
        <v>2.8900233814887818E-2</v>
      </c>
      <c r="AH38" s="199">
        <f t="shared" ref="AH38:AH42" si="68">AB38*0.05</f>
        <v>209542.20614497585</v>
      </c>
      <c r="AI38" s="252">
        <f t="shared" si="26"/>
        <v>1.6232917222598009E-2</v>
      </c>
      <c r="AJ38" s="199">
        <f t="shared" si="32"/>
        <v>867504.73344019987</v>
      </c>
      <c r="AK38" s="199">
        <f t="shared" si="53"/>
        <v>167633.76491598066</v>
      </c>
      <c r="AL38" s="199">
        <f t="shared" si="54"/>
        <v>167633.76491598066</v>
      </c>
      <c r="AM38" s="199">
        <f t="shared" si="16"/>
        <v>335267.52983196132</v>
      </c>
      <c r="AN38" s="645">
        <f t="shared" si="17"/>
        <v>1.6232917222598009E-2</v>
      </c>
      <c r="AO38" s="199">
        <v>10</v>
      </c>
      <c r="AP38" s="250">
        <f t="shared" si="18"/>
        <v>1.1362345188046814E-3</v>
      </c>
      <c r="AQ38" s="199">
        <v>10</v>
      </c>
      <c r="AU38" s="199">
        <v>0</v>
      </c>
      <c r="AW38" s="250">
        <f t="shared" si="5"/>
        <v>0</v>
      </c>
      <c r="AX38" s="199">
        <v>1</v>
      </c>
      <c r="AY38" s="199">
        <f t="shared" si="57"/>
        <v>224003.41416386008</v>
      </c>
      <c r="AZ38" s="199">
        <f t="shared" si="34"/>
        <v>224003.41416386008</v>
      </c>
      <c r="BA38" s="252">
        <f t="shared" si="6"/>
        <v>1.7608121981224689E-2</v>
      </c>
      <c r="BB38" s="284">
        <v>1</v>
      </c>
      <c r="BC38" s="199">
        <f t="shared" si="58"/>
        <v>473733.01965256128</v>
      </c>
      <c r="BD38" s="270">
        <f t="shared" si="7"/>
        <v>4.2663018842786275E-2</v>
      </c>
      <c r="BE38" s="199">
        <f t="shared" si="59"/>
        <v>2026524.58406929</v>
      </c>
      <c r="BF38" s="251">
        <f t="shared" si="19"/>
        <v>4.2663019790838794E-2</v>
      </c>
      <c r="BG38" s="199">
        <f t="shared" si="36"/>
        <v>2500257.6037218515</v>
      </c>
      <c r="BH38" s="636">
        <v>0</v>
      </c>
      <c r="BI38" s="199">
        <f t="shared" si="37"/>
        <v>1282398.3016072521</v>
      </c>
      <c r="BJ38" s="199">
        <f t="shared" si="38"/>
        <v>2564796.6032145042</v>
      </c>
      <c r="BK38" s="199">
        <f t="shared" si="20"/>
        <v>3847194.9048217563</v>
      </c>
      <c r="BL38" s="251">
        <f t="shared" si="8"/>
        <v>1.6232917222598009E-2</v>
      </c>
      <c r="BM38" s="199">
        <f t="shared" si="60"/>
        <v>336729.6588938841</v>
      </c>
      <c r="BN38" s="251">
        <f t="shared" si="9"/>
        <v>1.4541033881981255E-2</v>
      </c>
      <c r="BT38" s="199">
        <f>'Detailed Budget'!$AD$12</f>
        <v>194045122715</v>
      </c>
      <c r="BU38" s="199">
        <f>'Detailed Budget'!$AD$24</f>
        <v>194045122715</v>
      </c>
      <c r="BV38" s="596">
        <f t="shared" si="61"/>
        <v>0</v>
      </c>
      <c r="BW38" s="278"/>
      <c r="BX38" s="275">
        <f t="shared" si="27"/>
        <v>0</v>
      </c>
      <c r="BY38" s="275">
        <f t="shared" si="28"/>
        <v>0</v>
      </c>
      <c r="CA38" s="199">
        <f>'Detailed Budget'!$AD$96</f>
        <v>71050111380.677719</v>
      </c>
      <c r="CB38" s="275">
        <f t="shared" si="21"/>
        <v>1251059027.9705739</v>
      </c>
      <c r="CE38" s="199">
        <f>'Detailed Budget'!$AD$175</f>
        <v>4330586076.5988197</v>
      </c>
      <c r="CF38" s="275">
        <f t="shared" si="62"/>
        <v>184755875.38624334</v>
      </c>
      <c r="CG38" s="199">
        <f>'Detailed Budget'!$AD$176</f>
        <v>20662817754.37001</v>
      </c>
      <c r="CH38" s="275">
        <f t="shared" si="63"/>
        <v>881538202.7891829</v>
      </c>
      <c r="CI38" s="275">
        <f t="shared" si="43"/>
        <v>1066294078.1754262</v>
      </c>
      <c r="CJ38" s="275">
        <f>'Detailed Budget'!$AD$178</f>
        <v>46025131033.061455</v>
      </c>
      <c r="CK38" s="275">
        <f t="shared" si="64"/>
        <v>1330137048.2163253</v>
      </c>
      <c r="CL38" s="275">
        <f t="shared" si="51"/>
        <v>2396431126.3917513</v>
      </c>
      <c r="CM38" s="278">
        <f>'Detailed Budget'!$AD$189</f>
        <v>77498869683.252869</v>
      </c>
      <c r="CN38" s="275">
        <f t="shared" si="10"/>
        <v>0</v>
      </c>
      <c r="CO38" s="140">
        <f>'Detailed Budget'!$AD$191</f>
        <v>2684962805.4134097</v>
      </c>
      <c r="CP38" s="616">
        <f t="shared" si="11"/>
        <v>0</v>
      </c>
      <c r="CQ38" s="616">
        <f t="shared" si="12"/>
        <v>0</v>
      </c>
      <c r="CR38" s="199">
        <f>'Detailed Budget'!$AD$195</f>
        <v>18734176418</v>
      </c>
      <c r="CS38" s="275">
        <f t="shared" si="65"/>
        <v>272414294.04515225</v>
      </c>
      <c r="CW38" s="278"/>
      <c r="DH38" s="140">
        <f>'Detailed Budget'!$AD$163</f>
        <v>4928560000</v>
      </c>
      <c r="DI38" s="616">
        <f t="shared" si="66"/>
        <v>5600000</v>
      </c>
    </row>
    <row r="39" spans="1:113" outlineLevel="1">
      <c r="A39" s="214" t="s">
        <v>287</v>
      </c>
      <c r="B39" s="215" t="s">
        <v>288</v>
      </c>
      <c r="C39" s="216" t="s">
        <v>234</v>
      </c>
      <c r="D39" s="217" t="s">
        <v>234</v>
      </c>
      <c r="E39" s="216"/>
      <c r="F39" s="216"/>
      <c r="G39" s="216"/>
      <c r="H39" s="216" t="s">
        <v>234</v>
      </c>
      <c r="I39" s="217" t="s">
        <v>234</v>
      </c>
      <c r="J39" s="217"/>
      <c r="K39" s="216"/>
      <c r="L39" s="216"/>
      <c r="M39" s="217" t="s">
        <v>234</v>
      </c>
      <c r="N39" s="216"/>
      <c r="O39" s="217"/>
      <c r="P39" s="216"/>
      <c r="Q39" s="217" t="s">
        <v>234</v>
      </c>
      <c r="R39" s="217"/>
      <c r="S39" s="217"/>
      <c r="T39" s="217"/>
      <c r="U39" s="218">
        <f t="shared" si="56"/>
        <v>6</v>
      </c>
      <c r="V39" s="867" t="s">
        <v>284</v>
      </c>
      <c r="W39" s="219">
        <v>229274</v>
      </c>
      <c r="X39" s="220">
        <v>9.2799999999999994</v>
      </c>
      <c r="Y39" s="221">
        <f t="shared" si="24"/>
        <v>1.0928</v>
      </c>
      <c r="Z39" s="199">
        <v>19</v>
      </c>
      <c r="AA39" s="221">
        <f t="shared" si="67"/>
        <v>5.3984991883265403</v>
      </c>
      <c r="AB39" s="199">
        <f t="shared" si="30"/>
        <v>1237735.5029043793</v>
      </c>
      <c r="AC39">
        <v>15.7</v>
      </c>
      <c r="AD39" s="199">
        <f t="shared" si="31"/>
        <v>194324.47395598755</v>
      </c>
      <c r="AE39" s="199">
        <f t="shared" si="48"/>
        <v>184608.25025818817</v>
      </c>
      <c r="AF39" s="199">
        <f t="shared" si="49"/>
        <v>184608.25025818817</v>
      </c>
      <c r="AG39" s="614">
        <f t="shared" si="25"/>
        <v>8.5354750465344385E-3</v>
      </c>
      <c r="AH39" s="199">
        <f t="shared" si="68"/>
        <v>61886.77514521897</v>
      </c>
      <c r="AI39" s="252">
        <f t="shared" si="26"/>
        <v>4.7942747028769063E-3</v>
      </c>
      <c r="AJ39" s="199">
        <f t="shared" si="32"/>
        <v>256211.24910120651</v>
      </c>
      <c r="AK39" s="199">
        <f t="shared" si="53"/>
        <v>49509.42011617517</v>
      </c>
      <c r="AL39" s="199">
        <f t="shared" si="54"/>
        <v>49509.42011617517</v>
      </c>
      <c r="AM39" s="199">
        <f t="shared" si="16"/>
        <v>99018.84023235034</v>
      </c>
      <c r="AN39" s="645">
        <f t="shared" si="17"/>
        <v>4.7942747028769054E-3</v>
      </c>
      <c r="AO39" s="199">
        <v>10</v>
      </c>
      <c r="AP39" s="250">
        <f t="shared" si="18"/>
        <v>1.1362345188046814E-3</v>
      </c>
      <c r="AQ39" s="199">
        <v>10</v>
      </c>
      <c r="AU39" s="199">
        <v>0</v>
      </c>
      <c r="AW39" s="250">
        <f t="shared" si="5"/>
        <v>0</v>
      </c>
      <c r="AX39" s="199">
        <v>1</v>
      </c>
      <c r="AY39" s="199">
        <f t="shared" si="57"/>
        <v>66157.788348037575</v>
      </c>
      <c r="AZ39" s="199">
        <f t="shared" si="34"/>
        <v>66157.788348037575</v>
      </c>
      <c r="BA39" s="252">
        <f t="shared" si="6"/>
        <v>5.2004314826565451E-3</v>
      </c>
      <c r="BB39" s="284">
        <v>1</v>
      </c>
      <c r="BC39" s="199">
        <f t="shared" si="58"/>
        <v>139913.62124831101</v>
      </c>
      <c r="BD39" s="270">
        <f t="shared" si="7"/>
        <v>1.2600214070061988E-2</v>
      </c>
      <c r="BE39" s="199">
        <f t="shared" si="59"/>
        <v>598519.37978444167</v>
      </c>
      <c r="BF39" s="251">
        <f t="shared" si="19"/>
        <v>1.2600214350062445E-2</v>
      </c>
      <c r="BG39" s="199">
        <f t="shared" si="36"/>
        <v>738433.00103275268</v>
      </c>
      <c r="BH39" s="636">
        <v>0</v>
      </c>
      <c r="BI39" s="199">
        <f t="shared" si="37"/>
        <v>378747.06388874003</v>
      </c>
      <c r="BJ39" s="199">
        <f t="shared" si="38"/>
        <v>757494.12777748005</v>
      </c>
      <c r="BK39" s="199">
        <f t="shared" si="20"/>
        <v>1136241.1916662201</v>
      </c>
      <c r="BL39" s="251">
        <f t="shared" si="8"/>
        <v>4.7942747028769054E-3</v>
      </c>
      <c r="BM39" s="199">
        <f t="shared" si="60"/>
        <v>99450.669476459298</v>
      </c>
      <c r="BN39" s="251">
        <f t="shared" si="9"/>
        <v>4.2945891941720462E-3</v>
      </c>
      <c r="BT39" s="199">
        <f>'Detailed Budget'!$AD$12</f>
        <v>194045122715</v>
      </c>
      <c r="BU39" s="199">
        <f>'Detailed Budget'!$AD$24</f>
        <v>194045122715</v>
      </c>
      <c r="BV39" s="596">
        <f t="shared" si="61"/>
        <v>0</v>
      </c>
      <c r="BW39" s="278"/>
      <c r="BX39" s="275">
        <f t="shared" si="27"/>
        <v>0</v>
      </c>
      <c r="BY39" s="275">
        <f t="shared" si="28"/>
        <v>0</v>
      </c>
      <c r="CA39" s="199">
        <f>'Detailed Budget'!$AD$96</f>
        <v>71050111380.677719</v>
      </c>
      <c r="CB39" s="275">
        <f t="shared" si="21"/>
        <v>369491236.0703305</v>
      </c>
      <c r="CE39" s="199">
        <f>'Detailed Budget'!$AD$175</f>
        <v>4330586076.5988197</v>
      </c>
      <c r="CF39" s="275">
        <f t="shared" si="62"/>
        <v>54566311.613974988</v>
      </c>
      <c r="CG39" s="199">
        <f>'Detailed Budget'!$AD$176</f>
        <v>20662817754.37001</v>
      </c>
      <c r="CH39" s="275">
        <f t="shared" si="63"/>
        <v>260355932.78133807</v>
      </c>
      <c r="CI39" s="275">
        <f t="shared" si="43"/>
        <v>314922244.39531302</v>
      </c>
      <c r="CJ39" s="275">
        <f>'Detailed Budget'!$AD$178</f>
        <v>46025131033.061455</v>
      </c>
      <c r="CK39" s="275">
        <f t="shared" si="64"/>
        <v>392846357.44617385</v>
      </c>
      <c r="CL39" s="275">
        <f t="shared" si="51"/>
        <v>707768601.84148693</v>
      </c>
      <c r="CM39" s="278">
        <f>'Detailed Budget'!$AD$189</f>
        <v>77498869683.252869</v>
      </c>
      <c r="CN39" s="275">
        <f t="shared" si="10"/>
        <v>0</v>
      </c>
      <c r="CO39" s="140">
        <f>'Detailed Budget'!$AD$191</f>
        <v>2684962805.4134097</v>
      </c>
      <c r="CP39" s="616">
        <f t="shared" si="11"/>
        <v>0</v>
      </c>
      <c r="CQ39" s="616">
        <f t="shared" si="12"/>
        <v>0</v>
      </c>
      <c r="CR39" s="199">
        <f>'Detailed Budget'!$AD$195</f>
        <v>18734176418</v>
      </c>
      <c r="CS39" s="275">
        <f t="shared" si="65"/>
        <v>80455591.606455564</v>
      </c>
      <c r="CW39" s="278"/>
      <c r="DH39" s="140">
        <f>'Detailed Budget'!$AD$163</f>
        <v>4928560000</v>
      </c>
      <c r="DI39" s="616">
        <f t="shared" si="66"/>
        <v>5600000</v>
      </c>
    </row>
    <row r="40" spans="1:113" outlineLevel="1">
      <c r="A40" s="214" t="s">
        <v>289</v>
      </c>
      <c r="B40" s="215" t="s">
        <v>290</v>
      </c>
      <c r="C40" s="216" t="s">
        <v>234</v>
      </c>
      <c r="D40" s="217" t="s">
        <v>234</v>
      </c>
      <c r="E40" s="216"/>
      <c r="F40" s="216"/>
      <c r="G40" s="216"/>
      <c r="H40" s="216" t="s">
        <v>234</v>
      </c>
      <c r="I40" s="217" t="s">
        <v>234</v>
      </c>
      <c r="J40" s="217"/>
      <c r="K40" s="216"/>
      <c r="L40" s="216"/>
      <c r="M40" s="217" t="s">
        <v>234</v>
      </c>
      <c r="N40" s="216"/>
      <c r="O40" s="217"/>
      <c r="P40" s="216"/>
      <c r="Q40" s="217" t="s">
        <v>234</v>
      </c>
      <c r="R40" s="217"/>
      <c r="S40" s="217"/>
      <c r="T40" s="217"/>
      <c r="U40" s="218">
        <f t="shared" si="56"/>
        <v>6</v>
      </c>
      <c r="V40" s="867" t="s">
        <v>284</v>
      </c>
      <c r="W40" s="219">
        <v>158618</v>
      </c>
      <c r="X40" s="220">
        <v>9.2799999999999994</v>
      </c>
      <c r="Y40" s="221">
        <f t="shared" si="24"/>
        <v>1.0928</v>
      </c>
      <c r="Z40" s="199">
        <v>19</v>
      </c>
      <c r="AA40" s="221">
        <f t="shared" si="67"/>
        <v>5.3984991883265403</v>
      </c>
      <c r="AB40" s="199">
        <f t="shared" si="30"/>
        <v>856299.1442539792</v>
      </c>
      <c r="AC40">
        <v>15.7</v>
      </c>
      <c r="AD40" s="199">
        <f t="shared" si="31"/>
        <v>134438.96564787475</v>
      </c>
      <c r="AE40" s="199">
        <f t="shared" si="48"/>
        <v>127717.01736548101</v>
      </c>
      <c r="AF40" s="199">
        <f t="shared" si="49"/>
        <v>127717.01736548101</v>
      </c>
      <c r="AG40" s="614">
        <f t="shared" si="25"/>
        <v>5.9050741947678309E-3</v>
      </c>
      <c r="AH40" s="199">
        <f t="shared" si="68"/>
        <v>42814.957212698966</v>
      </c>
      <c r="AI40" s="252">
        <f t="shared" si="26"/>
        <v>3.3168098642712609E-3</v>
      </c>
      <c r="AJ40" s="199">
        <f t="shared" si="32"/>
        <v>177253.92286057372</v>
      </c>
      <c r="AK40" s="199">
        <f t="shared" si="53"/>
        <v>34251.965770159171</v>
      </c>
      <c r="AL40" s="199">
        <f t="shared" si="54"/>
        <v>34251.965770159171</v>
      </c>
      <c r="AM40" s="199">
        <f t="shared" si="16"/>
        <v>68503.931540318343</v>
      </c>
      <c r="AN40" s="645">
        <f t="shared" si="17"/>
        <v>3.3168098642712609E-3</v>
      </c>
      <c r="AO40" s="199">
        <v>10</v>
      </c>
      <c r="AP40" s="250">
        <f t="shared" si="18"/>
        <v>1.1362345188046814E-3</v>
      </c>
      <c r="AQ40" s="199">
        <v>10</v>
      </c>
      <c r="AU40" s="199">
        <v>0</v>
      </c>
      <c r="AW40" s="250">
        <f t="shared" si="5"/>
        <v>0</v>
      </c>
      <c r="AX40" s="199">
        <v>1</v>
      </c>
      <c r="AY40" s="199">
        <f t="shared" si="57"/>
        <v>45769.760514445705</v>
      </c>
      <c r="AZ40" s="199">
        <f t="shared" si="34"/>
        <v>45769.760514445705</v>
      </c>
      <c r="BA40" s="252">
        <f t="shared" si="6"/>
        <v>3.5978001906714933E-3</v>
      </c>
      <c r="BB40" s="284">
        <v>1</v>
      </c>
      <c r="BC40" s="199">
        <f t="shared" si="58"/>
        <v>96796.055266469819</v>
      </c>
      <c r="BD40" s="270">
        <f t="shared" si="7"/>
        <v>8.717171399134192E-3</v>
      </c>
      <c r="BE40" s="199">
        <f t="shared" si="59"/>
        <v>414072.01419545425</v>
      </c>
      <c r="BF40" s="251">
        <f t="shared" si="19"/>
        <v>8.717171592846136E-3</v>
      </c>
      <c r="BG40" s="199">
        <f t="shared" si="36"/>
        <v>510868.06946192408</v>
      </c>
      <c r="BH40" s="636">
        <v>0</v>
      </c>
      <c r="BI40" s="199">
        <f t="shared" si="37"/>
        <v>262027.53814171767</v>
      </c>
      <c r="BJ40" s="199">
        <f t="shared" si="38"/>
        <v>524055.07628343534</v>
      </c>
      <c r="BK40" s="199">
        <f t="shared" si="20"/>
        <v>786082.61442515301</v>
      </c>
      <c r="BL40" s="251">
        <f t="shared" si="8"/>
        <v>3.3168098642712609E-3</v>
      </c>
      <c r="BM40" s="199">
        <f t="shared" si="60"/>
        <v>68802.682777013615</v>
      </c>
      <c r="BN40" s="251">
        <f t="shared" si="9"/>
        <v>2.9711138149165696E-3</v>
      </c>
      <c r="BT40" s="199">
        <f>'Detailed Budget'!$AD$12</f>
        <v>194045122715</v>
      </c>
      <c r="BU40" s="199">
        <f>'Detailed Budget'!$AD$24</f>
        <v>194045122715</v>
      </c>
      <c r="BV40" s="596">
        <f t="shared" si="61"/>
        <v>0</v>
      </c>
      <c r="BW40" s="278"/>
      <c r="BX40" s="275">
        <f t="shared" si="27"/>
        <v>0</v>
      </c>
      <c r="BY40" s="275">
        <f t="shared" si="28"/>
        <v>0</v>
      </c>
      <c r="CA40" s="199">
        <f>'Detailed Budget'!$AD$96</f>
        <v>71050111380.677719</v>
      </c>
      <c r="CB40" s="275">
        <f t="shared" si="21"/>
        <v>255624104.27263314</v>
      </c>
      <c r="CE40" s="199">
        <f>'Detailed Budget'!$AD$175</f>
        <v>4330586076.5988197</v>
      </c>
      <c r="CF40" s="275">
        <f t="shared" si="62"/>
        <v>37750461.088415988</v>
      </c>
      <c r="CG40" s="199">
        <f>'Detailed Budget'!$AD$176</f>
        <v>20662817754.37001</v>
      </c>
      <c r="CH40" s="275">
        <f t="shared" si="63"/>
        <v>180121327.95655105</v>
      </c>
      <c r="CI40" s="275">
        <f t="shared" si="43"/>
        <v>217871789.04496703</v>
      </c>
      <c r="CJ40" s="275">
        <f>'Detailed Budget'!$AD$178</f>
        <v>46025131033.061455</v>
      </c>
      <c r="CK40" s="275">
        <f t="shared" si="64"/>
        <v>271781813.5741393</v>
      </c>
      <c r="CL40" s="275">
        <f t="shared" si="51"/>
        <v>489653602.61910629</v>
      </c>
      <c r="CM40" s="278">
        <f>'Detailed Budget'!$AD$189</f>
        <v>77498869683.252869</v>
      </c>
      <c r="CN40" s="275">
        <f t="shared" si="10"/>
        <v>0</v>
      </c>
      <c r="CO40" s="140">
        <f>'Detailed Budget'!$AD$191</f>
        <v>2684962805.4134097</v>
      </c>
      <c r="CP40" s="616">
        <f t="shared" si="11"/>
        <v>0</v>
      </c>
      <c r="CQ40" s="616">
        <f t="shared" si="12"/>
        <v>0</v>
      </c>
      <c r="CR40" s="199">
        <f>'Detailed Budget'!$AD$195</f>
        <v>18734176418</v>
      </c>
      <c r="CS40" s="275">
        <f t="shared" si="65"/>
        <v>55661370.366604015</v>
      </c>
      <c r="CW40" s="278"/>
      <c r="DH40" s="140">
        <f>'Detailed Budget'!$AD$163</f>
        <v>4928560000</v>
      </c>
      <c r="DI40" s="616">
        <f t="shared" si="66"/>
        <v>5600000</v>
      </c>
    </row>
    <row r="41" spans="1:113" outlineLevel="1">
      <c r="A41" s="214" t="s">
        <v>291</v>
      </c>
      <c r="B41" s="215" t="s">
        <v>292</v>
      </c>
      <c r="C41" s="216" t="s">
        <v>234</v>
      </c>
      <c r="D41" s="217" t="s">
        <v>234</v>
      </c>
      <c r="E41" s="216"/>
      <c r="F41" s="216"/>
      <c r="G41" s="216"/>
      <c r="H41" s="216" t="s">
        <v>234</v>
      </c>
      <c r="I41" s="217" t="s">
        <v>234</v>
      </c>
      <c r="J41" s="217"/>
      <c r="K41" s="216"/>
      <c r="L41" s="216"/>
      <c r="M41" s="217" t="s">
        <v>234</v>
      </c>
      <c r="N41" s="216"/>
      <c r="O41" s="217"/>
      <c r="P41" s="216"/>
      <c r="Q41" s="217" t="s">
        <v>234</v>
      </c>
      <c r="R41" s="217"/>
      <c r="S41" s="217"/>
      <c r="T41" s="217"/>
      <c r="U41" s="218">
        <f t="shared" si="56"/>
        <v>6</v>
      </c>
      <c r="V41" s="867" t="s">
        <v>284</v>
      </c>
      <c r="W41" s="219">
        <v>97233</v>
      </c>
      <c r="X41" s="220">
        <v>9.2799999999999994</v>
      </c>
      <c r="Y41" s="221">
        <f t="shared" si="24"/>
        <v>1.0928</v>
      </c>
      <c r="Z41" s="199">
        <v>19</v>
      </c>
      <c r="AA41" s="221">
        <f t="shared" si="67"/>
        <v>5.3984991883265403</v>
      </c>
      <c r="AB41" s="199">
        <f t="shared" si="30"/>
        <v>524912.27157855453</v>
      </c>
      <c r="AC41">
        <v>15.7</v>
      </c>
      <c r="AD41" s="199">
        <f t="shared" si="31"/>
        <v>82411.226637833053</v>
      </c>
      <c r="AE41" s="199">
        <f t="shared" si="48"/>
        <v>78290.665305941395</v>
      </c>
      <c r="AF41" s="199">
        <f t="shared" si="49"/>
        <v>78290.665305941395</v>
      </c>
      <c r="AG41" s="614">
        <f t="shared" si="25"/>
        <v>3.6198166612859848E-3</v>
      </c>
      <c r="AH41" s="199">
        <f t="shared" si="68"/>
        <v>26245.613578927729</v>
      </c>
      <c r="AI41" s="252">
        <f t="shared" si="26"/>
        <v>2.0332079179707697E-3</v>
      </c>
      <c r="AJ41" s="199">
        <f t="shared" si="32"/>
        <v>108656.84021676079</v>
      </c>
      <c r="AK41" s="199">
        <f t="shared" si="53"/>
        <v>20996.490863142182</v>
      </c>
      <c r="AL41" s="199">
        <f t="shared" si="54"/>
        <v>20996.490863142182</v>
      </c>
      <c r="AM41" s="199">
        <f t="shared" si="16"/>
        <v>41992.981726284364</v>
      </c>
      <c r="AN41" s="645">
        <f t="shared" si="17"/>
        <v>2.0332079179707693E-3</v>
      </c>
      <c r="AO41" s="199">
        <v>10</v>
      </c>
      <c r="AP41" s="250">
        <f t="shared" si="18"/>
        <v>1.1362345188046814E-3</v>
      </c>
      <c r="AQ41" s="199">
        <v>10</v>
      </c>
      <c r="AU41" s="199">
        <v>0</v>
      </c>
      <c r="AW41" s="250">
        <f t="shared" si="5"/>
        <v>0</v>
      </c>
      <c r="AX41" s="199">
        <v>1</v>
      </c>
      <c r="AY41" s="199">
        <f t="shared" si="57"/>
        <v>28056.911095216801</v>
      </c>
      <c r="AZ41" s="199">
        <f t="shared" si="34"/>
        <v>28056.911095216801</v>
      </c>
      <c r="BA41" s="252">
        <f t="shared" si="6"/>
        <v>2.2054552821215829E-3</v>
      </c>
      <c r="BB41" s="284">
        <v>1</v>
      </c>
      <c r="BC41" s="199">
        <f t="shared" si="58"/>
        <v>59336.083179239795</v>
      </c>
      <c r="BD41" s="270">
        <f t="shared" si="7"/>
        <v>5.3436351905333237E-3</v>
      </c>
      <c r="BE41" s="199">
        <f t="shared" si="59"/>
        <v>253826.57804452581</v>
      </c>
      <c r="BF41" s="251">
        <f t="shared" si="19"/>
        <v>5.3436353092789482E-3</v>
      </c>
      <c r="BG41" s="199">
        <f t="shared" si="36"/>
        <v>313162.66122376558</v>
      </c>
      <c r="BH41" s="636">
        <v>0</v>
      </c>
      <c r="BI41" s="199">
        <f t="shared" si="37"/>
        <v>160623.15510303769</v>
      </c>
      <c r="BJ41" s="199">
        <f t="shared" si="38"/>
        <v>321246.31020607537</v>
      </c>
      <c r="BK41" s="199">
        <f t="shared" si="20"/>
        <v>481869.46530911303</v>
      </c>
      <c r="BL41" s="251">
        <f t="shared" si="8"/>
        <v>2.0332079179707693E-3</v>
      </c>
      <c r="BM41" s="199">
        <f t="shared" si="60"/>
        <v>42176.116547033533</v>
      </c>
      <c r="BN41" s="251">
        <f t="shared" si="9"/>
        <v>1.8212958779317784E-3</v>
      </c>
      <c r="BT41" s="199">
        <f>'Detailed Budget'!$AD$12</f>
        <v>194045122715</v>
      </c>
      <c r="BU41" s="199">
        <f>'Detailed Budget'!$AD$24</f>
        <v>194045122715</v>
      </c>
      <c r="BV41" s="596">
        <f t="shared" si="61"/>
        <v>0</v>
      </c>
      <c r="BW41" s="278"/>
      <c r="BX41" s="275">
        <f t="shared" si="27"/>
        <v>0</v>
      </c>
      <c r="BY41" s="275">
        <f t="shared" si="28"/>
        <v>0</v>
      </c>
      <c r="CA41" s="199">
        <f>'Detailed Budget'!$AD$96</f>
        <v>71050111380.677719</v>
      </c>
      <c r="CB41" s="275">
        <f t="shared" si="21"/>
        <v>156697843.43984246</v>
      </c>
      <c r="CE41" s="199">
        <f>'Detailed Budget'!$AD$175</f>
        <v>4330586076.5988197</v>
      </c>
      <c r="CF41" s="275">
        <f t="shared" si="62"/>
        <v>23141072.154547092</v>
      </c>
      <c r="CG41" s="199">
        <f>'Detailed Budget'!$AD$176</f>
        <v>20662817754.37001</v>
      </c>
      <c r="CH41" s="275">
        <f t="shared" si="63"/>
        <v>110414562.54144754</v>
      </c>
      <c r="CI41" s="275">
        <f t="shared" si="43"/>
        <v>133555634.69599463</v>
      </c>
      <c r="CJ41" s="275">
        <f>'Detailed Budget'!$AD$178</f>
        <v>46025131033.061455</v>
      </c>
      <c r="CK41" s="275">
        <f t="shared" si="64"/>
        <v>166602536.15134647</v>
      </c>
      <c r="CL41" s="275">
        <f t="shared" si="51"/>
        <v>300158170.84734112</v>
      </c>
      <c r="CM41" s="278">
        <f>'Detailed Budget'!$AD$189</f>
        <v>77498869683.252869</v>
      </c>
      <c r="CN41" s="275">
        <f t="shared" si="10"/>
        <v>0</v>
      </c>
      <c r="CO41" s="140">
        <f>'Detailed Budget'!$AD$191</f>
        <v>2684962805.4134097</v>
      </c>
      <c r="CP41" s="616">
        <f t="shared" si="11"/>
        <v>0</v>
      </c>
      <c r="CQ41" s="616">
        <f t="shared" si="12"/>
        <v>0</v>
      </c>
      <c r="CR41" s="199">
        <f>'Detailed Budget'!$AD$195</f>
        <v>18734176418</v>
      </c>
      <c r="CS41" s="275">
        <f t="shared" si="65"/>
        <v>34120478.286550127</v>
      </c>
      <c r="CW41" s="278"/>
      <c r="DH41" s="140">
        <f>'Detailed Budget'!$AD$163</f>
        <v>4928560000</v>
      </c>
      <c r="DI41" s="616">
        <f t="shared" si="66"/>
        <v>5600000</v>
      </c>
    </row>
    <row r="42" spans="1:113" outlineLevel="1">
      <c r="A42" s="214" t="s">
        <v>293</v>
      </c>
      <c r="B42" s="215" t="s">
        <v>294</v>
      </c>
      <c r="C42" s="216" t="s">
        <v>234</v>
      </c>
      <c r="D42" s="217" t="s">
        <v>234</v>
      </c>
      <c r="E42" s="216"/>
      <c r="F42" s="216"/>
      <c r="G42" s="216"/>
      <c r="H42" s="216" t="s">
        <v>234</v>
      </c>
      <c r="I42" s="217" t="s">
        <v>234</v>
      </c>
      <c r="J42" s="217"/>
      <c r="K42" s="216"/>
      <c r="L42" s="216"/>
      <c r="M42" s="217" t="s">
        <v>234</v>
      </c>
      <c r="N42" s="216"/>
      <c r="O42" s="217"/>
      <c r="P42" s="216"/>
      <c r="Q42" s="217"/>
      <c r="R42" s="217" t="s">
        <v>234</v>
      </c>
      <c r="S42" s="217"/>
      <c r="T42" s="217"/>
      <c r="U42" s="218">
        <f t="shared" si="56"/>
        <v>6</v>
      </c>
      <c r="V42" s="867" t="s">
        <v>238</v>
      </c>
      <c r="W42" s="219">
        <v>86174</v>
      </c>
      <c r="X42" s="220">
        <v>9.2799999999999994</v>
      </c>
      <c r="Y42" s="221">
        <f t="shared" si="24"/>
        <v>1.0928</v>
      </c>
      <c r="Z42" s="199">
        <v>19</v>
      </c>
      <c r="AA42" s="221">
        <f t="shared" si="67"/>
        <v>5.3984991883265403</v>
      </c>
      <c r="AB42" s="199">
        <f t="shared" si="30"/>
        <v>465210.26905485126</v>
      </c>
      <c r="AC42">
        <v>15.7</v>
      </c>
      <c r="AD42" s="199">
        <f t="shared" si="31"/>
        <v>73038.01224161165</v>
      </c>
      <c r="AE42" s="199">
        <f t="shared" si="48"/>
        <v>69386.111629531064</v>
      </c>
      <c r="AF42" s="199">
        <f t="shared" si="49"/>
        <v>69386.111629531064</v>
      </c>
      <c r="AG42" s="614">
        <f t="shared" si="25"/>
        <v>3.2081091910118836E-3</v>
      </c>
      <c r="AH42" s="199">
        <f t="shared" si="68"/>
        <v>23260.513452742565</v>
      </c>
      <c r="AI42" s="252">
        <f t="shared" si="26"/>
        <v>1.8019567340636724E-3</v>
      </c>
      <c r="AJ42" s="199">
        <f t="shared" si="32"/>
        <v>96298.525694354219</v>
      </c>
      <c r="AK42" s="199">
        <f t="shared" si="53"/>
        <v>18608.410762194049</v>
      </c>
      <c r="AL42" s="199">
        <f t="shared" si="54"/>
        <v>18608.410762194049</v>
      </c>
      <c r="AM42" s="199">
        <f t="shared" si="16"/>
        <v>37216.821524388099</v>
      </c>
      <c r="AN42" s="645">
        <f t="shared" si="17"/>
        <v>1.8019567340636722E-3</v>
      </c>
      <c r="AO42" s="199">
        <v>12</v>
      </c>
      <c r="AP42" s="250">
        <f t="shared" si="18"/>
        <v>1.3634814225656176E-3</v>
      </c>
      <c r="AQ42" s="199">
        <v>12</v>
      </c>
      <c r="AU42" s="199">
        <v>0</v>
      </c>
      <c r="AW42" s="250">
        <f t="shared" si="5"/>
        <v>0</v>
      </c>
      <c r="AX42" s="199">
        <v>1</v>
      </c>
      <c r="AY42" s="199">
        <f t="shared" si="57"/>
        <v>24865.799231939902</v>
      </c>
      <c r="AZ42" s="199">
        <f t="shared" si="34"/>
        <v>24865.799231939902</v>
      </c>
      <c r="BA42" s="252">
        <f t="shared" si="6"/>
        <v>1.9546131815489113E-3</v>
      </c>
      <c r="BB42" s="284">
        <v>1</v>
      </c>
      <c r="BC42" s="199">
        <f t="shared" si="58"/>
        <v>52587.368813960384</v>
      </c>
      <c r="BD42" s="270">
        <f t="shared" si="7"/>
        <v>4.735865589964504E-3</v>
      </c>
      <c r="BE42" s="199">
        <f t="shared" si="59"/>
        <v>224957.07770416388</v>
      </c>
      <c r="BF42" s="251">
        <f t="shared" si="19"/>
        <v>4.7358656952043452E-3</v>
      </c>
      <c r="BG42" s="199">
        <f t="shared" si="36"/>
        <v>277544.44651812426</v>
      </c>
      <c r="BH42" s="636">
        <v>0</v>
      </c>
      <c r="BI42" s="199">
        <f t="shared" si="37"/>
        <v>142354.34233078448</v>
      </c>
      <c r="BJ42" s="199">
        <f t="shared" si="38"/>
        <v>284708.68466156896</v>
      </c>
      <c r="BK42" s="199">
        <f t="shared" si="20"/>
        <v>427063.02699235344</v>
      </c>
      <c r="BL42" s="251">
        <f t="shared" si="8"/>
        <v>1.8019567340636722E-3</v>
      </c>
      <c r="BM42" s="199">
        <f t="shared" si="60"/>
        <v>37379.127120669596</v>
      </c>
      <c r="BN42" s="251">
        <f t="shared" si="9"/>
        <v>1.6141469561249066E-3</v>
      </c>
      <c r="BT42" s="199">
        <f>'Detailed Budget'!$AD$12</f>
        <v>194045122715</v>
      </c>
      <c r="BU42" s="199">
        <f>'Detailed Budget'!$AD$24</f>
        <v>194045122715</v>
      </c>
      <c r="BV42" s="596">
        <f t="shared" si="61"/>
        <v>0</v>
      </c>
      <c r="BW42" s="278"/>
      <c r="BX42" s="275">
        <f t="shared" si="27"/>
        <v>0</v>
      </c>
      <c r="BY42" s="275">
        <f t="shared" si="28"/>
        <v>0</v>
      </c>
      <c r="CA42" s="199">
        <f>'Detailed Budget'!$AD$96</f>
        <v>71050111380.677719</v>
      </c>
      <c r="CB42" s="275">
        <f t="shared" si="21"/>
        <v>138875484.255191</v>
      </c>
      <c r="CE42" s="199">
        <f>'Detailed Budget'!$AD$175</f>
        <v>4330586076.5988197</v>
      </c>
      <c r="CF42" s="275">
        <f t="shared" si="62"/>
        <v>20509073.584543735</v>
      </c>
      <c r="CG42" s="199">
        <f>'Detailed Budget'!$AD$176</f>
        <v>20662817754.37001</v>
      </c>
      <c r="CH42" s="275">
        <f t="shared" si="63"/>
        <v>97856329.769180208</v>
      </c>
      <c r="CI42" s="275">
        <f t="shared" si="43"/>
        <v>118365403.35372394</v>
      </c>
      <c r="CJ42" s="275">
        <f>'Detailed Budget'!$AD$178</f>
        <v>46025131033.061455</v>
      </c>
      <c r="CK42" s="275">
        <f t="shared" si="64"/>
        <v>147653645.88469073</v>
      </c>
      <c r="CL42" s="275">
        <f t="shared" si="51"/>
        <v>266019049.23841467</v>
      </c>
      <c r="CM42" s="278">
        <f>'Detailed Budget'!$AD$189</f>
        <v>77498869683.252869</v>
      </c>
      <c r="CN42" s="275">
        <f t="shared" si="10"/>
        <v>0</v>
      </c>
      <c r="CO42" s="140">
        <f>'Detailed Budget'!$AD$191</f>
        <v>2684962805.4134097</v>
      </c>
      <c r="CP42" s="616">
        <f t="shared" si="11"/>
        <v>0</v>
      </c>
      <c r="CQ42" s="616">
        <f t="shared" si="12"/>
        <v>0</v>
      </c>
      <c r="CR42" s="199">
        <f>'Detailed Budget'!$AD$195</f>
        <v>18734176418</v>
      </c>
      <c r="CS42" s="275">
        <f t="shared" si="65"/>
        <v>30239713.840621706</v>
      </c>
      <c r="CW42" s="278"/>
      <c r="DH42" s="140">
        <f>'Detailed Budget'!$AD$163</f>
        <v>4928560000</v>
      </c>
      <c r="DI42" s="616">
        <f t="shared" si="66"/>
        <v>6720000</v>
      </c>
    </row>
    <row r="43" spans="1:113" outlineLevel="1">
      <c r="A43" s="214"/>
      <c r="B43" s="215"/>
      <c r="C43" s="216"/>
      <c r="D43" s="217"/>
      <c r="E43" s="216"/>
      <c r="F43" s="216"/>
      <c r="G43" s="216"/>
      <c r="H43" s="216"/>
      <c r="I43" s="217"/>
      <c r="J43" s="217"/>
      <c r="K43" s="216"/>
      <c r="L43" s="216"/>
      <c r="M43" s="217"/>
      <c r="N43" s="216"/>
      <c r="O43" s="217"/>
      <c r="P43" s="216"/>
      <c r="Q43" s="217"/>
      <c r="R43" s="217"/>
      <c r="S43" s="217"/>
      <c r="T43" s="217"/>
      <c r="U43" s="218"/>
      <c r="V43" s="867"/>
      <c r="W43" s="219"/>
      <c r="X43" s="220"/>
      <c r="Y43" s="221"/>
      <c r="Z43" s="199"/>
      <c r="AA43" s="221"/>
      <c r="AF43" s="199">
        <f t="shared" si="49"/>
        <v>0</v>
      </c>
      <c r="AG43" s="614">
        <f t="shared" si="25"/>
        <v>0</v>
      </c>
      <c r="AJ43" s="199"/>
      <c r="AK43" s="199">
        <f t="shared" si="53"/>
        <v>0</v>
      </c>
      <c r="AL43" s="199">
        <f t="shared" si="54"/>
        <v>0</v>
      </c>
      <c r="AM43" s="199">
        <f t="shared" si="16"/>
        <v>0</v>
      </c>
      <c r="AN43" s="645">
        <f t="shared" si="17"/>
        <v>0</v>
      </c>
      <c r="AP43" s="250">
        <f t="shared" si="18"/>
        <v>0</v>
      </c>
      <c r="AW43" s="250">
        <f t="shared" si="5"/>
        <v>0</v>
      </c>
      <c r="AX43" s="199"/>
      <c r="BA43" s="252">
        <f t="shared" si="6"/>
        <v>0</v>
      </c>
      <c r="BB43" s="284"/>
      <c r="BD43" s="270"/>
      <c r="BF43" s="251"/>
      <c r="BG43" s="199"/>
      <c r="BH43" s="636"/>
      <c r="BI43" s="199">
        <f t="shared" ref="BI43:BI70" si="69">AK43*0.85*0.75*12</f>
        <v>0</v>
      </c>
      <c r="BJ43" s="199">
        <f t="shared" ref="BJ43:BJ70" si="70">AL43*0.85*0.75*2*12</f>
        <v>0</v>
      </c>
      <c r="BK43" s="199">
        <f t="shared" si="20"/>
        <v>0</v>
      </c>
      <c r="BL43" s="251">
        <f t="shared" si="8"/>
        <v>0</v>
      </c>
      <c r="BN43" s="251">
        <f t="shared" si="9"/>
        <v>0</v>
      </c>
      <c r="BT43" s="199"/>
      <c r="BU43" s="199"/>
      <c r="BV43" s="596"/>
      <c r="BW43" s="278"/>
      <c r="BX43" s="275"/>
      <c r="BY43" s="275"/>
      <c r="CA43" s="199">
        <f>'Detailed Budget'!$AD$96</f>
        <v>71050111380.677719</v>
      </c>
      <c r="CB43" s="275">
        <f t="shared" si="21"/>
        <v>0</v>
      </c>
      <c r="CE43" s="199"/>
      <c r="CF43" s="275"/>
      <c r="CG43" s="199"/>
      <c r="CH43" s="275"/>
      <c r="CI43" s="275"/>
      <c r="CJ43" s="275"/>
      <c r="CK43" s="275"/>
      <c r="CL43" s="275"/>
      <c r="CM43" s="278">
        <f>'Detailed Budget'!$AD$189</f>
        <v>77498869683.252869</v>
      </c>
      <c r="CN43" s="275">
        <f t="shared" si="10"/>
        <v>0</v>
      </c>
      <c r="CO43" s="140">
        <f>'Detailed Budget'!$AD$191</f>
        <v>2684962805.4134097</v>
      </c>
      <c r="CP43" s="616">
        <f t="shared" si="11"/>
        <v>0</v>
      </c>
      <c r="CQ43" s="616">
        <f t="shared" si="12"/>
        <v>0</v>
      </c>
      <c r="CR43" s="199">
        <f>'Detailed Budget'!$AD$195</f>
        <v>18734176418</v>
      </c>
      <c r="CS43" s="275">
        <f t="shared" si="65"/>
        <v>0</v>
      </c>
      <c r="CW43" s="278"/>
      <c r="DH43" s="140">
        <f>'Detailed Budget'!$AD$163</f>
        <v>4928560000</v>
      </c>
      <c r="DI43" s="616">
        <f t="shared" si="66"/>
        <v>0</v>
      </c>
    </row>
    <row r="44" spans="1:113" s="213" customFormat="1">
      <c r="A44" s="206">
        <v>1.3</v>
      </c>
      <c r="B44" s="207" t="s">
        <v>295</v>
      </c>
      <c r="C44" s="208">
        <f>COUNTA(C46:C66)</f>
        <v>21</v>
      </c>
      <c r="D44" s="208">
        <f t="shared" ref="D44:Q44" si="71">COUNTA(D46:D66)</f>
        <v>9</v>
      </c>
      <c r="E44" s="208">
        <f t="shared" si="71"/>
        <v>0</v>
      </c>
      <c r="F44" s="208">
        <f t="shared" si="71"/>
        <v>0</v>
      </c>
      <c r="G44" s="208">
        <f t="shared" si="71"/>
        <v>12</v>
      </c>
      <c r="H44" s="208">
        <f t="shared" si="71"/>
        <v>21</v>
      </c>
      <c r="I44" s="208">
        <f t="shared" si="71"/>
        <v>21</v>
      </c>
      <c r="J44" s="208">
        <f t="shared" si="71"/>
        <v>0</v>
      </c>
      <c r="K44" s="208">
        <f t="shared" si="71"/>
        <v>1</v>
      </c>
      <c r="L44" s="208">
        <f t="shared" si="71"/>
        <v>0</v>
      </c>
      <c r="M44" s="208">
        <f t="shared" si="71"/>
        <v>14</v>
      </c>
      <c r="N44" s="208">
        <f t="shared" si="71"/>
        <v>6</v>
      </c>
      <c r="O44" s="208">
        <f t="shared" si="71"/>
        <v>0</v>
      </c>
      <c r="P44" s="208">
        <f t="shared" si="71"/>
        <v>0</v>
      </c>
      <c r="Q44" s="208">
        <f t="shared" si="71"/>
        <v>0</v>
      </c>
      <c r="R44" s="208">
        <f>COUNTA(R46:R66)</f>
        <v>21</v>
      </c>
      <c r="S44" s="208">
        <f>COUNTA(S46:S66)</f>
        <v>0</v>
      </c>
      <c r="T44" s="208">
        <f>COUNTA(T46:T66)</f>
        <v>0</v>
      </c>
      <c r="U44" s="209">
        <f>SUM(C44:T44)</f>
        <v>126</v>
      </c>
      <c r="V44" s="866"/>
      <c r="W44" s="210">
        <f>SUM(W46:W66)</f>
        <v>3314043</v>
      </c>
      <c r="X44" s="211">
        <v>3.03</v>
      </c>
      <c r="Y44" s="212">
        <f t="shared" si="24"/>
        <v>1.0303</v>
      </c>
      <c r="Z44" s="210">
        <v>19</v>
      </c>
      <c r="AA44" s="212">
        <f t="shared" si="67"/>
        <v>1.7632354008841205</v>
      </c>
      <c r="AB44" s="210">
        <f>SUM(AB46:AB66)</f>
        <v>5843437.9376522126</v>
      </c>
      <c r="AC44" s="213">
        <v>18.8</v>
      </c>
      <c r="AD44" s="210">
        <f>SUM(AD46:AD66)</f>
        <v>1098566.332278616</v>
      </c>
      <c r="AE44" s="210">
        <f>SUM(AE46:AE66)</f>
        <v>1043638.0156646852</v>
      </c>
      <c r="AF44" s="210">
        <f>SUM(AF46:AF66)</f>
        <v>526271.41719591303</v>
      </c>
      <c r="AG44" s="614">
        <f t="shared" si="25"/>
        <v>4.8253240187598453E-2</v>
      </c>
      <c r="AH44" s="210">
        <f>SUM(AH46:AH66)</f>
        <v>292171.89688261069</v>
      </c>
      <c r="AI44" s="252">
        <f t="shared" si="26"/>
        <v>2.2634114167832425E-2</v>
      </c>
      <c r="AJ44" s="210">
        <f>SUM(AJ46:AJ66)</f>
        <v>1390738.2291612267</v>
      </c>
      <c r="AK44" s="199">
        <f t="shared" si="53"/>
        <v>233737.51750608851</v>
      </c>
      <c r="AL44" s="199">
        <f t="shared" si="54"/>
        <v>233737.51750608851</v>
      </c>
      <c r="AM44" s="199">
        <f t="shared" si="16"/>
        <v>467475.03501217702</v>
      </c>
      <c r="AN44" s="645">
        <f t="shared" si="17"/>
        <v>2.2634114167832422E-2</v>
      </c>
      <c r="AO44" s="210">
        <f>SUM(AO46:AO66)</f>
        <v>239</v>
      </c>
      <c r="AP44" s="250">
        <f t="shared" si="18"/>
        <v>2.7156004999431882E-2</v>
      </c>
      <c r="AQ44" s="210">
        <f>SUM(AQ46:AQ66)</f>
        <v>239</v>
      </c>
      <c r="AR44" s="210"/>
      <c r="AS44" s="210"/>
      <c r="AT44" s="210"/>
      <c r="AU44" s="199"/>
      <c r="AV44" s="199"/>
      <c r="AW44" s="250">
        <f t="shared" si="5"/>
        <v>0</v>
      </c>
      <c r="AX44" s="199"/>
      <c r="AY44" s="210">
        <v>493239</v>
      </c>
      <c r="AZ44" s="210">
        <f>SUM(AZ46:AZ66)</f>
        <v>493239.08127429773</v>
      </c>
      <c r="BA44" s="252">
        <f t="shared" si="6"/>
        <v>3.8771792570232361E-2</v>
      </c>
      <c r="BB44" s="284"/>
      <c r="BC44" s="210">
        <f>SUM(BC46:BC66)</f>
        <v>398858.33724321832</v>
      </c>
      <c r="BD44" s="270">
        <f t="shared" si="7"/>
        <v>3.5920022568597464E-2</v>
      </c>
      <c r="BE44" s="210">
        <f>SUM(BE46:BE66)</f>
        <v>1706227.3315404344</v>
      </c>
      <c r="BF44" s="251">
        <f t="shared" si="19"/>
        <v>3.5920023366807927E-2</v>
      </c>
      <c r="BG44" s="210">
        <f>SUM(BG46:BG66)</f>
        <v>2105085.6687836531</v>
      </c>
      <c r="BH44"/>
      <c r="BI44" s="199">
        <f t="shared" si="69"/>
        <v>1788092.0089215771</v>
      </c>
      <c r="BJ44" s="199">
        <f t="shared" si="70"/>
        <v>3576184.0178431543</v>
      </c>
      <c r="BK44" s="199">
        <f t="shared" si="20"/>
        <v>5364276.0267647319</v>
      </c>
      <c r="BL44" s="251">
        <f t="shared" si="8"/>
        <v>2.2634114167832425E-2</v>
      </c>
      <c r="BM44" s="210">
        <v>609435</v>
      </c>
      <c r="BN44" s="251">
        <f t="shared" si="9"/>
        <v>2.6317298609737048E-2</v>
      </c>
      <c r="BT44" s="210">
        <f>'Detailed Budget'!$AD$12</f>
        <v>194045122715</v>
      </c>
      <c r="BU44" s="210">
        <f>'Detailed Budget'!$AD$24</f>
        <v>194045122715</v>
      </c>
      <c r="BV44" s="596">
        <f>AV44/34743979</f>
        <v>0</v>
      </c>
      <c r="BW44" s="278"/>
      <c r="BX44" s="613">
        <f t="shared" si="27"/>
        <v>0</v>
      </c>
      <c r="BY44" s="613">
        <f t="shared" si="28"/>
        <v>0</v>
      </c>
      <c r="CA44" s="210">
        <f>'Detailed Budget'!$AD$96</f>
        <v>71050111380.677719</v>
      </c>
      <c r="CB44" s="613">
        <f t="shared" si="21"/>
        <v>2754740180.5435419</v>
      </c>
      <c r="CE44" s="210">
        <f>'Detailed Budget'!$AD$175</f>
        <v>4330586076.5988197</v>
      </c>
      <c r="CF44" s="613">
        <f>SUM(CF46:CF66)</f>
        <v>155554749.60668355</v>
      </c>
      <c r="CG44" s="240">
        <f>'Detailed Budget'!$AD$176</f>
        <v>20662817754.37001</v>
      </c>
      <c r="CH44" s="613">
        <f>SUM(CH46:CH66)</f>
        <v>742208896.56106448</v>
      </c>
      <c r="CI44" s="613">
        <f>SUM(CI46:CI66)</f>
        <v>897763646.16774786</v>
      </c>
      <c r="CJ44" s="275">
        <f>'Detailed Budget'!$AD$178</f>
        <v>46025131033.061455</v>
      </c>
      <c r="CK44" s="613">
        <f>SUM(CK46:CK66)</f>
        <v>1119905578.3493087</v>
      </c>
      <c r="CL44" s="613">
        <f>SUM(CL46:CL66)</f>
        <v>2017669224.5170567</v>
      </c>
      <c r="CM44" s="278">
        <f>'Detailed Budget'!$AD$189</f>
        <v>77498869683.252869</v>
      </c>
      <c r="CN44" s="275">
        <f t="shared" si="10"/>
        <v>0</v>
      </c>
      <c r="CO44" s="140">
        <f>'Detailed Budget'!$AD$191</f>
        <v>2684962805.4134097</v>
      </c>
      <c r="CP44" s="616">
        <f t="shared" si="11"/>
        <v>0</v>
      </c>
      <c r="CQ44" s="616">
        <f t="shared" si="12"/>
        <v>0</v>
      </c>
      <c r="CR44" s="210">
        <f>'Detailed Budget'!$AD$195</f>
        <v>18734176418</v>
      </c>
      <c r="CS44" s="275">
        <f t="shared" si="65"/>
        <v>493032915</v>
      </c>
      <c r="CW44" s="278"/>
      <c r="DH44" s="140">
        <f>'Detailed Budget'!$AD$163</f>
        <v>4928560000</v>
      </c>
      <c r="DI44" s="616">
        <f t="shared" si="66"/>
        <v>133840000</v>
      </c>
    </row>
    <row r="45" spans="1:113" s="213" customFormat="1">
      <c r="A45" s="214" t="s">
        <v>2321</v>
      </c>
      <c r="B45" s="215" t="s">
        <v>2318</v>
      </c>
      <c r="C45" s="208"/>
      <c r="D45" s="208"/>
      <c r="E45" s="208"/>
      <c r="F45" s="208"/>
      <c r="G45" s="208"/>
      <c r="H45" s="208"/>
      <c r="I45" s="208"/>
      <c r="J45" s="208"/>
      <c r="K45" s="208"/>
      <c r="L45" s="208"/>
      <c r="M45" s="208"/>
      <c r="N45" s="208"/>
      <c r="O45" s="208"/>
      <c r="P45" s="208"/>
      <c r="Q45" s="208"/>
      <c r="R45" s="208"/>
      <c r="S45" s="208"/>
      <c r="T45" s="208"/>
      <c r="U45" s="209"/>
      <c r="V45" s="866"/>
      <c r="W45" s="210"/>
      <c r="X45" s="211"/>
      <c r="Y45" s="212"/>
      <c r="Z45" s="210"/>
      <c r="AA45" s="212"/>
      <c r="AB45" s="210"/>
      <c r="AD45" s="210"/>
      <c r="AE45" s="210"/>
      <c r="AF45" s="199"/>
      <c r="AG45" s="614">
        <f t="shared" si="25"/>
        <v>0</v>
      </c>
      <c r="AH45" s="210"/>
      <c r="AI45" s="252"/>
      <c r="AJ45" s="199"/>
      <c r="AK45" s="199">
        <f t="shared" si="53"/>
        <v>0</v>
      </c>
      <c r="AL45" s="199">
        <f t="shared" si="54"/>
        <v>0</v>
      </c>
      <c r="AM45" s="199">
        <f t="shared" si="16"/>
        <v>0</v>
      </c>
      <c r="AN45" s="645">
        <f t="shared" si="17"/>
        <v>0</v>
      </c>
      <c r="AO45" s="210"/>
      <c r="AP45" s="250"/>
      <c r="AQ45" s="210"/>
      <c r="AR45" s="210"/>
      <c r="AS45" s="210"/>
      <c r="AT45" s="210"/>
      <c r="AU45" s="199"/>
      <c r="AV45" s="199"/>
      <c r="AW45" s="250">
        <f t="shared" si="5"/>
        <v>0</v>
      </c>
      <c r="AX45" s="199"/>
      <c r="AY45" s="210"/>
      <c r="AZ45" s="199"/>
      <c r="BA45" s="252">
        <f t="shared" si="6"/>
        <v>0</v>
      </c>
      <c r="BB45" s="284"/>
      <c r="BC45" s="210"/>
      <c r="BD45" s="270">
        <f t="shared" si="7"/>
        <v>0</v>
      </c>
      <c r="BE45" s="210"/>
      <c r="BF45" s="251">
        <f t="shared" si="19"/>
        <v>0</v>
      </c>
      <c r="BG45" s="204"/>
      <c r="BH45"/>
      <c r="BI45" s="199">
        <f t="shared" si="69"/>
        <v>0</v>
      </c>
      <c r="BJ45" s="199">
        <f t="shared" si="70"/>
        <v>0</v>
      </c>
      <c r="BK45" s="199">
        <f t="shared" si="20"/>
        <v>0</v>
      </c>
      <c r="BL45" s="251">
        <f t="shared" si="8"/>
        <v>0</v>
      </c>
      <c r="BM45" s="210"/>
      <c r="BN45" s="251">
        <f t="shared" si="9"/>
        <v>0</v>
      </c>
      <c r="BT45" s="210"/>
      <c r="BU45" s="210">
        <f>'Detailed Budget'!$AD$24</f>
        <v>194045122715</v>
      </c>
      <c r="BV45" s="596"/>
      <c r="BW45" s="278"/>
      <c r="BX45" s="275"/>
      <c r="BY45" s="275"/>
      <c r="CA45" s="210">
        <f>'Detailed Budget'!$AD$96</f>
        <v>71050111380.677719</v>
      </c>
      <c r="CB45" s="275"/>
      <c r="CE45" s="210"/>
      <c r="CF45" s="275"/>
      <c r="CG45" s="240"/>
      <c r="CH45" s="275"/>
      <c r="CI45" s="275"/>
      <c r="CJ45" s="275"/>
      <c r="CK45" s="275"/>
      <c r="CL45" s="275"/>
      <c r="CM45" s="278">
        <f>'Detailed Budget'!$AD$189</f>
        <v>77498869683.252869</v>
      </c>
      <c r="CN45" s="275">
        <f t="shared" si="10"/>
        <v>0</v>
      </c>
      <c r="CO45" s="140">
        <f>'Detailed Budget'!$AD$191</f>
        <v>2684962805.4134097</v>
      </c>
      <c r="CP45" s="616">
        <f t="shared" si="11"/>
        <v>0</v>
      </c>
      <c r="CQ45" s="616">
        <f t="shared" si="12"/>
        <v>0</v>
      </c>
      <c r="CR45" s="210"/>
      <c r="CS45" s="275"/>
      <c r="CW45" s="278"/>
      <c r="DH45" s="140"/>
      <c r="DI45" s="616"/>
    </row>
    <row r="46" spans="1:113" outlineLevel="1">
      <c r="A46" s="214" t="s">
        <v>296</v>
      </c>
      <c r="B46" s="215" t="s">
        <v>297</v>
      </c>
      <c r="C46" s="216" t="s">
        <v>234</v>
      </c>
      <c r="D46" s="217" t="s">
        <v>234</v>
      </c>
      <c r="E46" s="216"/>
      <c r="F46" s="216"/>
      <c r="G46" s="216"/>
      <c r="H46" s="216" t="s">
        <v>234</v>
      </c>
      <c r="I46" s="217" t="s">
        <v>234</v>
      </c>
      <c r="J46" s="217"/>
      <c r="K46" s="216"/>
      <c r="L46" s="216"/>
      <c r="M46" s="217"/>
      <c r="N46" s="216" t="s">
        <v>234</v>
      </c>
      <c r="O46" s="217"/>
      <c r="P46" s="216"/>
      <c r="Q46" s="217"/>
      <c r="R46" s="217" t="s">
        <v>234</v>
      </c>
      <c r="S46" s="217"/>
      <c r="T46" s="217"/>
      <c r="U46" s="218">
        <f t="shared" ref="U46:U66" si="72">COUNTA(C46:T46)</f>
        <v>6</v>
      </c>
      <c r="V46" s="867" t="s">
        <v>238</v>
      </c>
      <c r="W46" s="219">
        <v>217219</v>
      </c>
      <c r="X46" s="220">
        <v>3.03</v>
      </c>
      <c r="Y46" s="221">
        <f t="shared" si="24"/>
        <v>1.0303</v>
      </c>
      <c r="Z46" s="199">
        <v>19</v>
      </c>
      <c r="AA46" s="221">
        <f>POWER(Y46,Z46)</f>
        <v>1.7632354008841205</v>
      </c>
      <c r="AB46" s="199">
        <f t="shared" ref="AB46:AB79" si="73">W46*AA46</f>
        <v>383008.23054464778</v>
      </c>
      <c r="AC46">
        <v>18.8</v>
      </c>
      <c r="AD46" s="199">
        <f t="shared" ref="AD46:AD79" si="74">AB46*AC46/100</f>
        <v>72005.547342393795</v>
      </c>
      <c r="AE46" s="199">
        <f t="shared" si="48"/>
        <v>68405.269975274103</v>
      </c>
      <c r="AF46" s="199">
        <f t="shared" si="49"/>
        <v>68405.269975274103</v>
      </c>
      <c r="AG46" s="614">
        <f t="shared" si="25"/>
        <v>3.1627593788945861E-3</v>
      </c>
      <c r="AH46" s="199">
        <f>AB46*0.05</f>
        <v>19150.411527232391</v>
      </c>
      <c r="AI46" s="252">
        <f t="shared" si="26"/>
        <v>1.4835533653070863E-3</v>
      </c>
      <c r="AJ46" s="199">
        <f t="shared" si="32"/>
        <v>91155.958869626193</v>
      </c>
      <c r="AK46" s="199">
        <f t="shared" si="53"/>
        <v>15320.329221785913</v>
      </c>
      <c r="AL46" s="199">
        <f t="shared" si="54"/>
        <v>15320.329221785913</v>
      </c>
      <c r="AM46" s="199">
        <f t="shared" si="16"/>
        <v>30640.658443571825</v>
      </c>
      <c r="AN46" s="645">
        <f t="shared" si="17"/>
        <v>1.4835533653070863E-3</v>
      </c>
      <c r="AO46" s="199">
        <v>11</v>
      </c>
      <c r="AP46" s="250">
        <f t="shared" si="18"/>
        <v>1.2498579706851495E-3</v>
      </c>
      <c r="AQ46" s="199">
        <v>11</v>
      </c>
      <c r="AU46" s="199">
        <v>0</v>
      </c>
      <c r="AW46" s="250">
        <f t="shared" si="5"/>
        <v>0</v>
      </c>
      <c r="AX46" s="199">
        <v>1</v>
      </c>
      <c r="AY46" s="199">
        <f t="shared" ref="AY46:AY66" si="75">AJ46/1390738*493239</f>
        <v>32329.363256699362</v>
      </c>
      <c r="AZ46" s="199">
        <f t="shared" si="34"/>
        <v>32329.363256699362</v>
      </c>
      <c r="BA46" s="252">
        <f t="shared" si="6"/>
        <v>2.5412977472873185E-3</v>
      </c>
      <c r="BB46" s="284">
        <v>1</v>
      </c>
      <c r="BC46" s="199">
        <f t="shared" ref="BC46:BC66" si="76">AD46*BB46*0.18*4</f>
        <v>51843.994086523533</v>
      </c>
      <c r="BD46" s="270">
        <f t="shared" si="7"/>
        <v>4.6689194226334852E-3</v>
      </c>
      <c r="BE46" s="199">
        <f t="shared" ref="BE46:BE66" si="77">AD46*BB46*0.77*4</f>
        <v>221777.0858145729</v>
      </c>
      <c r="BF46" s="251">
        <f t="shared" si="19"/>
        <v>4.6689195263856552E-3</v>
      </c>
      <c r="BG46" s="204">
        <f t="shared" si="36"/>
        <v>273621.07990109641</v>
      </c>
      <c r="BH46" s="636">
        <v>0</v>
      </c>
      <c r="BI46" s="199">
        <f t="shared" si="69"/>
        <v>117200.51854666224</v>
      </c>
      <c r="BJ46" s="199">
        <f t="shared" si="70"/>
        <v>234401.03709332447</v>
      </c>
      <c r="BK46" s="199">
        <f t="shared" si="20"/>
        <v>351601.55563998671</v>
      </c>
      <c r="BL46" s="251">
        <f t="shared" si="8"/>
        <v>1.4835533653070863E-3</v>
      </c>
      <c r="BM46" s="199">
        <f t="shared" ref="BM46:BM66" si="78">AH46/292172*609435</f>
        <v>39945.412459437837</v>
      </c>
      <c r="BN46" s="251">
        <f t="shared" si="9"/>
        <v>1.7249671380608865E-3</v>
      </c>
      <c r="BT46" s="199">
        <f>'Detailed Budget'!$AD$12</f>
        <v>194045122715</v>
      </c>
      <c r="BU46" s="199">
        <f>'Detailed Budget'!$AD$24</f>
        <v>194045122715</v>
      </c>
      <c r="BV46" s="596">
        <f t="shared" ref="BV46:BV66" si="79">AV46/34743979</f>
        <v>0</v>
      </c>
      <c r="BW46" s="278"/>
      <c r="BX46" s="275">
        <f t="shared" si="27"/>
        <v>0</v>
      </c>
      <c r="BY46" s="275">
        <f t="shared" si="28"/>
        <v>0</v>
      </c>
      <c r="CA46" s="199">
        <f>'Detailed Budget'!$AD$96</f>
        <v>71050111380.677719</v>
      </c>
      <c r="CB46" s="275">
        <f t="shared" si="21"/>
        <v>180559487.99622935</v>
      </c>
      <c r="CE46" s="199">
        <f>'Detailed Budget'!$AD$175</f>
        <v>4330586076.5988197</v>
      </c>
      <c r="CF46" s="275">
        <f t="shared" ref="CF46:CF66" si="80">BB46*BD46*CE46</f>
        <v>20219157.444418371</v>
      </c>
      <c r="CG46" s="199">
        <f>'Detailed Budget'!$AD$176</f>
        <v>20662817754.37001</v>
      </c>
      <c r="CH46" s="275">
        <f t="shared" ref="CH46:CH66" si="81">BB46*BF46*CG46</f>
        <v>96473033.283526331</v>
      </c>
      <c r="CI46" s="275">
        <f t="shared" si="43"/>
        <v>116692190.7279447</v>
      </c>
      <c r="CJ46" s="275">
        <f>'Detailed Budget'!$AD$178</f>
        <v>46025131033.061455</v>
      </c>
      <c r="CK46" s="275">
        <f t="shared" ref="CK46:CK66" si="82">BB46*AG46*CJ46</f>
        <v>145566414.83966738</v>
      </c>
      <c r="CL46" s="275">
        <f t="shared" si="51"/>
        <v>262258605.56761208</v>
      </c>
      <c r="CM46" s="278">
        <f>'Detailed Budget'!$AD$189</f>
        <v>77498869683.252869</v>
      </c>
      <c r="CN46" s="275">
        <f t="shared" si="10"/>
        <v>0</v>
      </c>
      <c r="CO46" s="140">
        <f>'Detailed Budget'!$AD$191</f>
        <v>2684962805.4134097</v>
      </c>
      <c r="CP46" s="616">
        <f t="shared" si="11"/>
        <v>0</v>
      </c>
      <c r="CQ46" s="616">
        <f t="shared" si="12"/>
        <v>0</v>
      </c>
      <c r="CR46" s="199">
        <f>'Detailed Budget'!$AD$195</f>
        <v>18734176418</v>
      </c>
      <c r="CS46" s="275">
        <f t="shared" ref="CS46:CS66" si="83">BN46*CR46</f>
        <v>32315838.679685209</v>
      </c>
      <c r="CW46" s="278"/>
      <c r="DH46" s="140">
        <f>'Detailed Budget'!$AD$163</f>
        <v>4928560000</v>
      </c>
      <c r="DI46" s="616">
        <f t="shared" ref="DI46:DI68" si="84">AP46*DH46</f>
        <v>6160000</v>
      </c>
    </row>
    <row r="47" spans="1:113" outlineLevel="1">
      <c r="A47" s="214" t="s">
        <v>298</v>
      </c>
      <c r="B47" s="215" t="s">
        <v>299</v>
      </c>
      <c r="C47" s="216" t="s">
        <v>234</v>
      </c>
      <c r="D47" s="217" t="s">
        <v>234</v>
      </c>
      <c r="E47" s="216"/>
      <c r="F47" s="216"/>
      <c r="G47" s="216"/>
      <c r="H47" s="216" t="s">
        <v>234</v>
      </c>
      <c r="I47" s="217" t="s">
        <v>234</v>
      </c>
      <c r="J47" s="217"/>
      <c r="K47" s="216"/>
      <c r="L47" s="216"/>
      <c r="M47" s="217" t="s">
        <v>234</v>
      </c>
      <c r="N47" s="216"/>
      <c r="O47" s="217"/>
      <c r="P47" s="216"/>
      <c r="Q47" s="217"/>
      <c r="R47" s="217" t="s">
        <v>234</v>
      </c>
      <c r="S47" s="217"/>
      <c r="T47" s="217"/>
      <c r="U47" s="218">
        <f t="shared" si="72"/>
        <v>6</v>
      </c>
      <c r="V47" s="867" t="s">
        <v>238</v>
      </c>
      <c r="W47" s="219">
        <v>122432</v>
      </c>
      <c r="X47" s="220">
        <v>3.03</v>
      </c>
      <c r="Y47" s="221">
        <f t="shared" si="24"/>
        <v>1.0303</v>
      </c>
      <c r="Z47" s="199">
        <v>19</v>
      </c>
      <c r="AA47" s="221">
        <f t="shared" ref="AA47:AA116" si="85">POWER(Y47,Z47)</f>
        <v>1.7632354008841205</v>
      </c>
      <c r="AB47" s="199">
        <f t="shared" si="73"/>
        <v>215876.43660104464</v>
      </c>
      <c r="AC47">
        <v>18.8</v>
      </c>
      <c r="AD47" s="199">
        <f t="shared" si="74"/>
        <v>40584.770080996394</v>
      </c>
      <c r="AE47" s="199">
        <f t="shared" si="48"/>
        <v>38555.531576946574</v>
      </c>
      <c r="AF47" s="199">
        <f t="shared" si="49"/>
        <v>38555.531576946574</v>
      </c>
      <c r="AG47" s="614">
        <f t="shared" si="25"/>
        <v>1.7826385181628768E-3</v>
      </c>
      <c r="AH47" s="199">
        <f t="shared" ref="AH47:AH66" si="86">AB47*0.05</f>
        <v>10793.821830052233</v>
      </c>
      <c r="AI47" s="252">
        <f t="shared" si="26"/>
        <v>8.3618102293665461E-4</v>
      </c>
      <c r="AJ47" s="199">
        <f t="shared" si="32"/>
        <v>51378.591911048628</v>
      </c>
      <c r="AK47" s="199">
        <f t="shared" si="53"/>
        <v>8635.0574640417854</v>
      </c>
      <c r="AL47" s="199">
        <f t="shared" si="54"/>
        <v>8635.0574640417854</v>
      </c>
      <c r="AM47" s="199">
        <f t="shared" si="16"/>
        <v>17270.114928083571</v>
      </c>
      <c r="AN47" s="645">
        <f t="shared" si="17"/>
        <v>8.361810229366545E-4</v>
      </c>
      <c r="AO47" s="199">
        <v>14</v>
      </c>
      <c r="AP47" s="250">
        <f t="shared" si="18"/>
        <v>1.5907283263265539E-3</v>
      </c>
      <c r="AQ47" s="199">
        <v>14</v>
      </c>
      <c r="AU47" s="199">
        <v>0</v>
      </c>
      <c r="AW47" s="250">
        <f t="shared" si="5"/>
        <v>0</v>
      </c>
      <c r="AX47" s="199">
        <v>1</v>
      </c>
      <c r="AY47" s="199">
        <f t="shared" si="75"/>
        <v>18221.926269084266</v>
      </c>
      <c r="AZ47" s="199">
        <f t="shared" si="34"/>
        <v>18221.926269084266</v>
      </c>
      <c r="BA47" s="252">
        <f t="shared" si="6"/>
        <v>1.432361652506829E-3</v>
      </c>
      <c r="BB47" s="284">
        <v>1</v>
      </c>
      <c r="BC47" s="199">
        <f t="shared" si="76"/>
        <v>29221.034458317401</v>
      </c>
      <c r="BD47" s="270">
        <f t="shared" si="7"/>
        <v>2.6315614322497695E-3</v>
      </c>
      <c r="BE47" s="199">
        <f t="shared" si="77"/>
        <v>125001.0918494689</v>
      </c>
      <c r="BF47" s="251">
        <f t="shared" si="19"/>
        <v>2.6315614907280139E-3</v>
      </c>
      <c r="BG47" s="204">
        <f t="shared" si="36"/>
        <v>154222.1263077863</v>
      </c>
      <c r="BH47" s="636">
        <v>0</v>
      </c>
      <c r="BI47" s="199">
        <f t="shared" si="69"/>
        <v>66058.189599919657</v>
      </c>
      <c r="BJ47" s="199">
        <f t="shared" si="70"/>
        <v>132116.37919983931</v>
      </c>
      <c r="BK47" s="199">
        <f t="shared" si="20"/>
        <v>198174.56879975897</v>
      </c>
      <c r="BL47" s="251">
        <f t="shared" si="8"/>
        <v>8.361810229366545E-4</v>
      </c>
      <c r="BM47" s="199">
        <f t="shared" si="78"/>
        <v>22514.590059957431</v>
      </c>
      <c r="BN47" s="251">
        <f t="shared" si="9"/>
        <v>9.7225001794074386E-4</v>
      </c>
      <c r="BT47" s="199">
        <f>'Detailed Budget'!$AD$12</f>
        <v>194045122715</v>
      </c>
      <c r="BU47" s="199">
        <f>'Detailed Budget'!$AD$24</f>
        <v>194045122715</v>
      </c>
      <c r="BV47" s="596">
        <f t="shared" si="79"/>
        <v>0</v>
      </c>
      <c r="BW47" s="278"/>
      <c r="BX47" s="275">
        <f t="shared" si="27"/>
        <v>0</v>
      </c>
      <c r="BY47" s="275">
        <f t="shared" si="28"/>
        <v>0</v>
      </c>
      <c r="CA47" s="199">
        <f>'Detailed Budget'!$AD$96</f>
        <v>71050111380.677719</v>
      </c>
      <c r="CB47" s="275">
        <f t="shared" si="21"/>
        <v>101769454.9480218</v>
      </c>
      <c r="CE47" s="199">
        <f>'Detailed Budget'!$AD$175</f>
        <v>4330586076.5988197</v>
      </c>
      <c r="CF47" s="275">
        <f t="shared" si="80"/>
        <v>11396203.2982153</v>
      </c>
      <c r="CG47" s="199">
        <f>'Detailed Budget'!$AD$176</f>
        <v>20662817754.37001</v>
      </c>
      <c r="CH47" s="275">
        <f t="shared" si="81"/>
        <v>54375475.492331214</v>
      </c>
      <c r="CI47" s="275">
        <f t="shared" si="43"/>
        <v>65771678.790546514</v>
      </c>
      <c r="CJ47" s="275">
        <f>'Detailed Budget'!$AD$178</f>
        <v>46025131033.061455</v>
      </c>
      <c r="CK47" s="275">
        <f t="shared" si="82"/>
        <v>82046171.38302891</v>
      </c>
      <c r="CL47" s="275">
        <f t="shared" si="51"/>
        <v>147817850.17357543</v>
      </c>
      <c r="CM47" s="278">
        <f>'Detailed Budget'!$AD$189</f>
        <v>77498869683.252869</v>
      </c>
      <c r="CN47" s="275">
        <f t="shared" si="10"/>
        <v>0</v>
      </c>
      <c r="CO47" s="140">
        <f>'Detailed Budget'!$AD$191</f>
        <v>2684962805.4134097</v>
      </c>
      <c r="CP47" s="616">
        <f t="shared" si="11"/>
        <v>0</v>
      </c>
      <c r="CQ47" s="616">
        <f t="shared" si="12"/>
        <v>0</v>
      </c>
      <c r="CR47" s="199">
        <f>'Detailed Budget'!$AD$195</f>
        <v>18734176418</v>
      </c>
      <c r="CS47" s="275">
        <f t="shared" si="83"/>
        <v>18214303.358505562</v>
      </c>
      <c r="CW47" s="278"/>
      <c r="DH47" s="140">
        <f>'Detailed Budget'!$AD$163</f>
        <v>4928560000</v>
      </c>
      <c r="DI47" s="616">
        <f t="shared" si="84"/>
        <v>7840000.0000000009</v>
      </c>
    </row>
    <row r="48" spans="1:113" outlineLevel="1">
      <c r="A48" s="214" t="s">
        <v>300</v>
      </c>
      <c r="B48" s="215" t="s">
        <v>301</v>
      </c>
      <c r="C48" s="216" t="s">
        <v>234</v>
      </c>
      <c r="D48" s="217"/>
      <c r="E48" s="216"/>
      <c r="F48" s="216"/>
      <c r="G48" s="216" t="s">
        <v>234</v>
      </c>
      <c r="H48" s="216" t="s">
        <v>234</v>
      </c>
      <c r="I48" s="217" t="s">
        <v>234</v>
      </c>
      <c r="J48" s="217"/>
      <c r="K48" s="216"/>
      <c r="L48" s="216"/>
      <c r="M48" s="217" t="s">
        <v>234</v>
      </c>
      <c r="N48" s="216"/>
      <c r="O48" s="217"/>
      <c r="P48" s="216"/>
      <c r="Q48" s="217"/>
      <c r="R48" s="217" t="s">
        <v>234</v>
      </c>
      <c r="S48" s="217"/>
      <c r="T48" s="217"/>
      <c r="U48" s="218">
        <f t="shared" si="72"/>
        <v>6</v>
      </c>
      <c r="V48" s="867" t="s">
        <v>235</v>
      </c>
      <c r="W48" s="219">
        <v>266176</v>
      </c>
      <c r="X48" s="220">
        <v>3.03</v>
      </c>
      <c r="Y48" s="221">
        <f t="shared" si="24"/>
        <v>1.0303</v>
      </c>
      <c r="Z48" s="199">
        <v>19</v>
      </c>
      <c r="AA48" s="221">
        <f t="shared" si="85"/>
        <v>1.7632354008841205</v>
      </c>
      <c r="AB48" s="199">
        <f t="shared" si="73"/>
        <v>469330.94606573164</v>
      </c>
      <c r="AC48">
        <v>18.8</v>
      </c>
      <c r="AD48" s="199">
        <f t="shared" si="74"/>
        <v>88234.217860357559</v>
      </c>
      <c r="AE48" s="199">
        <f t="shared" si="48"/>
        <v>83822.506967339679</v>
      </c>
      <c r="AF48" s="199">
        <f t="shared" si="49"/>
        <v>0</v>
      </c>
      <c r="AG48" s="614">
        <f t="shared" si="25"/>
        <v>3.8755847344691084E-3</v>
      </c>
      <c r="AH48" s="199">
        <f t="shared" si="86"/>
        <v>23466.547303286585</v>
      </c>
      <c r="AI48" s="252">
        <f t="shared" si="26"/>
        <v>1.8179178642935424E-3</v>
      </c>
      <c r="AJ48" s="199">
        <f t="shared" si="32"/>
        <v>111700.76516364414</v>
      </c>
      <c r="AK48" s="199">
        <f t="shared" si="53"/>
        <v>18773.237842629267</v>
      </c>
      <c r="AL48" s="199">
        <f t="shared" si="54"/>
        <v>18773.237842629267</v>
      </c>
      <c r="AM48" s="199">
        <f t="shared" si="16"/>
        <v>37546.475685258534</v>
      </c>
      <c r="AN48" s="645">
        <f t="shared" si="17"/>
        <v>1.8179178642935424E-3</v>
      </c>
      <c r="AO48" s="199">
        <v>13</v>
      </c>
      <c r="AP48" s="250">
        <f t="shared" si="18"/>
        <v>1.4771048744460858E-3</v>
      </c>
      <c r="AQ48" s="199">
        <v>13</v>
      </c>
      <c r="AU48" s="199">
        <v>0</v>
      </c>
      <c r="AW48" s="250">
        <f t="shared" si="5"/>
        <v>0</v>
      </c>
      <c r="AX48" s="199">
        <v>1</v>
      </c>
      <c r="AY48" s="199">
        <f t="shared" si="75"/>
        <v>39615.782202363545</v>
      </c>
      <c r="AZ48" s="199">
        <f t="shared" si="34"/>
        <v>39615.782202363545</v>
      </c>
      <c r="BA48" s="252">
        <f t="shared" si="6"/>
        <v>3.1140575602592274E-3</v>
      </c>
      <c r="BB48" s="284">
        <v>0</v>
      </c>
      <c r="BC48" s="199">
        <f t="shared" si="76"/>
        <v>0</v>
      </c>
      <c r="BD48" s="270">
        <f t="shared" si="7"/>
        <v>0</v>
      </c>
      <c r="BE48" s="199">
        <f t="shared" si="77"/>
        <v>0</v>
      </c>
      <c r="BF48" s="251">
        <f t="shared" si="19"/>
        <v>0</v>
      </c>
      <c r="BG48" s="204">
        <f t="shared" si="36"/>
        <v>0</v>
      </c>
      <c r="BH48" s="636">
        <v>1</v>
      </c>
      <c r="BI48" s="199">
        <f t="shared" si="69"/>
        <v>143615.26949611391</v>
      </c>
      <c r="BJ48" s="199">
        <f t="shared" si="70"/>
        <v>287230.53899222781</v>
      </c>
      <c r="BK48" s="199">
        <f t="shared" si="20"/>
        <v>430845.80848834175</v>
      </c>
      <c r="BL48" s="251">
        <f t="shared" si="8"/>
        <v>1.8179178642935426E-3</v>
      </c>
      <c r="BM48" s="199">
        <f t="shared" si="78"/>
        <v>48948.342947915815</v>
      </c>
      <c r="BN48" s="251">
        <f t="shared" si="9"/>
        <v>2.1137416751780208E-3</v>
      </c>
      <c r="BT48" s="199">
        <f>'Detailed Budget'!$AD$12</f>
        <v>194045122715</v>
      </c>
      <c r="BU48" s="199">
        <f>'Detailed Budget'!$AD$24</f>
        <v>194045122715</v>
      </c>
      <c r="BV48" s="596">
        <f t="shared" si="79"/>
        <v>0</v>
      </c>
      <c r="BW48" s="278"/>
      <c r="BX48" s="275">
        <f t="shared" si="27"/>
        <v>0</v>
      </c>
      <c r="BY48" s="275">
        <f t="shared" si="28"/>
        <v>0</v>
      </c>
      <c r="CA48" s="199">
        <f>'Detailed Budget'!$AD$96</f>
        <v>71050111380.677719</v>
      </c>
      <c r="CB48" s="275">
        <f t="shared" si="21"/>
        <v>221254136.50225961</v>
      </c>
      <c r="CE48" s="199">
        <f>'Detailed Budget'!$AD$175</f>
        <v>4330586076.5988197</v>
      </c>
      <c r="CF48" s="275">
        <f t="shared" si="80"/>
        <v>0</v>
      </c>
      <c r="CG48" s="199">
        <f>'Detailed Budget'!$AD$176</f>
        <v>20662817754.37001</v>
      </c>
      <c r="CH48" s="275">
        <f t="shared" si="81"/>
        <v>0</v>
      </c>
      <c r="CI48" s="275">
        <f t="shared" si="43"/>
        <v>0</v>
      </c>
      <c r="CJ48" s="275">
        <f>'Detailed Budget'!$AD$178</f>
        <v>46025131033.061455</v>
      </c>
      <c r="CK48" s="275">
        <f t="shared" si="82"/>
        <v>0</v>
      </c>
      <c r="CL48" s="275">
        <f t="shared" si="51"/>
        <v>0</v>
      </c>
      <c r="CM48" s="278">
        <f>'Detailed Budget'!$AD$189</f>
        <v>77498869683.252869</v>
      </c>
      <c r="CN48" s="275">
        <f t="shared" si="10"/>
        <v>140886579.65974262</v>
      </c>
      <c r="CO48" s="140">
        <f>'Detailed Budget'!$AD$191</f>
        <v>2684962805.4134097</v>
      </c>
      <c r="CP48" s="616">
        <f t="shared" si="11"/>
        <v>4881041.8489247439</v>
      </c>
      <c r="CQ48" s="616">
        <f t="shared" si="12"/>
        <v>145767621.50866738</v>
      </c>
      <c r="CR48" s="199">
        <f>'Detailed Budget'!$AD$195</f>
        <v>18734176418</v>
      </c>
      <c r="CS48" s="275">
        <f t="shared" si="83"/>
        <v>39599209.444863893</v>
      </c>
      <c r="CW48" s="278"/>
      <c r="DH48" s="140">
        <f>'Detailed Budget'!$AD$163</f>
        <v>4928560000</v>
      </c>
      <c r="DI48" s="616">
        <f t="shared" si="84"/>
        <v>7280000.0000000009</v>
      </c>
    </row>
    <row r="49" spans="1:113" outlineLevel="1">
      <c r="A49" s="214" t="s">
        <v>302</v>
      </c>
      <c r="B49" s="215" t="s">
        <v>303</v>
      </c>
      <c r="C49" s="216" t="s">
        <v>234</v>
      </c>
      <c r="D49" s="217" t="s">
        <v>234</v>
      </c>
      <c r="E49" s="216"/>
      <c r="F49" s="216"/>
      <c r="G49" s="216"/>
      <c r="H49" s="216" t="s">
        <v>234</v>
      </c>
      <c r="I49" s="217" t="s">
        <v>234</v>
      </c>
      <c r="J49" s="217"/>
      <c r="K49" s="216"/>
      <c r="L49" s="216"/>
      <c r="M49" s="217" t="s">
        <v>234</v>
      </c>
      <c r="N49" s="216"/>
      <c r="O49" s="217"/>
      <c r="P49" s="216"/>
      <c r="Q49" s="217"/>
      <c r="R49" s="217" t="s">
        <v>234</v>
      </c>
      <c r="S49" s="217"/>
      <c r="T49" s="217"/>
      <c r="U49" s="218">
        <f t="shared" si="72"/>
        <v>6</v>
      </c>
      <c r="V49" s="867" t="s">
        <v>238</v>
      </c>
      <c r="W49" s="219">
        <v>139687</v>
      </c>
      <c r="X49" s="220">
        <v>3.03</v>
      </c>
      <c r="Y49" s="221">
        <f t="shared" si="24"/>
        <v>1.0303</v>
      </c>
      <c r="Z49" s="199">
        <v>19</v>
      </c>
      <c r="AA49" s="221">
        <f t="shared" si="85"/>
        <v>1.7632354008841205</v>
      </c>
      <c r="AB49" s="199">
        <f t="shared" si="73"/>
        <v>246301.06344330014</v>
      </c>
      <c r="AC49">
        <v>18.8</v>
      </c>
      <c r="AD49" s="199">
        <f t="shared" si="74"/>
        <v>46304.59992734043</v>
      </c>
      <c r="AE49" s="199">
        <f t="shared" si="48"/>
        <v>43989.369930973407</v>
      </c>
      <c r="AF49" s="199">
        <f t="shared" si="49"/>
        <v>43989.369930973407</v>
      </c>
      <c r="AG49" s="614">
        <f t="shared" si="25"/>
        <v>2.0338753486557255E-3</v>
      </c>
      <c r="AH49" s="199">
        <f t="shared" si="86"/>
        <v>12315.053172165008</v>
      </c>
      <c r="AI49" s="252">
        <f t="shared" si="26"/>
        <v>9.5402851011951509E-4</v>
      </c>
      <c r="AJ49" s="199">
        <f t="shared" si="32"/>
        <v>58619.653099505435</v>
      </c>
      <c r="AK49" s="199">
        <f t="shared" si="53"/>
        <v>9852.0425377320062</v>
      </c>
      <c r="AL49" s="199">
        <f t="shared" si="54"/>
        <v>9852.0425377320062</v>
      </c>
      <c r="AM49" s="199">
        <f t="shared" si="16"/>
        <v>19704.085075464012</v>
      </c>
      <c r="AN49" s="645">
        <f t="shared" si="17"/>
        <v>9.5402851011951509E-4</v>
      </c>
      <c r="AO49" s="199">
        <v>10</v>
      </c>
      <c r="AP49" s="250">
        <f t="shared" si="18"/>
        <v>1.1362345188046814E-3</v>
      </c>
      <c r="AQ49" s="199">
        <v>10</v>
      </c>
      <c r="AU49" s="199">
        <v>0</v>
      </c>
      <c r="AW49" s="250">
        <f t="shared" si="5"/>
        <v>0</v>
      </c>
      <c r="AX49" s="199">
        <v>1</v>
      </c>
      <c r="AY49" s="199">
        <f t="shared" si="75"/>
        <v>20790.040306043957</v>
      </c>
      <c r="AZ49" s="199">
        <f t="shared" si="34"/>
        <v>20790.040306043957</v>
      </c>
      <c r="BA49" s="252">
        <f t="shared" si="6"/>
        <v>1.6342320811039712E-3</v>
      </c>
      <c r="BB49" s="284">
        <v>1</v>
      </c>
      <c r="BC49" s="199">
        <f t="shared" si="76"/>
        <v>33339.311947685106</v>
      </c>
      <c r="BD49" s="270">
        <f t="shared" si="7"/>
        <v>3.0024415331504311E-3</v>
      </c>
      <c r="BE49" s="199">
        <f t="shared" si="77"/>
        <v>142618.16777620852</v>
      </c>
      <c r="BF49" s="251">
        <f t="shared" si="19"/>
        <v>3.0024415998703285E-3</v>
      </c>
      <c r="BG49" s="204">
        <f t="shared" si="36"/>
        <v>175957.47972389363</v>
      </c>
      <c r="BH49" s="636">
        <v>0</v>
      </c>
      <c r="BI49" s="199">
        <f t="shared" si="69"/>
        <v>75368.125413649832</v>
      </c>
      <c r="BJ49" s="199">
        <f t="shared" si="70"/>
        <v>150736.25082729966</v>
      </c>
      <c r="BK49" s="199">
        <f t="shared" si="20"/>
        <v>226104.3762409495</v>
      </c>
      <c r="BL49" s="251">
        <f t="shared" si="8"/>
        <v>9.5402851011951487E-4</v>
      </c>
      <c r="BM49" s="199">
        <f t="shared" si="78"/>
        <v>25687.692283923105</v>
      </c>
      <c r="BN49" s="251">
        <f t="shared" si="9"/>
        <v>1.1092744401470915E-3</v>
      </c>
      <c r="BT49" s="199">
        <f>'Detailed Budget'!$AD$12</f>
        <v>194045122715</v>
      </c>
      <c r="BU49" s="199">
        <f>'Detailed Budget'!$AD$24</f>
        <v>194045122715</v>
      </c>
      <c r="BV49" s="596">
        <f t="shared" si="79"/>
        <v>0</v>
      </c>
      <c r="BW49" s="278"/>
      <c r="BX49" s="275">
        <f t="shared" si="27"/>
        <v>0</v>
      </c>
      <c r="BY49" s="275">
        <f t="shared" si="28"/>
        <v>0</v>
      </c>
      <c r="CA49" s="199">
        <f>'Detailed Budget'!$AD$96</f>
        <v>71050111380.677719</v>
      </c>
      <c r="CB49" s="275">
        <f t="shared" si="21"/>
        <v>116112371.3843139</v>
      </c>
      <c r="CE49" s="199">
        <f>'Detailed Budget'!$AD$175</f>
        <v>4330586076.5988197</v>
      </c>
      <c r="CF49" s="275">
        <f t="shared" si="80"/>
        <v>13002331.499263272</v>
      </c>
      <c r="CG49" s="199">
        <f>'Detailed Budget'!$AD$176</f>
        <v>20662817754.37001</v>
      </c>
      <c r="CH49" s="275">
        <f t="shared" si="81"/>
        <v>62038903.596259721</v>
      </c>
      <c r="CI49" s="275">
        <f t="shared" si="43"/>
        <v>75041235.095523</v>
      </c>
      <c r="CJ49" s="275">
        <f>'Detailed Budget'!$AD$178</f>
        <v>46025131033.061455</v>
      </c>
      <c r="CK49" s="275">
        <f t="shared" si="82"/>
        <v>93609379.426793322</v>
      </c>
      <c r="CL49" s="275">
        <f t="shared" si="51"/>
        <v>168650614.52231634</v>
      </c>
      <c r="CM49" s="278">
        <f>'Detailed Budget'!$AD$189</f>
        <v>77498869683.252869</v>
      </c>
      <c r="CN49" s="275">
        <f t="shared" si="10"/>
        <v>0</v>
      </c>
      <c r="CO49" s="140">
        <f>'Detailed Budget'!$AD$191</f>
        <v>2684962805.4134097</v>
      </c>
      <c r="CP49" s="616">
        <f t="shared" si="11"/>
        <v>0</v>
      </c>
      <c r="CQ49" s="616">
        <f t="shared" si="12"/>
        <v>0</v>
      </c>
      <c r="CR49" s="199">
        <f>'Detailed Budget'!$AD$195</f>
        <v>18734176418</v>
      </c>
      <c r="CS49" s="275">
        <f t="shared" si="83"/>
        <v>20781343.057693794</v>
      </c>
      <c r="CW49" s="278"/>
      <c r="DH49" s="140">
        <f>'Detailed Budget'!$AD$163</f>
        <v>4928560000</v>
      </c>
      <c r="DI49" s="616">
        <f t="shared" si="84"/>
        <v>5600000</v>
      </c>
    </row>
    <row r="50" spans="1:113" outlineLevel="1">
      <c r="A50" s="214" t="s">
        <v>304</v>
      </c>
      <c r="B50" s="215" t="s">
        <v>305</v>
      </c>
      <c r="C50" s="216" t="s">
        <v>234</v>
      </c>
      <c r="D50" s="217"/>
      <c r="E50" s="216"/>
      <c r="F50" s="216"/>
      <c r="G50" s="216" t="s">
        <v>234</v>
      </c>
      <c r="H50" s="216" t="s">
        <v>234</v>
      </c>
      <c r="I50" s="217" t="s">
        <v>234</v>
      </c>
      <c r="J50" s="217"/>
      <c r="K50" s="216"/>
      <c r="L50" s="216"/>
      <c r="M50" s="217" t="s">
        <v>234</v>
      </c>
      <c r="N50" s="216"/>
      <c r="O50" s="217"/>
      <c r="P50" s="216"/>
      <c r="Q50" s="217"/>
      <c r="R50" s="217" t="s">
        <v>234</v>
      </c>
      <c r="S50" s="217"/>
      <c r="T50" s="217"/>
      <c r="U50" s="218">
        <f t="shared" si="72"/>
        <v>6</v>
      </c>
      <c r="V50" s="867" t="s">
        <v>235</v>
      </c>
      <c r="W50" s="219">
        <v>260968</v>
      </c>
      <c r="X50" s="220">
        <v>3.03</v>
      </c>
      <c r="Y50" s="221">
        <f t="shared" si="24"/>
        <v>1.0303</v>
      </c>
      <c r="Z50" s="199">
        <v>19</v>
      </c>
      <c r="AA50" s="221">
        <f t="shared" si="85"/>
        <v>1.7632354008841205</v>
      </c>
      <c r="AB50" s="199">
        <f t="shared" si="73"/>
        <v>460148.01609792717</v>
      </c>
      <c r="AC50">
        <v>18.8</v>
      </c>
      <c r="AD50" s="199">
        <f t="shared" si="74"/>
        <v>86507.827026410305</v>
      </c>
      <c r="AE50" s="199">
        <f t="shared" si="48"/>
        <v>82182.435675089786</v>
      </c>
      <c r="AF50" s="199">
        <f t="shared" si="49"/>
        <v>82182.435675089786</v>
      </c>
      <c r="AG50" s="614">
        <f t="shared" si="25"/>
        <v>3.7997550379633557E-3</v>
      </c>
      <c r="AH50" s="199">
        <f t="shared" si="86"/>
        <v>23007.400804896359</v>
      </c>
      <c r="AI50" s="252">
        <f t="shared" si="26"/>
        <v>1.7823484807381474E-3</v>
      </c>
      <c r="AJ50" s="199">
        <f t="shared" si="32"/>
        <v>109515.22783130666</v>
      </c>
      <c r="AK50" s="199">
        <f t="shared" si="53"/>
        <v>18405.920643917088</v>
      </c>
      <c r="AL50" s="199">
        <f t="shared" si="54"/>
        <v>18405.920643917088</v>
      </c>
      <c r="AM50" s="199">
        <f t="shared" si="16"/>
        <v>36811.841287834177</v>
      </c>
      <c r="AN50" s="645">
        <f t="shared" si="17"/>
        <v>1.7823484807381476E-3</v>
      </c>
      <c r="AO50" s="199">
        <v>12</v>
      </c>
      <c r="AP50" s="250">
        <f t="shared" si="18"/>
        <v>1.3634814225656176E-3</v>
      </c>
      <c r="AQ50" s="199">
        <v>12</v>
      </c>
      <c r="AU50" s="199">
        <v>0</v>
      </c>
      <c r="AW50" s="250">
        <f t="shared" si="5"/>
        <v>0</v>
      </c>
      <c r="AX50" s="199">
        <v>1</v>
      </c>
      <c r="AY50" s="199">
        <f t="shared" si="75"/>
        <v>38840.65975064021</v>
      </c>
      <c r="AZ50" s="199">
        <f t="shared" si="34"/>
        <v>38840.65975064021</v>
      </c>
      <c r="BA50" s="252">
        <f t="shared" si="6"/>
        <v>3.0531279055426861E-3</v>
      </c>
      <c r="BB50" s="284">
        <v>1</v>
      </c>
      <c r="BC50" s="199">
        <f t="shared" si="76"/>
        <v>62285.635459015415</v>
      </c>
      <c r="BD50" s="270">
        <f t="shared" si="7"/>
        <v>5.6092632959631288E-3</v>
      </c>
      <c r="BE50" s="199">
        <f t="shared" si="77"/>
        <v>266444.10724134377</v>
      </c>
      <c r="BF50" s="251">
        <f t="shared" si="19"/>
        <v>5.6092634206115098E-3</v>
      </c>
      <c r="BG50" s="204">
        <f t="shared" si="36"/>
        <v>328729.7427003592</v>
      </c>
      <c r="BH50" s="636">
        <v>0</v>
      </c>
      <c r="BI50" s="199">
        <f t="shared" si="69"/>
        <v>140805.29292596574</v>
      </c>
      <c r="BJ50" s="199">
        <f t="shared" si="70"/>
        <v>281610.58585193148</v>
      </c>
      <c r="BK50" s="199">
        <f t="shared" si="20"/>
        <v>422415.87877789722</v>
      </c>
      <c r="BL50" s="251">
        <f t="shared" si="8"/>
        <v>1.7823484807381479E-3</v>
      </c>
      <c r="BM50" s="199">
        <f t="shared" si="78"/>
        <v>47990.619599181351</v>
      </c>
      <c r="BN50" s="251">
        <f t="shared" si="9"/>
        <v>2.0723842025120887E-3</v>
      </c>
      <c r="BT50" s="199">
        <f>'Detailed Budget'!$AD$12</f>
        <v>194045122715</v>
      </c>
      <c r="BU50" s="199">
        <f>'Detailed Budget'!$AD$24</f>
        <v>194045122715</v>
      </c>
      <c r="BV50" s="596">
        <f t="shared" si="79"/>
        <v>0</v>
      </c>
      <c r="BW50" s="278"/>
      <c r="BX50" s="275">
        <f t="shared" si="27"/>
        <v>0</v>
      </c>
      <c r="BY50" s="275">
        <f t="shared" si="28"/>
        <v>0</v>
      </c>
      <c r="CA50" s="199">
        <f>'Detailed Budget'!$AD$96</f>
        <v>71050111380.677719</v>
      </c>
      <c r="CB50" s="275">
        <f t="shared" si="21"/>
        <v>216925077.74826312</v>
      </c>
      <c r="CE50" s="199">
        <f>'Detailed Budget'!$AD$175</f>
        <v>4330586076.5988197</v>
      </c>
      <c r="CF50" s="275">
        <f t="shared" si="80"/>
        <v>24291397.529474732</v>
      </c>
      <c r="CG50" s="199">
        <f>'Detailed Budget'!$AD$176</f>
        <v>20662817754.37001</v>
      </c>
      <c r="CH50" s="275">
        <f t="shared" si="81"/>
        <v>115903187.79634976</v>
      </c>
      <c r="CI50" s="275">
        <f t="shared" si="43"/>
        <v>140194585.3258245</v>
      </c>
      <c r="CJ50" s="275">
        <f>'Detailed Budget'!$AD$178</f>
        <v>46025131033.061455</v>
      </c>
      <c r="CK50" s="275">
        <f t="shared" si="82"/>
        <v>174884223.51579884</v>
      </c>
      <c r="CL50" s="275">
        <f t="shared" si="51"/>
        <v>315078808.84162331</v>
      </c>
      <c r="CM50" s="278">
        <f>'Detailed Budget'!$AD$189</f>
        <v>77498869683.252869</v>
      </c>
      <c r="CN50" s="275">
        <f t="shared" si="10"/>
        <v>0</v>
      </c>
      <c r="CO50" s="140">
        <f>'Detailed Budget'!$AD$191</f>
        <v>2684962805.4134097</v>
      </c>
      <c r="CP50" s="616">
        <f t="shared" si="11"/>
        <v>0</v>
      </c>
      <c r="CQ50" s="616">
        <f t="shared" si="12"/>
        <v>0</v>
      </c>
      <c r="CR50" s="199">
        <f>'Detailed Budget'!$AD$195</f>
        <v>18734176418</v>
      </c>
      <c r="CS50" s="275">
        <f t="shared" si="83"/>
        <v>38824411.255737707</v>
      </c>
      <c r="CW50" s="278"/>
      <c r="DH50" s="140">
        <f>'Detailed Budget'!$AD$163</f>
        <v>4928560000</v>
      </c>
      <c r="DI50" s="616">
        <f t="shared" si="84"/>
        <v>6720000</v>
      </c>
    </row>
    <row r="51" spans="1:113" outlineLevel="1">
      <c r="A51" s="214" t="s">
        <v>306</v>
      </c>
      <c r="B51" s="215" t="s">
        <v>307</v>
      </c>
      <c r="C51" s="216" t="s">
        <v>234</v>
      </c>
      <c r="D51" s="217"/>
      <c r="E51" s="216"/>
      <c r="F51" s="216"/>
      <c r="G51" s="216" t="s">
        <v>234</v>
      </c>
      <c r="H51" s="216" t="s">
        <v>234</v>
      </c>
      <c r="I51" s="217" t="s">
        <v>234</v>
      </c>
      <c r="J51" s="217"/>
      <c r="K51" s="216" t="s">
        <v>234</v>
      </c>
      <c r="L51" s="216"/>
      <c r="M51" s="217"/>
      <c r="N51" s="216"/>
      <c r="O51" s="217"/>
      <c r="P51" s="216"/>
      <c r="Q51" s="217"/>
      <c r="R51" s="217" t="s">
        <v>234</v>
      </c>
      <c r="S51" s="217"/>
      <c r="T51" s="217"/>
      <c r="U51" s="218">
        <f t="shared" si="72"/>
        <v>6</v>
      </c>
      <c r="V51" s="867" t="s">
        <v>235</v>
      </c>
      <c r="W51" s="219">
        <v>127572</v>
      </c>
      <c r="X51" s="220">
        <v>3.03</v>
      </c>
      <c r="Y51" s="221">
        <f t="shared" si="24"/>
        <v>1.0303</v>
      </c>
      <c r="Z51" s="199">
        <v>19</v>
      </c>
      <c r="AA51" s="221">
        <f t="shared" si="85"/>
        <v>1.7632354008841205</v>
      </c>
      <c r="AB51" s="199">
        <f t="shared" si="73"/>
        <v>224939.46656158901</v>
      </c>
      <c r="AC51">
        <v>18.8</v>
      </c>
      <c r="AD51" s="199">
        <f t="shared" si="74"/>
        <v>42288.619713578737</v>
      </c>
      <c r="AE51" s="199">
        <f t="shared" si="48"/>
        <v>40174.188727899797</v>
      </c>
      <c r="AF51" s="199">
        <f t="shared" si="49"/>
        <v>0</v>
      </c>
      <c r="AG51" s="614">
        <f t="shared" si="25"/>
        <v>1.8574781187849132E-3</v>
      </c>
      <c r="AH51" s="199">
        <f t="shared" si="86"/>
        <v>11246.973328079452</v>
      </c>
      <c r="AI51" s="252">
        <f t="shared" si="26"/>
        <v>8.7128598289724012E-4</v>
      </c>
      <c r="AJ51" s="199">
        <f t="shared" si="32"/>
        <v>53535.59304165819</v>
      </c>
      <c r="AK51" s="199">
        <f t="shared" si="53"/>
        <v>8997.5786624635602</v>
      </c>
      <c r="AL51" s="199">
        <f t="shared" si="54"/>
        <v>8997.5786624635602</v>
      </c>
      <c r="AM51" s="199">
        <f t="shared" si="16"/>
        <v>17995.15732492712</v>
      </c>
      <c r="AN51" s="645">
        <f t="shared" si="17"/>
        <v>8.7128598289724002E-4</v>
      </c>
      <c r="AO51" s="199">
        <v>10</v>
      </c>
      <c r="AP51" s="250">
        <f t="shared" si="18"/>
        <v>1.1362345188046814E-3</v>
      </c>
      <c r="AQ51" s="199">
        <v>10</v>
      </c>
      <c r="AU51" s="199">
        <v>0</v>
      </c>
      <c r="AW51" s="250">
        <f t="shared" si="5"/>
        <v>0</v>
      </c>
      <c r="AX51" s="199">
        <v>1</v>
      </c>
      <c r="AY51" s="199">
        <f t="shared" si="75"/>
        <v>18986.928074356525</v>
      </c>
      <c r="AZ51" s="199">
        <f t="shared" si="34"/>
        <v>18986.928074356525</v>
      </c>
      <c r="BA51" s="252">
        <f t="shared" si="6"/>
        <v>1.4924957587362879E-3</v>
      </c>
      <c r="BB51" s="284">
        <v>0</v>
      </c>
      <c r="BC51" s="199">
        <f t="shared" si="76"/>
        <v>0</v>
      </c>
      <c r="BD51" s="270">
        <f t="shared" si="7"/>
        <v>0</v>
      </c>
      <c r="BE51" s="199">
        <f t="shared" si="77"/>
        <v>0</v>
      </c>
      <c r="BF51" s="251">
        <f t="shared" si="19"/>
        <v>0</v>
      </c>
      <c r="BG51" s="204">
        <f t="shared" si="36"/>
        <v>0</v>
      </c>
      <c r="BH51" s="636">
        <v>1</v>
      </c>
      <c r="BI51" s="199">
        <f t="shared" si="69"/>
        <v>68831.476767846238</v>
      </c>
      <c r="BJ51" s="199">
        <f t="shared" si="70"/>
        <v>137662.95353569248</v>
      </c>
      <c r="BK51" s="199">
        <f t="shared" si="20"/>
        <v>206494.43030353871</v>
      </c>
      <c r="BL51" s="251">
        <f t="shared" si="8"/>
        <v>8.7128598289724002E-4</v>
      </c>
      <c r="BM51" s="199">
        <f t="shared" si="78"/>
        <v>23459.808572341295</v>
      </c>
      <c r="BN51" s="251">
        <f t="shared" si="9"/>
        <v>1.0130674928836953E-3</v>
      </c>
      <c r="BT51" s="199">
        <f>'Detailed Budget'!$AD$12</f>
        <v>194045122715</v>
      </c>
      <c r="BU51" s="199">
        <f>'Detailed Budget'!$AD$24</f>
        <v>194045122715</v>
      </c>
      <c r="BV51" s="596">
        <f t="shared" si="79"/>
        <v>0</v>
      </c>
      <c r="BW51" s="278"/>
      <c r="BX51" s="275">
        <f t="shared" si="27"/>
        <v>0</v>
      </c>
      <c r="BY51" s="275">
        <f t="shared" si="28"/>
        <v>0</v>
      </c>
      <c r="CA51" s="199">
        <f>'Detailed Budget'!$AD$96</f>
        <v>71050111380.677719</v>
      </c>
      <c r="CB51" s="275">
        <f t="shared" si="21"/>
        <v>106041989.89340235</v>
      </c>
      <c r="CE51" s="199">
        <f>'Detailed Budget'!$AD$175</f>
        <v>4330586076.5988197</v>
      </c>
      <c r="CF51" s="275">
        <f t="shared" si="80"/>
        <v>0</v>
      </c>
      <c r="CG51" s="199">
        <f>'Detailed Budget'!$AD$176</f>
        <v>20662817754.37001</v>
      </c>
      <c r="CH51" s="275">
        <f t="shared" si="81"/>
        <v>0</v>
      </c>
      <c r="CI51" s="275">
        <f t="shared" si="43"/>
        <v>0</v>
      </c>
      <c r="CJ51" s="275">
        <f>'Detailed Budget'!$AD$178</f>
        <v>46025131033.061455</v>
      </c>
      <c r="CK51" s="275">
        <f t="shared" si="82"/>
        <v>0</v>
      </c>
      <c r="CL51" s="275">
        <f t="shared" si="51"/>
        <v>0</v>
      </c>
      <c r="CM51" s="278">
        <f>'Detailed Budget'!$AD$189</f>
        <v>77498869683.252869</v>
      </c>
      <c r="CN51" s="275">
        <f t="shared" si="10"/>
        <v>67523678.845398098</v>
      </c>
      <c r="CO51" s="140">
        <f>'Detailed Budget'!$AD$191</f>
        <v>2684962805.4134097</v>
      </c>
      <c r="CP51" s="616">
        <f t="shared" si="11"/>
        <v>2339370.4569571535</v>
      </c>
      <c r="CQ51" s="616">
        <f t="shared" si="12"/>
        <v>69863049.302355245</v>
      </c>
      <c r="CR51" s="199">
        <f>'Detailed Budget'!$AD$195</f>
        <v>18734176418</v>
      </c>
      <c r="CS51" s="275">
        <f t="shared" si="83"/>
        <v>18978985.135024108</v>
      </c>
      <c r="CW51" s="278"/>
      <c r="DH51" s="140">
        <f>'Detailed Budget'!$AD$163</f>
        <v>4928560000</v>
      </c>
      <c r="DI51" s="616">
        <f t="shared" si="84"/>
        <v>5600000</v>
      </c>
    </row>
    <row r="52" spans="1:113" outlineLevel="1">
      <c r="A52" s="214" t="s">
        <v>308</v>
      </c>
      <c r="B52" s="215" t="s">
        <v>309</v>
      </c>
      <c r="C52" s="216" t="s">
        <v>234</v>
      </c>
      <c r="D52" s="217"/>
      <c r="E52" s="216"/>
      <c r="F52" s="216"/>
      <c r="G52" s="216" t="s">
        <v>234</v>
      </c>
      <c r="H52" s="216" t="s">
        <v>234</v>
      </c>
      <c r="I52" s="217" t="s">
        <v>234</v>
      </c>
      <c r="J52" s="217"/>
      <c r="K52" s="216"/>
      <c r="L52" s="216"/>
      <c r="M52" s="217" t="s">
        <v>234</v>
      </c>
      <c r="N52" s="216"/>
      <c r="O52" s="217"/>
      <c r="P52" s="216"/>
      <c r="Q52" s="217"/>
      <c r="R52" s="217" t="s">
        <v>234</v>
      </c>
      <c r="S52" s="217"/>
      <c r="T52" s="217"/>
      <c r="U52" s="218">
        <f t="shared" si="72"/>
        <v>6</v>
      </c>
      <c r="V52" s="867" t="s">
        <v>235</v>
      </c>
      <c r="W52" s="219">
        <v>79755</v>
      </c>
      <c r="X52" s="220">
        <v>3.03</v>
      </c>
      <c r="Y52" s="221">
        <f t="shared" si="24"/>
        <v>1.0303</v>
      </c>
      <c r="Z52" s="199">
        <v>19</v>
      </c>
      <c r="AA52" s="221">
        <f t="shared" si="85"/>
        <v>1.7632354008841205</v>
      </c>
      <c r="AB52" s="199">
        <f t="shared" si="73"/>
        <v>140626.83939751302</v>
      </c>
      <c r="AC52">
        <v>18.8</v>
      </c>
      <c r="AD52" s="199">
        <f t="shared" si="74"/>
        <v>26437.845806732446</v>
      </c>
      <c r="AE52" s="199">
        <f t="shared" si="48"/>
        <v>25115.953516395824</v>
      </c>
      <c r="AF52" s="199">
        <f t="shared" si="49"/>
        <v>0</v>
      </c>
      <c r="AG52" s="614">
        <f t="shared" si="25"/>
        <v>1.1612514294962119E-3</v>
      </c>
      <c r="AH52" s="199">
        <f t="shared" si="86"/>
        <v>7031.3419698756516</v>
      </c>
      <c r="AI52" s="252">
        <f t="shared" si="26"/>
        <v>5.4470740888258693E-4</v>
      </c>
      <c r="AJ52" s="199">
        <f t="shared" si="32"/>
        <v>33469.187776608102</v>
      </c>
      <c r="AK52" s="199">
        <f t="shared" si="53"/>
        <v>5625.0735759005211</v>
      </c>
      <c r="AL52" s="199">
        <f t="shared" si="54"/>
        <v>5625.0735759005211</v>
      </c>
      <c r="AM52" s="199">
        <f t="shared" si="16"/>
        <v>11250.147151801042</v>
      </c>
      <c r="AN52" s="645">
        <f t="shared" si="17"/>
        <v>5.4470740888258693E-4</v>
      </c>
      <c r="AO52" s="199">
        <v>10</v>
      </c>
      <c r="AP52" s="250">
        <f t="shared" si="18"/>
        <v>1.1362345188046814E-3</v>
      </c>
      <c r="AQ52" s="199">
        <v>10</v>
      </c>
      <c r="AU52" s="199">
        <v>0</v>
      </c>
      <c r="AW52" s="250">
        <f t="shared" si="5"/>
        <v>0</v>
      </c>
      <c r="AX52" s="199">
        <v>1</v>
      </c>
      <c r="AY52" s="199">
        <f t="shared" si="75"/>
        <v>11870.178789783844</v>
      </c>
      <c r="AZ52" s="199">
        <f t="shared" si="34"/>
        <v>11870.178789783844</v>
      </c>
      <c r="BA52" s="252">
        <f t="shared" si="6"/>
        <v>9.330730821654644E-4</v>
      </c>
      <c r="BB52" s="284">
        <v>0</v>
      </c>
      <c r="BC52" s="199">
        <f t="shared" si="76"/>
        <v>0</v>
      </c>
      <c r="BD52" s="270">
        <f t="shared" si="7"/>
        <v>0</v>
      </c>
      <c r="BE52" s="199">
        <f t="shared" si="77"/>
        <v>0</v>
      </c>
      <c r="BF52" s="251">
        <f t="shared" si="19"/>
        <v>0</v>
      </c>
      <c r="BG52" s="204">
        <f t="shared" si="36"/>
        <v>0</v>
      </c>
      <c r="BH52" s="636">
        <v>1</v>
      </c>
      <c r="BI52" s="199">
        <f t="shared" si="69"/>
        <v>43031.812855638986</v>
      </c>
      <c r="BJ52" s="199">
        <f t="shared" si="70"/>
        <v>86063.625711277971</v>
      </c>
      <c r="BK52" s="199">
        <f t="shared" si="20"/>
        <v>129095.43856691696</v>
      </c>
      <c r="BL52" s="251">
        <f t="shared" si="8"/>
        <v>5.4470740888258693E-4</v>
      </c>
      <c r="BM52" s="199">
        <f t="shared" si="78"/>
        <v>14666.517987388141</v>
      </c>
      <c r="BN52" s="251">
        <f t="shared" si="9"/>
        <v>6.3334585876947231E-4</v>
      </c>
      <c r="BT52" s="199">
        <f>'Detailed Budget'!$AD$12</f>
        <v>194045122715</v>
      </c>
      <c r="BU52" s="199">
        <f>'Detailed Budget'!$AD$24</f>
        <v>194045122715</v>
      </c>
      <c r="BV52" s="596">
        <f t="shared" si="79"/>
        <v>0</v>
      </c>
      <c r="BW52" s="278"/>
      <c r="BX52" s="275">
        <f t="shared" si="27"/>
        <v>0</v>
      </c>
      <c r="BY52" s="275">
        <f t="shared" si="28"/>
        <v>0</v>
      </c>
      <c r="CA52" s="199">
        <f>'Detailed Budget'!$AD$96</f>
        <v>71050111380.677719</v>
      </c>
      <c r="CB52" s="275">
        <f t="shared" si="21"/>
        <v>66294946.414168499</v>
      </c>
      <c r="CE52" s="199">
        <f>'Detailed Budget'!$AD$175</f>
        <v>4330586076.5988197</v>
      </c>
      <c r="CF52" s="275">
        <f t="shared" si="80"/>
        <v>0</v>
      </c>
      <c r="CG52" s="199">
        <f>'Detailed Budget'!$AD$176</f>
        <v>20662817754.37001</v>
      </c>
      <c r="CH52" s="275">
        <f t="shared" si="81"/>
        <v>0</v>
      </c>
      <c r="CI52" s="275">
        <f t="shared" si="43"/>
        <v>0</v>
      </c>
      <c r="CJ52" s="275">
        <f>'Detailed Budget'!$AD$178</f>
        <v>46025131033.061455</v>
      </c>
      <c r="CK52" s="275">
        <f t="shared" si="82"/>
        <v>0</v>
      </c>
      <c r="CL52" s="275">
        <f t="shared" si="51"/>
        <v>0</v>
      </c>
      <c r="CM52" s="278">
        <f>'Detailed Budget'!$AD$189</f>
        <v>77498869683.252869</v>
      </c>
      <c r="CN52" s="275">
        <f t="shared" si="10"/>
        <v>42214208.496493943</v>
      </c>
      <c r="CO52" s="140">
        <f>'Detailed Budget'!$AD$191</f>
        <v>2684962805.4134097</v>
      </c>
      <c r="CP52" s="616">
        <f t="shared" si="11"/>
        <v>1462519.1326828599</v>
      </c>
      <c r="CQ52" s="616">
        <f t="shared" si="12"/>
        <v>43676727.629176803</v>
      </c>
      <c r="CR52" s="199">
        <f>'Detailed Budget'!$AD$195</f>
        <v>18734176418</v>
      </c>
      <c r="CS52" s="275">
        <f t="shared" si="83"/>
        <v>11865213.051797006</v>
      </c>
      <c r="CW52" s="278"/>
      <c r="DH52" s="140">
        <f>'Detailed Budget'!$AD$163</f>
        <v>4928560000</v>
      </c>
      <c r="DI52" s="616">
        <f t="shared" si="84"/>
        <v>5600000</v>
      </c>
    </row>
    <row r="53" spans="1:113" outlineLevel="1">
      <c r="A53" s="214" t="s">
        <v>310</v>
      </c>
      <c r="B53" s="215" t="s">
        <v>311</v>
      </c>
      <c r="C53" s="216" t="s">
        <v>234</v>
      </c>
      <c r="D53" s="217"/>
      <c r="E53" s="216"/>
      <c r="F53" s="216"/>
      <c r="G53" s="216" t="s">
        <v>234</v>
      </c>
      <c r="H53" s="216" t="s">
        <v>234</v>
      </c>
      <c r="I53" s="217" t="s">
        <v>234</v>
      </c>
      <c r="J53" s="217"/>
      <c r="K53" s="216"/>
      <c r="L53" s="216"/>
      <c r="M53" s="217" t="s">
        <v>234</v>
      </c>
      <c r="N53" s="216"/>
      <c r="O53" s="217"/>
      <c r="P53" s="216"/>
      <c r="Q53" s="217"/>
      <c r="R53" s="217" t="s">
        <v>234</v>
      </c>
      <c r="S53" s="217"/>
      <c r="T53" s="217"/>
      <c r="U53" s="218">
        <f t="shared" si="72"/>
        <v>6</v>
      </c>
      <c r="V53" s="867" t="s">
        <v>235</v>
      </c>
      <c r="W53" s="219">
        <v>147048</v>
      </c>
      <c r="X53" s="220">
        <v>3.03</v>
      </c>
      <c r="Y53" s="221">
        <f t="shared" si="24"/>
        <v>1.0303</v>
      </c>
      <c r="Z53" s="199">
        <v>19</v>
      </c>
      <c r="AA53" s="221">
        <f t="shared" si="85"/>
        <v>1.7632354008841205</v>
      </c>
      <c r="AB53" s="199">
        <f t="shared" si="73"/>
        <v>259280.23922920815</v>
      </c>
      <c r="AC53">
        <v>18.8</v>
      </c>
      <c r="AD53" s="199">
        <f t="shared" si="74"/>
        <v>48744.684975091135</v>
      </c>
      <c r="AE53" s="199">
        <f t="shared" si="48"/>
        <v>46307.450726336574</v>
      </c>
      <c r="AF53" s="199">
        <f t="shared" si="49"/>
        <v>0</v>
      </c>
      <c r="AG53" s="614">
        <f t="shared" si="25"/>
        <v>2.1410532280679456E-3</v>
      </c>
      <c r="AH53" s="199">
        <f t="shared" si="86"/>
        <v>12964.011961460408</v>
      </c>
      <c r="AI53" s="252">
        <f t="shared" si="26"/>
        <v>1.004302364257622E-3</v>
      </c>
      <c r="AJ53" s="199">
        <f t="shared" si="32"/>
        <v>61708.69693655154</v>
      </c>
      <c r="AK53" s="199">
        <f t="shared" si="53"/>
        <v>10371.209569168326</v>
      </c>
      <c r="AL53" s="199">
        <f t="shared" si="54"/>
        <v>10371.209569168326</v>
      </c>
      <c r="AM53" s="199">
        <f t="shared" si="16"/>
        <v>20742.419138336652</v>
      </c>
      <c r="AN53" s="645">
        <f t="shared" si="17"/>
        <v>1.004302364257622E-3</v>
      </c>
      <c r="AO53" s="199">
        <v>10</v>
      </c>
      <c r="AP53" s="250">
        <f t="shared" si="18"/>
        <v>1.1362345188046814E-3</v>
      </c>
      <c r="AQ53" s="199">
        <v>10</v>
      </c>
      <c r="AU53" s="199">
        <v>0</v>
      </c>
      <c r="AW53" s="250">
        <f t="shared" si="5"/>
        <v>0</v>
      </c>
      <c r="AX53" s="199">
        <v>1</v>
      </c>
      <c r="AY53" s="199">
        <f t="shared" si="75"/>
        <v>21885.600284372573</v>
      </c>
      <c r="AZ53" s="199">
        <f t="shared" si="34"/>
        <v>21885.600284372573</v>
      </c>
      <c r="BA53" s="252">
        <f t="shared" si="6"/>
        <v>1.7203502048306338E-3</v>
      </c>
      <c r="BB53" s="284">
        <v>0</v>
      </c>
      <c r="BC53" s="199">
        <f t="shared" si="76"/>
        <v>0</v>
      </c>
      <c r="BD53" s="270">
        <f t="shared" si="7"/>
        <v>0</v>
      </c>
      <c r="BE53" s="199">
        <f t="shared" si="77"/>
        <v>0</v>
      </c>
      <c r="BF53" s="251">
        <f t="shared" si="19"/>
        <v>0</v>
      </c>
      <c r="BG53" s="204">
        <f t="shared" si="36"/>
        <v>0</v>
      </c>
      <c r="BH53" s="636">
        <v>1</v>
      </c>
      <c r="BI53" s="199">
        <f t="shared" si="69"/>
        <v>79339.753204137698</v>
      </c>
      <c r="BJ53" s="199">
        <f t="shared" si="70"/>
        <v>158679.5064082754</v>
      </c>
      <c r="BK53" s="199">
        <f t="shared" si="20"/>
        <v>238019.25961241309</v>
      </c>
      <c r="BL53" s="251">
        <f t="shared" si="8"/>
        <v>1.004302364257622E-3</v>
      </c>
      <c r="BM53" s="199">
        <f t="shared" si="78"/>
        <v>27041.340818875949</v>
      </c>
      <c r="BN53" s="251">
        <f t="shared" si="9"/>
        <v>1.1677291936597501E-3</v>
      </c>
      <c r="BT53" s="199">
        <f>'Detailed Budget'!$AD$12</f>
        <v>194045122715</v>
      </c>
      <c r="BU53" s="199">
        <f>'Detailed Budget'!$AD$24</f>
        <v>194045122715</v>
      </c>
      <c r="BV53" s="596">
        <f t="shared" si="79"/>
        <v>0</v>
      </c>
      <c r="BW53" s="278"/>
      <c r="BX53" s="275">
        <f t="shared" si="27"/>
        <v>0</v>
      </c>
      <c r="BY53" s="275">
        <f t="shared" si="28"/>
        <v>0</v>
      </c>
      <c r="CA53" s="199">
        <f>'Detailed Budget'!$AD$96</f>
        <v>71050111380.677719</v>
      </c>
      <c r="CB53" s="275">
        <f t="shared" si="21"/>
        <v>122231073.66698827</v>
      </c>
      <c r="CE53" s="199">
        <f>'Detailed Budget'!$AD$175</f>
        <v>4330586076.5988197</v>
      </c>
      <c r="CF53" s="275">
        <f t="shared" si="80"/>
        <v>0</v>
      </c>
      <c r="CG53" s="199">
        <f>'Detailed Budget'!$AD$176</f>
        <v>20662817754.37001</v>
      </c>
      <c r="CH53" s="275">
        <f t="shared" si="81"/>
        <v>0</v>
      </c>
      <c r="CI53" s="275">
        <f t="shared" si="43"/>
        <v>0</v>
      </c>
      <c r="CJ53" s="275">
        <f>'Detailed Budget'!$AD$178</f>
        <v>46025131033.061455</v>
      </c>
      <c r="CK53" s="275">
        <f t="shared" si="82"/>
        <v>0</v>
      </c>
      <c r="CL53" s="275">
        <f t="shared" si="51"/>
        <v>0</v>
      </c>
      <c r="CM53" s="278">
        <f>'Detailed Budget'!$AD$189</f>
        <v>77498869683.252869</v>
      </c>
      <c r="CN53" s="275">
        <f t="shared" si="10"/>
        <v>77832298.050184205</v>
      </c>
      <c r="CO53" s="140">
        <f>'Detailed Budget'!$AD$191</f>
        <v>2684962805.4134097</v>
      </c>
      <c r="CP53" s="616">
        <f t="shared" si="11"/>
        <v>2696514.4934204649</v>
      </c>
      <c r="CQ53" s="616">
        <f t="shared" si="12"/>
        <v>80528812.543604672</v>
      </c>
      <c r="CR53" s="199">
        <f>'Detailed Budget'!$AD$195</f>
        <v>18734176418</v>
      </c>
      <c r="CS53" s="275">
        <f t="shared" si="83"/>
        <v>21876444.722470645</v>
      </c>
      <c r="CW53" s="278"/>
      <c r="DH53" s="140">
        <f>'Detailed Budget'!$AD$163</f>
        <v>4928560000</v>
      </c>
      <c r="DI53" s="616">
        <f t="shared" si="84"/>
        <v>5600000</v>
      </c>
    </row>
    <row r="54" spans="1:113" outlineLevel="1">
      <c r="A54" s="214" t="s">
        <v>312</v>
      </c>
      <c r="B54" s="215" t="s">
        <v>313</v>
      </c>
      <c r="C54" s="216" t="s">
        <v>234</v>
      </c>
      <c r="D54" s="217"/>
      <c r="E54" s="216"/>
      <c r="F54" s="216"/>
      <c r="G54" s="216" t="s">
        <v>234</v>
      </c>
      <c r="H54" s="216" t="s">
        <v>234</v>
      </c>
      <c r="I54" s="217" t="s">
        <v>234</v>
      </c>
      <c r="J54" s="217"/>
      <c r="K54" s="216"/>
      <c r="L54" s="216"/>
      <c r="M54" s="217"/>
      <c r="N54" s="216" t="s">
        <v>234</v>
      </c>
      <c r="O54" s="217"/>
      <c r="P54" s="216"/>
      <c r="Q54" s="217"/>
      <c r="R54" s="217" t="s">
        <v>234</v>
      </c>
      <c r="S54" s="217"/>
      <c r="T54" s="217"/>
      <c r="U54" s="218">
        <f t="shared" si="72"/>
        <v>6</v>
      </c>
      <c r="V54" s="867" t="s">
        <v>235</v>
      </c>
      <c r="W54" s="219">
        <v>118593</v>
      </c>
      <c r="X54" s="220">
        <v>3.03</v>
      </c>
      <c r="Y54" s="221">
        <f t="shared" si="24"/>
        <v>1.0303</v>
      </c>
      <c r="Z54" s="199">
        <v>19</v>
      </c>
      <c r="AA54" s="221">
        <f t="shared" si="85"/>
        <v>1.7632354008841205</v>
      </c>
      <c r="AB54" s="199">
        <f t="shared" si="73"/>
        <v>209107.37589705049</v>
      </c>
      <c r="AC54">
        <v>18.8</v>
      </c>
      <c r="AD54" s="199">
        <f t="shared" si="74"/>
        <v>39312.186668645496</v>
      </c>
      <c r="AE54" s="199">
        <f t="shared" si="48"/>
        <v>37346.577335213216</v>
      </c>
      <c r="AF54" s="199">
        <f t="shared" si="49"/>
        <v>0</v>
      </c>
      <c r="AG54" s="614">
        <f t="shared" si="25"/>
        <v>1.726741781433694E-3</v>
      </c>
      <c r="AH54" s="199">
        <f t="shared" si="86"/>
        <v>10455.368794852526</v>
      </c>
      <c r="AI54" s="252">
        <f t="shared" si="26"/>
        <v>8.0996157910617067E-4</v>
      </c>
      <c r="AJ54" s="199">
        <f t="shared" si="32"/>
        <v>49767.555463498022</v>
      </c>
      <c r="AK54" s="199">
        <f t="shared" si="53"/>
        <v>8364.2950358820199</v>
      </c>
      <c r="AL54" s="199">
        <f t="shared" si="54"/>
        <v>8364.2950358820199</v>
      </c>
      <c r="AM54" s="199">
        <f t="shared" si="16"/>
        <v>16728.59007176404</v>
      </c>
      <c r="AN54" s="645">
        <f t="shared" si="17"/>
        <v>8.0996157910617056E-4</v>
      </c>
      <c r="AO54" s="199">
        <v>15</v>
      </c>
      <c r="AP54" s="250">
        <f t="shared" si="18"/>
        <v>1.7043517782070218E-3</v>
      </c>
      <c r="AQ54" s="199">
        <v>15</v>
      </c>
      <c r="AU54" s="199">
        <v>0</v>
      </c>
      <c r="AW54" s="250">
        <f t="shared" si="5"/>
        <v>0</v>
      </c>
      <c r="AX54" s="199">
        <v>1</v>
      </c>
      <c r="AY54" s="199">
        <f t="shared" si="75"/>
        <v>17650.556243706793</v>
      </c>
      <c r="AZ54" s="199">
        <f t="shared" si="34"/>
        <v>17650.556243706793</v>
      </c>
      <c r="BA54" s="252">
        <f t="shared" si="6"/>
        <v>1.3874482607140481E-3</v>
      </c>
      <c r="BB54" s="284">
        <v>0</v>
      </c>
      <c r="BC54" s="199">
        <f t="shared" si="76"/>
        <v>0</v>
      </c>
      <c r="BD54" s="270">
        <f t="shared" si="7"/>
        <v>0</v>
      </c>
      <c r="BE54" s="199">
        <f t="shared" si="77"/>
        <v>0</v>
      </c>
      <c r="BF54" s="251">
        <f t="shared" si="19"/>
        <v>0</v>
      </c>
      <c r="BG54" s="204">
        <f t="shared" si="36"/>
        <v>0</v>
      </c>
      <c r="BH54" s="636">
        <v>1</v>
      </c>
      <c r="BI54" s="199">
        <f t="shared" si="69"/>
        <v>63986.857024497447</v>
      </c>
      <c r="BJ54" s="199">
        <f t="shared" si="70"/>
        <v>127973.71404899489</v>
      </c>
      <c r="BK54" s="199">
        <f t="shared" si="20"/>
        <v>191960.57107349235</v>
      </c>
      <c r="BL54" s="251">
        <f t="shared" si="8"/>
        <v>8.0996157910617056E-4</v>
      </c>
      <c r="BM54" s="199">
        <f t="shared" si="78"/>
        <v>21808.618490104971</v>
      </c>
      <c r="BN54" s="251">
        <f t="shared" si="9"/>
        <v>9.4176397002129059E-4</v>
      </c>
      <c r="BT54" s="199">
        <f>'Detailed Budget'!$AD$12</f>
        <v>194045122715</v>
      </c>
      <c r="BU54" s="199">
        <f>'Detailed Budget'!$AD$24</f>
        <v>194045122715</v>
      </c>
      <c r="BV54" s="596">
        <f t="shared" si="79"/>
        <v>0</v>
      </c>
      <c r="BW54" s="278"/>
      <c r="BX54" s="275">
        <f t="shared" si="27"/>
        <v>0</v>
      </c>
      <c r="BY54" s="275">
        <f t="shared" si="28"/>
        <v>0</v>
      </c>
      <c r="CA54" s="199">
        <f>'Detailed Budget'!$AD$96</f>
        <v>71050111380.677719</v>
      </c>
      <c r="CB54" s="275">
        <f t="shared" si="21"/>
        <v>98578353.458660692</v>
      </c>
      <c r="CE54" s="199">
        <f>'Detailed Budget'!$AD$175</f>
        <v>4330586076.5988197</v>
      </c>
      <c r="CF54" s="275">
        <f t="shared" si="80"/>
        <v>0</v>
      </c>
      <c r="CG54" s="199">
        <f>'Detailed Budget'!$AD$176</f>
        <v>20662817754.37001</v>
      </c>
      <c r="CH54" s="275">
        <f t="shared" si="81"/>
        <v>0</v>
      </c>
      <c r="CI54" s="275">
        <f t="shared" si="43"/>
        <v>0</v>
      </c>
      <c r="CJ54" s="275">
        <f>'Detailed Budget'!$AD$178</f>
        <v>46025131033.061455</v>
      </c>
      <c r="CK54" s="275">
        <f t="shared" si="82"/>
        <v>0</v>
      </c>
      <c r="CL54" s="275">
        <f t="shared" si="51"/>
        <v>0</v>
      </c>
      <c r="CM54" s="278">
        <f>'Detailed Budget'!$AD$189</f>
        <v>77498869683.252869</v>
      </c>
      <c r="CN54" s="275">
        <f t="shared" si="10"/>
        <v>62771106.867590822</v>
      </c>
      <c r="CO54" s="140">
        <f>'Detailed Budget'!$AD$191</f>
        <v>2684962805.4134097</v>
      </c>
      <c r="CP54" s="616">
        <f t="shared" si="11"/>
        <v>2174716.7137139789</v>
      </c>
      <c r="CQ54" s="616">
        <f t="shared" si="12"/>
        <v>64945823.581304803</v>
      </c>
      <c r="CR54" s="199">
        <f>'Detailed Budget'!$AD$195</f>
        <v>18734176418</v>
      </c>
      <c r="CS54" s="275">
        <f t="shared" si="83"/>
        <v>17643172.358494923</v>
      </c>
      <c r="CW54" s="278"/>
      <c r="DH54" s="140">
        <f>'Detailed Budget'!$AD$163</f>
        <v>4928560000</v>
      </c>
      <c r="DI54" s="616">
        <f t="shared" si="84"/>
        <v>8400000</v>
      </c>
    </row>
    <row r="55" spans="1:113" outlineLevel="1">
      <c r="A55" s="214" t="s">
        <v>314</v>
      </c>
      <c r="B55" s="215" t="s">
        <v>315</v>
      </c>
      <c r="C55" s="216" t="s">
        <v>234</v>
      </c>
      <c r="D55" s="217"/>
      <c r="E55" s="216"/>
      <c r="F55" s="216"/>
      <c r="G55" s="216" t="s">
        <v>234</v>
      </c>
      <c r="H55" s="216" t="s">
        <v>234</v>
      </c>
      <c r="I55" s="217" t="s">
        <v>234</v>
      </c>
      <c r="J55" s="217"/>
      <c r="K55" s="216"/>
      <c r="L55" s="216"/>
      <c r="M55" s="217" t="s">
        <v>234</v>
      </c>
      <c r="N55" s="216"/>
      <c r="O55" s="217"/>
      <c r="P55" s="216"/>
      <c r="Q55" s="217"/>
      <c r="R55" s="217" t="s">
        <v>234</v>
      </c>
      <c r="S55" s="217"/>
      <c r="T55" s="217"/>
      <c r="U55" s="218">
        <f t="shared" si="72"/>
        <v>6</v>
      </c>
      <c r="V55" s="867" t="s">
        <v>235</v>
      </c>
      <c r="W55" s="219">
        <v>144579</v>
      </c>
      <c r="X55" s="220">
        <v>3.03</v>
      </c>
      <c r="Y55" s="221">
        <f t="shared" si="24"/>
        <v>1.0303</v>
      </c>
      <c r="Z55" s="199">
        <v>19</v>
      </c>
      <c r="AA55" s="221">
        <f t="shared" si="85"/>
        <v>1.7632354008841205</v>
      </c>
      <c r="AB55" s="199">
        <f t="shared" si="73"/>
        <v>254926.81102442526</v>
      </c>
      <c r="AC55">
        <v>18.8</v>
      </c>
      <c r="AD55" s="199">
        <f t="shared" si="74"/>
        <v>47926.240472591948</v>
      </c>
      <c r="AE55" s="199">
        <f t="shared" si="48"/>
        <v>45529.928448962346</v>
      </c>
      <c r="AF55" s="199">
        <f t="shared" si="49"/>
        <v>0</v>
      </c>
      <c r="AG55" s="614">
        <f t="shared" si="25"/>
        <v>2.1051040113489162E-3</v>
      </c>
      <c r="AH55" s="199">
        <f t="shared" si="86"/>
        <v>12746.340551221263</v>
      </c>
      <c r="AI55" s="252">
        <f t="shared" si="26"/>
        <v>9.8743968991079614E-4</v>
      </c>
      <c r="AJ55" s="199">
        <f t="shared" si="32"/>
        <v>60672.581023813211</v>
      </c>
      <c r="AK55" s="199">
        <f t="shared" si="53"/>
        <v>10197.07244097701</v>
      </c>
      <c r="AL55" s="199">
        <f t="shared" si="54"/>
        <v>10197.07244097701</v>
      </c>
      <c r="AM55" s="199">
        <f t="shared" si="16"/>
        <v>20394.14488195402</v>
      </c>
      <c r="AN55" s="645">
        <f t="shared" si="17"/>
        <v>9.8743968991079592E-4</v>
      </c>
      <c r="AO55" s="199">
        <v>15</v>
      </c>
      <c r="AP55" s="250">
        <f t="shared" si="18"/>
        <v>1.7043517782070218E-3</v>
      </c>
      <c r="AQ55" s="199">
        <v>15</v>
      </c>
      <c r="AU55" s="199">
        <v>0</v>
      </c>
      <c r="AW55" s="250">
        <f t="shared" si="5"/>
        <v>0</v>
      </c>
      <c r="AX55" s="199">
        <v>1</v>
      </c>
      <c r="AY55" s="199">
        <f t="shared" si="75"/>
        <v>21518.131518377006</v>
      </c>
      <c r="AZ55" s="199">
        <f t="shared" si="34"/>
        <v>21518.131518377006</v>
      </c>
      <c r="BA55" s="252">
        <f t="shared" si="6"/>
        <v>1.6914647752040708E-3</v>
      </c>
      <c r="BB55" s="284">
        <v>0</v>
      </c>
      <c r="BC55" s="199">
        <f t="shared" si="76"/>
        <v>0</v>
      </c>
      <c r="BD55" s="270">
        <f t="shared" si="7"/>
        <v>0</v>
      </c>
      <c r="BE55" s="199">
        <f t="shared" si="77"/>
        <v>0</v>
      </c>
      <c r="BF55" s="251">
        <f t="shared" si="19"/>
        <v>0</v>
      </c>
      <c r="BG55" s="204">
        <f t="shared" si="36"/>
        <v>0</v>
      </c>
      <c r="BH55" s="636">
        <v>1</v>
      </c>
      <c r="BI55" s="199">
        <f t="shared" si="69"/>
        <v>78007.604173474116</v>
      </c>
      <c r="BJ55" s="199">
        <f t="shared" si="70"/>
        <v>156015.20834694823</v>
      </c>
      <c r="BK55" s="199">
        <f t="shared" si="20"/>
        <v>234022.81252042233</v>
      </c>
      <c r="BL55" s="251">
        <f t="shared" si="8"/>
        <v>9.8743968991079571E-4</v>
      </c>
      <c r="BM55" s="199">
        <f t="shared" si="78"/>
        <v>26587.304922557709</v>
      </c>
      <c r="BN55" s="251">
        <f t="shared" si="9"/>
        <v>1.1481225116297604E-3</v>
      </c>
      <c r="BT55" s="199">
        <f>'Detailed Budget'!$AD$12</f>
        <v>194045122715</v>
      </c>
      <c r="BU55" s="199">
        <f>'Detailed Budget'!$AD$24</f>
        <v>194045122715</v>
      </c>
      <c r="BV55" s="596">
        <f t="shared" si="79"/>
        <v>0</v>
      </c>
      <c r="BW55" s="278"/>
      <c r="BX55" s="275">
        <f t="shared" si="27"/>
        <v>0</v>
      </c>
      <c r="BY55" s="275">
        <f t="shared" si="28"/>
        <v>0</v>
      </c>
      <c r="CA55" s="199">
        <f>'Detailed Budget'!$AD$96</f>
        <v>71050111380.677719</v>
      </c>
      <c r="CB55" s="275">
        <f t="shared" si="21"/>
        <v>120178760.67474224</v>
      </c>
      <c r="CE55" s="199">
        <f>'Detailed Budget'!$AD$175</f>
        <v>4330586076.5988197</v>
      </c>
      <c r="CF55" s="275">
        <f t="shared" si="80"/>
        <v>0</v>
      </c>
      <c r="CG55" s="199">
        <f>'Detailed Budget'!$AD$176</f>
        <v>20662817754.37001</v>
      </c>
      <c r="CH55" s="275">
        <f t="shared" si="81"/>
        <v>0</v>
      </c>
      <c r="CI55" s="275">
        <f t="shared" si="43"/>
        <v>0</v>
      </c>
      <c r="CJ55" s="275">
        <f>'Detailed Budget'!$AD$178</f>
        <v>46025131033.061455</v>
      </c>
      <c r="CK55" s="275">
        <f t="shared" si="82"/>
        <v>0</v>
      </c>
      <c r="CL55" s="275">
        <f t="shared" si="51"/>
        <v>0</v>
      </c>
      <c r="CM55" s="278">
        <f>'Detailed Budget'!$AD$189</f>
        <v>77498869683.252869</v>
      </c>
      <c r="CN55" s="275">
        <f t="shared" si="10"/>
        <v>76525459.848468378</v>
      </c>
      <c r="CO55" s="140">
        <f>'Detailed Budget'!$AD$191</f>
        <v>2684962805.4134097</v>
      </c>
      <c r="CP55" s="616">
        <f t="shared" si="11"/>
        <v>2651238.8399994378</v>
      </c>
      <c r="CQ55" s="616">
        <f t="shared" si="12"/>
        <v>79176698.688467816</v>
      </c>
      <c r="CR55" s="199">
        <f>'Detailed Budget'!$AD$195</f>
        <v>18734176418</v>
      </c>
      <c r="CS55" s="275">
        <f t="shared" si="83"/>
        <v>21509129.682349186</v>
      </c>
      <c r="CW55" s="278"/>
      <c r="DH55" s="140">
        <f>'Detailed Budget'!$AD$163</f>
        <v>4928560000</v>
      </c>
      <c r="DI55" s="616">
        <f t="shared" si="84"/>
        <v>8400000</v>
      </c>
    </row>
    <row r="56" spans="1:113" outlineLevel="1">
      <c r="A56" s="214" t="s">
        <v>316</v>
      </c>
      <c r="B56" s="215" t="s">
        <v>295</v>
      </c>
      <c r="C56" s="216" t="s">
        <v>234</v>
      </c>
      <c r="D56" s="217" t="s">
        <v>234</v>
      </c>
      <c r="E56" s="216"/>
      <c r="F56" s="216"/>
      <c r="G56" s="216"/>
      <c r="H56" s="216" t="s">
        <v>234</v>
      </c>
      <c r="I56" s="217" t="s">
        <v>234</v>
      </c>
      <c r="J56" s="217"/>
      <c r="K56" s="216"/>
      <c r="L56" s="216"/>
      <c r="M56" s="217" t="s">
        <v>234</v>
      </c>
      <c r="N56" s="216"/>
      <c r="O56" s="217"/>
      <c r="P56" s="216"/>
      <c r="Q56" s="217"/>
      <c r="R56" s="217" t="s">
        <v>234</v>
      </c>
      <c r="S56" s="217"/>
      <c r="T56" s="217"/>
      <c r="U56" s="218">
        <f t="shared" si="72"/>
        <v>6</v>
      </c>
      <c r="V56" s="867" t="s">
        <v>238</v>
      </c>
      <c r="W56" s="219">
        <v>115100</v>
      </c>
      <c r="X56" s="220">
        <v>3.03</v>
      </c>
      <c r="Y56" s="221">
        <f t="shared" si="24"/>
        <v>1.0303</v>
      </c>
      <c r="Z56" s="199">
        <v>19</v>
      </c>
      <c r="AA56" s="221">
        <f t="shared" si="85"/>
        <v>1.7632354008841205</v>
      </c>
      <c r="AB56" s="199">
        <f t="shared" si="73"/>
        <v>202948.39464176225</v>
      </c>
      <c r="AC56">
        <v>18.8</v>
      </c>
      <c r="AD56" s="199">
        <f t="shared" si="74"/>
        <v>38154.298192651302</v>
      </c>
      <c r="AE56" s="199">
        <f t="shared" si="48"/>
        <v>36246.583283018736</v>
      </c>
      <c r="AF56" s="199">
        <f t="shared" si="49"/>
        <v>36246.583283018736</v>
      </c>
      <c r="AG56" s="614">
        <f t="shared" si="25"/>
        <v>1.6758828855245938E-3</v>
      </c>
      <c r="AH56" s="199">
        <f t="shared" si="86"/>
        <v>10147.419732088114</v>
      </c>
      <c r="AI56" s="252">
        <f t="shared" si="26"/>
        <v>7.8610523180221625E-4</v>
      </c>
      <c r="AJ56" s="199">
        <f t="shared" si="32"/>
        <v>48301.717924739416</v>
      </c>
      <c r="AK56" s="199">
        <f t="shared" si="53"/>
        <v>8117.9357856704901</v>
      </c>
      <c r="AL56" s="199">
        <f t="shared" si="54"/>
        <v>8117.9357856704901</v>
      </c>
      <c r="AM56" s="199">
        <f t="shared" si="16"/>
        <v>16235.87157134098</v>
      </c>
      <c r="AN56" s="645">
        <f t="shared" si="17"/>
        <v>7.8610523180221614E-4</v>
      </c>
      <c r="AO56" s="199">
        <v>11</v>
      </c>
      <c r="AP56" s="250">
        <f t="shared" si="18"/>
        <v>1.2498579706851495E-3</v>
      </c>
      <c r="AQ56" s="199">
        <v>11</v>
      </c>
      <c r="AU56" s="199">
        <v>0</v>
      </c>
      <c r="AW56" s="250">
        <f t="shared" si="5"/>
        <v>0</v>
      </c>
      <c r="AX56" s="199">
        <v>1</v>
      </c>
      <c r="AY56" s="199">
        <f t="shared" si="75"/>
        <v>17130.682448800955</v>
      </c>
      <c r="AZ56" s="199">
        <f t="shared" si="34"/>
        <v>17130.682448800955</v>
      </c>
      <c r="BA56" s="252">
        <f t="shared" si="6"/>
        <v>1.3465828068114217E-3</v>
      </c>
      <c r="BB56" s="284">
        <v>1</v>
      </c>
      <c r="BC56" s="199">
        <f t="shared" si="76"/>
        <v>27471.094698708937</v>
      </c>
      <c r="BD56" s="270">
        <f t="shared" si="7"/>
        <v>2.4739669437071066E-3</v>
      </c>
      <c r="BE56" s="199">
        <f t="shared" si="77"/>
        <v>117515.23843336602</v>
      </c>
      <c r="BF56" s="251">
        <f t="shared" si="19"/>
        <v>2.4739669986833046E-3</v>
      </c>
      <c r="BG56" s="204">
        <f t="shared" si="36"/>
        <v>144986.33313207494</v>
      </c>
      <c r="BH56" s="636">
        <v>0</v>
      </c>
      <c r="BI56" s="199">
        <f t="shared" si="69"/>
        <v>62102.208760379246</v>
      </c>
      <c r="BJ56" s="199">
        <f t="shared" si="70"/>
        <v>124204.41752075849</v>
      </c>
      <c r="BK56" s="199">
        <f t="shared" si="20"/>
        <v>186306.62628113775</v>
      </c>
      <c r="BL56" s="251">
        <f t="shared" si="8"/>
        <v>7.8610523180221625E-4</v>
      </c>
      <c r="BM56" s="199">
        <f t="shared" si="78"/>
        <v>21166.274469918812</v>
      </c>
      <c r="BN56" s="251">
        <f t="shared" si="9"/>
        <v>9.1402555757465046E-4</v>
      </c>
      <c r="BT56" s="199">
        <f>'Detailed Budget'!$AD$12</f>
        <v>194045122715</v>
      </c>
      <c r="BU56" s="199">
        <f>'Detailed Budget'!$AD$24</f>
        <v>194045122715</v>
      </c>
      <c r="BV56" s="596">
        <f t="shared" si="79"/>
        <v>0</v>
      </c>
      <c r="BW56" s="278"/>
      <c r="BX56" s="275">
        <f t="shared" si="27"/>
        <v>0</v>
      </c>
      <c r="BY56" s="275">
        <f t="shared" si="28"/>
        <v>0</v>
      </c>
      <c r="CA56" s="199">
        <f>'Detailed Budget'!$AD$96</f>
        <v>71050111380.677719</v>
      </c>
      <c r="CB56" s="275">
        <f t="shared" si="21"/>
        <v>95674858.40725714</v>
      </c>
      <c r="CE56" s="199">
        <f>'Detailed Budget'!$AD$175</f>
        <v>4330586076.5988197</v>
      </c>
      <c r="CF56" s="275">
        <f t="shared" si="80"/>
        <v>10713726.800383732</v>
      </c>
      <c r="CG56" s="199">
        <f>'Detailed Budget'!$AD$176</f>
        <v>20662817754.37001</v>
      </c>
      <c r="CH56" s="275">
        <f t="shared" si="81"/>
        <v>51119129.224118873</v>
      </c>
      <c r="CI56" s="275">
        <f t="shared" si="43"/>
        <v>61832856.024502605</v>
      </c>
      <c r="CJ56" s="275">
        <f>'Detailed Budget'!$AD$178</f>
        <v>46025131033.061455</v>
      </c>
      <c r="CK56" s="275">
        <f t="shared" si="82"/>
        <v>77132729.402334556</v>
      </c>
      <c r="CL56" s="275">
        <f t="shared" si="51"/>
        <v>138965585.42683715</v>
      </c>
      <c r="CM56" s="278">
        <f>'Detailed Budget'!$AD$189</f>
        <v>77498869683.252869</v>
      </c>
      <c r="CN56" s="275">
        <f t="shared" si="10"/>
        <v>0</v>
      </c>
      <c r="CO56" s="140">
        <f>'Detailed Budget'!$AD$191</f>
        <v>2684962805.4134097</v>
      </c>
      <c r="CP56" s="616">
        <f t="shared" si="11"/>
        <v>0</v>
      </c>
      <c r="CQ56" s="616">
        <f t="shared" si="12"/>
        <v>0</v>
      </c>
      <c r="CR56" s="199">
        <f>'Detailed Budget'!$AD$195</f>
        <v>18734176418</v>
      </c>
      <c r="CS56" s="275">
        <f t="shared" si="83"/>
        <v>17123516.046164319</v>
      </c>
      <c r="CW56" s="278"/>
      <c r="DH56" s="140">
        <f>'Detailed Budget'!$AD$163</f>
        <v>4928560000</v>
      </c>
      <c r="DI56" s="616">
        <f t="shared" si="84"/>
        <v>6160000</v>
      </c>
    </row>
    <row r="57" spans="1:113" outlineLevel="1">
      <c r="A57" s="214" t="s">
        <v>317</v>
      </c>
      <c r="B57" s="215" t="s">
        <v>318</v>
      </c>
      <c r="C57" s="216" t="s">
        <v>234</v>
      </c>
      <c r="D57" s="217" t="s">
        <v>234</v>
      </c>
      <c r="E57" s="216"/>
      <c r="F57" s="216"/>
      <c r="G57" s="216"/>
      <c r="H57" s="216" t="s">
        <v>234</v>
      </c>
      <c r="I57" s="217" t="s">
        <v>234</v>
      </c>
      <c r="J57" s="217"/>
      <c r="K57" s="216"/>
      <c r="L57" s="216"/>
      <c r="M57" s="217" t="s">
        <v>234</v>
      </c>
      <c r="N57" s="216"/>
      <c r="O57" s="217"/>
      <c r="P57" s="216"/>
      <c r="Q57" s="217"/>
      <c r="R57" s="217" t="s">
        <v>234</v>
      </c>
      <c r="S57" s="217"/>
      <c r="T57" s="217"/>
      <c r="U57" s="218">
        <f t="shared" si="72"/>
        <v>6</v>
      </c>
      <c r="V57" s="867" t="s">
        <v>238</v>
      </c>
      <c r="W57" s="219">
        <v>196643</v>
      </c>
      <c r="X57" s="220">
        <v>3.03</v>
      </c>
      <c r="Y57" s="221">
        <f t="shared" si="24"/>
        <v>1.0303</v>
      </c>
      <c r="Z57" s="199">
        <v>19</v>
      </c>
      <c r="AA57" s="221">
        <f t="shared" si="85"/>
        <v>1.7632354008841205</v>
      </c>
      <c r="AB57" s="199">
        <f t="shared" si="73"/>
        <v>346727.89893605612</v>
      </c>
      <c r="AC57">
        <v>18.8</v>
      </c>
      <c r="AD57" s="199">
        <f t="shared" si="74"/>
        <v>65184.844999978552</v>
      </c>
      <c r="AE57" s="199">
        <f t="shared" si="48"/>
        <v>61925.602749979618</v>
      </c>
      <c r="AF57" s="199">
        <f t="shared" si="49"/>
        <v>61925.602749979618</v>
      </c>
      <c r="AG57" s="614">
        <f t="shared" si="25"/>
        <v>2.8631680126690942E-3</v>
      </c>
      <c r="AH57" s="199">
        <f t="shared" si="86"/>
        <v>17336.394946802808</v>
      </c>
      <c r="AI57" s="252">
        <f t="shared" si="26"/>
        <v>1.3430242493247891E-3</v>
      </c>
      <c r="AJ57" s="199">
        <f t="shared" si="32"/>
        <v>82521.239946781367</v>
      </c>
      <c r="AK57" s="199">
        <f t="shared" si="53"/>
        <v>13869.115957442245</v>
      </c>
      <c r="AL57" s="199">
        <f t="shared" si="54"/>
        <v>13869.115957442245</v>
      </c>
      <c r="AM57" s="199">
        <f t="shared" si="16"/>
        <v>27738.231914884491</v>
      </c>
      <c r="AN57" s="645">
        <f t="shared" si="17"/>
        <v>1.3430242493247891E-3</v>
      </c>
      <c r="AO57" s="199">
        <v>10</v>
      </c>
      <c r="AP57" s="250">
        <f t="shared" si="18"/>
        <v>1.1362345188046814E-3</v>
      </c>
      <c r="AQ57" s="199">
        <v>10</v>
      </c>
      <c r="AU57" s="199">
        <v>0</v>
      </c>
      <c r="AW57" s="250">
        <f t="shared" si="5"/>
        <v>0</v>
      </c>
      <c r="AX57" s="199">
        <v>1</v>
      </c>
      <c r="AY57" s="199">
        <f t="shared" si="75"/>
        <v>29266.974707033598</v>
      </c>
      <c r="AZ57" s="199">
        <f t="shared" si="34"/>
        <v>29266.974707033598</v>
      </c>
      <c r="BA57" s="252">
        <f t="shared" si="6"/>
        <v>2.3005741344901691E-3</v>
      </c>
      <c r="BB57" s="284">
        <v>1</v>
      </c>
      <c r="BC57" s="199">
        <f t="shared" si="76"/>
        <v>46933.088399984554</v>
      </c>
      <c r="BD57" s="270">
        <f t="shared" si="7"/>
        <v>4.2266575300729499E-3</v>
      </c>
      <c r="BE57" s="199">
        <f t="shared" si="77"/>
        <v>200769.32259993395</v>
      </c>
      <c r="BF57" s="251">
        <f t="shared" si="19"/>
        <v>4.2266576239972297E-3</v>
      </c>
      <c r="BG57" s="204">
        <f t="shared" si="36"/>
        <v>247702.4109999185</v>
      </c>
      <c r="BH57" s="636">
        <v>0</v>
      </c>
      <c r="BI57" s="199">
        <f t="shared" si="69"/>
        <v>106098.73707443316</v>
      </c>
      <c r="BJ57" s="199">
        <f t="shared" si="70"/>
        <v>212197.47414886631</v>
      </c>
      <c r="BK57" s="199">
        <f t="shared" si="20"/>
        <v>318296.2112232995</v>
      </c>
      <c r="BL57" s="251">
        <f t="shared" si="8"/>
        <v>1.3430242493247889E-3</v>
      </c>
      <c r="BM57" s="199">
        <f t="shared" si="78"/>
        <v>36161.59609546695</v>
      </c>
      <c r="BN57" s="251">
        <f t="shared" si="9"/>
        <v>1.5615701800013209E-3</v>
      </c>
      <c r="BT57" s="199">
        <f>'Detailed Budget'!$AD$12</f>
        <v>194045122715</v>
      </c>
      <c r="BU57" s="199">
        <f>'Detailed Budget'!$AD$24</f>
        <v>194045122715</v>
      </c>
      <c r="BV57" s="596">
        <f t="shared" si="79"/>
        <v>0</v>
      </c>
      <c r="BW57" s="278"/>
      <c r="BX57" s="275">
        <f t="shared" si="27"/>
        <v>0</v>
      </c>
      <c r="BY57" s="275">
        <f t="shared" si="28"/>
        <v>0</v>
      </c>
      <c r="CA57" s="199">
        <f>'Detailed Budget'!$AD$96</f>
        <v>71050111380.677719</v>
      </c>
      <c r="CB57" s="275">
        <f t="shared" si="21"/>
        <v>163456048.49503276</v>
      </c>
      <c r="CE57" s="199">
        <f>'Detailed Budget'!$AD$175</f>
        <v>4330586076.5988197</v>
      </c>
      <c r="CF57" s="275">
        <f t="shared" si="80"/>
        <v>18303904.250285473</v>
      </c>
      <c r="CG57" s="199">
        <f>'Detailed Budget'!$AD$176</f>
        <v>20662817754.37001</v>
      </c>
      <c r="CH57" s="275">
        <f t="shared" si="81"/>
        <v>87334656.194773316</v>
      </c>
      <c r="CI57" s="275">
        <f t="shared" si="43"/>
        <v>105638560.44505879</v>
      </c>
      <c r="CJ57" s="275">
        <f>'Detailed Budget'!$AD$178</f>
        <v>46025131033.061455</v>
      </c>
      <c r="CK57" s="275">
        <f t="shared" si="82"/>
        <v>131777682.95276523</v>
      </c>
      <c r="CL57" s="275">
        <f t="shared" si="51"/>
        <v>237416243.39782402</v>
      </c>
      <c r="CM57" s="278">
        <f>'Detailed Budget'!$AD$189</f>
        <v>77498869683.252869</v>
      </c>
      <c r="CN57" s="275">
        <f t="shared" si="10"/>
        <v>0</v>
      </c>
      <c r="CO57" s="140">
        <f>'Detailed Budget'!$AD$191</f>
        <v>2684962805.4134097</v>
      </c>
      <c r="CP57" s="616">
        <f t="shared" si="11"/>
        <v>0</v>
      </c>
      <c r="CQ57" s="616">
        <f t="shared" si="12"/>
        <v>0</v>
      </c>
      <c r="CR57" s="199">
        <f>'Detailed Budget'!$AD$195</f>
        <v>18734176418</v>
      </c>
      <c r="CS57" s="275">
        <f t="shared" si="83"/>
        <v>29254731.24123276</v>
      </c>
      <c r="CW57" s="278"/>
      <c r="DH57" s="140">
        <f>'Detailed Budget'!$AD$163</f>
        <v>4928560000</v>
      </c>
      <c r="DI57" s="616">
        <f t="shared" si="84"/>
        <v>5600000</v>
      </c>
    </row>
    <row r="58" spans="1:113" outlineLevel="1">
      <c r="A58" s="214" t="s">
        <v>319</v>
      </c>
      <c r="B58" s="215" t="s">
        <v>320</v>
      </c>
      <c r="C58" s="216" t="s">
        <v>234</v>
      </c>
      <c r="D58" s="217"/>
      <c r="E58" s="216"/>
      <c r="F58" s="216"/>
      <c r="G58" s="216" t="s">
        <v>234</v>
      </c>
      <c r="H58" s="216" t="s">
        <v>234</v>
      </c>
      <c r="I58" s="217" t="s">
        <v>234</v>
      </c>
      <c r="J58" s="217"/>
      <c r="K58" s="216"/>
      <c r="L58" s="216"/>
      <c r="M58" s="217"/>
      <c r="N58" s="216" t="s">
        <v>234</v>
      </c>
      <c r="O58" s="217"/>
      <c r="P58" s="216"/>
      <c r="Q58" s="217"/>
      <c r="R58" s="217" t="s">
        <v>234</v>
      </c>
      <c r="S58" s="217"/>
      <c r="T58" s="217"/>
      <c r="U58" s="218">
        <f t="shared" si="72"/>
        <v>6</v>
      </c>
      <c r="V58" s="867" t="s">
        <v>235</v>
      </c>
      <c r="W58" s="219">
        <v>43760</v>
      </c>
      <c r="X58" s="220">
        <v>3.03</v>
      </c>
      <c r="Y58" s="221">
        <f t="shared" si="24"/>
        <v>1.0303</v>
      </c>
      <c r="Z58" s="199">
        <v>19</v>
      </c>
      <c r="AA58" s="221">
        <f t="shared" si="85"/>
        <v>1.7632354008841205</v>
      </c>
      <c r="AB58" s="199">
        <f t="shared" si="73"/>
        <v>77159.181142689107</v>
      </c>
      <c r="AC58">
        <v>18.8</v>
      </c>
      <c r="AD58" s="199">
        <f t="shared" si="74"/>
        <v>14505.926054825552</v>
      </c>
      <c r="AE58" s="199">
        <f t="shared" si="48"/>
        <v>13780.629752084273</v>
      </c>
      <c r="AF58" s="199">
        <f t="shared" si="49"/>
        <v>0</v>
      </c>
      <c r="AG58" s="614">
        <f t="shared" si="25"/>
        <v>6.371558216381948E-4</v>
      </c>
      <c r="AH58" s="199">
        <f t="shared" si="86"/>
        <v>3857.9590571344556</v>
      </c>
      <c r="AI58" s="252">
        <f t="shared" si="26"/>
        <v>2.988702427772805E-4</v>
      </c>
      <c r="AJ58" s="199">
        <f t="shared" si="32"/>
        <v>18363.885111960008</v>
      </c>
      <c r="AK58" s="199">
        <f t="shared" si="53"/>
        <v>3086.3672457075645</v>
      </c>
      <c r="AL58" s="199">
        <f t="shared" si="54"/>
        <v>3086.3672457075645</v>
      </c>
      <c r="AM58" s="199">
        <f t="shared" si="16"/>
        <v>6172.734491415129</v>
      </c>
      <c r="AN58" s="645">
        <f t="shared" si="17"/>
        <v>2.988702427772805E-4</v>
      </c>
      <c r="AO58" s="199">
        <v>10</v>
      </c>
      <c r="AP58" s="250">
        <f t="shared" si="18"/>
        <v>1.1362345188046814E-3</v>
      </c>
      <c r="AQ58" s="199">
        <v>10</v>
      </c>
      <c r="AU58" s="199">
        <v>0</v>
      </c>
      <c r="AW58" s="250">
        <f t="shared" si="5"/>
        <v>0</v>
      </c>
      <c r="AX58" s="199">
        <v>1</v>
      </c>
      <c r="AY58" s="199">
        <f t="shared" si="75"/>
        <v>6512.9336573373575</v>
      </c>
      <c r="AZ58" s="199">
        <f t="shared" si="34"/>
        <v>6512.9336573373575</v>
      </c>
      <c r="BA58" s="252">
        <f t="shared" si="6"/>
        <v>5.1195884992239632E-4</v>
      </c>
      <c r="BB58" s="284">
        <v>0</v>
      </c>
      <c r="BC58" s="199">
        <f t="shared" si="76"/>
        <v>0</v>
      </c>
      <c r="BD58" s="270">
        <f t="shared" si="7"/>
        <v>0</v>
      </c>
      <c r="BE58" s="199">
        <f t="shared" si="77"/>
        <v>0</v>
      </c>
      <c r="BF58" s="251">
        <f t="shared" si="19"/>
        <v>0</v>
      </c>
      <c r="BG58" s="204">
        <f t="shared" si="36"/>
        <v>0</v>
      </c>
      <c r="BH58" s="636">
        <v>1</v>
      </c>
      <c r="BI58" s="199">
        <f t="shared" si="69"/>
        <v>23610.709429662871</v>
      </c>
      <c r="BJ58" s="199">
        <f t="shared" si="70"/>
        <v>47221.418859325742</v>
      </c>
      <c r="BK58" s="199">
        <f t="shared" si="20"/>
        <v>70832.128288988606</v>
      </c>
      <c r="BL58" s="251">
        <f t="shared" si="8"/>
        <v>2.988702427772805E-4</v>
      </c>
      <c r="BM58" s="199">
        <f t="shared" si="78"/>
        <v>8047.2299809178739</v>
      </c>
      <c r="BN58" s="251">
        <f t="shared" si="9"/>
        <v>3.4750441702403743E-4</v>
      </c>
      <c r="BT58" s="199">
        <f>'Detailed Budget'!$AD$12</f>
        <v>194045122715</v>
      </c>
      <c r="BU58" s="199">
        <f>'Detailed Budget'!$AD$24</f>
        <v>194045122715</v>
      </c>
      <c r="BV58" s="596">
        <f t="shared" si="79"/>
        <v>0</v>
      </c>
      <c r="BW58" s="278"/>
      <c r="BX58" s="275">
        <f t="shared" si="27"/>
        <v>0</v>
      </c>
      <c r="BY58" s="275">
        <f t="shared" si="28"/>
        <v>0</v>
      </c>
      <c r="CA58" s="199">
        <f>'Detailed Budget'!$AD$96</f>
        <v>71050111380.677719</v>
      </c>
      <c r="CB58" s="275">
        <f t="shared" si="21"/>
        <v>36374733.30930993</v>
      </c>
      <c r="CE58" s="199">
        <f>'Detailed Budget'!$AD$175</f>
        <v>4330586076.5988197</v>
      </c>
      <c r="CF58" s="275">
        <f t="shared" si="80"/>
        <v>0</v>
      </c>
      <c r="CG58" s="199">
        <f>'Detailed Budget'!$AD$176</f>
        <v>20662817754.37001</v>
      </c>
      <c r="CH58" s="275">
        <f t="shared" si="81"/>
        <v>0</v>
      </c>
      <c r="CI58" s="275">
        <f t="shared" si="43"/>
        <v>0</v>
      </c>
      <c r="CJ58" s="275">
        <f>'Detailed Budget'!$AD$178</f>
        <v>46025131033.061455</v>
      </c>
      <c r="CK58" s="275">
        <f t="shared" si="82"/>
        <v>0</v>
      </c>
      <c r="CL58" s="275">
        <f t="shared" si="51"/>
        <v>0</v>
      </c>
      <c r="CM58" s="278">
        <f>'Detailed Budget'!$AD$189</f>
        <v>77498869683.252869</v>
      </c>
      <c r="CN58" s="275">
        <f t="shared" si="10"/>
        <v>23162105.997198608</v>
      </c>
      <c r="CO58" s="140">
        <f>'Detailed Budget'!$AD$191</f>
        <v>2684962805.4134097</v>
      </c>
      <c r="CP58" s="616">
        <f t="shared" si="11"/>
        <v>802455.48550187389</v>
      </c>
      <c r="CQ58" s="616">
        <f t="shared" si="12"/>
        <v>23964561.482700482</v>
      </c>
      <c r="CR58" s="199">
        <f>'Detailed Budget'!$AD$195</f>
        <v>18734176418</v>
      </c>
      <c r="CS58" s="275">
        <f t="shared" si="83"/>
        <v>6510209.0545625594</v>
      </c>
      <c r="CW58" s="278"/>
      <c r="DH58" s="140">
        <f>'Detailed Budget'!$AD$163</f>
        <v>4928560000</v>
      </c>
      <c r="DI58" s="616">
        <f t="shared" si="84"/>
        <v>5600000</v>
      </c>
    </row>
    <row r="59" spans="1:113" outlineLevel="1">
      <c r="A59" s="214" t="s">
        <v>321</v>
      </c>
      <c r="B59" s="215" t="s">
        <v>322</v>
      </c>
      <c r="C59" s="216" t="s">
        <v>234</v>
      </c>
      <c r="D59" s="217"/>
      <c r="E59" s="216"/>
      <c r="F59" s="216"/>
      <c r="G59" s="216" t="s">
        <v>234</v>
      </c>
      <c r="H59" s="216" t="s">
        <v>234</v>
      </c>
      <c r="I59" s="217" t="s">
        <v>234</v>
      </c>
      <c r="J59" s="217"/>
      <c r="K59" s="216"/>
      <c r="L59" s="216"/>
      <c r="M59" s="217" t="s">
        <v>234</v>
      </c>
      <c r="N59" s="216"/>
      <c r="O59" s="217"/>
      <c r="P59" s="216"/>
      <c r="Q59" s="217"/>
      <c r="R59" s="217" t="s">
        <v>234</v>
      </c>
      <c r="S59" s="217"/>
      <c r="T59" s="217"/>
      <c r="U59" s="218">
        <f t="shared" si="72"/>
        <v>6</v>
      </c>
      <c r="V59" s="867" t="s">
        <v>235</v>
      </c>
      <c r="W59" s="219">
        <v>191480</v>
      </c>
      <c r="X59" s="220">
        <v>3.03</v>
      </c>
      <c r="Y59" s="221">
        <f t="shared" si="24"/>
        <v>1.0303</v>
      </c>
      <c r="Z59" s="199">
        <v>19</v>
      </c>
      <c r="AA59" s="221">
        <f t="shared" si="85"/>
        <v>1.7632354008841205</v>
      </c>
      <c r="AB59" s="199">
        <f t="shared" si="73"/>
        <v>337624.31456129136</v>
      </c>
      <c r="AC59">
        <v>18.8</v>
      </c>
      <c r="AD59" s="199">
        <f t="shared" si="74"/>
        <v>63473.371137522772</v>
      </c>
      <c r="AE59" s="199">
        <f t="shared" si="48"/>
        <v>60299.702580646634</v>
      </c>
      <c r="AF59" s="199">
        <f t="shared" si="49"/>
        <v>0</v>
      </c>
      <c r="AG59" s="614">
        <f t="shared" si="25"/>
        <v>2.7879935266746239E-3</v>
      </c>
      <c r="AH59" s="199">
        <f t="shared" si="86"/>
        <v>16881.21572806457</v>
      </c>
      <c r="AI59" s="252">
        <f t="shared" si="26"/>
        <v>1.3077622049130181E-3</v>
      </c>
      <c r="AJ59" s="199">
        <f t="shared" si="32"/>
        <v>80354.586865587335</v>
      </c>
      <c r="AK59" s="199">
        <f t="shared" si="53"/>
        <v>13504.972582451655</v>
      </c>
      <c r="AL59" s="199">
        <f t="shared" si="54"/>
        <v>13504.972582451655</v>
      </c>
      <c r="AM59" s="199">
        <f t="shared" si="16"/>
        <v>27009.945164903311</v>
      </c>
      <c r="AN59" s="645">
        <f t="shared" si="17"/>
        <v>1.3077622049130178E-3</v>
      </c>
      <c r="AO59" s="199">
        <v>11</v>
      </c>
      <c r="AP59" s="250">
        <f t="shared" si="18"/>
        <v>1.2498579706851495E-3</v>
      </c>
      <c r="AQ59" s="199">
        <v>11</v>
      </c>
      <c r="AU59" s="199">
        <v>0</v>
      </c>
      <c r="AW59" s="250">
        <f t="shared" si="5"/>
        <v>0</v>
      </c>
      <c r="AX59" s="199">
        <v>1</v>
      </c>
      <c r="AY59" s="199">
        <f t="shared" si="75"/>
        <v>28498.549741932289</v>
      </c>
      <c r="AZ59" s="199">
        <f t="shared" si="34"/>
        <v>28498.549741932289</v>
      </c>
      <c r="BA59" s="252">
        <f t="shared" si="6"/>
        <v>2.2401709456841964E-3</v>
      </c>
      <c r="BB59" s="284">
        <v>0</v>
      </c>
      <c r="BC59" s="199">
        <f t="shared" si="76"/>
        <v>0</v>
      </c>
      <c r="BD59" s="270">
        <f t="shared" si="7"/>
        <v>0</v>
      </c>
      <c r="BE59" s="199">
        <f t="shared" si="77"/>
        <v>0</v>
      </c>
      <c r="BF59" s="251">
        <f t="shared" si="19"/>
        <v>0</v>
      </c>
      <c r="BG59" s="204">
        <f t="shared" si="36"/>
        <v>0</v>
      </c>
      <c r="BH59" s="636">
        <v>1</v>
      </c>
      <c r="BI59" s="199">
        <f t="shared" si="69"/>
        <v>103313.04025575516</v>
      </c>
      <c r="BJ59" s="199">
        <f t="shared" si="70"/>
        <v>206626.08051151031</v>
      </c>
      <c r="BK59" s="199">
        <f t="shared" si="20"/>
        <v>309939.12076726544</v>
      </c>
      <c r="BL59" s="251">
        <f t="shared" si="8"/>
        <v>1.3077622049130178E-3</v>
      </c>
      <c r="BM59" s="199">
        <f t="shared" si="78"/>
        <v>35212.148006082141</v>
      </c>
      <c r="BN59" s="251">
        <f t="shared" si="9"/>
        <v>1.5205700587697141E-3</v>
      </c>
      <c r="BT59" s="199">
        <f>'Detailed Budget'!$AD$12</f>
        <v>194045122715</v>
      </c>
      <c r="BU59" s="199">
        <f>'Detailed Budget'!$AD$24</f>
        <v>194045122715</v>
      </c>
      <c r="BV59" s="596">
        <f t="shared" si="79"/>
        <v>0</v>
      </c>
      <c r="BW59" s="278"/>
      <c r="BX59" s="275">
        <f t="shared" si="27"/>
        <v>0</v>
      </c>
      <c r="BY59" s="275">
        <f t="shared" si="28"/>
        <v>0</v>
      </c>
      <c r="CA59" s="199">
        <f>'Detailed Budget'!$AD$96</f>
        <v>71050111380.677719</v>
      </c>
      <c r="CB59" s="275">
        <f t="shared" si="21"/>
        <v>159164395.2026203</v>
      </c>
      <c r="CE59" s="199">
        <f>'Detailed Budget'!$AD$175</f>
        <v>4330586076.5988197</v>
      </c>
      <c r="CF59" s="275">
        <f t="shared" si="80"/>
        <v>0</v>
      </c>
      <c r="CG59" s="199">
        <f>'Detailed Budget'!$AD$176</f>
        <v>20662817754.37001</v>
      </c>
      <c r="CH59" s="275">
        <f t="shared" si="81"/>
        <v>0</v>
      </c>
      <c r="CI59" s="275">
        <f t="shared" si="43"/>
        <v>0</v>
      </c>
      <c r="CJ59" s="275">
        <f>'Detailed Budget'!$AD$178</f>
        <v>46025131033.061455</v>
      </c>
      <c r="CK59" s="275">
        <f t="shared" si="82"/>
        <v>0</v>
      </c>
      <c r="CL59" s="275">
        <f t="shared" si="51"/>
        <v>0</v>
      </c>
      <c r="CM59" s="278">
        <f>'Detailed Budget'!$AD$189</f>
        <v>77498869683.252869</v>
      </c>
      <c r="CN59" s="275">
        <f t="shared" si="10"/>
        <v>101350092.6952374</v>
      </c>
      <c r="CO59" s="140">
        <f>'Detailed Budget'!$AD$191</f>
        <v>2684962805.4134097</v>
      </c>
      <c r="CP59" s="616">
        <f t="shared" si="11"/>
        <v>3511292.8785168827</v>
      </c>
      <c r="CQ59" s="616">
        <f t="shared" si="12"/>
        <v>104861385.57375428</v>
      </c>
      <c r="CR59" s="199">
        <f>'Detailed Budget'!$AD$195</f>
        <v>18734176418</v>
      </c>
      <c r="CS59" s="275">
        <f t="shared" si="83"/>
        <v>28486627.736920454</v>
      </c>
      <c r="CW59" s="278"/>
      <c r="DH59" s="140">
        <f>'Detailed Budget'!$AD$163</f>
        <v>4928560000</v>
      </c>
      <c r="DI59" s="616">
        <f t="shared" si="84"/>
        <v>6160000</v>
      </c>
    </row>
    <row r="60" spans="1:113" outlineLevel="1">
      <c r="A60" s="214" t="s">
        <v>323</v>
      </c>
      <c r="B60" s="215" t="s">
        <v>324</v>
      </c>
      <c r="C60" s="216" t="s">
        <v>234</v>
      </c>
      <c r="D60" s="217"/>
      <c r="E60" s="216"/>
      <c r="F60" s="216"/>
      <c r="G60" s="216" t="s">
        <v>234</v>
      </c>
      <c r="H60" s="216" t="s">
        <v>234</v>
      </c>
      <c r="I60" s="217" t="s">
        <v>234</v>
      </c>
      <c r="J60" s="217"/>
      <c r="K60" s="216"/>
      <c r="L60" s="216"/>
      <c r="M60" s="217"/>
      <c r="N60" s="216" t="s">
        <v>234</v>
      </c>
      <c r="O60" s="217"/>
      <c r="P60" s="216"/>
      <c r="Q60" s="217"/>
      <c r="R60" s="217" t="s">
        <v>234</v>
      </c>
      <c r="S60" s="217"/>
      <c r="T60" s="217"/>
      <c r="U60" s="218">
        <f t="shared" si="72"/>
        <v>6</v>
      </c>
      <c r="V60" s="867" t="s">
        <v>235</v>
      </c>
      <c r="W60" s="219">
        <v>39807</v>
      </c>
      <c r="X60" s="220">
        <v>3.03</v>
      </c>
      <c r="Y60" s="221">
        <f t="shared" si="24"/>
        <v>1.0303</v>
      </c>
      <c r="Z60" s="199">
        <v>19</v>
      </c>
      <c r="AA60" s="221">
        <f t="shared" si="85"/>
        <v>1.7632354008841205</v>
      </c>
      <c r="AB60" s="199">
        <f t="shared" si="73"/>
        <v>70189.111602994177</v>
      </c>
      <c r="AC60">
        <v>18.8</v>
      </c>
      <c r="AD60" s="199">
        <f t="shared" si="74"/>
        <v>13195.552981362905</v>
      </c>
      <c r="AE60" s="199">
        <f t="shared" si="48"/>
        <v>12535.775332294759</v>
      </c>
      <c r="AF60" s="199">
        <f t="shared" si="49"/>
        <v>0</v>
      </c>
      <c r="AG60" s="614">
        <f t="shared" si="25"/>
        <v>5.7959921828043017E-4</v>
      </c>
      <c r="AH60" s="199">
        <f t="shared" si="86"/>
        <v>3509.455580149709</v>
      </c>
      <c r="AI60" s="252">
        <f t="shared" si="26"/>
        <v>2.7187220644961618E-4</v>
      </c>
      <c r="AJ60" s="199">
        <f t="shared" si="32"/>
        <v>16705.008561512615</v>
      </c>
      <c r="AK60" s="199">
        <f t="shared" si="53"/>
        <v>2807.5644641197673</v>
      </c>
      <c r="AL60" s="199">
        <f t="shared" si="54"/>
        <v>2807.5644641197673</v>
      </c>
      <c r="AM60" s="199">
        <f t="shared" si="16"/>
        <v>5615.1289282395346</v>
      </c>
      <c r="AN60" s="645">
        <f t="shared" si="17"/>
        <v>2.7187220644961618E-4</v>
      </c>
      <c r="AO60" s="199">
        <v>10</v>
      </c>
      <c r="AP60" s="250">
        <f t="shared" si="18"/>
        <v>1.1362345188046814E-3</v>
      </c>
      <c r="AQ60" s="199">
        <v>10</v>
      </c>
      <c r="AU60" s="199">
        <v>0</v>
      </c>
      <c r="AW60" s="250">
        <f t="shared" si="5"/>
        <v>0</v>
      </c>
      <c r="AX60" s="199">
        <v>1</v>
      </c>
      <c r="AY60" s="199">
        <f t="shared" si="75"/>
        <v>5924.5966658507359</v>
      </c>
      <c r="AZ60" s="199">
        <f t="shared" si="34"/>
        <v>5924.5966658507359</v>
      </c>
      <c r="BA60" s="252">
        <f t="shared" si="6"/>
        <v>4.6571174448950715E-4</v>
      </c>
      <c r="BB60" s="284">
        <v>0</v>
      </c>
      <c r="BC60" s="199">
        <f t="shared" si="76"/>
        <v>0</v>
      </c>
      <c r="BD60" s="270">
        <f t="shared" si="7"/>
        <v>0</v>
      </c>
      <c r="BE60" s="199">
        <f t="shared" si="77"/>
        <v>0</v>
      </c>
      <c r="BF60" s="251">
        <f t="shared" si="19"/>
        <v>0</v>
      </c>
      <c r="BG60" s="204">
        <f t="shared" si="36"/>
        <v>0</v>
      </c>
      <c r="BH60" s="636">
        <v>1</v>
      </c>
      <c r="BI60" s="199">
        <f t="shared" si="69"/>
        <v>21477.868150516217</v>
      </c>
      <c r="BJ60" s="199">
        <f t="shared" si="70"/>
        <v>42955.736301032433</v>
      </c>
      <c r="BK60" s="199">
        <f t="shared" si="20"/>
        <v>64433.60445154865</v>
      </c>
      <c r="BL60" s="251">
        <f t="shared" si="8"/>
        <v>2.7187220644961613E-4</v>
      </c>
      <c r="BM60" s="199">
        <f t="shared" si="78"/>
        <v>7320.2944207129294</v>
      </c>
      <c r="BN60" s="251">
        <f t="shared" si="9"/>
        <v>3.1611307880429293E-4</v>
      </c>
      <c r="BT60" s="199">
        <f>'Detailed Budget'!$AD$12</f>
        <v>194045122715</v>
      </c>
      <c r="BU60" s="199">
        <f>'Detailed Budget'!$AD$24</f>
        <v>194045122715</v>
      </c>
      <c r="BV60" s="596">
        <f t="shared" si="79"/>
        <v>0</v>
      </c>
      <c r="BW60" s="278"/>
      <c r="BX60" s="275">
        <f t="shared" si="27"/>
        <v>0</v>
      </c>
      <c r="BY60" s="275">
        <f t="shared" si="28"/>
        <v>0</v>
      </c>
      <c r="CA60" s="199">
        <f>'Detailed Budget'!$AD$96</f>
        <v>71050111380.677719</v>
      </c>
      <c r="CB60" s="275">
        <f t="shared" si="21"/>
        <v>33088871.317269206</v>
      </c>
      <c r="CE60" s="199">
        <f>'Detailed Budget'!$AD$175</f>
        <v>4330586076.5988197</v>
      </c>
      <c r="CF60" s="275">
        <f t="shared" si="80"/>
        <v>0</v>
      </c>
      <c r="CG60" s="199">
        <f>'Detailed Budget'!$AD$176</f>
        <v>20662817754.37001</v>
      </c>
      <c r="CH60" s="275">
        <f t="shared" si="81"/>
        <v>0</v>
      </c>
      <c r="CI60" s="275">
        <f t="shared" si="43"/>
        <v>0</v>
      </c>
      <c r="CJ60" s="275">
        <f>'Detailed Budget'!$AD$178</f>
        <v>46025131033.061455</v>
      </c>
      <c r="CK60" s="275">
        <f t="shared" si="82"/>
        <v>0</v>
      </c>
      <c r="CL60" s="275">
        <f t="shared" si="51"/>
        <v>0</v>
      </c>
      <c r="CM60" s="278">
        <f>'Detailed Budget'!$AD$189</f>
        <v>77498869683.252869</v>
      </c>
      <c r="CN60" s="275">
        <f t="shared" si="10"/>
        <v>21069788.69813722</v>
      </c>
      <c r="CO60" s="140">
        <f>'Detailed Budget'!$AD$191</f>
        <v>2684962805.4134097</v>
      </c>
      <c r="CP60" s="616">
        <f t="shared" si="11"/>
        <v>729966.76214289514</v>
      </c>
      <c r="CQ60" s="616">
        <f t="shared" si="12"/>
        <v>21799755.460280117</v>
      </c>
      <c r="CR60" s="199">
        <f>'Detailed Budget'!$AD$195</f>
        <v>18734176418</v>
      </c>
      <c r="CS60" s="275">
        <f t="shared" si="83"/>
        <v>5922118.1863567606</v>
      </c>
      <c r="CW60" s="278"/>
      <c r="DH60" s="140">
        <f>'Detailed Budget'!$AD$163</f>
        <v>4928560000</v>
      </c>
      <c r="DI60" s="616">
        <f t="shared" si="84"/>
        <v>5600000</v>
      </c>
    </row>
    <row r="61" spans="1:113" outlineLevel="1">
      <c r="A61" s="214" t="s">
        <v>325</v>
      </c>
      <c r="B61" s="215" t="s">
        <v>326</v>
      </c>
      <c r="C61" s="216" t="s">
        <v>234</v>
      </c>
      <c r="D61" s="217" t="s">
        <v>234</v>
      </c>
      <c r="E61" s="216"/>
      <c r="F61" s="216"/>
      <c r="G61" s="216"/>
      <c r="H61" s="216" t="s">
        <v>234</v>
      </c>
      <c r="I61" s="217" t="s">
        <v>234</v>
      </c>
      <c r="J61" s="217"/>
      <c r="K61" s="216"/>
      <c r="L61" s="216"/>
      <c r="M61" s="217"/>
      <c r="N61" s="216" t="s">
        <v>234</v>
      </c>
      <c r="O61" s="217"/>
      <c r="P61" s="216"/>
      <c r="Q61" s="217"/>
      <c r="R61" s="217" t="s">
        <v>234</v>
      </c>
      <c r="S61" s="217"/>
      <c r="T61" s="217"/>
      <c r="U61" s="218">
        <f t="shared" si="72"/>
        <v>6</v>
      </c>
      <c r="V61" s="867" t="s">
        <v>238</v>
      </c>
      <c r="W61" s="219">
        <v>223574</v>
      </c>
      <c r="X61" s="220">
        <v>3.03</v>
      </c>
      <c r="Y61" s="221">
        <f t="shared" si="24"/>
        <v>1.0303</v>
      </c>
      <c r="Z61" s="199">
        <v>19</v>
      </c>
      <c r="AA61" s="221">
        <f t="shared" si="85"/>
        <v>1.7632354008841205</v>
      </c>
      <c r="AB61" s="199">
        <f t="shared" si="73"/>
        <v>394213.59151726635</v>
      </c>
      <c r="AC61">
        <v>18.8</v>
      </c>
      <c r="AD61" s="199">
        <f t="shared" si="74"/>
        <v>74112.155205246076</v>
      </c>
      <c r="AE61" s="199">
        <f t="shared" si="48"/>
        <v>70406.547444983764</v>
      </c>
      <c r="AF61" s="199">
        <f t="shared" si="49"/>
        <v>70406.547444983764</v>
      </c>
      <c r="AG61" s="614">
        <f t="shared" si="25"/>
        <v>3.2552896633212475E-3</v>
      </c>
      <c r="AH61" s="199">
        <f t="shared" si="86"/>
        <v>19710.67957586332</v>
      </c>
      <c r="AI61" s="252">
        <f t="shared" si="26"/>
        <v>1.5269564821455144E-3</v>
      </c>
      <c r="AJ61" s="199">
        <f t="shared" si="32"/>
        <v>93822.834781109399</v>
      </c>
      <c r="AK61" s="199">
        <f t="shared" si="53"/>
        <v>15768.543660690655</v>
      </c>
      <c r="AL61" s="199">
        <f t="shared" si="54"/>
        <v>15768.543660690655</v>
      </c>
      <c r="AM61" s="199">
        <f t="shared" si="16"/>
        <v>31537.08732138131</v>
      </c>
      <c r="AN61" s="645">
        <f t="shared" si="17"/>
        <v>1.5269564821455144E-3</v>
      </c>
      <c r="AO61" s="199">
        <v>11</v>
      </c>
      <c r="AP61" s="250">
        <f t="shared" si="18"/>
        <v>1.2498579706851495E-3</v>
      </c>
      <c r="AQ61" s="199">
        <v>11</v>
      </c>
      <c r="AU61" s="199">
        <v>0</v>
      </c>
      <c r="AW61" s="250">
        <f t="shared" si="5"/>
        <v>0</v>
      </c>
      <c r="AX61" s="199">
        <v>1</v>
      </c>
      <c r="AY61" s="199">
        <f t="shared" si="75"/>
        <v>33275.197200766517</v>
      </c>
      <c r="AZ61" s="199">
        <f t="shared" si="34"/>
        <v>33275.197200766517</v>
      </c>
      <c r="BA61" s="252">
        <f t="shared" si="6"/>
        <v>2.615646433102145E-3</v>
      </c>
      <c r="BB61" s="284">
        <v>1</v>
      </c>
      <c r="BC61" s="199">
        <f t="shared" si="76"/>
        <v>53360.751747777169</v>
      </c>
      <c r="BD61" s="270">
        <f t="shared" si="7"/>
        <v>4.8055142091431155E-3</v>
      </c>
      <c r="BE61" s="199">
        <f t="shared" si="77"/>
        <v>228265.43803215792</v>
      </c>
      <c r="BF61" s="251">
        <f t="shared" si="19"/>
        <v>4.8055143159306795E-3</v>
      </c>
      <c r="BG61" s="204">
        <f t="shared" si="36"/>
        <v>281626.18977993511</v>
      </c>
      <c r="BH61" s="636">
        <v>0</v>
      </c>
      <c r="BI61" s="199">
        <f t="shared" si="69"/>
        <v>120629.35900428351</v>
      </c>
      <c r="BJ61" s="199">
        <f t="shared" si="70"/>
        <v>241258.71800856703</v>
      </c>
      <c r="BK61" s="199">
        <f t="shared" si="20"/>
        <v>361888.07701285055</v>
      </c>
      <c r="BL61" s="251">
        <f t="shared" si="8"/>
        <v>1.5269564821455144E-3</v>
      </c>
      <c r="BM61" s="199">
        <f t="shared" si="78"/>
        <v>41114.062974262641</v>
      </c>
      <c r="BN61" s="251">
        <f t="shared" si="9"/>
        <v>1.7754331017306253E-3</v>
      </c>
      <c r="BT61" s="199">
        <f>'Detailed Budget'!$AD$12</f>
        <v>194045122715</v>
      </c>
      <c r="BU61" s="199">
        <f>'Detailed Budget'!$AD$24</f>
        <v>194045122715</v>
      </c>
      <c r="BV61" s="596">
        <f t="shared" si="79"/>
        <v>0</v>
      </c>
      <c r="BW61" s="278"/>
      <c r="BX61" s="275">
        <f t="shared" si="27"/>
        <v>0</v>
      </c>
      <c r="BY61" s="275">
        <f t="shared" si="28"/>
        <v>0</v>
      </c>
      <c r="CA61" s="199">
        <f>'Detailed Budget'!$AD$96</f>
        <v>71050111380.677719</v>
      </c>
      <c r="CB61" s="275">
        <f t="shared" si="21"/>
        <v>185841970.40437979</v>
      </c>
      <c r="CE61" s="199">
        <f>'Detailed Budget'!$AD$175</f>
        <v>4330586076.5988197</v>
      </c>
      <c r="CF61" s="275">
        <f t="shared" si="80"/>
        <v>20810692.925012965</v>
      </c>
      <c r="CG61" s="199">
        <f>'Detailed Budget'!$AD$176</f>
        <v>20662817754.37001</v>
      </c>
      <c r="CH61" s="275">
        <f t="shared" si="81"/>
        <v>99295466.526091695</v>
      </c>
      <c r="CI61" s="275">
        <f t="shared" si="43"/>
        <v>120106159.45110466</v>
      </c>
      <c r="CJ61" s="275">
        <f>'Detailed Budget'!$AD$178</f>
        <v>46025131033.061455</v>
      </c>
      <c r="CK61" s="275">
        <f t="shared" si="82"/>
        <v>149825133.30493093</v>
      </c>
      <c r="CL61" s="275">
        <f t="shared" si="51"/>
        <v>269931292.75603557</v>
      </c>
      <c r="CM61" s="278">
        <f>'Detailed Budget'!$AD$189</f>
        <v>77498869683.252869</v>
      </c>
      <c r="CN61" s="275">
        <f t="shared" si="10"/>
        <v>0</v>
      </c>
      <c r="CO61" s="140">
        <f>'Detailed Budget'!$AD$191</f>
        <v>2684962805.4134097</v>
      </c>
      <c r="CP61" s="616">
        <f t="shared" si="11"/>
        <v>0</v>
      </c>
      <c r="CQ61" s="616">
        <f t="shared" si="12"/>
        <v>0</v>
      </c>
      <c r="CR61" s="199">
        <f>'Detailed Budget'!$AD$195</f>
        <v>18734176418</v>
      </c>
      <c r="CS61" s="275">
        <f t="shared" si="83"/>
        <v>33261276.946178477</v>
      </c>
      <c r="CW61" s="278"/>
      <c r="DH61" s="140">
        <f>'Detailed Budget'!$AD$163</f>
        <v>4928560000</v>
      </c>
      <c r="DI61" s="616">
        <f t="shared" si="84"/>
        <v>6160000</v>
      </c>
    </row>
    <row r="62" spans="1:113" outlineLevel="1">
      <c r="A62" s="214" t="s">
        <v>327</v>
      </c>
      <c r="B62" s="215" t="s">
        <v>328</v>
      </c>
      <c r="C62" s="216" t="s">
        <v>234</v>
      </c>
      <c r="D62" s="217"/>
      <c r="E62" s="216"/>
      <c r="F62" s="216"/>
      <c r="G62" s="216" t="s">
        <v>234</v>
      </c>
      <c r="H62" s="216" t="s">
        <v>234</v>
      </c>
      <c r="I62" s="217" t="s">
        <v>234</v>
      </c>
      <c r="J62" s="217"/>
      <c r="K62" s="216"/>
      <c r="L62" s="216"/>
      <c r="M62" s="217"/>
      <c r="N62" s="216" t="s">
        <v>234</v>
      </c>
      <c r="O62" s="217"/>
      <c r="P62" s="216"/>
      <c r="Q62" s="217"/>
      <c r="R62" s="217" t="s">
        <v>234</v>
      </c>
      <c r="S62" s="217"/>
      <c r="T62" s="217"/>
      <c r="U62" s="218">
        <f t="shared" si="72"/>
        <v>6</v>
      </c>
      <c r="V62" s="867" t="s">
        <v>235</v>
      </c>
      <c r="W62" s="219">
        <v>325623</v>
      </c>
      <c r="X62" s="220">
        <v>3.03</v>
      </c>
      <c r="Y62" s="221">
        <f t="shared" si="24"/>
        <v>1.0303</v>
      </c>
      <c r="Z62" s="199">
        <v>19</v>
      </c>
      <c r="AA62" s="221">
        <f t="shared" si="85"/>
        <v>1.7632354008841205</v>
      </c>
      <c r="AB62" s="199">
        <f t="shared" si="73"/>
        <v>574150.00094208994</v>
      </c>
      <c r="AC62">
        <v>18.8</v>
      </c>
      <c r="AD62" s="199">
        <f t="shared" si="74"/>
        <v>107940.20017711291</v>
      </c>
      <c r="AE62" s="199">
        <f t="shared" si="48"/>
        <v>102543.19016825726</v>
      </c>
      <c r="AF62" s="199">
        <f t="shared" si="49"/>
        <v>0</v>
      </c>
      <c r="AG62" s="614">
        <f t="shared" si="25"/>
        <v>4.741146940340355E-3</v>
      </c>
      <c r="AH62" s="199">
        <f t="shared" si="86"/>
        <v>28707.500047104499</v>
      </c>
      <c r="AI62" s="252">
        <f t="shared" si="26"/>
        <v>2.2239265325380807E-3</v>
      </c>
      <c r="AJ62" s="199">
        <f t="shared" si="32"/>
        <v>136647.70022421741</v>
      </c>
      <c r="AK62" s="199">
        <f t="shared" si="53"/>
        <v>22966.0000376836</v>
      </c>
      <c r="AL62" s="199">
        <f t="shared" si="54"/>
        <v>22966.0000376836</v>
      </c>
      <c r="AM62" s="199">
        <f t="shared" si="16"/>
        <v>45932.000075367199</v>
      </c>
      <c r="AN62" s="645">
        <f t="shared" si="17"/>
        <v>2.2239265325380807E-3</v>
      </c>
      <c r="AO62" s="199">
        <v>11</v>
      </c>
      <c r="AP62" s="250">
        <f t="shared" si="18"/>
        <v>1.2498579706851495E-3</v>
      </c>
      <c r="AQ62" s="199">
        <v>11</v>
      </c>
      <c r="AU62" s="199">
        <v>0</v>
      </c>
      <c r="AW62" s="250">
        <f t="shared" si="5"/>
        <v>0</v>
      </c>
      <c r="AX62" s="199">
        <v>1</v>
      </c>
      <c r="AY62" s="199">
        <f t="shared" si="75"/>
        <v>48463.459696141741</v>
      </c>
      <c r="AZ62" s="199">
        <f t="shared" si="34"/>
        <v>48463.459696141741</v>
      </c>
      <c r="BA62" s="252">
        <f t="shared" si="6"/>
        <v>3.8095424266060439E-3</v>
      </c>
      <c r="BB62" s="284">
        <v>0</v>
      </c>
      <c r="BC62" s="199">
        <f t="shared" si="76"/>
        <v>0</v>
      </c>
      <c r="BD62" s="270">
        <f t="shared" si="7"/>
        <v>0</v>
      </c>
      <c r="BE62" s="199">
        <f t="shared" si="77"/>
        <v>0</v>
      </c>
      <c r="BF62" s="251">
        <f t="shared" si="19"/>
        <v>0</v>
      </c>
      <c r="BG62" s="204">
        <f t="shared" si="36"/>
        <v>0</v>
      </c>
      <c r="BH62" s="636">
        <v>1</v>
      </c>
      <c r="BI62" s="199">
        <f t="shared" si="69"/>
        <v>175689.90028827955</v>
      </c>
      <c r="BJ62" s="199">
        <f t="shared" si="70"/>
        <v>351379.80057655909</v>
      </c>
      <c r="BK62" s="199">
        <f t="shared" si="20"/>
        <v>527069.70086483867</v>
      </c>
      <c r="BL62" s="251">
        <f t="shared" si="8"/>
        <v>2.2239265325380807E-3</v>
      </c>
      <c r="BM62" s="199">
        <f t="shared" si="78"/>
        <v>59880.328338126623</v>
      </c>
      <c r="BN62" s="251">
        <f t="shared" si="9"/>
        <v>2.5858188022079101E-3</v>
      </c>
      <c r="BT62" s="199">
        <f>'Detailed Budget'!$AD$12</f>
        <v>194045122715</v>
      </c>
      <c r="BU62" s="199">
        <f>'Detailed Budget'!$AD$24</f>
        <v>194045122715</v>
      </c>
      <c r="BV62" s="596">
        <f t="shared" si="79"/>
        <v>0</v>
      </c>
      <c r="BW62" s="278"/>
      <c r="BX62" s="275">
        <f t="shared" si="27"/>
        <v>0</v>
      </c>
      <c r="BY62" s="275">
        <f t="shared" si="28"/>
        <v>0</v>
      </c>
      <c r="CA62" s="199">
        <f>'Detailed Budget'!$AD$96</f>
        <v>71050111380.677719</v>
      </c>
      <c r="CB62" s="275">
        <f t="shared" si="21"/>
        <v>270668413.71977669</v>
      </c>
      <c r="CE62" s="199">
        <f>'Detailed Budget'!$AD$175</f>
        <v>4330586076.5988197</v>
      </c>
      <c r="CF62" s="275">
        <f t="shared" si="80"/>
        <v>0</v>
      </c>
      <c r="CG62" s="199">
        <f>'Detailed Budget'!$AD$176</f>
        <v>20662817754.37001</v>
      </c>
      <c r="CH62" s="275">
        <f t="shared" si="81"/>
        <v>0</v>
      </c>
      <c r="CI62" s="275">
        <f t="shared" si="43"/>
        <v>0</v>
      </c>
      <c r="CJ62" s="275">
        <f>'Detailed Budget'!$AD$178</f>
        <v>46025131033.061455</v>
      </c>
      <c r="CK62" s="275">
        <f t="shared" si="82"/>
        <v>0</v>
      </c>
      <c r="CL62" s="275">
        <f t="shared" si="51"/>
        <v>0</v>
      </c>
      <c r="CM62" s="278">
        <f>'Detailed Budget'!$AD$189</f>
        <v>77498869683.252869</v>
      </c>
      <c r="CN62" s="275">
        <f t="shared" si="10"/>
        <v>172351792.53029713</v>
      </c>
      <c r="CO62" s="140">
        <f>'Detailed Budget'!$AD$191</f>
        <v>2684962805.4134097</v>
      </c>
      <c r="CP62" s="616">
        <f t="shared" si="11"/>
        <v>5971160.0218367614</v>
      </c>
      <c r="CQ62" s="616">
        <f t="shared" si="12"/>
        <v>178322952.55213389</v>
      </c>
      <c r="CR62" s="199">
        <f>'Detailed Budget'!$AD$195</f>
        <v>18734176418</v>
      </c>
      <c r="CS62" s="275">
        <f t="shared" si="83"/>
        <v>48443185.625544436</v>
      </c>
      <c r="CW62" s="278"/>
      <c r="DH62" s="140">
        <f>'Detailed Budget'!$AD$163</f>
        <v>4928560000</v>
      </c>
      <c r="DI62" s="616">
        <f t="shared" si="84"/>
        <v>6160000</v>
      </c>
    </row>
    <row r="63" spans="1:113" outlineLevel="1">
      <c r="A63" s="214" t="s">
        <v>329</v>
      </c>
      <c r="B63" s="215" t="s">
        <v>330</v>
      </c>
      <c r="C63" s="216" t="s">
        <v>234</v>
      </c>
      <c r="D63" s="217"/>
      <c r="E63" s="216"/>
      <c r="F63" s="216"/>
      <c r="G63" s="216" t="s">
        <v>234</v>
      </c>
      <c r="H63" s="216" t="s">
        <v>234</v>
      </c>
      <c r="I63" s="217" t="s">
        <v>234</v>
      </c>
      <c r="J63" s="217"/>
      <c r="K63" s="216"/>
      <c r="L63" s="216"/>
      <c r="M63" s="217" t="s">
        <v>234</v>
      </c>
      <c r="N63" s="216"/>
      <c r="O63" s="217"/>
      <c r="P63" s="216"/>
      <c r="Q63" s="217"/>
      <c r="R63" s="217" t="s">
        <v>234</v>
      </c>
      <c r="S63" s="217"/>
      <c r="T63" s="217"/>
      <c r="U63" s="218">
        <f t="shared" si="72"/>
        <v>6</v>
      </c>
      <c r="V63" s="867" t="s">
        <v>235</v>
      </c>
      <c r="W63" s="219">
        <v>158490</v>
      </c>
      <c r="X63" s="220">
        <v>3.03</v>
      </c>
      <c r="Y63" s="221">
        <f t="shared" si="24"/>
        <v>1.0303</v>
      </c>
      <c r="Z63" s="199">
        <v>19</v>
      </c>
      <c r="AA63" s="221">
        <f t="shared" si="85"/>
        <v>1.7632354008841205</v>
      </c>
      <c r="AB63" s="199">
        <f t="shared" si="73"/>
        <v>279455.17868612427</v>
      </c>
      <c r="AC63">
        <v>18.8</v>
      </c>
      <c r="AD63" s="199">
        <f t="shared" si="74"/>
        <v>52537.573592991364</v>
      </c>
      <c r="AE63" s="199">
        <f t="shared" si="48"/>
        <v>49910.694913341795</v>
      </c>
      <c r="AF63" s="199">
        <f t="shared" si="49"/>
        <v>0</v>
      </c>
      <c r="AG63" s="614">
        <f t="shared" si="25"/>
        <v>2.3076514207366894E-3</v>
      </c>
      <c r="AH63" s="199">
        <f t="shared" si="86"/>
        <v>13972.758934306214</v>
      </c>
      <c r="AI63" s="252">
        <f t="shared" si="26"/>
        <v>1.0824484638430345E-3</v>
      </c>
      <c r="AJ63" s="199">
        <f t="shared" si="32"/>
        <v>66510.332527297578</v>
      </c>
      <c r="AK63" s="199">
        <f t="shared" si="53"/>
        <v>11178.207147444971</v>
      </c>
      <c r="AL63" s="199">
        <f t="shared" si="54"/>
        <v>11178.207147444971</v>
      </c>
      <c r="AM63" s="199">
        <f t="shared" si="16"/>
        <v>22356.414294889943</v>
      </c>
      <c r="AN63" s="645">
        <f t="shared" si="17"/>
        <v>1.0824484638430345E-3</v>
      </c>
      <c r="AO63" s="199">
        <v>10</v>
      </c>
      <c r="AP63" s="250">
        <f t="shared" si="18"/>
        <v>1.1362345188046814E-3</v>
      </c>
      <c r="AQ63" s="199">
        <v>10</v>
      </c>
      <c r="AU63" s="199">
        <v>0</v>
      </c>
      <c r="AW63" s="250">
        <f t="shared" si="5"/>
        <v>0</v>
      </c>
      <c r="AX63" s="199">
        <v>1</v>
      </c>
      <c r="AY63" s="199">
        <f t="shared" si="75"/>
        <v>23588.547882801598</v>
      </c>
      <c r="AZ63" s="199">
        <f t="shared" si="34"/>
        <v>23588.547882801598</v>
      </c>
      <c r="BA63" s="252">
        <f t="shared" si="6"/>
        <v>1.854212937024694E-3</v>
      </c>
      <c r="BB63" s="284">
        <v>0</v>
      </c>
      <c r="BC63" s="199">
        <f t="shared" si="76"/>
        <v>0</v>
      </c>
      <c r="BD63" s="270">
        <f t="shared" si="7"/>
        <v>0</v>
      </c>
      <c r="BE63" s="199">
        <f t="shared" si="77"/>
        <v>0</v>
      </c>
      <c r="BF63" s="251">
        <f t="shared" si="19"/>
        <v>0</v>
      </c>
      <c r="BG63" s="204">
        <f t="shared" si="36"/>
        <v>0</v>
      </c>
      <c r="BH63" s="636">
        <v>1</v>
      </c>
      <c r="BI63" s="199">
        <f t="shared" si="69"/>
        <v>85513.284677954041</v>
      </c>
      <c r="BJ63" s="199">
        <f t="shared" si="70"/>
        <v>171026.56935590808</v>
      </c>
      <c r="BK63" s="199">
        <f t="shared" si="20"/>
        <v>256539.85403386212</v>
      </c>
      <c r="BL63" s="251">
        <f t="shared" si="8"/>
        <v>1.0824484638430347E-3</v>
      </c>
      <c r="BM63" s="199">
        <f t="shared" si="78"/>
        <v>29145.463429517225</v>
      </c>
      <c r="BN63" s="251">
        <f t="shared" si="9"/>
        <v>1.2585917516942343E-3</v>
      </c>
      <c r="BT63" s="199">
        <f>'Detailed Budget'!$AD$12</f>
        <v>194045122715</v>
      </c>
      <c r="BU63" s="199">
        <f>'Detailed Budget'!$AD$24</f>
        <v>194045122715</v>
      </c>
      <c r="BV63" s="596">
        <f t="shared" si="79"/>
        <v>0</v>
      </c>
      <c r="BW63" s="278"/>
      <c r="BX63" s="275">
        <f t="shared" si="27"/>
        <v>0</v>
      </c>
      <c r="BY63" s="275">
        <f t="shared" si="28"/>
        <v>0</v>
      </c>
      <c r="CA63" s="199">
        <f>'Detailed Budget'!$AD$96</f>
        <v>71050111380.677719</v>
      </c>
      <c r="CB63" s="275">
        <f t="shared" si="21"/>
        <v>131742035.69909807</v>
      </c>
      <c r="CE63" s="199">
        <f>'Detailed Budget'!$AD$175</f>
        <v>4330586076.5988197</v>
      </c>
      <c r="CF63" s="275">
        <f t="shared" si="80"/>
        <v>0</v>
      </c>
      <c r="CG63" s="199">
        <f>'Detailed Budget'!$AD$176</f>
        <v>20662817754.37001</v>
      </c>
      <c r="CH63" s="275">
        <f t="shared" si="81"/>
        <v>0</v>
      </c>
      <c r="CI63" s="275">
        <f t="shared" si="43"/>
        <v>0</v>
      </c>
      <c r="CJ63" s="275">
        <f>'Detailed Budget'!$AD$178</f>
        <v>46025131033.061455</v>
      </c>
      <c r="CK63" s="275">
        <f t="shared" si="82"/>
        <v>0</v>
      </c>
      <c r="CL63" s="275">
        <f t="shared" si="51"/>
        <v>0</v>
      </c>
      <c r="CM63" s="278">
        <f>'Detailed Budget'!$AD$189</f>
        <v>77498869683.252869</v>
      </c>
      <c r="CN63" s="275">
        <f t="shared" si="10"/>
        <v>83888532.438208595</v>
      </c>
      <c r="CO63" s="140">
        <f>'Detailed Budget'!$AD$191</f>
        <v>2684962805.4134097</v>
      </c>
      <c r="CP63" s="616">
        <f t="shared" si="11"/>
        <v>2906333.8641954297</v>
      </c>
      <c r="CQ63" s="616">
        <f t="shared" si="12"/>
        <v>86794866.302404031</v>
      </c>
      <c r="CR63" s="199">
        <f>'Detailed Budget'!$AD$195</f>
        <v>18734176418</v>
      </c>
      <c r="CS63" s="275">
        <f t="shared" si="83"/>
        <v>23578679.914479434</v>
      </c>
      <c r="CW63" s="278"/>
      <c r="DH63" s="140">
        <f>'Detailed Budget'!$AD$163</f>
        <v>4928560000</v>
      </c>
      <c r="DI63" s="616">
        <f t="shared" si="84"/>
        <v>5600000</v>
      </c>
    </row>
    <row r="64" spans="1:113" outlineLevel="1">
      <c r="A64" s="214" t="s">
        <v>331</v>
      </c>
      <c r="B64" s="215" t="s">
        <v>332</v>
      </c>
      <c r="C64" s="216" t="s">
        <v>234</v>
      </c>
      <c r="D64" s="217" t="s">
        <v>234</v>
      </c>
      <c r="E64" s="216"/>
      <c r="F64" s="216"/>
      <c r="G64" s="216"/>
      <c r="H64" s="216" t="s">
        <v>234</v>
      </c>
      <c r="I64" s="217" t="s">
        <v>234</v>
      </c>
      <c r="J64" s="217"/>
      <c r="K64" s="216"/>
      <c r="L64" s="216"/>
      <c r="M64" s="217" t="s">
        <v>234</v>
      </c>
      <c r="N64" s="216"/>
      <c r="O64" s="217"/>
      <c r="P64" s="216"/>
      <c r="Q64" s="217"/>
      <c r="R64" s="217" t="s">
        <v>234</v>
      </c>
      <c r="S64" s="217"/>
      <c r="T64" s="217"/>
      <c r="U64" s="218">
        <f t="shared" si="72"/>
        <v>6</v>
      </c>
      <c r="V64" s="867" t="s">
        <v>238</v>
      </c>
      <c r="W64" s="219">
        <v>107968</v>
      </c>
      <c r="X64" s="220">
        <v>3.03</v>
      </c>
      <c r="Y64" s="221">
        <f t="shared" si="24"/>
        <v>1.0303</v>
      </c>
      <c r="Z64" s="199">
        <v>19</v>
      </c>
      <c r="AA64" s="221">
        <f t="shared" si="85"/>
        <v>1.7632354008841205</v>
      </c>
      <c r="AB64" s="199">
        <f t="shared" si="73"/>
        <v>190372.99976265672</v>
      </c>
      <c r="AC64">
        <v>18.8</v>
      </c>
      <c r="AD64" s="199">
        <f t="shared" si="74"/>
        <v>35790.123955379466</v>
      </c>
      <c r="AE64" s="199">
        <f t="shared" si="48"/>
        <v>34000.617757610489</v>
      </c>
      <c r="AF64" s="199">
        <f t="shared" si="49"/>
        <v>34000.617757610489</v>
      </c>
      <c r="AG64" s="614">
        <f t="shared" si="25"/>
        <v>1.5720392996031224E-3</v>
      </c>
      <c r="AH64" s="199">
        <f t="shared" si="86"/>
        <v>9518.6499881328364</v>
      </c>
      <c r="AI64" s="252">
        <f t="shared" si="26"/>
        <v>7.3739539241721706E-4</v>
      </c>
      <c r="AJ64" s="199">
        <f t="shared" si="32"/>
        <v>45308.7739435123</v>
      </c>
      <c r="AK64" s="199">
        <f t="shared" si="53"/>
        <v>7614.9199905062687</v>
      </c>
      <c r="AL64" s="199">
        <f t="shared" si="54"/>
        <v>7614.9199905062687</v>
      </c>
      <c r="AM64" s="199">
        <f t="shared" si="16"/>
        <v>15229.839981012537</v>
      </c>
      <c r="AN64" s="645">
        <f t="shared" si="17"/>
        <v>7.3739539241721706E-4</v>
      </c>
      <c r="AO64" s="199">
        <v>11</v>
      </c>
      <c r="AP64" s="250">
        <f t="shared" si="18"/>
        <v>1.2498579706851495E-3</v>
      </c>
      <c r="AQ64" s="199">
        <v>11</v>
      </c>
      <c r="AU64" s="199">
        <v>0</v>
      </c>
      <c r="AW64" s="250">
        <f t="shared" si="5"/>
        <v>0</v>
      </c>
      <c r="AX64" s="199">
        <v>1</v>
      </c>
      <c r="AY64" s="199">
        <f t="shared" si="75"/>
        <v>16069.205235726689</v>
      </c>
      <c r="AZ64" s="199">
        <f t="shared" si="34"/>
        <v>16069.205235726689</v>
      </c>
      <c r="BA64" s="252">
        <f t="shared" si="6"/>
        <v>1.2631438096074336E-3</v>
      </c>
      <c r="BB64" s="284">
        <v>1</v>
      </c>
      <c r="BC64" s="199">
        <f t="shared" si="76"/>
        <v>25768.889247873216</v>
      </c>
      <c r="BD64" s="270">
        <f t="shared" si="7"/>
        <v>2.320671268272536E-3</v>
      </c>
      <c r="BE64" s="199">
        <f t="shared" si="77"/>
        <v>110233.58178256876</v>
      </c>
      <c r="BF64" s="251">
        <f t="shared" si="19"/>
        <v>2.3206713198422164E-3</v>
      </c>
      <c r="BG64" s="204">
        <f t="shared" si="36"/>
        <v>136002.47103044199</v>
      </c>
      <c r="BH64" s="636">
        <v>0</v>
      </c>
      <c r="BI64" s="199">
        <f t="shared" si="69"/>
        <v>58254.137927372954</v>
      </c>
      <c r="BJ64" s="199">
        <f t="shared" si="70"/>
        <v>116508.27585474591</v>
      </c>
      <c r="BK64" s="199">
        <f t="shared" si="20"/>
        <v>174762.41378211888</v>
      </c>
      <c r="BL64" s="251">
        <f t="shared" si="8"/>
        <v>7.3739539241721706E-4</v>
      </c>
      <c r="BM64" s="199">
        <f t="shared" si="78"/>
        <v>19854.737810323149</v>
      </c>
      <c r="BN64" s="251">
        <f t="shared" si="9"/>
        <v>8.5738932580555925E-4</v>
      </c>
      <c r="BT64" s="199">
        <f>'Detailed Budget'!$AD$12</f>
        <v>194045122715</v>
      </c>
      <c r="BU64" s="199">
        <f>'Detailed Budget'!$AD$24</f>
        <v>194045122715</v>
      </c>
      <c r="BV64" s="596">
        <f t="shared" si="79"/>
        <v>0</v>
      </c>
      <c r="BW64" s="278"/>
      <c r="BX64" s="275">
        <f t="shared" si="27"/>
        <v>0</v>
      </c>
      <c r="BY64" s="275">
        <f t="shared" si="28"/>
        <v>0</v>
      </c>
      <c r="CA64" s="199">
        <f>'Detailed Budget'!$AD$96</f>
        <v>71050111380.677719</v>
      </c>
      <c r="CB64" s="275">
        <f t="shared" si="21"/>
        <v>89746508.362421721</v>
      </c>
      <c r="CE64" s="199">
        <f>'Detailed Budget'!$AD$175</f>
        <v>4330586076.5988197</v>
      </c>
      <c r="CF64" s="275">
        <f t="shared" si="80"/>
        <v>10049866.682743968</v>
      </c>
      <c r="CG64" s="199">
        <f>'Detailed Budget'!$AD$176</f>
        <v>20662817754.37001</v>
      </c>
      <c r="CH64" s="275">
        <f t="shared" si="81"/>
        <v>47951608.549693033</v>
      </c>
      <c r="CI64" s="275">
        <f t="shared" si="43"/>
        <v>58001475.232437</v>
      </c>
      <c r="CJ64" s="275">
        <f>'Detailed Budget'!$AD$178</f>
        <v>46025131033.061455</v>
      </c>
      <c r="CK64" s="275">
        <f t="shared" si="82"/>
        <v>72353314.753355861</v>
      </c>
      <c r="CL64" s="275">
        <f t="shared" si="51"/>
        <v>130354789.98579286</v>
      </c>
      <c r="CM64" s="278">
        <f>'Detailed Budget'!$AD$189</f>
        <v>77498869683.252869</v>
      </c>
      <c r="CN64" s="275">
        <f t="shared" si="10"/>
        <v>0</v>
      </c>
      <c r="CO64" s="140">
        <f>'Detailed Budget'!$AD$191</f>
        <v>2684962805.4134097</v>
      </c>
      <c r="CP64" s="616">
        <f t="shared" si="11"/>
        <v>0</v>
      </c>
      <c r="CQ64" s="616">
        <f t="shared" si="12"/>
        <v>0</v>
      </c>
      <c r="CR64" s="199">
        <f>'Detailed Budget'!$AD$195</f>
        <v>18734176418</v>
      </c>
      <c r="CS64" s="275">
        <f t="shared" si="83"/>
        <v>16062482.888551427</v>
      </c>
      <c r="CW64" s="278"/>
      <c r="DH64" s="140">
        <f>'Detailed Budget'!$AD$163</f>
        <v>4928560000</v>
      </c>
      <c r="DI64" s="616">
        <f t="shared" si="84"/>
        <v>6160000</v>
      </c>
    </row>
    <row r="65" spans="1:113" outlineLevel="1">
      <c r="A65" s="214" t="s">
        <v>333</v>
      </c>
      <c r="B65" s="215" t="s">
        <v>334</v>
      </c>
      <c r="C65" s="216" t="s">
        <v>234</v>
      </c>
      <c r="D65" s="217" t="s">
        <v>234</v>
      </c>
      <c r="E65" s="216"/>
      <c r="F65" s="216"/>
      <c r="G65" s="216"/>
      <c r="H65" s="216" t="s">
        <v>234</v>
      </c>
      <c r="I65" s="217" t="s">
        <v>234</v>
      </c>
      <c r="J65" s="217"/>
      <c r="K65" s="216"/>
      <c r="L65" s="216"/>
      <c r="M65" s="217" t="s">
        <v>234</v>
      </c>
      <c r="N65" s="216"/>
      <c r="O65" s="217"/>
      <c r="P65" s="216"/>
      <c r="Q65" s="217"/>
      <c r="R65" s="217" t="s">
        <v>234</v>
      </c>
      <c r="S65" s="217"/>
      <c r="T65" s="217"/>
      <c r="U65" s="218">
        <f t="shared" si="72"/>
        <v>6</v>
      </c>
      <c r="V65" s="867" t="s">
        <v>238</v>
      </c>
      <c r="W65" s="219">
        <v>147641</v>
      </c>
      <c r="X65" s="220">
        <v>3.03</v>
      </c>
      <c r="Y65" s="221">
        <f t="shared" si="24"/>
        <v>1.0303</v>
      </c>
      <c r="Z65" s="199">
        <v>19</v>
      </c>
      <c r="AA65" s="221">
        <f t="shared" si="85"/>
        <v>1.7632354008841205</v>
      </c>
      <c r="AB65" s="199">
        <f t="shared" si="73"/>
        <v>260325.83782193242</v>
      </c>
      <c r="AC65">
        <v>18.8</v>
      </c>
      <c r="AD65" s="199">
        <f t="shared" si="74"/>
        <v>48941.25751052329</v>
      </c>
      <c r="AE65" s="199">
        <f t="shared" si="48"/>
        <v>46494.194634997126</v>
      </c>
      <c r="AF65" s="199">
        <f t="shared" si="49"/>
        <v>46494.194634997126</v>
      </c>
      <c r="AG65" s="614">
        <f t="shared" si="25"/>
        <v>2.149687446583289E-3</v>
      </c>
      <c r="AH65" s="199">
        <f t="shared" si="86"/>
        <v>13016.291891096622</v>
      </c>
      <c r="AI65" s="252">
        <f t="shared" si="26"/>
        <v>1.008352411194709E-3</v>
      </c>
      <c r="AJ65" s="199">
        <f t="shared" si="32"/>
        <v>61957.549401619908</v>
      </c>
      <c r="AK65" s="199">
        <f t="shared" si="53"/>
        <v>10413.033512877297</v>
      </c>
      <c r="AL65" s="199">
        <f t="shared" si="54"/>
        <v>10413.033512877297</v>
      </c>
      <c r="AM65" s="199">
        <f t="shared" si="16"/>
        <v>20826.067025754593</v>
      </c>
      <c r="AN65" s="645">
        <f t="shared" si="17"/>
        <v>1.008352411194709E-3</v>
      </c>
      <c r="AO65" s="199">
        <v>10</v>
      </c>
      <c r="AP65" s="250">
        <f t="shared" si="18"/>
        <v>1.1362345188046814E-3</v>
      </c>
      <c r="AQ65" s="199">
        <v>10</v>
      </c>
      <c r="AU65" s="199">
        <v>0</v>
      </c>
      <c r="AW65" s="250">
        <f t="shared" si="5"/>
        <v>0</v>
      </c>
      <c r="AX65" s="199">
        <v>1</v>
      </c>
      <c r="AY65" s="199">
        <f t="shared" si="75"/>
        <v>21973.858274747367</v>
      </c>
      <c r="AZ65" s="199">
        <f t="shared" si="34"/>
        <v>21973.858274747367</v>
      </c>
      <c r="BA65" s="252">
        <f t="shared" si="6"/>
        <v>1.72728785560769E-3</v>
      </c>
      <c r="BB65" s="284">
        <v>1</v>
      </c>
      <c r="BC65" s="199">
        <f t="shared" si="76"/>
        <v>35237.705407576766</v>
      </c>
      <c r="BD65" s="270">
        <f t="shared" si="7"/>
        <v>3.1734053304592605E-3</v>
      </c>
      <c r="BE65" s="199">
        <f t="shared" si="77"/>
        <v>150739.07313241172</v>
      </c>
      <c r="BF65" s="251">
        <f t="shared" si="19"/>
        <v>3.1734054009782951E-3</v>
      </c>
      <c r="BG65" s="204">
        <f t="shared" si="36"/>
        <v>185976.7785399885</v>
      </c>
      <c r="BH65" s="636">
        <v>0</v>
      </c>
      <c r="BI65" s="199">
        <f t="shared" si="69"/>
        <v>79659.706373511319</v>
      </c>
      <c r="BJ65" s="199">
        <f t="shared" si="70"/>
        <v>159319.41274702264</v>
      </c>
      <c r="BK65" s="199">
        <f t="shared" si="20"/>
        <v>238979.11912053396</v>
      </c>
      <c r="BL65" s="251">
        <f t="shared" si="8"/>
        <v>1.008352411194709E-3</v>
      </c>
      <c r="BM65" s="199">
        <f t="shared" si="78"/>
        <v>27150.390347639302</v>
      </c>
      <c r="BN65" s="251">
        <f t="shared" si="9"/>
        <v>1.172438291449861E-3</v>
      </c>
      <c r="BT65" s="199">
        <f>'Detailed Budget'!$AD$12</f>
        <v>194045122715</v>
      </c>
      <c r="BU65" s="199">
        <f>'Detailed Budget'!$AD$24</f>
        <v>194045122715</v>
      </c>
      <c r="BV65" s="596">
        <f t="shared" si="79"/>
        <v>0</v>
      </c>
      <c r="BW65" s="278"/>
      <c r="BX65" s="275">
        <f t="shared" si="27"/>
        <v>0</v>
      </c>
      <c r="BY65" s="275">
        <f t="shared" si="28"/>
        <v>0</v>
      </c>
      <c r="CA65" s="199">
        <f>'Detailed Budget'!$AD$96</f>
        <v>71050111380.677719</v>
      </c>
      <c r="CB65" s="275">
        <f t="shared" si="21"/>
        <v>122723994.52741835</v>
      </c>
      <c r="CE65" s="199">
        <f>'Detailed Budget'!$AD$175</f>
        <v>4330586076.5988197</v>
      </c>
      <c r="CF65" s="275">
        <f t="shared" si="80"/>
        <v>13742704.93949135</v>
      </c>
      <c r="CG65" s="199">
        <f>'Detailed Budget'!$AD$176</f>
        <v>20662817754.37001</v>
      </c>
      <c r="CH65" s="275">
        <f t="shared" si="81"/>
        <v>65571497.461147994</v>
      </c>
      <c r="CI65" s="275">
        <f t="shared" si="43"/>
        <v>79314202.40063934</v>
      </c>
      <c r="CJ65" s="275">
        <f>'Detailed Budget'!$AD$178</f>
        <v>46025131033.061455</v>
      </c>
      <c r="CK65" s="275">
        <f t="shared" si="82"/>
        <v>98939646.409123167</v>
      </c>
      <c r="CL65" s="275">
        <f t="shared" si="51"/>
        <v>178253848.80976251</v>
      </c>
      <c r="CM65" s="278">
        <f>'Detailed Budget'!$AD$189</f>
        <v>77498869683.252869</v>
      </c>
      <c r="CN65" s="275">
        <f t="shared" si="10"/>
        <v>0</v>
      </c>
      <c r="CO65" s="140">
        <f>'Detailed Budget'!$AD$191</f>
        <v>2684962805.4134097</v>
      </c>
      <c r="CP65" s="616">
        <f t="shared" si="11"/>
        <v>0</v>
      </c>
      <c r="CQ65" s="616">
        <f t="shared" si="12"/>
        <v>0</v>
      </c>
      <c r="CR65" s="199">
        <f>'Detailed Budget'!$AD$195</f>
        <v>18734176418</v>
      </c>
      <c r="CS65" s="275">
        <f t="shared" si="83"/>
        <v>21964665.791240197</v>
      </c>
      <c r="CW65" s="278"/>
      <c r="DH65" s="140">
        <f>'Detailed Budget'!$AD$163</f>
        <v>4928560000</v>
      </c>
      <c r="DI65" s="616">
        <f t="shared" si="84"/>
        <v>5600000</v>
      </c>
    </row>
    <row r="66" spans="1:113" outlineLevel="1">
      <c r="A66" s="214" t="s">
        <v>335</v>
      </c>
      <c r="B66" s="215" t="s">
        <v>336</v>
      </c>
      <c r="C66" s="216" t="s">
        <v>234</v>
      </c>
      <c r="D66" s="217" t="s">
        <v>234</v>
      </c>
      <c r="E66" s="216"/>
      <c r="F66" s="216"/>
      <c r="G66" s="216"/>
      <c r="H66" s="216" t="s">
        <v>234</v>
      </c>
      <c r="I66" s="217" t="s">
        <v>234</v>
      </c>
      <c r="J66" s="217"/>
      <c r="K66" s="216"/>
      <c r="L66" s="216"/>
      <c r="M66" s="217" t="s">
        <v>234</v>
      </c>
      <c r="N66" s="216"/>
      <c r="O66" s="217"/>
      <c r="P66" s="216"/>
      <c r="Q66" s="217"/>
      <c r="R66" s="217" t="s">
        <v>234</v>
      </c>
      <c r="S66" s="217"/>
      <c r="T66" s="217"/>
      <c r="U66" s="218">
        <f t="shared" si="72"/>
        <v>6</v>
      </c>
      <c r="V66" s="867" t="s">
        <v>238</v>
      </c>
      <c r="W66" s="219">
        <v>139928</v>
      </c>
      <c r="X66" s="220">
        <v>3.03</v>
      </c>
      <c r="Y66" s="221">
        <f t="shared" si="24"/>
        <v>1.0303</v>
      </c>
      <c r="Z66" s="199">
        <v>19</v>
      </c>
      <c r="AA66" s="221">
        <f t="shared" si="85"/>
        <v>1.7632354008841205</v>
      </c>
      <c r="AB66" s="199">
        <f t="shared" si="73"/>
        <v>246726.0031749132</v>
      </c>
      <c r="AC66">
        <v>18.8</v>
      </c>
      <c r="AD66" s="199">
        <f t="shared" si="74"/>
        <v>46384.48859688369</v>
      </c>
      <c r="AE66" s="199">
        <f t="shared" si="48"/>
        <v>44065.264167039502</v>
      </c>
      <c r="AF66" s="199">
        <f t="shared" si="49"/>
        <v>44065.264167039502</v>
      </c>
      <c r="AG66" s="614">
        <f t="shared" si="25"/>
        <v>2.0373843649494822E-3</v>
      </c>
      <c r="AH66" s="199">
        <f t="shared" si="86"/>
        <v>12336.30015874566</v>
      </c>
      <c r="AI66" s="252">
        <f t="shared" si="26"/>
        <v>9.5567448197758913E-4</v>
      </c>
      <c r="AJ66" s="199">
        <f t="shared" si="32"/>
        <v>58720.78875562935</v>
      </c>
      <c r="AK66" s="199">
        <f t="shared" si="53"/>
        <v>9869.0401269965278</v>
      </c>
      <c r="AL66" s="199">
        <f t="shared" si="54"/>
        <v>9869.0401269965278</v>
      </c>
      <c r="AM66" s="199">
        <f t="shared" si="16"/>
        <v>19738.080253993056</v>
      </c>
      <c r="AN66" s="645">
        <f t="shared" si="17"/>
        <v>9.5567448197758913E-4</v>
      </c>
      <c r="AO66" s="199">
        <v>14</v>
      </c>
      <c r="AP66" s="250">
        <f t="shared" si="18"/>
        <v>1.5907283263265539E-3</v>
      </c>
      <c r="AQ66" s="199">
        <v>14</v>
      </c>
      <c r="AU66" s="199">
        <v>0</v>
      </c>
      <c r="AW66" s="250">
        <f t="shared" si="5"/>
        <v>0</v>
      </c>
      <c r="AX66" s="199">
        <v>1</v>
      </c>
      <c r="AY66" s="199">
        <f t="shared" si="75"/>
        <v>20825.909067730849</v>
      </c>
      <c r="AZ66" s="199">
        <f t="shared" si="34"/>
        <v>20825.909067730849</v>
      </c>
      <c r="BA66" s="252">
        <f t="shared" si="6"/>
        <v>1.6370515985361309E-3</v>
      </c>
      <c r="BB66" s="284">
        <v>1</v>
      </c>
      <c r="BC66" s="199">
        <f t="shared" si="76"/>
        <v>33396.831789756252</v>
      </c>
      <c r="BD66" s="270">
        <f t="shared" si="7"/>
        <v>3.0076216029456824E-3</v>
      </c>
      <c r="BE66" s="199">
        <f t="shared" si="77"/>
        <v>142864.22487840176</v>
      </c>
      <c r="BF66" s="251">
        <f t="shared" si="19"/>
        <v>3.0076216697806908E-3</v>
      </c>
      <c r="BG66" s="204">
        <f t="shared" si="36"/>
        <v>176261.05666815801</v>
      </c>
      <c r="BH66" s="636">
        <v>0</v>
      </c>
      <c r="BI66" s="199">
        <f t="shared" si="69"/>
        <v>75498.156971523451</v>
      </c>
      <c r="BJ66" s="199">
        <f t="shared" si="70"/>
        <v>150996.3139430469</v>
      </c>
      <c r="BK66" s="199">
        <f t="shared" si="20"/>
        <v>226494.47091457035</v>
      </c>
      <c r="BL66" s="251">
        <f t="shared" si="8"/>
        <v>9.5567448197758924E-4</v>
      </c>
      <c r="BM66" s="199">
        <f t="shared" si="78"/>
        <v>25732.010895106858</v>
      </c>
      <c r="BN66" s="251">
        <f t="shared" si="9"/>
        <v>1.1111882556064786E-3</v>
      </c>
      <c r="BT66" s="199">
        <f>'Detailed Budget'!$AD$12</f>
        <v>194045122715</v>
      </c>
      <c r="BU66" s="199">
        <f>'Detailed Budget'!$AD$24</f>
        <v>194045122715</v>
      </c>
      <c r="BV66" s="596">
        <f t="shared" si="79"/>
        <v>0</v>
      </c>
      <c r="BW66" s="278"/>
      <c r="BX66" s="275">
        <f t="shared" si="27"/>
        <v>0</v>
      </c>
      <c r="BY66" s="275">
        <f t="shared" si="28"/>
        <v>0</v>
      </c>
      <c r="CA66" s="199">
        <f>'Detailed Budget'!$AD$96</f>
        <v>71050111380.677719</v>
      </c>
      <c r="CB66" s="275">
        <f t="shared" si="21"/>
        <v>116312698.4119086</v>
      </c>
      <c r="CE66" s="199">
        <f>'Detailed Budget'!$AD$175</f>
        <v>4330586076.5988197</v>
      </c>
      <c r="CF66" s="275">
        <f t="shared" si="80"/>
        <v>13024764.237394396</v>
      </c>
      <c r="CG66" s="199">
        <f>'Detailed Budget'!$AD$176</f>
        <v>20662817754.37001</v>
      </c>
      <c r="CH66" s="275">
        <f t="shared" si="81"/>
        <v>62145938.436772436</v>
      </c>
      <c r="CI66" s="275">
        <f t="shared" si="43"/>
        <v>75170702.674166828</v>
      </c>
      <c r="CJ66" s="275">
        <f>'Detailed Budget'!$AD$178</f>
        <v>46025131033.061455</v>
      </c>
      <c r="CK66" s="275">
        <f t="shared" si="82"/>
        <v>93770882.36151062</v>
      </c>
      <c r="CL66" s="275">
        <f t="shared" si="51"/>
        <v>168941585.03567743</v>
      </c>
      <c r="CM66" s="278">
        <f>'Detailed Budget'!$AD$189</f>
        <v>77498869683.252869</v>
      </c>
      <c r="CN66" s="275">
        <f t="shared" si="10"/>
        <v>0</v>
      </c>
      <c r="CO66" s="140">
        <f>'Detailed Budget'!$AD$191</f>
        <v>2684962805.4134097</v>
      </c>
      <c r="CP66" s="616">
        <f t="shared" si="11"/>
        <v>0</v>
      </c>
      <c r="CQ66" s="616">
        <f t="shared" si="12"/>
        <v>0</v>
      </c>
      <c r="CR66" s="199">
        <f>'Detailed Budget'!$AD$195</f>
        <v>18734176418</v>
      </c>
      <c r="CS66" s="275">
        <f t="shared" si="83"/>
        <v>20817196.814141449</v>
      </c>
      <c r="CW66" s="278"/>
      <c r="DH66" s="140">
        <f>'Detailed Budget'!$AD$163</f>
        <v>4928560000</v>
      </c>
      <c r="DI66" s="616">
        <f t="shared" si="84"/>
        <v>7840000.0000000009</v>
      </c>
    </row>
    <row r="67" spans="1:113" outlineLevel="1">
      <c r="A67" s="214"/>
      <c r="B67" s="215"/>
      <c r="C67" s="216"/>
      <c r="D67" s="217"/>
      <c r="E67" s="216"/>
      <c r="F67" s="216"/>
      <c r="G67" s="216"/>
      <c r="H67" s="216"/>
      <c r="I67" s="217"/>
      <c r="J67" s="217"/>
      <c r="K67" s="216"/>
      <c r="L67" s="216"/>
      <c r="M67" s="217"/>
      <c r="N67" s="216"/>
      <c r="O67" s="217"/>
      <c r="P67" s="216"/>
      <c r="Q67" s="217"/>
      <c r="R67" s="217"/>
      <c r="S67" s="217"/>
      <c r="T67" s="217"/>
      <c r="U67" s="218"/>
      <c r="V67" s="867"/>
      <c r="W67" s="219"/>
      <c r="X67" s="220"/>
      <c r="Y67" s="221"/>
      <c r="Z67" s="199"/>
      <c r="AA67" s="221"/>
      <c r="AF67" s="199">
        <f t="shared" si="49"/>
        <v>0</v>
      </c>
      <c r="AG67" s="614">
        <f t="shared" si="25"/>
        <v>0</v>
      </c>
      <c r="AJ67" s="199"/>
      <c r="AK67" s="199">
        <f t="shared" si="53"/>
        <v>0</v>
      </c>
      <c r="AL67" s="199">
        <f t="shared" si="54"/>
        <v>0</v>
      </c>
      <c r="AM67" s="199">
        <f t="shared" si="16"/>
        <v>0</v>
      </c>
      <c r="AN67" s="645">
        <f t="shared" si="17"/>
        <v>0</v>
      </c>
      <c r="AP67" s="250">
        <f t="shared" si="18"/>
        <v>0</v>
      </c>
      <c r="AW67" s="250">
        <f t="shared" si="5"/>
        <v>0</v>
      </c>
      <c r="AX67" s="199"/>
      <c r="BA67" s="252">
        <f t="shared" si="6"/>
        <v>0</v>
      </c>
      <c r="BB67" s="284"/>
      <c r="BD67" s="270"/>
      <c r="BF67" s="251"/>
      <c r="BG67" s="204"/>
      <c r="BH67" s="636"/>
      <c r="BI67" s="199">
        <f t="shared" si="69"/>
        <v>0</v>
      </c>
      <c r="BJ67" s="199">
        <f t="shared" si="70"/>
        <v>0</v>
      </c>
      <c r="BK67" s="199">
        <f t="shared" si="20"/>
        <v>0</v>
      </c>
      <c r="BL67" s="251">
        <f t="shared" si="8"/>
        <v>0</v>
      </c>
      <c r="BN67" s="251">
        <f t="shared" si="9"/>
        <v>0</v>
      </c>
      <c r="BT67" s="199"/>
      <c r="BU67" s="199"/>
      <c r="BV67" s="596"/>
      <c r="BW67" s="278"/>
      <c r="BX67" s="275"/>
      <c r="BY67" s="275"/>
      <c r="CA67" s="199">
        <f>'Detailed Budget'!$AD$96</f>
        <v>71050111380.677719</v>
      </c>
      <c r="CB67" s="275">
        <f t="shared" si="21"/>
        <v>0</v>
      </c>
      <c r="CE67" s="199"/>
      <c r="CF67" s="275"/>
      <c r="CG67" s="199"/>
      <c r="CH67" s="275"/>
      <c r="CI67" s="275"/>
      <c r="CJ67" s="275"/>
      <c r="CK67" s="275"/>
      <c r="CL67" s="275"/>
      <c r="CM67" s="278">
        <f>'Detailed Budget'!$AD$189</f>
        <v>77498869683.252869</v>
      </c>
      <c r="CN67" s="275">
        <f t="shared" si="10"/>
        <v>0</v>
      </c>
      <c r="CO67" s="140">
        <f>'Detailed Budget'!$AD$191</f>
        <v>2684962805.4134097</v>
      </c>
      <c r="CP67" s="616">
        <f t="shared" si="11"/>
        <v>0</v>
      </c>
      <c r="CQ67" s="616">
        <f t="shared" si="12"/>
        <v>0</v>
      </c>
      <c r="CR67" s="199"/>
      <c r="CS67" s="275"/>
      <c r="CW67" s="278"/>
      <c r="DH67" s="140">
        <f>'Detailed Budget'!$AD$163</f>
        <v>4928560000</v>
      </c>
      <c r="DI67" s="616">
        <f t="shared" si="84"/>
        <v>0</v>
      </c>
    </row>
    <row r="68" spans="1:113" s="213" customFormat="1">
      <c r="A68" s="206">
        <v>1.4</v>
      </c>
      <c r="B68" s="207" t="s">
        <v>337</v>
      </c>
      <c r="C68" s="208">
        <f t="shared" ref="C68:T68" si="87">COUNTA(C70:C85)</f>
        <v>16</v>
      </c>
      <c r="D68" s="208">
        <f t="shared" si="87"/>
        <v>11</v>
      </c>
      <c r="E68" s="208">
        <f t="shared" si="87"/>
        <v>0</v>
      </c>
      <c r="F68" s="208">
        <f t="shared" si="87"/>
        <v>0</v>
      </c>
      <c r="G68" s="208">
        <f t="shared" si="87"/>
        <v>5</v>
      </c>
      <c r="H68" s="208">
        <f t="shared" si="87"/>
        <v>16</v>
      </c>
      <c r="I68" s="208">
        <f t="shared" si="87"/>
        <v>16</v>
      </c>
      <c r="J68" s="208">
        <f t="shared" si="87"/>
        <v>0</v>
      </c>
      <c r="K68" s="208">
        <f t="shared" si="87"/>
        <v>1</v>
      </c>
      <c r="L68" s="208">
        <f t="shared" si="87"/>
        <v>0</v>
      </c>
      <c r="M68" s="208">
        <f t="shared" si="87"/>
        <v>5</v>
      </c>
      <c r="N68" s="208">
        <f t="shared" si="87"/>
        <v>10</v>
      </c>
      <c r="O68" s="208">
        <f t="shared" si="87"/>
        <v>0</v>
      </c>
      <c r="P68" s="208">
        <f t="shared" si="87"/>
        <v>0</v>
      </c>
      <c r="Q68" s="208">
        <f t="shared" si="87"/>
        <v>3</v>
      </c>
      <c r="R68" s="208">
        <f t="shared" si="87"/>
        <v>13</v>
      </c>
      <c r="S68" s="208">
        <f t="shared" si="87"/>
        <v>0</v>
      </c>
      <c r="T68" s="208">
        <f t="shared" si="87"/>
        <v>0</v>
      </c>
      <c r="U68" s="209">
        <f>SUM(C68:T68)</f>
        <v>96</v>
      </c>
      <c r="V68" s="866"/>
      <c r="W68" s="210">
        <f>SUM(W70:W85)</f>
        <v>2365353</v>
      </c>
      <c r="X68" s="211">
        <v>2.96</v>
      </c>
      <c r="Y68" s="212">
        <f t="shared" si="24"/>
        <v>1.0296000000000001</v>
      </c>
      <c r="Z68" s="210">
        <v>19</v>
      </c>
      <c r="AA68" s="212">
        <f t="shared" si="85"/>
        <v>1.7406126843598355</v>
      </c>
      <c r="AB68" s="210">
        <f>SUM(AB70:AB85)</f>
        <v>4117163.4347885908</v>
      </c>
      <c r="AC68" s="213">
        <v>17.399999999999999</v>
      </c>
      <c r="AD68" s="210">
        <f>SUM(AD70:AD85)</f>
        <v>716386.43765321455</v>
      </c>
      <c r="AE68" s="210">
        <f>SUM(AE70:AE85)</f>
        <v>680567.11577055394</v>
      </c>
      <c r="AF68" s="210">
        <f>SUM(AF70:AF85)</f>
        <v>552558.16678591329</v>
      </c>
      <c r="AG68" s="614">
        <f t="shared" si="25"/>
        <v>3.1466435687609928E-2</v>
      </c>
      <c r="AH68" s="210">
        <f>SUM(AH70:AH85)</f>
        <v>205858.17173942953</v>
      </c>
      <c r="AI68" s="252">
        <f t="shared" si="26"/>
        <v>1.5947520659057676E-2</v>
      </c>
      <c r="AJ68" s="210">
        <f>SUM(AJ70:AJ85)</f>
        <v>922244.60939264414</v>
      </c>
      <c r="AK68" s="199">
        <f t="shared" si="53"/>
        <v>164686.53739154362</v>
      </c>
      <c r="AL68" s="199">
        <f t="shared" si="54"/>
        <v>164686.53739154362</v>
      </c>
      <c r="AM68" s="199">
        <f t="shared" si="16"/>
        <v>329373.07478308724</v>
      </c>
      <c r="AN68" s="645">
        <f t="shared" si="17"/>
        <v>1.5947520659057676E-2</v>
      </c>
      <c r="AO68" s="210">
        <f>SUM(AO70:AO85)</f>
        <v>186</v>
      </c>
      <c r="AP68" s="250">
        <f t="shared" si="18"/>
        <v>2.1133962049767072E-2</v>
      </c>
      <c r="AQ68" s="210">
        <f>SUM(AQ70:AQ85)</f>
        <v>186</v>
      </c>
      <c r="AR68" s="210"/>
      <c r="AS68" s="210"/>
      <c r="AT68" s="210"/>
      <c r="AU68" s="199"/>
      <c r="AV68" s="199"/>
      <c r="AW68" s="250">
        <f t="shared" si="5"/>
        <v>0</v>
      </c>
      <c r="AX68" s="199"/>
      <c r="AY68" s="210">
        <v>307576</v>
      </c>
      <c r="AZ68" s="210">
        <f>SUM(AZ70:AZ85)</f>
        <v>307575.86972935812</v>
      </c>
      <c r="BA68" s="252">
        <f t="shared" si="6"/>
        <v>2.4177459316374935E-2</v>
      </c>
      <c r="BB68" s="284"/>
      <c r="BC68" s="210">
        <f>SUM(BC70:BC85)</f>
        <v>418780.9264061657</v>
      </c>
      <c r="BD68" s="270">
        <f t="shared" si="7"/>
        <v>3.7714193043518709E-2</v>
      </c>
      <c r="BE68" s="210">
        <f>SUM(BE70:BE85)</f>
        <v>1791451.7407374869</v>
      </c>
      <c r="BF68" s="251">
        <f t="shared" si="19"/>
        <v>3.7714193881599016E-2</v>
      </c>
      <c r="BG68" s="210">
        <f>SUM(BG70:BG85)</f>
        <v>2210232.6671436531</v>
      </c>
      <c r="BH68"/>
      <c r="BI68" s="199">
        <f t="shared" si="69"/>
        <v>1259852.0110453088</v>
      </c>
      <c r="BJ68" s="199">
        <f t="shared" si="70"/>
        <v>2519704.0220906176</v>
      </c>
      <c r="BK68" s="199">
        <f t="shared" si="20"/>
        <v>3779556.0331359264</v>
      </c>
      <c r="BL68" s="251">
        <f t="shared" si="8"/>
        <v>1.5947520659057676E-2</v>
      </c>
      <c r="BM68" s="210">
        <v>452173</v>
      </c>
      <c r="BN68" s="251">
        <f t="shared" si="9"/>
        <v>1.9526236373461698E-2</v>
      </c>
      <c r="BT68" s="210">
        <f>'Detailed Budget'!$AD$12</f>
        <v>194045122715</v>
      </c>
      <c r="BU68" s="210">
        <f>'Detailed Budget'!$AD$24</f>
        <v>194045122715</v>
      </c>
      <c r="BV68" s="596">
        <f>AV68/34743979</f>
        <v>0</v>
      </c>
      <c r="BW68" s="278"/>
      <c r="BX68" s="613">
        <f t="shared" si="27"/>
        <v>0</v>
      </c>
      <c r="BY68" s="613">
        <f t="shared" si="28"/>
        <v>0</v>
      </c>
      <c r="CA68" s="210">
        <f>'Detailed Budget'!$AD$96</f>
        <v>71050111380.677719</v>
      </c>
      <c r="CB68" s="613">
        <f t="shared" si="21"/>
        <v>1717811177.3302433</v>
      </c>
      <c r="CE68" s="613">
        <f>'Detailed Budget'!$AD$175</f>
        <v>4330586076.5988197</v>
      </c>
      <c r="CF68" s="613">
        <f>SUM(CF70:CF85)</f>
        <v>163324559.28442225</v>
      </c>
      <c r="CG68" s="632">
        <f>'Detailed Budget'!$AD$176</f>
        <v>20662817754.37001</v>
      </c>
      <c r="CH68" s="613">
        <f>SUM(CH70:CH85)</f>
        <v>779281514.92845714</v>
      </c>
      <c r="CI68" s="613">
        <f>SUM(CI70:CI85)</f>
        <v>942606074.21287918</v>
      </c>
      <c r="CJ68" s="275">
        <f>'Detailed Budget'!$AD$178</f>
        <v>46025131033.061455</v>
      </c>
      <c r="CK68" s="613">
        <f>SUM(CK70:CK85)</f>
        <v>1175843781.6045189</v>
      </c>
      <c r="CL68" s="613">
        <f>SUM(CL70:CL85)</f>
        <v>2118449855.8173985</v>
      </c>
      <c r="CM68" s="278">
        <f>'Detailed Budget'!$AD$189</f>
        <v>77498869683.252869</v>
      </c>
      <c r="CN68" s="275">
        <f t="shared" si="10"/>
        <v>0</v>
      </c>
      <c r="CO68" s="140">
        <f>'Detailed Budget'!$AD$191</f>
        <v>2684962805.4134097</v>
      </c>
      <c r="CP68" s="616">
        <f t="shared" si="11"/>
        <v>0</v>
      </c>
      <c r="CQ68" s="616">
        <f t="shared" si="12"/>
        <v>0</v>
      </c>
      <c r="CR68" s="210">
        <f>'Detailed Budget'!$AD$195</f>
        <v>18734176418</v>
      </c>
      <c r="CS68" s="275">
        <f>BN68*CR68</f>
        <v>365807957</v>
      </c>
      <c r="CW68" s="278"/>
      <c r="DH68" s="140">
        <f>'Detailed Budget'!$AD$163</f>
        <v>4928560000</v>
      </c>
      <c r="DI68" s="616">
        <f t="shared" si="84"/>
        <v>104160000</v>
      </c>
    </row>
    <row r="69" spans="1:113" s="213" customFormat="1">
      <c r="A69" s="214" t="s">
        <v>2322</v>
      </c>
      <c r="B69" s="215" t="s">
        <v>2318</v>
      </c>
      <c r="C69" s="208"/>
      <c r="D69" s="208"/>
      <c r="E69" s="208"/>
      <c r="F69" s="208"/>
      <c r="G69" s="208"/>
      <c r="H69" s="208"/>
      <c r="I69" s="208"/>
      <c r="J69" s="208"/>
      <c r="K69" s="208"/>
      <c r="L69" s="208"/>
      <c r="M69" s="208"/>
      <c r="N69" s="208"/>
      <c r="O69" s="208"/>
      <c r="P69" s="208"/>
      <c r="Q69" s="208"/>
      <c r="R69" s="208"/>
      <c r="S69" s="208"/>
      <c r="T69" s="208"/>
      <c r="U69" s="209"/>
      <c r="V69" s="866"/>
      <c r="W69" s="210"/>
      <c r="X69" s="211"/>
      <c r="Y69" s="212"/>
      <c r="Z69" s="210"/>
      <c r="AA69" s="212"/>
      <c r="AB69" s="210"/>
      <c r="AD69" s="210"/>
      <c r="AE69" s="210"/>
      <c r="AF69" s="199"/>
      <c r="AG69" s="614">
        <f t="shared" si="25"/>
        <v>0</v>
      </c>
      <c r="AH69" s="210"/>
      <c r="AI69" s="252"/>
      <c r="AJ69" s="199"/>
      <c r="AK69" s="199">
        <f t="shared" si="53"/>
        <v>0</v>
      </c>
      <c r="AL69" s="199">
        <f t="shared" si="54"/>
        <v>0</v>
      </c>
      <c r="AM69" s="199">
        <f t="shared" si="16"/>
        <v>0</v>
      </c>
      <c r="AN69" s="645">
        <f t="shared" si="17"/>
        <v>0</v>
      </c>
      <c r="AO69" s="210"/>
      <c r="AP69" s="250"/>
      <c r="AQ69" s="210"/>
      <c r="AR69" s="210"/>
      <c r="AS69" s="210"/>
      <c r="AT69" s="210"/>
      <c r="AU69" s="199"/>
      <c r="AV69" s="199"/>
      <c r="AW69" s="250">
        <f t="shared" si="5"/>
        <v>0</v>
      </c>
      <c r="AX69" s="199"/>
      <c r="AY69" s="210"/>
      <c r="AZ69" s="199"/>
      <c r="BA69" s="252">
        <f t="shared" si="6"/>
        <v>0</v>
      </c>
      <c r="BB69" s="284"/>
      <c r="BC69" s="210"/>
      <c r="BD69" s="270">
        <f t="shared" si="7"/>
        <v>0</v>
      </c>
      <c r="BE69" s="210"/>
      <c r="BF69" s="251">
        <f t="shared" si="19"/>
        <v>0</v>
      </c>
      <c r="BG69" s="204"/>
      <c r="BH69"/>
      <c r="BI69" s="199">
        <f t="shared" si="69"/>
        <v>0</v>
      </c>
      <c r="BJ69" s="199">
        <f t="shared" si="70"/>
        <v>0</v>
      </c>
      <c r="BK69" s="199">
        <f t="shared" si="20"/>
        <v>0</v>
      </c>
      <c r="BL69" s="251">
        <f t="shared" si="8"/>
        <v>0</v>
      </c>
      <c r="BM69" s="210"/>
      <c r="BN69" s="251">
        <f t="shared" si="9"/>
        <v>0</v>
      </c>
      <c r="BT69" s="210"/>
      <c r="BU69" s="210">
        <f>'Detailed Budget'!$AD$24</f>
        <v>194045122715</v>
      </c>
      <c r="BV69" s="596"/>
      <c r="BW69" s="278"/>
      <c r="BX69" s="275"/>
      <c r="BY69" s="275"/>
      <c r="CA69" s="210">
        <f>'Detailed Budget'!$AD$96</f>
        <v>71050111380.677719</v>
      </c>
      <c r="CB69" s="275">
        <f t="shared" si="21"/>
        <v>0</v>
      </c>
      <c r="CE69" s="210"/>
      <c r="CF69" s="275"/>
      <c r="CG69" s="240"/>
      <c r="CH69" s="275"/>
      <c r="CI69" s="275"/>
      <c r="CJ69" s="275"/>
      <c r="CK69" s="275"/>
      <c r="CL69" s="275"/>
      <c r="CM69" s="278">
        <f>'Detailed Budget'!$AD$189</f>
        <v>77498869683.252869</v>
      </c>
      <c r="CN69" s="275">
        <f t="shared" si="10"/>
        <v>0</v>
      </c>
      <c r="CO69" s="140">
        <f>'Detailed Budget'!$AD$191</f>
        <v>2684962805.4134097</v>
      </c>
      <c r="CP69" s="616">
        <f t="shared" si="11"/>
        <v>0</v>
      </c>
      <c r="CQ69" s="616">
        <f t="shared" si="12"/>
        <v>0</v>
      </c>
      <c r="CR69" s="210"/>
      <c r="CS69" s="275"/>
      <c r="CW69" s="278"/>
      <c r="DH69" s="140"/>
      <c r="DI69" s="616"/>
    </row>
    <row r="70" spans="1:113" outlineLevel="1">
      <c r="A70" s="214" t="s">
        <v>338</v>
      </c>
      <c r="B70" s="215" t="s">
        <v>339</v>
      </c>
      <c r="C70" s="216" t="s">
        <v>234</v>
      </c>
      <c r="D70" s="217" t="s">
        <v>234</v>
      </c>
      <c r="E70" s="216"/>
      <c r="F70" s="216"/>
      <c r="G70" s="216"/>
      <c r="H70" s="216" t="s">
        <v>234</v>
      </c>
      <c r="I70" s="217" t="s">
        <v>234</v>
      </c>
      <c r="J70" s="217"/>
      <c r="K70" s="216"/>
      <c r="L70" s="216"/>
      <c r="M70" s="217"/>
      <c r="N70" s="216" t="s">
        <v>234</v>
      </c>
      <c r="O70" s="217"/>
      <c r="P70" s="216"/>
      <c r="Q70" s="217"/>
      <c r="R70" s="217" t="s">
        <v>234</v>
      </c>
      <c r="S70" s="217"/>
      <c r="T70" s="217"/>
      <c r="U70" s="218">
        <f t="shared" ref="U70:U85" si="88">COUNTA(C70:T70)</f>
        <v>6</v>
      </c>
      <c r="V70" s="867" t="s">
        <v>238</v>
      </c>
      <c r="W70" s="219">
        <v>124668</v>
      </c>
      <c r="X70" s="220">
        <v>2.96</v>
      </c>
      <c r="Y70" s="221">
        <f t="shared" si="24"/>
        <v>1.0296000000000001</v>
      </c>
      <c r="Z70" s="199">
        <v>19</v>
      </c>
      <c r="AA70" s="221">
        <f t="shared" si="85"/>
        <v>1.7406126843598355</v>
      </c>
      <c r="AB70" s="199">
        <f t="shared" si="73"/>
        <v>216998.70213377196</v>
      </c>
      <c r="AC70">
        <v>17.399999999999999</v>
      </c>
      <c r="AD70" s="199">
        <f t="shared" si="74"/>
        <v>37757.774171276324</v>
      </c>
      <c r="AE70" s="199">
        <f t="shared" si="48"/>
        <v>35869.885462712504</v>
      </c>
      <c r="AF70" s="199">
        <f t="shared" si="49"/>
        <v>35869.885462712504</v>
      </c>
      <c r="AG70" s="614">
        <f t="shared" si="25"/>
        <v>1.6584660320480514E-3</v>
      </c>
      <c r="AH70" s="199">
        <f>AB70*0.05</f>
        <v>10849.935106688599</v>
      </c>
      <c r="AI70" s="252">
        <f t="shared" ref="AI70:AI133" si="89">AH70/12908475</f>
        <v>8.4052803345775545E-4</v>
      </c>
      <c r="AJ70" s="199">
        <f t="shared" si="32"/>
        <v>48607.709277964925</v>
      </c>
      <c r="AK70" s="199">
        <f t="shared" si="53"/>
        <v>8679.9480853508794</v>
      </c>
      <c r="AL70" s="199">
        <f t="shared" si="54"/>
        <v>8679.9480853508794</v>
      </c>
      <c r="AM70" s="199">
        <f t="shared" si="16"/>
        <v>17359.896170701759</v>
      </c>
      <c r="AN70" s="645">
        <f t="shared" si="17"/>
        <v>8.4052803345775545E-4</v>
      </c>
      <c r="AO70" s="199">
        <v>15</v>
      </c>
      <c r="AP70" s="250">
        <f t="shared" si="18"/>
        <v>1.7043517782070218E-3</v>
      </c>
      <c r="AQ70" s="199">
        <v>15</v>
      </c>
      <c r="AU70" s="199">
        <v>0</v>
      </c>
      <c r="AW70" s="250">
        <f t="shared" si="5"/>
        <v>0</v>
      </c>
      <c r="AX70" s="199">
        <v>1</v>
      </c>
      <c r="AY70" s="199">
        <f t="shared" ref="AY70:AY85" si="90">AJ70/922245*307576</f>
        <v>16211.055401633341</v>
      </c>
      <c r="AZ70" s="199">
        <f t="shared" si="34"/>
        <v>16211.055401633341</v>
      </c>
      <c r="BA70" s="252">
        <f t="shared" si="6"/>
        <v>1.2742941531576179E-3</v>
      </c>
      <c r="BB70" s="284">
        <v>1</v>
      </c>
      <c r="BC70" s="199">
        <f t="shared" ref="BC70:BC85" si="91">AD70*BB70*0.18*4</f>
        <v>27185.597403318952</v>
      </c>
      <c r="BD70" s="270">
        <f t="shared" si="7"/>
        <v>2.44825588708344E-3</v>
      </c>
      <c r="BE70" s="199">
        <f t="shared" ref="BE70:BE85" si="92">AD70*BB70*0.77*4</f>
        <v>116293.94444753107</v>
      </c>
      <c r="BF70" s="251">
        <f t="shared" si="19"/>
        <v>2.4482559414882904E-3</v>
      </c>
      <c r="BG70" s="204">
        <f t="shared" si="36"/>
        <v>143479.54185085002</v>
      </c>
      <c r="BH70" s="636">
        <v>0</v>
      </c>
      <c r="BI70" s="199">
        <f t="shared" si="69"/>
        <v>66401.602852934215</v>
      </c>
      <c r="BJ70" s="199">
        <f t="shared" si="70"/>
        <v>132803.20570586843</v>
      </c>
      <c r="BK70" s="199">
        <f t="shared" si="20"/>
        <v>199204.80855880264</v>
      </c>
      <c r="BL70" s="251">
        <f t="shared" si="8"/>
        <v>8.4052803345775523E-4</v>
      </c>
      <c r="BM70" s="199">
        <f t="shared" ref="BM70:BM85" si="93">AH70/205858*452173</f>
        <v>23832.19358488232</v>
      </c>
      <c r="BN70" s="251">
        <f t="shared" si="9"/>
        <v>1.0291482358223726E-3</v>
      </c>
      <c r="BT70" s="199">
        <f>'Detailed Budget'!$AD$12</f>
        <v>194045122715</v>
      </c>
      <c r="BU70" s="199">
        <f>'Detailed Budget'!$AD$24</f>
        <v>194045122715</v>
      </c>
      <c r="BV70" s="596">
        <f t="shared" ref="BV70:BV85" si="94">AV70/34743979</f>
        <v>0</v>
      </c>
      <c r="BW70" s="278"/>
      <c r="BX70" s="275">
        <f t="shared" si="27"/>
        <v>0</v>
      </c>
      <c r="BY70" s="275">
        <f t="shared" si="28"/>
        <v>0</v>
      </c>
      <c r="CA70" s="199">
        <f>'Detailed Budget'!$AD$96</f>
        <v>71050111380.677719</v>
      </c>
      <c r="CB70" s="275">
        <f t="shared" si="21"/>
        <v>90538741.513595149</v>
      </c>
      <c r="CE70" s="199">
        <f>'Detailed Budget'!$AD$175</f>
        <v>4330586076.5988197</v>
      </c>
      <c r="CF70" s="275">
        <f t="shared" ref="CF70:CF85" si="95">BB70*BD70*CE70</f>
        <v>10602382.856554637</v>
      </c>
      <c r="CG70" s="199">
        <f>'Detailed Budget'!$AD$176</f>
        <v>20662817754.37001</v>
      </c>
      <c r="CH70" s="275">
        <f t="shared" ref="CH70:CH85" si="96">BB70*BF70*CG70</f>
        <v>50587866.335026115</v>
      </c>
      <c r="CI70" s="275">
        <f t="shared" si="43"/>
        <v>61190249.19158075</v>
      </c>
      <c r="CJ70" s="275">
        <f>'Detailed Budget'!$AD$178</f>
        <v>46025131033.061455</v>
      </c>
      <c r="CK70" s="275">
        <f t="shared" ref="CK70:CK85" si="97">BB70*AG70*CJ70</f>
        <v>76331116.438893065</v>
      </c>
      <c r="CL70" s="275">
        <f t="shared" si="51"/>
        <v>137521365.63047382</v>
      </c>
      <c r="CM70" s="278">
        <f>'Detailed Budget'!$AD$189</f>
        <v>77498869683.252869</v>
      </c>
      <c r="CN70" s="275">
        <f t="shared" si="10"/>
        <v>0</v>
      </c>
      <c r="CO70" s="140">
        <f>'Detailed Budget'!$AD$191</f>
        <v>2684962805.4134097</v>
      </c>
      <c r="CP70" s="616">
        <f t="shared" si="11"/>
        <v>0</v>
      </c>
      <c r="CQ70" s="616">
        <f t="shared" si="12"/>
        <v>0</v>
      </c>
      <c r="CR70" s="199">
        <f>'Detailed Budget'!$AD$195</f>
        <v>18734176418</v>
      </c>
      <c r="CS70" s="275">
        <f t="shared" ref="CS70:CS85" si="98">BN70*CR70</f>
        <v>19280244.610169794</v>
      </c>
      <c r="CW70" s="278"/>
      <c r="DH70" s="140">
        <f>'Detailed Budget'!$AD$163</f>
        <v>4928560000</v>
      </c>
      <c r="DI70" s="616">
        <f t="shared" ref="DI70:DI87" si="99">AP70*DH70</f>
        <v>8400000</v>
      </c>
    </row>
    <row r="71" spans="1:113" outlineLevel="1">
      <c r="A71" s="214" t="s">
        <v>340</v>
      </c>
      <c r="B71" s="215" t="s">
        <v>341</v>
      </c>
      <c r="C71" s="216" t="s">
        <v>234</v>
      </c>
      <c r="D71" s="217" t="s">
        <v>234</v>
      </c>
      <c r="E71" s="216"/>
      <c r="F71" s="216"/>
      <c r="G71" s="216"/>
      <c r="H71" s="216" t="s">
        <v>234</v>
      </c>
      <c r="I71" s="217" t="s">
        <v>234</v>
      </c>
      <c r="J71" s="217"/>
      <c r="K71" s="216"/>
      <c r="L71" s="216"/>
      <c r="M71" s="217" t="s">
        <v>234</v>
      </c>
      <c r="N71" s="216"/>
      <c r="O71" s="217"/>
      <c r="P71" s="216"/>
      <c r="Q71" s="217"/>
      <c r="R71" s="217" t="s">
        <v>234</v>
      </c>
      <c r="S71" s="217"/>
      <c r="T71" s="217"/>
      <c r="U71" s="218">
        <f t="shared" si="88"/>
        <v>6</v>
      </c>
      <c r="V71" s="867" t="s">
        <v>238</v>
      </c>
      <c r="W71" s="219">
        <v>206679</v>
      </c>
      <c r="X71" s="220">
        <v>2.96</v>
      </c>
      <c r="Y71" s="221">
        <f t="shared" si="24"/>
        <v>1.0296000000000001</v>
      </c>
      <c r="Z71" s="199">
        <v>19</v>
      </c>
      <c r="AA71" s="221">
        <f t="shared" si="85"/>
        <v>1.7406126843598355</v>
      </c>
      <c r="AB71" s="199">
        <f t="shared" si="73"/>
        <v>359748.08899080643</v>
      </c>
      <c r="AC71">
        <v>17.399999999999999</v>
      </c>
      <c r="AD71" s="199">
        <f t="shared" si="74"/>
        <v>62596.167484400306</v>
      </c>
      <c r="AE71" s="199">
        <f t="shared" si="48"/>
        <v>59466.359110180289</v>
      </c>
      <c r="AF71" s="199">
        <f t="shared" si="49"/>
        <v>59466.359110180289</v>
      </c>
      <c r="AG71" s="614">
        <f t="shared" si="25"/>
        <v>2.7494633830466449E-3</v>
      </c>
      <c r="AH71" s="199">
        <f t="shared" ref="AH71:AH85" si="100">AB71*0.05</f>
        <v>17987.404449540321</v>
      </c>
      <c r="AI71" s="252">
        <f t="shared" si="89"/>
        <v>1.3934569691261222E-3</v>
      </c>
      <c r="AJ71" s="199">
        <f t="shared" ref="AJ71:AJ134" si="101">AD71+AH71</f>
        <v>80583.571933940635</v>
      </c>
      <c r="AK71" s="199">
        <f t="shared" si="53"/>
        <v>14389.923559632258</v>
      </c>
      <c r="AL71" s="199">
        <f t="shared" si="54"/>
        <v>14389.923559632258</v>
      </c>
      <c r="AM71" s="199">
        <f t="shared" ref="AM71:AM134" si="102">AK71+AL71</f>
        <v>28779.847119264516</v>
      </c>
      <c r="AN71" s="645">
        <f t="shared" ref="AN71:AN134" si="103">AM71/20653560</f>
        <v>1.3934569691261224E-3</v>
      </c>
      <c r="AO71" s="199">
        <v>11</v>
      </c>
      <c r="AP71" s="250">
        <f t="shared" ref="AP71:AP134" si="104">AO71/8801</f>
        <v>1.2498579706851495E-3</v>
      </c>
      <c r="AQ71" s="199">
        <v>11</v>
      </c>
      <c r="AU71" s="199">
        <v>0</v>
      </c>
      <c r="AW71" s="250">
        <f t="shared" ref="AW71:AW134" si="105">AV71/34743979</f>
        <v>0</v>
      </c>
      <c r="AX71" s="199">
        <v>1</v>
      </c>
      <c r="AY71" s="199">
        <f t="shared" si="90"/>
        <v>26875.25844125338</v>
      </c>
      <c r="AZ71" s="199">
        <f t="shared" ref="AZ71:AZ134" si="106">AX71*AY71</f>
        <v>26875.25844125338</v>
      </c>
      <c r="BA71" s="252">
        <f t="shared" ref="BA71:BA134" si="107">AZ71/12721596</f>
        <v>2.1125697154078292E-3</v>
      </c>
      <c r="BB71" s="284">
        <v>1</v>
      </c>
      <c r="BC71" s="199">
        <f t="shared" si="91"/>
        <v>45069.240588768218</v>
      </c>
      <c r="BD71" s="270">
        <f t="shared" si="7"/>
        <v>4.0588048134767392E-3</v>
      </c>
      <c r="BE71" s="199">
        <f t="shared" si="92"/>
        <v>192796.19585195294</v>
      </c>
      <c r="BF71" s="251">
        <f t="shared" si="19"/>
        <v>4.0588049036710157E-3</v>
      </c>
      <c r="BG71" s="204">
        <f t="shared" si="36"/>
        <v>237865.43644072115</v>
      </c>
      <c r="BH71" s="636">
        <v>0</v>
      </c>
      <c r="BI71" s="199">
        <f t="shared" ref="BI71:BI134" si="108">AK71*0.85*0.75*12</f>
        <v>110082.91523118678</v>
      </c>
      <c r="BJ71" s="199">
        <f t="shared" ref="BJ71:BJ134" si="109">AL71*0.85*0.75*2*12</f>
        <v>220165.83046237356</v>
      </c>
      <c r="BK71" s="199">
        <f t="shared" si="20"/>
        <v>330248.74569356034</v>
      </c>
      <c r="BL71" s="251">
        <f t="shared" ref="BL71:BL134" si="110">BK71/236999601</f>
        <v>1.3934569691261224E-3</v>
      </c>
      <c r="BM71" s="199">
        <f t="shared" si="93"/>
        <v>39509.849664147114</v>
      </c>
      <c r="BN71" s="251">
        <f t="shared" ref="BN71:BN134" si="111">BM71/23157202</f>
        <v>1.7061581819836054E-3</v>
      </c>
      <c r="BT71" s="199">
        <f>'Detailed Budget'!$AD$12</f>
        <v>194045122715</v>
      </c>
      <c r="BU71" s="199">
        <f>'Detailed Budget'!$AD$24</f>
        <v>194045122715</v>
      </c>
      <c r="BV71" s="596">
        <f t="shared" si="94"/>
        <v>0</v>
      </c>
      <c r="BW71" s="278"/>
      <c r="BX71" s="275">
        <f t="shared" si="27"/>
        <v>0</v>
      </c>
      <c r="BY71" s="275">
        <f t="shared" si="28"/>
        <v>0</v>
      </c>
      <c r="CA71" s="199">
        <f>'Detailed Budget'!$AD$96</f>
        <v>71050111380.677719</v>
      </c>
      <c r="CB71" s="275">
        <f t="shared" ref="CB71:CB134" si="112">BA71*CA71</f>
        <v>150098313.57917291</v>
      </c>
      <c r="CE71" s="199">
        <f>'Detailed Budget'!$AD$175</f>
        <v>4330586076.5988197</v>
      </c>
      <c r="CF71" s="275">
        <f t="shared" si="95"/>
        <v>17577003.612874635</v>
      </c>
      <c r="CG71" s="199">
        <f>'Detailed Budget'!$AD$176</f>
        <v>20662817754.37001</v>
      </c>
      <c r="CH71" s="275">
        <f t="shared" si="96"/>
        <v>83866346.025097519</v>
      </c>
      <c r="CI71" s="275">
        <f t="shared" si="43"/>
        <v>101443349.63797215</v>
      </c>
      <c r="CJ71" s="275">
        <f>'Detailed Budget'!$AD$178</f>
        <v>46025131033.061455</v>
      </c>
      <c r="CK71" s="275">
        <f t="shared" si="97"/>
        <v>126544412.47532627</v>
      </c>
      <c r="CL71" s="275">
        <f t="shared" si="51"/>
        <v>227987762.11329842</v>
      </c>
      <c r="CM71" s="278">
        <f>'Detailed Budget'!$AD$189</f>
        <v>77498869683.252869</v>
      </c>
      <c r="CN71" s="275">
        <f t="shared" ref="CN71:CN134" si="113">BH71*BL71*CM71</f>
        <v>0</v>
      </c>
      <c r="CO71" s="140">
        <f>'Detailed Budget'!$AD$191</f>
        <v>2684962805.4134097</v>
      </c>
      <c r="CP71" s="616">
        <f t="shared" ref="CP71:CP134" si="114">BH71*AN71*CO71</f>
        <v>0</v>
      </c>
      <c r="CQ71" s="616">
        <f t="shared" ref="CQ71:CQ134" si="115">CN71+CP71</f>
        <v>0</v>
      </c>
      <c r="CR71" s="199">
        <f>'Detailed Budget'!$AD$195</f>
        <v>18734176418</v>
      </c>
      <c r="CS71" s="275">
        <f t="shared" si="98"/>
        <v>31963468.378295012</v>
      </c>
      <c r="CW71" s="278"/>
      <c r="DH71" s="140">
        <f>'Detailed Budget'!$AD$163</f>
        <v>4928560000</v>
      </c>
      <c r="DI71" s="616">
        <f t="shared" si="99"/>
        <v>6160000</v>
      </c>
    </row>
    <row r="72" spans="1:113" outlineLevel="1">
      <c r="A72" s="214" t="s">
        <v>342</v>
      </c>
      <c r="B72" s="215" t="s">
        <v>343</v>
      </c>
      <c r="C72" s="216" t="s">
        <v>234</v>
      </c>
      <c r="D72" s="217" t="s">
        <v>234</v>
      </c>
      <c r="E72" s="216"/>
      <c r="F72" s="216"/>
      <c r="G72" s="216"/>
      <c r="H72" s="216" t="s">
        <v>234</v>
      </c>
      <c r="I72" s="217" t="s">
        <v>234</v>
      </c>
      <c r="J72" s="217"/>
      <c r="K72" s="216"/>
      <c r="L72" s="216"/>
      <c r="M72" s="217" t="s">
        <v>234</v>
      </c>
      <c r="N72" s="216"/>
      <c r="O72" s="217"/>
      <c r="P72" s="216"/>
      <c r="Q72" s="217"/>
      <c r="R72" s="217" t="s">
        <v>234</v>
      </c>
      <c r="S72" s="217"/>
      <c r="T72" s="217"/>
      <c r="U72" s="218">
        <f t="shared" si="88"/>
        <v>6</v>
      </c>
      <c r="V72" s="867" t="s">
        <v>238</v>
      </c>
      <c r="W72" s="219">
        <v>201642</v>
      </c>
      <c r="X72" s="220">
        <v>2.96</v>
      </c>
      <c r="Y72" s="221">
        <f t="shared" si="24"/>
        <v>1.0296000000000001</v>
      </c>
      <c r="Z72" s="199">
        <v>19</v>
      </c>
      <c r="AA72" s="221">
        <f t="shared" si="85"/>
        <v>1.7406126843598355</v>
      </c>
      <c r="AB72" s="199">
        <f t="shared" si="73"/>
        <v>350980.62289968593</v>
      </c>
      <c r="AC72">
        <v>17.399999999999999</v>
      </c>
      <c r="AD72" s="199">
        <f t="shared" si="74"/>
        <v>61070.628384545344</v>
      </c>
      <c r="AE72" s="199">
        <f t="shared" si="48"/>
        <v>58017.096965318073</v>
      </c>
      <c r="AF72" s="199">
        <f t="shared" si="49"/>
        <v>58017.096965318073</v>
      </c>
      <c r="AG72" s="614">
        <f t="shared" si="25"/>
        <v>2.6824558638482458E-3</v>
      </c>
      <c r="AH72" s="199">
        <f t="shared" si="100"/>
        <v>17549.031144984296</v>
      </c>
      <c r="AI72" s="252">
        <f t="shared" si="89"/>
        <v>1.3594968534225999E-3</v>
      </c>
      <c r="AJ72" s="199">
        <f t="shared" si="101"/>
        <v>78619.659529529643</v>
      </c>
      <c r="AK72" s="199">
        <f t="shared" si="53"/>
        <v>14039.224915987437</v>
      </c>
      <c r="AL72" s="199">
        <f t="shared" si="54"/>
        <v>14039.224915987437</v>
      </c>
      <c r="AM72" s="199">
        <f t="shared" si="102"/>
        <v>28078.449831974875</v>
      </c>
      <c r="AN72" s="645">
        <f t="shared" si="103"/>
        <v>1.3594968534225999E-3</v>
      </c>
      <c r="AO72" s="199">
        <v>10</v>
      </c>
      <c r="AP72" s="250">
        <f t="shared" si="104"/>
        <v>1.1362345188046814E-3</v>
      </c>
      <c r="AQ72" s="199">
        <v>10</v>
      </c>
      <c r="AU72" s="199">
        <v>0</v>
      </c>
      <c r="AW72" s="250">
        <f t="shared" si="105"/>
        <v>0</v>
      </c>
      <c r="AX72" s="199">
        <v>1</v>
      </c>
      <c r="AY72" s="199">
        <f t="shared" si="90"/>
        <v>26220.278125069381</v>
      </c>
      <c r="AZ72" s="199">
        <f t="shared" si="106"/>
        <v>26220.278125069381</v>
      </c>
      <c r="BA72" s="252">
        <f t="shared" si="107"/>
        <v>2.0610840121844287E-3</v>
      </c>
      <c r="BB72" s="284">
        <v>1</v>
      </c>
      <c r="BC72" s="199">
        <f t="shared" si="91"/>
        <v>43970.852436872643</v>
      </c>
      <c r="BD72" s="270">
        <f t="shared" si="7"/>
        <v>3.9598871689870609E-3</v>
      </c>
      <c r="BE72" s="199">
        <f t="shared" si="92"/>
        <v>188097.53542439966</v>
      </c>
      <c r="BF72" s="251">
        <f t="shared" si="19"/>
        <v>3.9598872569832008E-3</v>
      </c>
      <c r="BG72" s="204">
        <f t="shared" si="36"/>
        <v>232068.38786127229</v>
      </c>
      <c r="BH72" s="636">
        <v>0</v>
      </c>
      <c r="BI72" s="199">
        <f t="shared" si="108"/>
        <v>107400.07060730389</v>
      </c>
      <c r="BJ72" s="199">
        <f t="shared" si="109"/>
        <v>214800.14121460778</v>
      </c>
      <c r="BK72" s="199">
        <f t="shared" ref="BK72:BK135" si="116">BI72+BJ72</f>
        <v>322200.21182191168</v>
      </c>
      <c r="BL72" s="251">
        <f t="shared" si="110"/>
        <v>1.3594968534225999E-3</v>
      </c>
      <c r="BM72" s="199">
        <f t="shared" si="93"/>
        <v>38546.950130288766</v>
      </c>
      <c r="BN72" s="251">
        <f t="shared" si="111"/>
        <v>1.6645771855463697E-3</v>
      </c>
      <c r="BT72" s="199">
        <f>'Detailed Budget'!$AD$12</f>
        <v>194045122715</v>
      </c>
      <c r="BU72" s="199">
        <f>'Detailed Budget'!$AD$24</f>
        <v>194045122715</v>
      </c>
      <c r="BV72" s="596">
        <f t="shared" si="94"/>
        <v>0</v>
      </c>
      <c r="BW72" s="278"/>
      <c r="BX72" s="275">
        <f t="shared" si="27"/>
        <v>0</v>
      </c>
      <c r="BY72" s="275">
        <f t="shared" si="28"/>
        <v>0</v>
      </c>
      <c r="CA72" s="199">
        <f>'Detailed Budget'!$AD$96</f>
        <v>71050111380.677719</v>
      </c>
      <c r="CB72" s="275">
        <f t="shared" si="112"/>
        <v>146440248.63063776</v>
      </c>
      <c r="CE72" s="199">
        <f>'Detailed Budget'!$AD$175</f>
        <v>4330586076.5988197</v>
      </c>
      <c r="CF72" s="275">
        <f t="shared" si="95"/>
        <v>17148632.238917682</v>
      </c>
      <c r="CG72" s="199">
        <f>'Detailed Budget'!$AD$176</f>
        <v>20662817754.37001</v>
      </c>
      <c r="CH72" s="275">
        <f t="shared" si="96"/>
        <v>81822428.718896046</v>
      </c>
      <c r="CI72" s="275">
        <f t="shared" si="43"/>
        <v>98971060.957813725</v>
      </c>
      <c r="CJ72" s="275">
        <f>'Detailed Budget'!$AD$178</f>
        <v>46025131033.061455</v>
      </c>
      <c r="CK72" s="275">
        <f t="shared" si="97"/>
        <v>123460382.62401956</v>
      </c>
      <c r="CL72" s="275">
        <f t="shared" si="51"/>
        <v>222431443.5818333</v>
      </c>
      <c r="CM72" s="278">
        <f>'Detailed Budget'!$AD$189</f>
        <v>77498869683.252869</v>
      </c>
      <c r="CN72" s="275">
        <f t="shared" si="113"/>
        <v>0</v>
      </c>
      <c r="CO72" s="140">
        <f>'Detailed Budget'!$AD$191</f>
        <v>2684962805.4134097</v>
      </c>
      <c r="CP72" s="616">
        <f t="shared" si="114"/>
        <v>0</v>
      </c>
      <c r="CQ72" s="616">
        <f t="shared" si="115"/>
        <v>0</v>
      </c>
      <c r="CR72" s="199">
        <f>'Detailed Budget'!$AD$195</f>
        <v>18734176418</v>
      </c>
      <c r="CS72" s="275">
        <f t="shared" si="98"/>
        <v>31184482.65540361</v>
      </c>
      <c r="CW72" s="278"/>
      <c r="DH72" s="140">
        <f>'Detailed Budget'!$AD$163</f>
        <v>4928560000</v>
      </c>
      <c r="DI72" s="616">
        <f t="shared" si="99"/>
        <v>5600000</v>
      </c>
    </row>
    <row r="73" spans="1:113" outlineLevel="1">
      <c r="A73" s="214" t="s">
        <v>344</v>
      </c>
      <c r="B73" s="215" t="s">
        <v>345</v>
      </c>
      <c r="C73" s="216" t="s">
        <v>234</v>
      </c>
      <c r="D73" s="217"/>
      <c r="E73" s="216"/>
      <c r="F73" s="216"/>
      <c r="G73" s="216" t="s">
        <v>234</v>
      </c>
      <c r="H73" s="216" t="s">
        <v>234</v>
      </c>
      <c r="I73" s="217" t="s">
        <v>234</v>
      </c>
      <c r="J73" s="217"/>
      <c r="K73" s="216"/>
      <c r="L73" s="216"/>
      <c r="M73" s="217"/>
      <c r="N73" s="216" t="s">
        <v>234</v>
      </c>
      <c r="O73" s="217"/>
      <c r="P73" s="216"/>
      <c r="Q73" s="217"/>
      <c r="R73" s="217" t="s">
        <v>234</v>
      </c>
      <c r="S73" s="217"/>
      <c r="T73" s="217"/>
      <c r="U73" s="218">
        <f t="shared" si="88"/>
        <v>6</v>
      </c>
      <c r="V73" s="867" t="s">
        <v>235</v>
      </c>
      <c r="W73" s="219">
        <v>54399</v>
      </c>
      <c r="X73" s="220">
        <v>2.96</v>
      </c>
      <c r="Y73" s="221">
        <f t="shared" si="24"/>
        <v>1.0296000000000001</v>
      </c>
      <c r="Z73" s="199">
        <v>19</v>
      </c>
      <c r="AA73" s="221">
        <f t="shared" si="85"/>
        <v>1.7406126843598355</v>
      </c>
      <c r="AB73" s="199">
        <f t="shared" si="73"/>
        <v>94687.589416490693</v>
      </c>
      <c r="AC73">
        <v>17.399999999999999</v>
      </c>
      <c r="AD73" s="199">
        <f t="shared" si="74"/>
        <v>16475.640558469378</v>
      </c>
      <c r="AE73" s="199">
        <f t="shared" si="48"/>
        <v>15651.858530545909</v>
      </c>
      <c r="AF73" s="199">
        <f t="shared" si="49"/>
        <v>0</v>
      </c>
      <c r="AG73" s="614">
        <f t="shared" ref="AG73:AG136" si="117">AE73/21628351</f>
        <v>7.2367322550599949E-4</v>
      </c>
      <c r="AH73" s="199">
        <f t="shared" si="100"/>
        <v>4734.379470824535</v>
      </c>
      <c r="AI73" s="252">
        <f t="shared" si="89"/>
        <v>3.6676520431921933E-4</v>
      </c>
      <c r="AJ73" s="199">
        <f t="shared" si="101"/>
        <v>21210.020029293912</v>
      </c>
      <c r="AK73" s="199">
        <f t="shared" si="53"/>
        <v>3787.5035766596279</v>
      </c>
      <c r="AL73" s="199">
        <f t="shared" si="54"/>
        <v>3787.5035766596279</v>
      </c>
      <c r="AM73" s="199">
        <f t="shared" si="102"/>
        <v>7575.0071533192558</v>
      </c>
      <c r="AN73" s="645">
        <f t="shared" si="103"/>
        <v>3.6676520431921933E-4</v>
      </c>
      <c r="AO73" s="199">
        <v>10</v>
      </c>
      <c r="AP73" s="250">
        <f t="shared" si="104"/>
        <v>1.1362345188046814E-3</v>
      </c>
      <c r="AQ73" s="199">
        <v>10</v>
      </c>
      <c r="AU73" s="199">
        <v>0</v>
      </c>
      <c r="AW73" s="250">
        <f t="shared" si="105"/>
        <v>0</v>
      </c>
      <c r="AX73" s="199">
        <v>1</v>
      </c>
      <c r="AY73" s="199">
        <f t="shared" si="90"/>
        <v>7073.7093944994049</v>
      </c>
      <c r="AZ73" s="199">
        <f t="shared" si="106"/>
        <v>7073.7093944994049</v>
      </c>
      <c r="BA73" s="252">
        <f t="shared" si="107"/>
        <v>5.5603946191180767E-4</v>
      </c>
      <c r="BB73" s="284">
        <v>0</v>
      </c>
      <c r="BC73" s="199">
        <f t="shared" si="91"/>
        <v>0</v>
      </c>
      <c r="BD73" s="270">
        <f t="shared" si="7"/>
        <v>0</v>
      </c>
      <c r="BE73" s="199">
        <f t="shared" si="92"/>
        <v>0</v>
      </c>
      <c r="BF73" s="251">
        <f t="shared" si="19"/>
        <v>0</v>
      </c>
      <c r="BG73" s="204">
        <f t="shared" si="36"/>
        <v>0</v>
      </c>
      <c r="BH73" s="636">
        <v>1</v>
      </c>
      <c r="BI73" s="199">
        <f t="shared" si="108"/>
        <v>28974.402361446155</v>
      </c>
      <c r="BJ73" s="199">
        <f t="shared" si="109"/>
        <v>57948.80472289231</v>
      </c>
      <c r="BK73" s="199">
        <f t="shared" si="116"/>
        <v>86923.207084338472</v>
      </c>
      <c r="BL73" s="251">
        <f t="shared" si="110"/>
        <v>3.6676520431921938E-4</v>
      </c>
      <c r="BM73" s="199">
        <f t="shared" si="93"/>
        <v>10399.200266499929</v>
      </c>
      <c r="BN73" s="251">
        <f t="shared" si="111"/>
        <v>4.4906980845526716E-4</v>
      </c>
      <c r="BT73" s="199">
        <f>'Detailed Budget'!$AD$12</f>
        <v>194045122715</v>
      </c>
      <c r="BU73" s="199">
        <f>'Detailed Budget'!$AD$24</f>
        <v>194045122715</v>
      </c>
      <c r="BV73" s="596">
        <f t="shared" si="94"/>
        <v>0</v>
      </c>
      <c r="BW73" s="278"/>
      <c r="BX73" s="275">
        <f t="shared" si="27"/>
        <v>0</v>
      </c>
      <c r="BY73" s="275">
        <f t="shared" si="28"/>
        <v>0</v>
      </c>
      <c r="CA73" s="199">
        <f>'Detailed Budget'!$AD$96</f>
        <v>71050111380.677719</v>
      </c>
      <c r="CB73" s="275">
        <f t="shared" si="112"/>
        <v>39506665.700886041</v>
      </c>
      <c r="CE73" s="199">
        <f>'Detailed Budget'!$AD$175</f>
        <v>4330586076.5988197</v>
      </c>
      <c r="CF73" s="275">
        <f t="shared" si="95"/>
        <v>0</v>
      </c>
      <c r="CG73" s="199">
        <f>'Detailed Budget'!$AD$176</f>
        <v>20662817754.37001</v>
      </c>
      <c r="CH73" s="275">
        <f t="shared" si="96"/>
        <v>0</v>
      </c>
      <c r="CI73" s="275">
        <f t="shared" si="43"/>
        <v>0</v>
      </c>
      <c r="CJ73" s="275">
        <f>'Detailed Budget'!$AD$178</f>
        <v>46025131033.061455</v>
      </c>
      <c r="CK73" s="275">
        <f t="shared" si="97"/>
        <v>0</v>
      </c>
      <c r="CL73" s="275">
        <f t="shared" si="51"/>
        <v>0</v>
      </c>
      <c r="CM73" s="278">
        <f>'Detailed Budget'!$AD$189</f>
        <v>77498869683.252869</v>
      </c>
      <c r="CN73" s="275">
        <f t="shared" si="113"/>
        <v>28423888.773886796</v>
      </c>
      <c r="CO73" s="140">
        <f>'Detailed Budget'!$AD$191</f>
        <v>2684962805.4134097</v>
      </c>
      <c r="CP73" s="616">
        <f t="shared" si="114"/>
        <v>984750.93191695353</v>
      </c>
      <c r="CQ73" s="616">
        <f t="shared" si="115"/>
        <v>29408639.705803748</v>
      </c>
      <c r="CR73" s="199">
        <f>'Detailed Budget'!$AD$195</f>
        <v>18734176418</v>
      </c>
      <c r="CS73" s="275">
        <f t="shared" si="98"/>
        <v>8412953.0155984424</v>
      </c>
      <c r="CW73" s="278"/>
      <c r="DH73" s="140">
        <f>'Detailed Budget'!$AD$163</f>
        <v>4928560000</v>
      </c>
      <c r="DI73" s="616">
        <f t="shared" si="99"/>
        <v>5600000</v>
      </c>
    </row>
    <row r="74" spans="1:113" outlineLevel="1">
      <c r="A74" s="214" t="s">
        <v>346</v>
      </c>
      <c r="B74" s="215" t="s">
        <v>347</v>
      </c>
      <c r="C74" s="216" t="s">
        <v>234</v>
      </c>
      <c r="D74" s="217" t="s">
        <v>234</v>
      </c>
      <c r="E74" s="216"/>
      <c r="F74" s="216"/>
      <c r="G74" s="216"/>
      <c r="H74" s="216" t="s">
        <v>234</v>
      </c>
      <c r="I74" s="217" t="s">
        <v>234</v>
      </c>
      <c r="J74" s="217"/>
      <c r="K74" s="216"/>
      <c r="L74" s="216"/>
      <c r="M74" s="217" t="s">
        <v>234</v>
      </c>
      <c r="N74" s="216"/>
      <c r="O74" s="217"/>
      <c r="P74" s="216"/>
      <c r="Q74" s="217"/>
      <c r="R74" s="217" t="s">
        <v>234</v>
      </c>
      <c r="S74" s="217"/>
      <c r="T74" s="217"/>
      <c r="U74" s="218">
        <f t="shared" si="88"/>
        <v>6</v>
      </c>
      <c r="V74" s="867" t="s">
        <v>238</v>
      </c>
      <c r="W74" s="219">
        <v>204975</v>
      </c>
      <c r="X74" s="220">
        <v>2.96</v>
      </c>
      <c r="Y74" s="221">
        <f t="shared" si="24"/>
        <v>1.0296000000000001</v>
      </c>
      <c r="Z74" s="199">
        <v>19</v>
      </c>
      <c r="AA74" s="221">
        <f t="shared" si="85"/>
        <v>1.7406126843598355</v>
      </c>
      <c r="AB74" s="199">
        <f t="shared" si="73"/>
        <v>356782.08497665729</v>
      </c>
      <c r="AC74">
        <v>17.399999999999999</v>
      </c>
      <c r="AD74" s="199">
        <f t="shared" si="74"/>
        <v>62080.082785938364</v>
      </c>
      <c r="AE74" s="199">
        <f t="shared" si="48"/>
        <v>58976.078646641443</v>
      </c>
      <c r="AF74" s="199">
        <f t="shared" si="49"/>
        <v>58976.078646641443</v>
      </c>
      <c r="AG74" s="614">
        <f t="shared" si="117"/>
        <v>2.7267949667841734E-3</v>
      </c>
      <c r="AH74" s="199">
        <f t="shared" si="100"/>
        <v>17839.104248832864</v>
      </c>
      <c r="AI74" s="252">
        <f t="shared" si="89"/>
        <v>1.3819683772740672E-3</v>
      </c>
      <c r="AJ74" s="199">
        <f t="shared" si="101"/>
        <v>79919.187034771225</v>
      </c>
      <c r="AK74" s="199">
        <f t="shared" si="53"/>
        <v>14271.283399066291</v>
      </c>
      <c r="AL74" s="199">
        <f t="shared" si="54"/>
        <v>14271.283399066291</v>
      </c>
      <c r="AM74" s="199">
        <f t="shared" si="102"/>
        <v>28542.566798132582</v>
      </c>
      <c r="AN74" s="645">
        <f t="shared" si="103"/>
        <v>1.3819683772740672E-3</v>
      </c>
      <c r="AO74" s="199">
        <v>15</v>
      </c>
      <c r="AP74" s="250">
        <f t="shared" si="104"/>
        <v>1.7043517782070218E-3</v>
      </c>
      <c r="AQ74" s="199">
        <v>15</v>
      </c>
      <c r="AU74" s="199">
        <v>0</v>
      </c>
      <c r="AW74" s="250">
        <f t="shared" si="105"/>
        <v>0</v>
      </c>
      <c r="AX74" s="199">
        <v>1</v>
      </c>
      <c r="AY74" s="199">
        <f t="shared" si="90"/>
        <v>26653.680823866536</v>
      </c>
      <c r="AZ74" s="199">
        <f t="shared" si="106"/>
        <v>26653.680823866536</v>
      </c>
      <c r="BA74" s="252">
        <f t="shared" si="107"/>
        <v>2.095152276795029E-3</v>
      </c>
      <c r="BB74" s="284">
        <v>1</v>
      </c>
      <c r="BC74" s="199">
        <f t="shared" si="91"/>
        <v>44697.659605875619</v>
      </c>
      <c r="BD74" s="270">
        <f t="shared" ref="BD74:BD140" si="118">BC74/11104067</f>
        <v>4.0253413101592073E-3</v>
      </c>
      <c r="BE74" s="199">
        <f t="shared" si="92"/>
        <v>191206.65498069016</v>
      </c>
      <c r="BF74" s="251">
        <f t="shared" ref="BF74:BF140" si="119">BE74/47500730</f>
        <v>4.0253413996098617E-3</v>
      </c>
      <c r="BG74" s="204">
        <f t="shared" si="36"/>
        <v>235904.31458656577</v>
      </c>
      <c r="BH74" s="636">
        <v>0</v>
      </c>
      <c r="BI74" s="199">
        <f t="shared" si="108"/>
        <v>109175.31800285712</v>
      </c>
      <c r="BJ74" s="199">
        <f t="shared" si="109"/>
        <v>218350.63600571424</v>
      </c>
      <c r="BK74" s="199">
        <f t="shared" si="116"/>
        <v>327525.95400857134</v>
      </c>
      <c r="BL74" s="251">
        <f t="shared" si="110"/>
        <v>1.3819683772740669E-3</v>
      </c>
      <c r="BM74" s="199">
        <f t="shared" si="93"/>
        <v>39184.104020769184</v>
      </c>
      <c r="BN74" s="251">
        <f t="shared" si="111"/>
        <v>1.6920914720512947E-3</v>
      </c>
      <c r="BT74" s="199">
        <f>'Detailed Budget'!$AD$12</f>
        <v>194045122715</v>
      </c>
      <c r="BU74" s="199">
        <f>'Detailed Budget'!$AD$24</f>
        <v>194045122715</v>
      </c>
      <c r="BV74" s="596">
        <f t="shared" si="94"/>
        <v>0</v>
      </c>
      <c r="BW74" s="278"/>
      <c r="BX74" s="275">
        <f t="shared" si="27"/>
        <v>0</v>
      </c>
      <c r="BY74" s="275">
        <f t="shared" si="28"/>
        <v>0</v>
      </c>
      <c r="CA74" s="199">
        <f>'Detailed Budget'!$AD$96</f>
        <v>71050111380.677719</v>
      </c>
      <c r="CB74" s="275">
        <f t="shared" si="112"/>
        <v>148860802.62576732</v>
      </c>
      <c r="CE74" s="199">
        <f>'Detailed Budget'!$AD$175</f>
        <v>4330586076.5988197</v>
      </c>
      <c r="CF74" s="275">
        <f t="shared" si="95"/>
        <v>17432087.031333514</v>
      </c>
      <c r="CG74" s="199">
        <f>'Detailed Budget'!$AD$176</f>
        <v>20662817754.37001</v>
      </c>
      <c r="CH74" s="275">
        <f t="shared" si="96"/>
        <v>83174895.739259273</v>
      </c>
      <c r="CI74" s="275">
        <f t="shared" si="43"/>
        <v>100606982.77059278</v>
      </c>
      <c r="CJ74" s="275">
        <f>'Detailed Budget'!$AD$178</f>
        <v>46025131033.061455</v>
      </c>
      <c r="CK74" s="275">
        <f t="shared" si="97"/>
        <v>125501095.64653404</v>
      </c>
      <c r="CL74" s="275">
        <f t="shared" si="51"/>
        <v>226108078.41712683</v>
      </c>
      <c r="CM74" s="278">
        <f>'Detailed Budget'!$AD$189</f>
        <v>77498869683.252869</v>
      </c>
      <c r="CN74" s="275">
        <f t="shared" si="113"/>
        <v>0</v>
      </c>
      <c r="CO74" s="140">
        <f>'Detailed Budget'!$AD$191</f>
        <v>2684962805.4134097</v>
      </c>
      <c r="CP74" s="616">
        <f t="shared" si="114"/>
        <v>0</v>
      </c>
      <c r="CQ74" s="616">
        <f t="shared" si="115"/>
        <v>0</v>
      </c>
      <c r="CR74" s="199">
        <f>'Detailed Budget'!$AD$195</f>
        <v>18734176418</v>
      </c>
      <c r="CS74" s="275">
        <f t="shared" si="98"/>
        <v>31699940.15280227</v>
      </c>
      <c r="CW74" s="278"/>
      <c r="DH74" s="140">
        <f>'Detailed Budget'!$AD$163</f>
        <v>4928560000</v>
      </c>
      <c r="DI74" s="616">
        <f t="shared" si="99"/>
        <v>8400000</v>
      </c>
    </row>
    <row r="75" spans="1:113" outlineLevel="1">
      <c r="A75" s="214" t="s">
        <v>348</v>
      </c>
      <c r="B75" s="215" t="s">
        <v>349</v>
      </c>
      <c r="C75" s="216" t="s">
        <v>234</v>
      </c>
      <c r="D75" s="217" t="s">
        <v>234</v>
      </c>
      <c r="E75" s="216"/>
      <c r="F75" s="216"/>
      <c r="G75" s="216"/>
      <c r="H75" s="216" t="s">
        <v>234</v>
      </c>
      <c r="I75" s="217" t="s">
        <v>234</v>
      </c>
      <c r="J75" s="217"/>
      <c r="K75" s="216"/>
      <c r="L75" s="216"/>
      <c r="M75" s="217"/>
      <c r="N75" s="216" t="s">
        <v>234</v>
      </c>
      <c r="O75" s="217"/>
      <c r="P75" s="216"/>
      <c r="Q75" s="217" t="s">
        <v>234</v>
      </c>
      <c r="R75" s="217"/>
      <c r="S75" s="217"/>
      <c r="T75" s="217"/>
      <c r="U75" s="218">
        <f t="shared" si="88"/>
        <v>6</v>
      </c>
      <c r="V75" s="867" t="s">
        <v>284</v>
      </c>
      <c r="W75" s="219">
        <v>207462</v>
      </c>
      <c r="X75" s="220">
        <v>2.96</v>
      </c>
      <c r="Y75" s="221">
        <f t="shared" si="24"/>
        <v>1.0296000000000001</v>
      </c>
      <c r="Z75" s="199">
        <v>19</v>
      </c>
      <c r="AA75" s="221">
        <f t="shared" si="85"/>
        <v>1.7406126843598355</v>
      </c>
      <c r="AB75" s="199">
        <f t="shared" si="73"/>
        <v>361110.98872266017</v>
      </c>
      <c r="AC75">
        <v>17.399999999999999</v>
      </c>
      <c r="AD75" s="199">
        <f t="shared" si="74"/>
        <v>62833.312037742864</v>
      </c>
      <c r="AE75" s="199">
        <f t="shared" si="48"/>
        <v>59691.64643585572</v>
      </c>
      <c r="AF75" s="199">
        <f t="shared" si="49"/>
        <v>59691.64643585572</v>
      </c>
      <c r="AG75" s="614">
        <f t="shared" si="117"/>
        <v>2.7598796799559854E-3</v>
      </c>
      <c r="AH75" s="199">
        <f t="shared" si="100"/>
        <v>18055.549436133009</v>
      </c>
      <c r="AI75" s="252">
        <f t="shared" si="89"/>
        <v>1.3987360579877182E-3</v>
      </c>
      <c r="AJ75" s="199">
        <f t="shared" si="101"/>
        <v>80888.861473875877</v>
      </c>
      <c r="AK75" s="199">
        <f t="shared" si="53"/>
        <v>14444.439548906406</v>
      </c>
      <c r="AL75" s="199">
        <f t="shared" si="54"/>
        <v>14444.439548906406</v>
      </c>
      <c r="AM75" s="199">
        <f t="shared" si="102"/>
        <v>28888.879097812813</v>
      </c>
      <c r="AN75" s="645">
        <f t="shared" si="103"/>
        <v>1.398736057987718E-3</v>
      </c>
      <c r="AO75" s="199">
        <v>12</v>
      </c>
      <c r="AP75" s="250">
        <f t="shared" si="104"/>
        <v>1.3634814225656176E-3</v>
      </c>
      <c r="AQ75" s="199">
        <v>12</v>
      </c>
      <c r="AU75" s="199">
        <v>0</v>
      </c>
      <c r="AW75" s="250">
        <f t="shared" si="105"/>
        <v>0</v>
      </c>
      <c r="AX75" s="199">
        <v>1</v>
      </c>
      <c r="AY75" s="199">
        <f t="shared" si="90"/>
        <v>26977.074916848396</v>
      </c>
      <c r="AZ75" s="199">
        <f t="shared" si="106"/>
        <v>26977.074916848396</v>
      </c>
      <c r="BA75" s="252">
        <f t="shared" si="107"/>
        <v>2.1205731511084298E-3</v>
      </c>
      <c r="BB75" s="284">
        <v>1</v>
      </c>
      <c r="BC75" s="199">
        <f t="shared" si="91"/>
        <v>45239.98466717486</v>
      </c>
      <c r="BD75" s="270">
        <f t="shared" si="118"/>
        <v>4.0741815289096206E-3</v>
      </c>
      <c r="BE75" s="199">
        <f t="shared" si="92"/>
        <v>193526.60107624801</v>
      </c>
      <c r="BF75" s="251">
        <f t="shared" si="119"/>
        <v>4.074181619445596E-3</v>
      </c>
      <c r="BG75" s="204">
        <f t="shared" si="36"/>
        <v>238766.58574342288</v>
      </c>
      <c r="BH75" s="636">
        <v>0</v>
      </c>
      <c r="BI75" s="199">
        <f t="shared" si="108"/>
        <v>110499.96254913401</v>
      </c>
      <c r="BJ75" s="199">
        <f t="shared" si="109"/>
        <v>220999.92509826802</v>
      </c>
      <c r="BK75" s="199">
        <f t="shared" si="116"/>
        <v>331499.88764740201</v>
      </c>
      <c r="BL75" s="251">
        <f t="shared" si="110"/>
        <v>1.398736057987718E-3</v>
      </c>
      <c r="BM75" s="199">
        <f t="shared" si="93"/>
        <v>39659.532081262674</v>
      </c>
      <c r="BN75" s="251">
        <f t="shared" si="111"/>
        <v>1.7126219342588399E-3</v>
      </c>
      <c r="BT75" s="199">
        <f>'Detailed Budget'!$AD$12</f>
        <v>194045122715</v>
      </c>
      <c r="BU75" s="199">
        <f>'Detailed Budget'!$AD$24</f>
        <v>194045122715</v>
      </c>
      <c r="BV75" s="596">
        <f t="shared" si="94"/>
        <v>0</v>
      </c>
      <c r="BW75" s="278"/>
      <c r="BX75" s="275">
        <f t="shared" si="27"/>
        <v>0</v>
      </c>
      <c r="BY75" s="275">
        <f t="shared" si="28"/>
        <v>0</v>
      </c>
      <c r="CA75" s="199">
        <f>'Detailed Budget'!$AD$96</f>
        <v>71050111380.677719</v>
      </c>
      <c r="CB75" s="275">
        <f t="shared" si="112"/>
        <v>150666958.57712865</v>
      </c>
      <c r="CE75" s="199">
        <f>'Detailed Budget'!$AD$175</f>
        <v>4330586076.5988197</v>
      </c>
      <c r="CF75" s="275">
        <f t="shared" si="95"/>
        <v>17643593.802632093</v>
      </c>
      <c r="CG75" s="199">
        <f>'Detailed Budget'!$AD$176</f>
        <v>20662817754.37001</v>
      </c>
      <c r="CH75" s="275">
        <f t="shared" si="96"/>
        <v>84184072.30080843</v>
      </c>
      <c r="CI75" s="275">
        <f t="shared" si="43"/>
        <v>101827666.10344052</v>
      </c>
      <c r="CJ75" s="275">
        <f>'Detailed Budget'!$AD$178</f>
        <v>46025131033.061455</v>
      </c>
      <c r="CK75" s="275">
        <f t="shared" si="97"/>
        <v>127023823.90545794</v>
      </c>
      <c r="CL75" s="275">
        <f t="shared" si="51"/>
        <v>228851490.00889847</v>
      </c>
      <c r="CM75" s="278">
        <f>'Detailed Budget'!$AD$189</f>
        <v>77498869683.252869</v>
      </c>
      <c r="CN75" s="275">
        <f t="shared" si="113"/>
        <v>0</v>
      </c>
      <c r="CO75" s="140">
        <f>'Detailed Budget'!$AD$191</f>
        <v>2684962805.4134097</v>
      </c>
      <c r="CP75" s="616">
        <f t="shared" si="114"/>
        <v>0</v>
      </c>
      <c r="CQ75" s="616">
        <f t="shared" si="115"/>
        <v>0</v>
      </c>
      <c r="CR75" s="199">
        <f>'Detailed Budget'!$AD$195</f>
        <v>18734176418</v>
      </c>
      <c r="CS75" s="275">
        <f t="shared" si="98"/>
        <v>32084561.453741506</v>
      </c>
      <c r="CW75" s="278"/>
      <c r="DH75" s="140">
        <f>'Detailed Budget'!$AD$163</f>
        <v>4928560000</v>
      </c>
      <c r="DI75" s="616">
        <f t="shared" si="99"/>
        <v>6720000</v>
      </c>
    </row>
    <row r="76" spans="1:113" outlineLevel="1">
      <c r="A76" s="214" t="s">
        <v>350</v>
      </c>
      <c r="B76" s="215" t="s">
        <v>351</v>
      </c>
      <c r="C76" s="216" t="s">
        <v>234</v>
      </c>
      <c r="D76" s="217" t="s">
        <v>234</v>
      </c>
      <c r="E76" s="216"/>
      <c r="F76" s="216"/>
      <c r="G76" s="216"/>
      <c r="H76" s="216" t="s">
        <v>234</v>
      </c>
      <c r="I76" s="217" t="s">
        <v>234</v>
      </c>
      <c r="J76" s="217"/>
      <c r="K76" s="216"/>
      <c r="L76" s="216"/>
      <c r="M76" s="217"/>
      <c r="N76" s="216" t="s">
        <v>234</v>
      </c>
      <c r="O76" s="217"/>
      <c r="P76" s="216"/>
      <c r="Q76" s="217" t="s">
        <v>234</v>
      </c>
      <c r="R76" s="217"/>
      <c r="S76" s="217"/>
      <c r="T76" s="217"/>
      <c r="U76" s="218">
        <f t="shared" si="88"/>
        <v>6</v>
      </c>
      <c r="V76" s="867" t="s">
        <v>284</v>
      </c>
      <c r="W76" s="219">
        <v>209251</v>
      </c>
      <c r="X76" s="220">
        <v>2.96</v>
      </c>
      <c r="Y76" s="221">
        <f t="shared" si="24"/>
        <v>1.0296000000000001</v>
      </c>
      <c r="Z76" s="199">
        <v>19</v>
      </c>
      <c r="AA76" s="221">
        <f t="shared" si="85"/>
        <v>1.7406126843598355</v>
      </c>
      <c r="AB76" s="199">
        <f t="shared" si="73"/>
        <v>364224.94481497991</v>
      </c>
      <c r="AC76">
        <v>17.399999999999999</v>
      </c>
      <c r="AD76" s="199">
        <f t="shared" si="74"/>
        <v>63375.140397806506</v>
      </c>
      <c r="AE76" s="199">
        <f t="shared" si="48"/>
        <v>60206.38337791618</v>
      </c>
      <c r="AF76" s="199">
        <f t="shared" ref="AF76:AF139" si="120">AE76*BB76</f>
        <v>60206.38337791618</v>
      </c>
      <c r="AG76" s="614">
        <f t="shared" si="117"/>
        <v>2.7836788564193442E-3</v>
      </c>
      <c r="AH76" s="199">
        <f t="shared" si="100"/>
        <v>18211.247240748995</v>
      </c>
      <c r="AI76" s="252">
        <f t="shared" si="89"/>
        <v>1.4107977310061021E-3</v>
      </c>
      <c r="AJ76" s="199">
        <f t="shared" si="101"/>
        <v>81586.387638555505</v>
      </c>
      <c r="AK76" s="199">
        <f t="shared" si="53"/>
        <v>14568.997792599197</v>
      </c>
      <c r="AL76" s="199">
        <f t="shared" si="54"/>
        <v>14568.997792599197</v>
      </c>
      <c r="AM76" s="199">
        <f t="shared" si="102"/>
        <v>29137.995585198394</v>
      </c>
      <c r="AN76" s="645">
        <f t="shared" si="103"/>
        <v>1.4107977310061023E-3</v>
      </c>
      <c r="AO76" s="199">
        <v>11</v>
      </c>
      <c r="AP76" s="250">
        <f t="shared" si="104"/>
        <v>1.2498579706851495E-3</v>
      </c>
      <c r="AQ76" s="199">
        <v>11</v>
      </c>
      <c r="AU76" s="199">
        <v>0</v>
      </c>
      <c r="AW76" s="250">
        <f t="shared" si="105"/>
        <v>0</v>
      </c>
      <c r="AX76" s="199">
        <v>1</v>
      </c>
      <c r="AY76" s="199">
        <f t="shared" si="90"/>
        <v>27209.705408341979</v>
      </c>
      <c r="AZ76" s="199">
        <f t="shared" si="106"/>
        <v>27209.705408341979</v>
      </c>
      <c r="BA76" s="252">
        <f t="shared" si="107"/>
        <v>2.1388594173515634E-3</v>
      </c>
      <c r="BB76" s="284">
        <v>1</v>
      </c>
      <c r="BC76" s="199">
        <f t="shared" si="91"/>
        <v>45630.101086420684</v>
      </c>
      <c r="BD76" s="270">
        <f t="shared" si="118"/>
        <v>4.1093142797517957E-3</v>
      </c>
      <c r="BE76" s="199">
        <f t="shared" si="92"/>
        <v>195195.43242524404</v>
      </c>
      <c r="BF76" s="251">
        <f t="shared" si="119"/>
        <v>4.1093143710684878E-3</v>
      </c>
      <c r="BG76" s="204">
        <f t="shared" si="36"/>
        <v>240825.53351166472</v>
      </c>
      <c r="BH76" s="636">
        <v>0</v>
      </c>
      <c r="BI76" s="199">
        <f t="shared" si="108"/>
        <v>111452.83311338385</v>
      </c>
      <c r="BJ76" s="199">
        <f t="shared" si="109"/>
        <v>222905.6662267677</v>
      </c>
      <c r="BK76" s="199">
        <f t="shared" si="116"/>
        <v>334358.49934015155</v>
      </c>
      <c r="BL76" s="251">
        <f t="shared" si="110"/>
        <v>1.4107977310061023E-3</v>
      </c>
      <c r="BM76" s="199">
        <f t="shared" si="93"/>
        <v>40001.526773752761</v>
      </c>
      <c r="BN76" s="251">
        <f t="shared" si="111"/>
        <v>1.7273903286654736E-3</v>
      </c>
      <c r="BT76" s="199">
        <f>'Detailed Budget'!$AD$12</f>
        <v>194045122715</v>
      </c>
      <c r="BU76" s="199">
        <f>'Detailed Budget'!$AD$24</f>
        <v>194045122715</v>
      </c>
      <c r="BV76" s="596">
        <f t="shared" si="94"/>
        <v>0</v>
      </c>
      <c r="BW76" s="278"/>
      <c r="BX76" s="275">
        <f t="shared" si="27"/>
        <v>0</v>
      </c>
      <c r="BY76" s="275">
        <f t="shared" si="28"/>
        <v>0</v>
      </c>
      <c r="CA76" s="199">
        <f>'Detailed Budget'!$AD$96</f>
        <v>71050111380.677719</v>
      </c>
      <c r="CB76" s="275">
        <f t="shared" si="112"/>
        <v>151966199.83044001</v>
      </c>
      <c r="CE76" s="199">
        <f>'Detailed Budget'!$AD$175</f>
        <v>4330586076.5988197</v>
      </c>
      <c r="CF76" s="275">
        <f t="shared" si="95"/>
        <v>17795739.204261832</v>
      </c>
      <c r="CG76" s="199">
        <f>'Detailed Budget'!$AD$176</f>
        <v>20662817754.37001</v>
      </c>
      <c r="CH76" s="275">
        <f t="shared" si="96"/>
        <v>84910013.944801778</v>
      </c>
      <c r="CI76" s="275">
        <f t="shared" si="43"/>
        <v>102705753.14906362</v>
      </c>
      <c r="CJ76" s="275">
        <f>'Detailed Budget'!$AD$178</f>
        <v>46025131033.061455</v>
      </c>
      <c r="CK76" s="275">
        <f t="shared" si="97"/>
        <v>128119184.12066299</v>
      </c>
      <c r="CL76" s="275">
        <f t="shared" ref="CL76:CL139" si="121">CI76+CK76</f>
        <v>230824937.2697266</v>
      </c>
      <c r="CM76" s="278">
        <f>'Detailed Budget'!$AD$189</f>
        <v>77498869683.252869</v>
      </c>
      <c r="CN76" s="275">
        <f t="shared" si="113"/>
        <v>0</v>
      </c>
      <c r="CO76" s="140">
        <f>'Detailed Budget'!$AD$191</f>
        <v>2684962805.4134097</v>
      </c>
      <c r="CP76" s="616">
        <f t="shared" si="114"/>
        <v>0</v>
      </c>
      <c r="CQ76" s="616">
        <f t="shared" si="115"/>
        <v>0</v>
      </c>
      <c r="CR76" s="199">
        <f>'Detailed Budget'!$AD$195</f>
        <v>18734176418</v>
      </c>
      <c r="CS76" s="275">
        <f t="shared" si="98"/>
        <v>32361235.159965985</v>
      </c>
      <c r="CW76" s="278"/>
      <c r="DH76" s="140">
        <f>'Detailed Budget'!$AD$163</f>
        <v>4928560000</v>
      </c>
      <c r="DI76" s="616">
        <f t="shared" si="99"/>
        <v>6160000</v>
      </c>
    </row>
    <row r="77" spans="1:113" outlineLevel="1">
      <c r="A77" s="214" t="s">
        <v>352</v>
      </c>
      <c r="B77" s="215" t="s">
        <v>353</v>
      </c>
      <c r="C77" s="216" t="s">
        <v>234</v>
      </c>
      <c r="D77" s="217" t="s">
        <v>234</v>
      </c>
      <c r="E77" s="216"/>
      <c r="F77" s="216"/>
      <c r="G77" s="216"/>
      <c r="H77" s="216" t="s">
        <v>234</v>
      </c>
      <c r="I77" s="217" t="s">
        <v>234</v>
      </c>
      <c r="J77" s="217"/>
      <c r="K77" s="216"/>
      <c r="L77" s="216"/>
      <c r="M77" s="217"/>
      <c r="N77" s="216" t="s">
        <v>234</v>
      </c>
      <c r="O77" s="217"/>
      <c r="P77" s="216"/>
      <c r="Q77" s="217" t="s">
        <v>234</v>
      </c>
      <c r="R77" s="217"/>
      <c r="S77" s="217"/>
      <c r="T77" s="217"/>
      <c r="U77" s="218">
        <f t="shared" si="88"/>
        <v>6</v>
      </c>
      <c r="V77" s="867" t="s">
        <v>284</v>
      </c>
      <c r="W77" s="219">
        <v>365221</v>
      </c>
      <c r="X77" s="220">
        <v>2.96</v>
      </c>
      <c r="Y77" s="221">
        <f t="shared" si="24"/>
        <v>1.0296000000000001</v>
      </c>
      <c r="Z77" s="199">
        <v>19</v>
      </c>
      <c r="AA77" s="221">
        <f t="shared" si="85"/>
        <v>1.7406126843598355</v>
      </c>
      <c r="AB77" s="199">
        <f t="shared" si="73"/>
        <v>635708.30519458349</v>
      </c>
      <c r="AC77">
        <v>17.399999999999999</v>
      </c>
      <c r="AD77" s="199">
        <f t="shared" si="74"/>
        <v>110613.24510385752</v>
      </c>
      <c r="AE77" s="199">
        <f t="shared" si="48"/>
        <v>105082.58284866465</v>
      </c>
      <c r="AF77" s="199">
        <f t="shared" si="120"/>
        <v>105082.58284866465</v>
      </c>
      <c r="AG77" s="614">
        <f t="shared" si="117"/>
        <v>4.8585573097396396E-3</v>
      </c>
      <c r="AH77" s="199">
        <f t="shared" si="100"/>
        <v>31785.415259729176</v>
      </c>
      <c r="AI77" s="252">
        <f t="shared" si="89"/>
        <v>2.4623679605630545E-3</v>
      </c>
      <c r="AJ77" s="199">
        <f t="shared" si="101"/>
        <v>142398.66036358671</v>
      </c>
      <c r="AK77" s="199">
        <f t="shared" si="53"/>
        <v>25428.33220778334</v>
      </c>
      <c r="AL77" s="199">
        <f t="shared" si="54"/>
        <v>25428.33220778334</v>
      </c>
      <c r="AM77" s="199">
        <f t="shared" si="102"/>
        <v>50856.66441556668</v>
      </c>
      <c r="AN77" s="645">
        <f t="shared" si="103"/>
        <v>2.4623679605630545E-3</v>
      </c>
      <c r="AO77" s="199">
        <v>12</v>
      </c>
      <c r="AP77" s="250">
        <f t="shared" si="104"/>
        <v>1.3634814225656176E-3</v>
      </c>
      <c r="AQ77" s="199">
        <v>12</v>
      </c>
      <c r="AU77" s="199">
        <v>0</v>
      </c>
      <c r="AW77" s="250">
        <f t="shared" si="105"/>
        <v>0</v>
      </c>
      <c r="AX77" s="199">
        <v>1</v>
      </c>
      <c r="AY77" s="199">
        <f t="shared" si="90"/>
        <v>47491.079225141417</v>
      </c>
      <c r="AZ77" s="199">
        <f t="shared" si="106"/>
        <v>47491.079225141417</v>
      </c>
      <c r="BA77" s="252">
        <f t="shared" si="107"/>
        <v>3.7331070115055858E-3</v>
      </c>
      <c r="BB77" s="284">
        <v>1</v>
      </c>
      <c r="BC77" s="199">
        <f t="shared" si="91"/>
        <v>79641.536474777415</v>
      </c>
      <c r="BD77" s="270">
        <f t="shared" si="118"/>
        <v>7.172285296439351E-3</v>
      </c>
      <c r="BE77" s="199">
        <f t="shared" si="92"/>
        <v>340688.79491988115</v>
      </c>
      <c r="BF77" s="251">
        <f t="shared" si="119"/>
        <v>7.1722854558210194E-3</v>
      </c>
      <c r="BG77" s="204">
        <f t="shared" si="36"/>
        <v>420330.33139465854</v>
      </c>
      <c r="BH77" s="636">
        <v>0</v>
      </c>
      <c r="BI77" s="199">
        <f t="shared" si="108"/>
        <v>194526.74138954253</v>
      </c>
      <c r="BJ77" s="199">
        <f t="shared" si="109"/>
        <v>389053.48277908505</v>
      </c>
      <c r="BK77" s="199">
        <f t="shared" si="116"/>
        <v>583580.22416862752</v>
      </c>
      <c r="BL77" s="251">
        <f t="shared" si="110"/>
        <v>2.462367960563054E-3</v>
      </c>
      <c r="BM77" s="199">
        <f t="shared" si="93"/>
        <v>69817.576068151451</v>
      </c>
      <c r="BN77" s="251">
        <f t="shared" si="111"/>
        <v>3.0149400634908938E-3</v>
      </c>
      <c r="BT77" s="199">
        <f>'Detailed Budget'!$AD$12</f>
        <v>194045122715</v>
      </c>
      <c r="BU77" s="199">
        <f>'Detailed Budget'!$AD$24</f>
        <v>194045122715</v>
      </c>
      <c r="BV77" s="596">
        <f t="shared" si="94"/>
        <v>0</v>
      </c>
      <c r="BW77" s="278"/>
      <c r="BX77" s="275">
        <f t="shared" si="27"/>
        <v>0</v>
      </c>
      <c r="BY77" s="275">
        <f t="shared" si="28"/>
        <v>0</v>
      </c>
      <c r="CA77" s="199">
        <f>'Detailed Budget'!$AD$96</f>
        <v>71050111380.677719</v>
      </c>
      <c r="CB77" s="275">
        <f t="shared" si="112"/>
        <v>265237668.9634608</v>
      </c>
      <c r="CE77" s="199">
        <f>'Detailed Budget'!$AD$175</f>
        <v>4330586076.5988197</v>
      </c>
      <c r="CF77" s="275">
        <f t="shared" si="95"/>
        <v>31060198.842154693</v>
      </c>
      <c r="CG77" s="199">
        <f>'Detailed Budget'!$AD$176</f>
        <v>20662817754.37001</v>
      </c>
      <c r="CH77" s="275">
        <f t="shared" si="96"/>
        <v>148199627.25594836</v>
      </c>
      <c r="CI77" s="275">
        <f t="shared" si="43"/>
        <v>179259826.09810305</v>
      </c>
      <c r="CJ77" s="275">
        <f>'Detailed Budget'!$AD$178</f>
        <v>46025131033.061455</v>
      </c>
      <c r="CK77" s="275">
        <f t="shared" si="97"/>
        <v>223615736.81240547</v>
      </c>
      <c r="CL77" s="275">
        <f t="shared" si="121"/>
        <v>402875562.91050851</v>
      </c>
      <c r="CM77" s="278">
        <f>'Detailed Budget'!$AD$189</f>
        <v>77498869683.252869</v>
      </c>
      <c r="CN77" s="275">
        <f t="shared" si="113"/>
        <v>0</v>
      </c>
      <c r="CO77" s="140">
        <f>'Detailed Budget'!$AD$191</f>
        <v>2684962805.4134097</v>
      </c>
      <c r="CP77" s="616">
        <f t="shared" si="114"/>
        <v>0</v>
      </c>
      <c r="CQ77" s="616">
        <f t="shared" si="115"/>
        <v>0</v>
      </c>
      <c r="CR77" s="199">
        <f>'Detailed Budget'!$AD$195</f>
        <v>18734176418</v>
      </c>
      <c r="CS77" s="275">
        <f t="shared" si="98"/>
        <v>56482419.039134525</v>
      </c>
      <c r="CW77" s="278"/>
      <c r="DH77" s="140">
        <f>'Detailed Budget'!$AD$163</f>
        <v>4928560000</v>
      </c>
      <c r="DI77" s="616">
        <f t="shared" si="99"/>
        <v>6720000</v>
      </c>
    </row>
    <row r="78" spans="1:113" outlineLevel="1">
      <c r="A78" s="214" t="s">
        <v>354</v>
      </c>
      <c r="B78" s="215" t="s">
        <v>355</v>
      </c>
      <c r="C78" s="216" t="s">
        <v>234</v>
      </c>
      <c r="D78" s="217"/>
      <c r="E78" s="216"/>
      <c r="F78" s="216"/>
      <c r="G78" s="216" t="s">
        <v>234</v>
      </c>
      <c r="H78" s="216" t="s">
        <v>234</v>
      </c>
      <c r="I78" s="217" t="s">
        <v>234</v>
      </c>
      <c r="J78" s="217"/>
      <c r="K78" s="216"/>
      <c r="L78" s="216"/>
      <c r="M78" s="217"/>
      <c r="N78" s="216" t="s">
        <v>234</v>
      </c>
      <c r="O78" s="217"/>
      <c r="P78" s="216"/>
      <c r="Q78" s="217"/>
      <c r="R78" s="217" t="s">
        <v>234</v>
      </c>
      <c r="S78" s="217"/>
      <c r="T78" s="217"/>
      <c r="U78" s="218">
        <f t="shared" si="88"/>
        <v>6</v>
      </c>
      <c r="V78" s="867" t="s">
        <v>235</v>
      </c>
      <c r="W78" s="219">
        <v>147594</v>
      </c>
      <c r="X78" s="220">
        <v>2.96</v>
      </c>
      <c r="Y78" s="221">
        <f t="shared" si="24"/>
        <v>1.0296000000000001</v>
      </c>
      <c r="Z78" s="199">
        <v>19</v>
      </c>
      <c r="AA78" s="221">
        <f t="shared" si="85"/>
        <v>1.7406126843598355</v>
      </c>
      <c r="AB78" s="199">
        <f t="shared" si="73"/>
        <v>256903.98853540557</v>
      </c>
      <c r="AC78">
        <v>17.399999999999999</v>
      </c>
      <c r="AD78" s="199">
        <f t="shared" si="74"/>
        <v>44701.294005160562</v>
      </c>
      <c r="AE78" s="199">
        <f t="shared" si="48"/>
        <v>42466.229304902532</v>
      </c>
      <c r="AF78" s="199">
        <f t="shared" si="120"/>
        <v>0</v>
      </c>
      <c r="AG78" s="614">
        <f t="shared" si="117"/>
        <v>1.9634520128188476E-3</v>
      </c>
      <c r="AH78" s="199">
        <f t="shared" si="100"/>
        <v>12845.199426770279</v>
      </c>
      <c r="AI78" s="252">
        <f t="shared" si="89"/>
        <v>9.9509813721375146E-4</v>
      </c>
      <c r="AJ78" s="199">
        <f t="shared" si="101"/>
        <v>57546.493431930838</v>
      </c>
      <c r="AK78" s="199">
        <f t="shared" si="53"/>
        <v>10276.159541416224</v>
      </c>
      <c r="AL78" s="199">
        <f t="shared" si="54"/>
        <v>10276.159541416224</v>
      </c>
      <c r="AM78" s="199">
        <f t="shared" si="102"/>
        <v>20552.319082832448</v>
      </c>
      <c r="AN78" s="645">
        <f t="shared" si="103"/>
        <v>9.9509813721375146E-4</v>
      </c>
      <c r="AO78" s="199">
        <v>11</v>
      </c>
      <c r="AP78" s="250">
        <f t="shared" si="104"/>
        <v>1.2498579706851495E-3</v>
      </c>
      <c r="AQ78" s="199">
        <v>11</v>
      </c>
      <c r="AU78" s="199">
        <v>0</v>
      </c>
      <c r="AW78" s="250">
        <f t="shared" si="105"/>
        <v>0</v>
      </c>
      <c r="AX78" s="199">
        <v>1</v>
      </c>
      <c r="AY78" s="199">
        <f t="shared" si="90"/>
        <v>19192.21059894015</v>
      </c>
      <c r="AZ78" s="199">
        <f t="shared" si="106"/>
        <v>19192.21059894015</v>
      </c>
      <c r="BA78" s="252">
        <f t="shared" si="107"/>
        <v>1.5086322973108209E-3</v>
      </c>
      <c r="BB78" s="284">
        <v>0</v>
      </c>
      <c r="BC78" s="199">
        <f t="shared" si="91"/>
        <v>0</v>
      </c>
      <c r="BD78" s="270">
        <f t="shared" si="118"/>
        <v>0</v>
      </c>
      <c r="BE78" s="199">
        <f t="shared" si="92"/>
        <v>0</v>
      </c>
      <c r="BF78" s="251">
        <f t="shared" si="119"/>
        <v>0</v>
      </c>
      <c r="BG78" s="204">
        <f t="shared" si="36"/>
        <v>0</v>
      </c>
      <c r="BH78" s="636">
        <v>1</v>
      </c>
      <c r="BI78" s="199">
        <f t="shared" si="108"/>
        <v>78612.620491834125</v>
      </c>
      <c r="BJ78" s="199">
        <f t="shared" si="109"/>
        <v>157225.24098366825</v>
      </c>
      <c r="BK78" s="199">
        <f t="shared" si="116"/>
        <v>235837.86147550237</v>
      </c>
      <c r="BL78" s="251">
        <f t="shared" si="110"/>
        <v>9.9509813721375146E-4</v>
      </c>
      <c r="BM78" s="199">
        <f t="shared" si="93"/>
        <v>28214.848878357887</v>
      </c>
      <c r="BN78" s="251">
        <f t="shared" si="111"/>
        <v>1.2184049212144838E-3</v>
      </c>
      <c r="BT78" s="199">
        <f>'Detailed Budget'!$AD$12</f>
        <v>194045122715</v>
      </c>
      <c r="BU78" s="199">
        <f>'Detailed Budget'!$AD$24</f>
        <v>194045122715</v>
      </c>
      <c r="BV78" s="596">
        <f t="shared" si="94"/>
        <v>0</v>
      </c>
      <c r="BW78" s="278"/>
      <c r="BX78" s="275">
        <f t="shared" si="27"/>
        <v>0</v>
      </c>
      <c r="BY78" s="275">
        <f t="shared" si="28"/>
        <v>0</v>
      </c>
      <c r="CA78" s="199">
        <f>'Detailed Budget'!$AD$96</f>
        <v>71050111380.677719</v>
      </c>
      <c r="CB78" s="275">
        <f t="shared" si="112"/>
        <v>107188492.75642154</v>
      </c>
      <c r="CE78" s="199">
        <f>'Detailed Budget'!$AD$175</f>
        <v>4330586076.5988197</v>
      </c>
      <c r="CF78" s="275">
        <f t="shared" si="95"/>
        <v>0</v>
      </c>
      <c r="CG78" s="199">
        <f>'Detailed Budget'!$AD$176</f>
        <v>20662817754.37001</v>
      </c>
      <c r="CH78" s="275">
        <f t="shared" si="96"/>
        <v>0</v>
      </c>
      <c r="CI78" s="275">
        <f t="shared" si="43"/>
        <v>0</v>
      </c>
      <c r="CJ78" s="275">
        <f>'Detailed Budget'!$AD$178</f>
        <v>46025131033.061455</v>
      </c>
      <c r="CK78" s="275">
        <f t="shared" si="97"/>
        <v>0</v>
      </c>
      <c r="CL78" s="275">
        <f t="shared" si="121"/>
        <v>0</v>
      </c>
      <c r="CM78" s="278">
        <f>'Detailed Budget'!$AD$189</f>
        <v>77498869683.252869</v>
      </c>
      <c r="CN78" s="275">
        <f t="shared" si="113"/>
        <v>77118980.857976213</v>
      </c>
      <c r="CO78" s="140">
        <f>'Detailed Budget'!$AD$191</f>
        <v>2684962805.4134097</v>
      </c>
      <c r="CP78" s="616">
        <f t="shared" si="114"/>
        <v>2671801.4861550923</v>
      </c>
      <c r="CQ78" s="616">
        <f t="shared" si="115"/>
        <v>79790782.344131306</v>
      </c>
      <c r="CR78" s="199">
        <f>'Detailed Budget'!$AD$195</f>
        <v>18734176418</v>
      </c>
      <c r="CS78" s="275">
        <f t="shared" si="98"/>
        <v>22825812.74259153</v>
      </c>
      <c r="CW78" s="278"/>
      <c r="DH78" s="140">
        <f>'Detailed Budget'!$AD$163</f>
        <v>4928560000</v>
      </c>
      <c r="DI78" s="616">
        <f t="shared" si="99"/>
        <v>6160000</v>
      </c>
    </row>
    <row r="79" spans="1:113" outlineLevel="1">
      <c r="A79" s="214" t="s">
        <v>356</v>
      </c>
      <c r="B79" s="215" t="s">
        <v>357</v>
      </c>
      <c r="C79" s="216" t="s">
        <v>234</v>
      </c>
      <c r="D79" s="217"/>
      <c r="E79" s="216"/>
      <c r="F79" s="216"/>
      <c r="G79" s="216" t="s">
        <v>234</v>
      </c>
      <c r="H79" s="216" t="s">
        <v>234</v>
      </c>
      <c r="I79" s="217" t="s">
        <v>234</v>
      </c>
      <c r="J79" s="217"/>
      <c r="K79" s="216"/>
      <c r="L79" s="216"/>
      <c r="M79" s="217"/>
      <c r="N79" s="216" t="s">
        <v>234</v>
      </c>
      <c r="O79" s="217"/>
      <c r="P79" s="216"/>
      <c r="Q79" s="217"/>
      <c r="R79" s="217" t="s">
        <v>234</v>
      </c>
      <c r="S79" s="217"/>
      <c r="T79" s="217"/>
      <c r="U79" s="218">
        <f t="shared" si="88"/>
        <v>6</v>
      </c>
      <c r="V79" s="867" t="s">
        <v>235</v>
      </c>
      <c r="W79" s="219">
        <v>59481</v>
      </c>
      <c r="X79" s="220">
        <v>2.96</v>
      </c>
      <c r="Y79" s="221">
        <f t="shared" si="24"/>
        <v>1.0296000000000001</v>
      </c>
      <c r="Z79" s="199">
        <v>19</v>
      </c>
      <c r="AA79" s="221">
        <f t="shared" si="85"/>
        <v>1.7406126843598355</v>
      </c>
      <c r="AB79" s="199">
        <f t="shared" si="73"/>
        <v>103533.38307840738</v>
      </c>
      <c r="AC79">
        <v>17.399999999999999</v>
      </c>
      <c r="AD79" s="199">
        <f t="shared" si="74"/>
        <v>18014.808655642883</v>
      </c>
      <c r="AE79" s="199">
        <f t="shared" si="48"/>
        <v>17114.068222860737</v>
      </c>
      <c r="AF79" s="199">
        <f t="shared" si="120"/>
        <v>0</v>
      </c>
      <c r="AG79" s="614">
        <f t="shared" si="117"/>
        <v>7.91279382457809E-4</v>
      </c>
      <c r="AH79" s="199">
        <f t="shared" si="100"/>
        <v>5176.6691539203694</v>
      </c>
      <c r="AI79" s="252">
        <f t="shared" si="89"/>
        <v>4.0102871593432761E-4</v>
      </c>
      <c r="AJ79" s="199">
        <f t="shared" si="101"/>
        <v>23191.47780956325</v>
      </c>
      <c r="AK79" s="199">
        <f t="shared" si="53"/>
        <v>4141.3353231362953</v>
      </c>
      <c r="AL79" s="199">
        <f t="shared" si="54"/>
        <v>4141.3353231362953</v>
      </c>
      <c r="AM79" s="199">
        <f t="shared" si="102"/>
        <v>8282.6706462725906</v>
      </c>
      <c r="AN79" s="645">
        <f t="shared" si="103"/>
        <v>4.0102871593432755E-4</v>
      </c>
      <c r="AO79" s="199">
        <v>11</v>
      </c>
      <c r="AP79" s="250">
        <f t="shared" si="104"/>
        <v>1.2498579706851495E-3</v>
      </c>
      <c r="AQ79" s="199">
        <v>11</v>
      </c>
      <c r="AU79" s="199">
        <v>0</v>
      </c>
      <c r="AW79" s="250">
        <f t="shared" si="105"/>
        <v>0</v>
      </c>
      <c r="AX79" s="199">
        <v>1</v>
      </c>
      <c r="AY79" s="199">
        <f t="shared" si="90"/>
        <v>7734.5412322693282</v>
      </c>
      <c r="AZ79" s="199">
        <f t="shared" si="106"/>
        <v>7734.5412322693282</v>
      </c>
      <c r="BA79" s="252">
        <f t="shared" si="107"/>
        <v>6.0798513270420853E-4</v>
      </c>
      <c r="BB79" s="284">
        <v>0</v>
      </c>
      <c r="BC79" s="199">
        <f t="shared" si="91"/>
        <v>0</v>
      </c>
      <c r="BD79" s="270">
        <f t="shared" si="118"/>
        <v>0</v>
      </c>
      <c r="BE79" s="199">
        <f t="shared" si="92"/>
        <v>0</v>
      </c>
      <c r="BF79" s="251">
        <f t="shared" si="119"/>
        <v>0</v>
      </c>
      <c r="BG79" s="204">
        <f t="shared" si="36"/>
        <v>0</v>
      </c>
      <c r="BH79" s="636">
        <v>1</v>
      </c>
      <c r="BI79" s="199">
        <f t="shared" si="108"/>
        <v>31681.215221992657</v>
      </c>
      <c r="BJ79" s="199">
        <f t="shared" si="109"/>
        <v>63362.430443985315</v>
      </c>
      <c r="BK79" s="199">
        <f t="shared" si="116"/>
        <v>95043.645665977965</v>
      </c>
      <c r="BL79" s="251">
        <f t="shared" si="110"/>
        <v>4.010287159343275E-4</v>
      </c>
      <c r="BM79" s="199">
        <f t="shared" si="93"/>
        <v>11370.702238123537</v>
      </c>
      <c r="BN79" s="251">
        <f t="shared" si="111"/>
        <v>4.9102228490832082E-4</v>
      </c>
      <c r="BT79" s="199">
        <f>'Detailed Budget'!$AD$12</f>
        <v>194045122715</v>
      </c>
      <c r="BU79" s="199">
        <f>'Detailed Budget'!$AD$24</f>
        <v>194045122715</v>
      </c>
      <c r="BV79" s="596">
        <f t="shared" si="94"/>
        <v>0</v>
      </c>
      <c r="BW79" s="278"/>
      <c r="BX79" s="275">
        <f t="shared" si="27"/>
        <v>0</v>
      </c>
      <c r="BY79" s="275">
        <f t="shared" si="28"/>
        <v>0</v>
      </c>
      <c r="CA79" s="199">
        <f>'Detailed Budget'!$AD$96</f>
        <v>71050111380.677719</v>
      </c>
      <c r="CB79" s="275">
        <f t="shared" si="112"/>
        <v>43197411.396430142</v>
      </c>
      <c r="CE79" s="199">
        <f>'Detailed Budget'!$AD$175</f>
        <v>4330586076.5988197</v>
      </c>
      <c r="CF79" s="275">
        <f t="shared" si="95"/>
        <v>0</v>
      </c>
      <c r="CG79" s="199">
        <f>'Detailed Budget'!$AD$176</f>
        <v>20662817754.37001</v>
      </c>
      <c r="CH79" s="275">
        <f t="shared" si="96"/>
        <v>0</v>
      </c>
      <c r="CI79" s="275">
        <f t="shared" ref="CI79:CI148" si="122">CF79+CH79</f>
        <v>0</v>
      </c>
      <c r="CJ79" s="275">
        <f>'Detailed Budget'!$AD$178</f>
        <v>46025131033.061455</v>
      </c>
      <c r="CK79" s="275">
        <f t="shared" si="97"/>
        <v>0</v>
      </c>
      <c r="CL79" s="275">
        <f t="shared" si="121"/>
        <v>0</v>
      </c>
      <c r="CM79" s="278">
        <f>'Detailed Budget'!$AD$189</f>
        <v>77498869683.252869</v>
      </c>
      <c r="CN79" s="275">
        <f t="shared" si="113"/>
        <v>31079272.195436679</v>
      </c>
      <c r="CO79" s="140">
        <f>'Detailed Budget'!$AD$191</f>
        <v>2684962805.4134097</v>
      </c>
      <c r="CP79" s="616">
        <f t="shared" si="114"/>
        <v>1076747.1861863695</v>
      </c>
      <c r="CQ79" s="616">
        <f t="shared" si="115"/>
        <v>32156019.381623048</v>
      </c>
      <c r="CR79" s="199">
        <f>'Detailed Budget'!$AD$195</f>
        <v>18734176418</v>
      </c>
      <c r="CS79" s="275">
        <f t="shared" si="98"/>
        <v>9198898.1106419414</v>
      </c>
      <c r="CW79" s="278"/>
      <c r="DH79" s="140">
        <f>'Detailed Budget'!$AD$163</f>
        <v>4928560000</v>
      </c>
      <c r="DI79" s="616">
        <f t="shared" si="99"/>
        <v>6160000</v>
      </c>
    </row>
    <row r="80" spans="1:113" outlineLevel="1">
      <c r="A80" s="214" t="s">
        <v>358</v>
      </c>
      <c r="B80" s="215" t="s">
        <v>359</v>
      </c>
      <c r="C80" s="216" t="s">
        <v>234</v>
      </c>
      <c r="D80" s="217" t="s">
        <v>234</v>
      </c>
      <c r="E80" s="216"/>
      <c r="F80" s="216"/>
      <c r="G80" s="216"/>
      <c r="H80" s="216" t="s">
        <v>234</v>
      </c>
      <c r="I80" s="217" t="s">
        <v>234</v>
      </c>
      <c r="J80" s="217"/>
      <c r="K80" s="216" t="s">
        <v>234</v>
      </c>
      <c r="L80" s="216"/>
      <c r="M80" s="217"/>
      <c r="N80" s="216"/>
      <c r="O80" s="217"/>
      <c r="P80" s="216"/>
      <c r="Q80" s="217"/>
      <c r="R80" s="217" t="s">
        <v>234</v>
      </c>
      <c r="S80" s="217"/>
      <c r="T80" s="217"/>
      <c r="U80" s="218">
        <f t="shared" si="88"/>
        <v>6</v>
      </c>
      <c r="V80" s="867" t="s">
        <v>238</v>
      </c>
      <c r="W80" s="219">
        <v>124015</v>
      </c>
      <c r="X80" s="220">
        <v>2.96</v>
      </c>
      <c r="Y80" s="221">
        <f t="shared" si="24"/>
        <v>1.0296000000000001</v>
      </c>
      <c r="Z80" s="199">
        <v>19</v>
      </c>
      <c r="AA80" s="221">
        <f t="shared" si="85"/>
        <v>1.7406126843598355</v>
      </c>
      <c r="AB80" s="199">
        <f t="shared" ref="AB80:AB115" si="123">W80*AA80</f>
        <v>215862.08205088502</v>
      </c>
      <c r="AC80">
        <v>17.399999999999999</v>
      </c>
      <c r="AD80" s="199">
        <f t="shared" ref="AD80:AD115" si="124">AB80*AC80/100</f>
        <v>37560.002276853986</v>
      </c>
      <c r="AE80" s="199">
        <f t="shared" si="48"/>
        <v>35682.002163011282</v>
      </c>
      <c r="AF80" s="199">
        <f t="shared" si="120"/>
        <v>35682.002163011282</v>
      </c>
      <c r="AG80" s="614">
        <f t="shared" si="117"/>
        <v>1.6497791330930076E-3</v>
      </c>
      <c r="AH80" s="199">
        <f t="shared" si="100"/>
        <v>10793.104102544252</v>
      </c>
      <c r="AI80" s="252">
        <f t="shared" si="89"/>
        <v>8.3612542167407474E-4</v>
      </c>
      <c r="AJ80" s="199">
        <f t="shared" si="101"/>
        <v>48353.106379398239</v>
      </c>
      <c r="AK80" s="199">
        <f t="shared" si="53"/>
        <v>8634.4832820354004</v>
      </c>
      <c r="AL80" s="199">
        <f t="shared" si="54"/>
        <v>8634.4832820354004</v>
      </c>
      <c r="AM80" s="199">
        <f t="shared" si="102"/>
        <v>17268.966564070801</v>
      </c>
      <c r="AN80" s="645">
        <f t="shared" si="103"/>
        <v>8.3612542167407463E-4</v>
      </c>
      <c r="AO80" s="199">
        <v>10</v>
      </c>
      <c r="AP80" s="250">
        <f t="shared" si="104"/>
        <v>1.1362345188046814E-3</v>
      </c>
      <c r="AQ80" s="199">
        <v>10</v>
      </c>
      <c r="AU80" s="199">
        <v>0</v>
      </c>
      <c r="AW80" s="250">
        <f t="shared" si="105"/>
        <v>0</v>
      </c>
      <c r="AX80" s="199">
        <v>1</v>
      </c>
      <c r="AY80" s="199">
        <f t="shared" si="90"/>
        <v>16126.143321730986</v>
      </c>
      <c r="AZ80" s="199">
        <f t="shared" si="106"/>
        <v>16126.143321730986</v>
      </c>
      <c r="BA80" s="252">
        <f t="shared" si="107"/>
        <v>1.2676195126563512E-3</v>
      </c>
      <c r="BB80" s="284">
        <v>1</v>
      </c>
      <c r="BC80" s="199">
        <f t="shared" si="91"/>
        <v>27043.201639334868</v>
      </c>
      <c r="BD80" s="270">
        <f t="shared" si="118"/>
        <v>2.4354321384529531E-3</v>
      </c>
      <c r="BE80" s="199">
        <f t="shared" si="92"/>
        <v>115684.80701271028</v>
      </c>
      <c r="BF80" s="251">
        <f t="shared" si="119"/>
        <v>2.4354321925728361E-3</v>
      </c>
      <c r="BG80" s="204">
        <f t="shared" ref="BG80:BG149" si="125">BC80+BE80</f>
        <v>142728.00865204516</v>
      </c>
      <c r="BH80" s="636">
        <v>0</v>
      </c>
      <c r="BI80" s="199">
        <f t="shared" si="108"/>
        <v>66053.797107570805</v>
      </c>
      <c r="BJ80" s="199">
        <f t="shared" si="109"/>
        <v>132107.59421514161</v>
      </c>
      <c r="BK80" s="199">
        <f t="shared" si="116"/>
        <v>198161.39132271241</v>
      </c>
      <c r="BL80" s="251">
        <f t="shared" si="110"/>
        <v>8.3612542167407452E-4</v>
      </c>
      <c r="BM80" s="199">
        <f t="shared" si="93"/>
        <v>23707.362654644181</v>
      </c>
      <c r="BN80" s="251">
        <f t="shared" si="111"/>
        <v>1.0237576480372794E-3</v>
      </c>
      <c r="BT80" s="199">
        <f>'Detailed Budget'!$AD$12</f>
        <v>194045122715</v>
      </c>
      <c r="BU80" s="199">
        <f>'Detailed Budget'!$AD$24</f>
        <v>194045122715</v>
      </c>
      <c r="BV80" s="596">
        <f t="shared" si="94"/>
        <v>0</v>
      </c>
      <c r="BW80" s="278"/>
      <c r="BX80" s="275">
        <f t="shared" ref="BX80:BX149" si="126">BT80*BV80</f>
        <v>0</v>
      </c>
      <c r="BY80" s="275">
        <f t="shared" ref="BY80:BY149" si="127">BU80*BV80</f>
        <v>0</v>
      </c>
      <c r="CA80" s="199">
        <f>'Detailed Budget'!$AD$96</f>
        <v>71050111380.677719</v>
      </c>
      <c r="CB80" s="275">
        <f t="shared" si="112"/>
        <v>90064507.562554166</v>
      </c>
      <c r="CE80" s="199">
        <f>'Detailed Budget'!$AD$175</f>
        <v>4330586076.5988197</v>
      </c>
      <c r="CF80" s="275">
        <f t="shared" si="95"/>
        <v>10546848.509285647</v>
      </c>
      <c r="CG80" s="199">
        <f>'Detailed Budget'!$AD$176</f>
        <v>20662817754.37001</v>
      </c>
      <c r="CH80" s="275">
        <f t="shared" si="96"/>
        <v>50322891.548258282</v>
      </c>
      <c r="CI80" s="275">
        <f t="shared" si="122"/>
        <v>60869740.057543933</v>
      </c>
      <c r="CJ80" s="275">
        <f>'Detailed Budget'!$AD$178</f>
        <v>46025131033.061455</v>
      </c>
      <c r="CK80" s="275">
        <f t="shared" si="97"/>
        <v>75931300.776216209</v>
      </c>
      <c r="CL80" s="275">
        <f t="shared" si="121"/>
        <v>136801040.83376014</v>
      </c>
      <c r="CM80" s="278">
        <f>'Detailed Budget'!$AD$189</f>
        <v>77498869683.252869</v>
      </c>
      <c r="CN80" s="275">
        <f t="shared" si="113"/>
        <v>0</v>
      </c>
      <c r="CO80" s="140">
        <f>'Detailed Budget'!$AD$191</f>
        <v>2684962805.4134097</v>
      </c>
      <c r="CP80" s="616">
        <f t="shared" si="114"/>
        <v>0</v>
      </c>
      <c r="CQ80" s="616">
        <f t="shared" si="115"/>
        <v>0</v>
      </c>
      <c r="CR80" s="199">
        <f>'Detailed Budget'!$AD$195</f>
        <v>18734176418</v>
      </c>
      <c r="CS80" s="275">
        <f t="shared" si="98"/>
        <v>19179256.387607142</v>
      </c>
      <c r="CW80" s="278"/>
      <c r="DH80" s="140">
        <f>'Detailed Budget'!$AD$163</f>
        <v>4928560000</v>
      </c>
      <c r="DI80" s="616">
        <f t="shared" si="99"/>
        <v>5600000</v>
      </c>
    </row>
    <row r="81" spans="1:113" outlineLevel="1">
      <c r="A81" s="214" t="s">
        <v>360</v>
      </c>
      <c r="B81" s="215" t="s">
        <v>361</v>
      </c>
      <c r="C81" s="216" t="s">
        <v>234</v>
      </c>
      <c r="D81" s="217" t="s">
        <v>234</v>
      </c>
      <c r="E81" s="216"/>
      <c r="F81" s="216"/>
      <c r="G81" s="216"/>
      <c r="H81" s="216" t="s">
        <v>234</v>
      </c>
      <c r="I81" s="217" t="s">
        <v>234</v>
      </c>
      <c r="J81" s="217"/>
      <c r="K81" s="216"/>
      <c r="L81" s="216"/>
      <c r="M81" s="217" t="s">
        <v>234</v>
      </c>
      <c r="N81" s="216"/>
      <c r="O81" s="217"/>
      <c r="P81" s="216"/>
      <c r="Q81" s="217"/>
      <c r="R81" s="217" t="s">
        <v>234</v>
      </c>
      <c r="S81" s="217"/>
      <c r="T81" s="217"/>
      <c r="U81" s="218">
        <f t="shared" si="88"/>
        <v>6</v>
      </c>
      <c r="V81" s="867" t="s">
        <v>238</v>
      </c>
      <c r="W81" s="219">
        <v>108715</v>
      </c>
      <c r="X81" s="220">
        <v>2.96</v>
      </c>
      <c r="Y81" s="221">
        <f t="shared" ref="Y81:Y149" si="128">1+X81/100</f>
        <v>1.0296000000000001</v>
      </c>
      <c r="Z81" s="199">
        <v>19</v>
      </c>
      <c r="AA81" s="221">
        <f t="shared" si="85"/>
        <v>1.7406126843598355</v>
      </c>
      <c r="AB81" s="199">
        <f t="shared" si="123"/>
        <v>189230.70798017952</v>
      </c>
      <c r="AC81">
        <v>17.399999999999999</v>
      </c>
      <c r="AD81" s="199">
        <f t="shared" si="124"/>
        <v>32926.143188551228</v>
      </c>
      <c r="AE81" s="199">
        <f t="shared" si="48"/>
        <v>31279.836029123664</v>
      </c>
      <c r="AF81" s="199">
        <f t="shared" si="120"/>
        <v>31279.836029123664</v>
      </c>
      <c r="AG81" s="614">
        <f t="shared" si="117"/>
        <v>1.4462422969334862E-3</v>
      </c>
      <c r="AH81" s="199">
        <f t="shared" si="100"/>
        <v>9461.535399008977</v>
      </c>
      <c r="AI81" s="252">
        <f t="shared" si="89"/>
        <v>7.3297081173484687E-4</v>
      </c>
      <c r="AJ81" s="199">
        <f t="shared" si="101"/>
        <v>42387.678587560207</v>
      </c>
      <c r="AK81" s="199">
        <f t="shared" ref="AK81:AK144" si="129">AB81*0.04</f>
        <v>7569.2283192071809</v>
      </c>
      <c r="AL81" s="199">
        <f t="shared" ref="AL81:AL144" si="130">AB81*0.04</f>
        <v>7569.2283192071809</v>
      </c>
      <c r="AM81" s="199">
        <f t="shared" si="102"/>
        <v>15138.456638414362</v>
      </c>
      <c r="AN81" s="645">
        <f t="shared" si="103"/>
        <v>7.3297081173484676E-4</v>
      </c>
      <c r="AO81" s="199">
        <v>15</v>
      </c>
      <c r="AP81" s="250">
        <f t="shared" si="104"/>
        <v>1.7043517782070218E-3</v>
      </c>
      <c r="AQ81" s="199">
        <v>15</v>
      </c>
      <c r="AU81" s="199">
        <v>0</v>
      </c>
      <c r="AW81" s="250">
        <f t="shared" si="105"/>
        <v>0</v>
      </c>
      <c r="AX81" s="199">
        <v>1</v>
      </c>
      <c r="AY81" s="199">
        <f t="shared" si="90"/>
        <v>14136.625982518113</v>
      </c>
      <c r="AZ81" s="199">
        <f t="shared" si="106"/>
        <v>14136.625982518113</v>
      </c>
      <c r="BA81" s="252">
        <f t="shared" si="107"/>
        <v>1.1112305391963488E-3</v>
      </c>
      <c r="BB81" s="284">
        <v>1</v>
      </c>
      <c r="BC81" s="199">
        <f t="shared" si="91"/>
        <v>23706.823095756885</v>
      </c>
      <c r="BD81" s="270">
        <f t="shared" si="118"/>
        <v>2.134967584017359E-3</v>
      </c>
      <c r="BE81" s="199">
        <f t="shared" si="92"/>
        <v>101412.52102073778</v>
      </c>
      <c r="BF81" s="251">
        <f t="shared" si="119"/>
        <v>2.1349676314603538E-3</v>
      </c>
      <c r="BG81" s="204">
        <f t="shared" si="125"/>
        <v>125119.34411649467</v>
      </c>
      <c r="BH81" s="636">
        <v>0</v>
      </c>
      <c r="BI81" s="199">
        <f t="shared" si="108"/>
        <v>57904.596641934928</v>
      </c>
      <c r="BJ81" s="199">
        <f t="shared" si="109"/>
        <v>115809.19328386986</v>
      </c>
      <c r="BK81" s="199">
        <f t="shared" si="116"/>
        <v>173713.78992580477</v>
      </c>
      <c r="BL81" s="251">
        <f t="shared" si="110"/>
        <v>7.3297081173484665E-4</v>
      </c>
      <c r="BM81" s="199">
        <f t="shared" si="93"/>
        <v>20782.533814455041</v>
      </c>
      <c r="BN81" s="251">
        <f t="shared" si="111"/>
        <v>8.9745444265913645E-4</v>
      </c>
      <c r="BT81" s="199">
        <f>'Detailed Budget'!$AD$12</f>
        <v>194045122715</v>
      </c>
      <c r="BU81" s="199">
        <f>'Detailed Budget'!$AD$24</f>
        <v>194045122715</v>
      </c>
      <c r="BV81" s="596">
        <f t="shared" si="94"/>
        <v>0</v>
      </c>
      <c r="BW81" s="278"/>
      <c r="BX81" s="275">
        <f t="shared" si="126"/>
        <v>0</v>
      </c>
      <c r="BY81" s="275">
        <f t="shared" si="127"/>
        <v>0</v>
      </c>
      <c r="CA81" s="199">
        <f>'Detailed Budget'!$AD$96</f>
        <v>71050111380.677719</v>
      </c>
      <c r="CB81" s="275">
        <f t="shared" si="112"/>
        <v>78953053.579511136</v>
      </c>
      <c r="CE81" s="199">
        <f>'Detailed Budget'!$AD$175</f>
        <v>4330586076.5988197</v>
      </c>
      <c r="CF81" s="275">
        <f t="shared" si="95"/>
        <v>9245660.8933353964</v>
      </c>
      <c r="CG81" s="199">
        <f>'Detailed Budget'!$AD$176</f>
        <v>20662817754.37001</v>
      </c>
      <c r="CH81" s="275">
        <f t="shared" si="96"/>
        <v>44114447.08034429</v>
      </c>
      <c r="CI81" s="275">
        <f t="shared" si="122"/>
        <v>53360107.973679684</v>
      </c>
      <c r="CJ81" s="275">
        <f>'Detailed Budget'!$AD$178</f>
        <v>46025131033.061455</v>
      </c>
      <c r="CK81" s="275">
        <f t="shared" si="97"/>
        <v>66563491.221919477</v>
      </c>
      <c r="CL81" s="275">
        <f t="shared" si="121"/>
        <v>119923599.19559917</v>
      </c>
      <c r="CM81" s="278">
        <f>'Detailed Budget'!$AD$189</f>
        <v>77498869683.252869</v>
      </c>
      <c r="CN81" s="275">
        <f t="shared" si="113"/>
        <v>0</v>
      </c>
      <c r="CO81" s="140">
        <f>'Detailed Budget'!$AD$191</f>
        <v>2684962805.4134097</v>
      </c>
      <c r="CP81" s="616">
        <f t="shared" si="114"/>
        <v>0</v>
      </c>
      <c r="CQ81" s="616">
        <f t="shared" si="115"/>
        <v>0</v>
      </c>
      <c r="CR81" s="199">
        <f>'Detailed Budget'!$AD$195</f>
        <v>18734176418</v>
      </c>
      <c r="CS81" s="275">
        <f t="shared" si="98"/>
        <v>16813069.855894126</v>
      </c>
      <c r="CW81" s="278"/>
      <c r="DH81" s="140">
        <f>'Detailed Budget'!$AD$163</f>
        <v>4928560000</v>
      </c>
      <c r="DI81" s="616">
        <f t="shared" si="99"/>
        <v>8400000</v>
      </c>
    </row>
    <row r="82" spans="1:113" outlineLevel="1">
      <c r="A82" s="214" t="s">
        <v>362</v>
      </c>
      <c r="B82" s="215" t="s">
        <v>363</v>
      </c>
      <c r="C82" s="216" t="s">
        <v>234</v>
      </c>
      <c r="D82" s="217"/>
      <c r="E82" s="216"/>
      <c r="F82" s="216"/>
      <c r="G82" s="216" t="s">
        <v>234</v>
      </c>
      <c r="H82" s="216" t="s">
        <v>234</v>
      </c>
      <c r="I82" s="217" t="s">
        <v>234</v>
      </c>
      <c r="J82" s="217"/>
      <c r="K82" s="216"/>
      <c r="L82" s="216"/>
      <c r="M82" s="217"/>
      <c r="N82" s="216" t="s">
        <v>234</v>
      </c>
      <c r="O82" s="217"/>
      <c r="P82" s="216"/>
      <c r="Q82" s="217"/>
      <c r="R82" s="217" t="s">
        <v>234</v>
      </c>
      <c r="S82" s="217"/>
      <c r="T82" s="217"/>
      <c r="U82" s="218">
        <f t="shared" si="88"/>
        <v>6</v>
      </c>
      <c r="V82" s="867" t="s">
        <v>235</v>
      </c>
      <c r="W82" s="219">
        <v>88975</v>
      </c>
      <c r="X82" s="220">
        <v>2.96</v>
      </c>
      <c r="Y82" s="221">
        <f t="shared" si="128"/>
        <v>1.0296000000000001</v>
      </c>
      <c r="Z82" s="199">
        <v>19</v>
      </c>
      <c r="AA82" s="221">
        <f t="shared" si="85"/>
        <v>1.7406126843598355</v>
      </c>
      <c r="AB82" s="199">
        <f t="shared" si="123"/>
        <v>154871.01359091635</v>
      </c>
      <c r="AC82">
        <v>17.399999999999999</v>
      </c>
      <c r="AD82" s="199">
        <f t="shared" si="124"/>
        <v>26947.556364819444</v>
      </c>
      <c r="AE82" s="199">
        <f t="shared" ref="AE82:AE151" si="131">AD82*0.95</f>
        <v>25600.178546578471</v>
      </c>
      <c r="AF82" s="199">
        <f t="shared" si="120"/>
        <v>0</v>
      </c>
      <c r="AG82" s="614">
        <f t="shared" si="117"/>
        <v>1.1836398691041435E-3</v>
      </c>
      <c r="AH82" s="199">
        <f t="shared" si="100"/>
        <v>7743.5506795458177</v>
      </c>
      <c r="AI82" s="252">
        <f t="shared" si="89"/>
        <v>5.9988113851913705E-4</v>
      </c>
      <c r="AJ82" s="199">
        <f t="shared" si="101"/>
        <v>34691.107044365264</v>
      </c>
      <c r="AK82" s="199">
        <f t="shared" si="129"/>
        <v>6194.8405436366538</v>
      </c>
      <c r="AL82" s="199">
        <f t="shared" si="130"/>
        <v>6194.8405436366538</v>
      </c>
      <c r="AM82" s="199">
        <f t="shared" si="102"/>
        <v>12389.681087273308</v>
      </c>
      <c r="AN82" s="645">
        <f t="shared" si="103"/>
        <v>5.9988113851913705E-4</v>
      </c>
      <c r="AO82" s="199">
        <v>12</v>
      </c>
      <c r="AP82" s="250">
        <f t="shared" si="104"/>
        <v>1.3634814225656176E-3</v>
      </c>
      <c r="AQ82" s="199">
        <v>12</v>
      </c>
      <c r="AU82" s="199">
        <v>0</v>
      </c>
      <c r="AW82" s="250">
        <f t="shared" si="105"/>
        <v>0</v>
      </c>
      <c r="AX82" s="199">
        <v>1</v>
      </c>
      <c r="AY82" s="199">
        <f t="shared" si="90"/>
        <v>11569.758513494451</v>
      </c>
      <c r="AZ82" s="199">
        <f t="shared" si="106"/>
        <v>11569.758513494451</v>
      </c>
      <c r="BA82" s="252">
        <f t="shared" si="107"/>
        <v>9.0945809892834602E-4</v>
      </c>
      <c r="BB82" s="284">
        <v>0</v>
      </c>
      <c r="BC82" s="199">
        <f t="shared" si="91"/>
        <v>0</v>
      </c>
      <c r="BD82" s="270">
        <f t="shared" si="118"/>
        <v>0</v>
      </c>
      <c r="BE82" s="199">
        <f t="shared" si="92"/>
        <v>0</v>
      </c>
      <c r="BF82" s="251">
        <f t="shared" si="119"/>
        <v>0</v>
      </c>
      <c r="BG82" s="204">
        <f t="shared" si="125"/>
        <v>0</v>
      </c>
      <c r="BH82" s="636">
        <v>1</v>
      </c>
      <c r="BI82" s="199">
        <f t="shared" si="108"/>
        <v>47390.530158820402</v>
      </c>
      <c r="BJ82" s="199">
        <f t="shared" si="109"/>
        <v>94781.060317640804</v>
      </c>
      <c r="BK82" s="199">
        <f t="shared" si="116"/>
        <v>142171.59047646122</v>
      </c>
      <c r="BL82" s="251">
        <f t="shared" si="110"/>
        <v>5.9988113851913705E-4</v>
      </c>
      <c r="BM82" s="199">
        <f t="shared" si="93"/>
        <v>17008.931114760035</v>
      </c>
      <c r="BN82" s="251">
        <f t="shared" si="111"/>
        <v>7.3449854238694448E-4</v>
      </c>
      <c r="BT82" s="199">
        <f>'Detailed Budget'!$AD$12</f>
        <v>194045122715</v>
      </c>
      <c r="BU82" s="199">
        <f>'Detailed Budget'!$AD$24</f>
        <v>194045122715</v>
      </c>
      <c r="BV82" s="596">
        <f t="shared" si="94"/>
        <v>0</v>
      </c>
      <c r="BW82" s="278"/>
      <c r="BX82" s="275">
        <f t="shared" si="126"/>
        <v>0</v>
      </c>
      <c r="BY82" s="275">
        <f t="shared" si="127"/>
        <v>0</v>
      </c>
      <c r="CA82" s="199">
        <f>'Detailed Budget'!$AD$96</f>
        <v>71050111380.677719</v>
      </c>
      <c r="CB82" s="275">
        <f t="shared" si="112"/>
        <v>64617099.224918403</v>
      </c>
      <c r="CE82" s="199">
        <f>'Detailed Budget'!$AD$175</f>
        <v>4330586076.5988197</v>
      </c>
      <c r="CF82" s="275">
        <f t="shared" si="95"/>
        <v>0</v>
      </c>
      <c r="CG82" s="199">
        <f>'Detailed Budget'!$AD$176</f>
        <v>20662817754.37001</v>
      </c>
      <c r="CH82" s="275">
        <f t="shared" si="96"/>
        <v>0</v>
      </c>
      <c r="CI82" s="275">
        <f t="shared" si="122"/>
        <v>0</v>
      </c>
      <c r="CJ82" s="275">
        <f>'Detailed Budget'!$AD$178</f>
        <v>46025131033.061455</v>
      </c>
      <c r="CK82" s="275">
        <f t="shared" si="97"/>
        <v>0</v>
      </c>
      <c r="CL82" s="275">
        <f t="shared" si="121"/>
        <v>0</v>
      </c>
      <c r="CM82" s="278">
        <f>'Detailed Budget'!$AD$189</f>
        <v>77498869683.252869</v>
      </c>
      <c r="CN82" s="275">
        <f t="shared" si="113"/>
        <v>46490110.179535963</v>
      </c>
      <c r="CO82" s="140">
        <f>'Detailed Budget'!$AD$191</f>
        <v>2684962805.4134097</v>
      </c>
      <c r="CP82" s="616">
        <f t="shared" si="114"/>
        <v>1610658.5445929323</v>
      </c>
      <c r="CQ82" s="616">
        <f t="shared" si="115"/>
        <v>48100768.724128895</v>
      </c>
      <c r="CR82" s="199">
        <f>'Detailed Budget'!$AD$195</f>
        <v>18734176418</v>
      </c>
      <c r="CS82" s="275">
        <f t="shared" si="98"/>
        <v>13760225.271840869</v>
      </c>
      <c r="CW82" s="278"/>
      <c r="DH82" s="140">
        <f>'Detailed Budget'!$AD$163</f>
        <v>4928560000</v>
      </c>
      <c r="DI82" s="616">
        <f t="shared" si="99"/>
        <v>6720000</v>
      </c>
    </row>
    <row r="83" spans="1:113" outlineLevel="1">
      <c r="A83" s="214" t="s">
        <v>364</v>
      </c>
      <c r="B83" s="215" t="s">
        <v>365</v>
      </c>
      <c r="C83" s="216" t="s">
        <v>234</v>
      </c>
      <c r="D83" s="217" t="s">
        <v>234</v>
      </c>
      <c r="E83" s="216"/>
      <c r="F83" s="216"/>
      <c r="G83" s="216"/>
      <c r="H83" s="216" t="s">
        <v>234</v>
      </c>
      <c r="I83" s="217" t="s">
        <v>234</v>
      </c>
      <c r="J83" s="217"/>
      <c r="K83" s="216"/>
      <c r="L83" s="216"/>
      <c r="M83" s="217"/>
      <c r="N83" s="216" t="s">
        <v>234</v>
      </c>
      <c r="O83" s="217"/>
      <c r="P83" s="216"/>
      <c r="Q83" s="217"/>
      <c r="R83" s="217" t="s">
        <v>234</v>
      </c>
      <c r="S83" s="217"/>
      <c r="T83" s="217"/>
      <c r="U83" s="218">
        <f t="shared" si="88"/>
        <v>6</v>
      </c>
      <c r="V83" s="867" t="s">
        <v>238</v>
      </c>
      <c r="W83" s="219">
        <v>56970</v>
      </c>
      <c r="X83" s="220">
        <v>2.96</v>
      </c>
      <c r="Y83" s="221">
        <f t="shared" si="128"/>
        <v>1.0296000000000001</v>
      </c>
      <c r="Z83" s="199">
        <v>19</v>
      </c>
      <c r="AA83" s="221">
        <f t="shared" si="85"/>
        <v>1.7406126843598355</v>
      </c>
      <c r="AB83" s="199">
        <f t="shared" si="123"/>
        <v>99162.704627979823</v>
      </c>
      <c r="AC83">
        <v>17.399999999999999</v>
      </c>
      <c r="AD83" s="199">
        <f t="shared" si="124"/>
        <v>17254.310605268489</v>
      </c>
      <c r="AE83" s="199">
        <f t="shared" si="131"/>
        <v>16391.595075005065</v>
      </c>
      <c r="AF83" s="199">
        <f t="shared" si="120"/>
        <v>16391.595075005065</v>
      </c>
      <c r="AG83" s="614">
        <f t="shared" si="117"/>
        <v>7.5787539581751123E-4</v>
      </c>
      <c r="AH83" s="199">
        <f t="shared" si="100"/>
        <v>4958.1352313989919</v>
      </c>
      <c r="AI83" s="252">
        <f t="shared" si="89"/>
        <v>3.840992240678308E-4</v>
      </c>
      <c r="AJ83" s="199">
        <f t="shared" si="101"/>
        <v>22212.445836667481</v>
      </c>
      <c r="AK83" s="199">
        <f t="shared" si="129"/>
        <v>3966.5081851191931</v>
      </c>
      <c r="AL83" s="199">
        <f t="shared" si="130"/>
        <v>3966.5081851191931</v>
      </c>
      <c r="AM83" s="199">
        <f t="shared" si="102"/>
        <v>7933.0163702383861</v>
      </c>
      <c r="AN83" s="645">
        <f t="shared" si="103"/>
        <v>3.8409922406783075E-4</v>
      </c>
      <c r="AO83" s="199">
        <v>10</v>
      </c>
      <c r="AP83" s="250">
        <f t="shared" si="104"/>
        <v>1.1362345188046814E-3</v>
      </c>
      <c r="AQ83" s="199">
        <v>10</v>
      </c>
      <c r="AU83" s="199">
        <v>0</v>
      </c>
      <c r="AW83" s="250">
        <f t="shared" si="105"/>
        <v>0</v>
      </c>
      <c r="AX83" s="199">
        <v>1</v>
      </c>
      <c r="AY83" s="199">
        <f t="shared" si="90"/>
        <v>7408.02632777498</v>
      </c>
      <c r="AZ83" s="199">
        <f t="shared" si="106"/>
        <v>7408.02632777498</v>
      </c>
      <c r="BA83" s="252">
        <f t="shared" si="107"/>
        <v>5.8231894235400805E-4</v>
      </c>
      <c r="BB83" s="284">
        <v>1</v>
      </c>
      <c r="BC83" s="199">
        <f t="shared" si="91"/>
        <v>12423.103635793312</v>
      </c>
      <c r="BD83" s="270">
        <f t="shared" si="118"/>
        <v>1.1187886056337117E-3</v>
      </c>
      <c r="BE83" s="199">
        <f t="shared" si="92"/>
        <v>53143.276664226949</v>
      </c>
      <c r="BF83" s="251">
        <f t="shared" si="119"/>
        <v>1.1187886304952987E-3</v>
      </c>
      <c r="BG83" s="204">
        <f t="shared" si="125"/>
        <v>65566.380300020261</v>
      </c>
      <c r="BH83" s="636">
        <v>0</v>
      </c>
      <c r="BI83" s="199">
        <f t="shared" si="108"/>
        <v>30343.787616161826</v>
      </c>
      <c r="BJ83" s="199">
        <f t="shared" si="109"/>
        <v>60687.575232323652</v>
      </c>
      <c r="BK83" s="199">
        <f t="shared" si="116"/>
        <v>91031.362848485471</v>
      </c>
      <c r="BL83" s="251">
        <f t="shared" si="110"/>
        <v>3.8409922406783069E-4</v>
      </c>
      <c r="BM83" s="199">
        <f t="shared" si="93"/>
        <v>10890.686210821908</v>
      </c>
      <c r="BN83" s="251">
        <f t="shared" si="111"/>
        <v>4.7029370002567273E-4</v>
      </c>
      <c r="BT83" s="199">
        <f>'Detailed Budget'!$AD$12</f>
        <v>194045122715</v>
      </c>
      <c r="BU83" s="199">
        <f>'Detailed Budget'!$AD$24</f>
        <v>194045122715</v>
      </c>
      <c r="BV83" s="596">
        <f t="shared" si="94"/>
        <v>0</v>
      </c>
      <c r="BW83" s="278"/>
      <c r="BX83" s="275">
        <f t="shared" si="126"/>
        <v>0</v>
      </c>
      <c r="BY83" s="275">
        <f t="shared" si="127"/>
        <v>0</v>
      </c>
      <c r="CA83" s="199">
        <f>'Detailed Budget'!$AD$96</f>
        <v>71050111380.677719</v>
      </c>
      <c r="CB83" s="275">
        <f t="shared" si="112"/>
        <v>41373825.713330723</v>
      </c>
      <c r="CE83" s="199">
        <f>'Detailed Budget'!$AD$175</f>
        <v>4330586076.5988197</v>
      </c>
      <c r="CF83" s="275">
        <f t="shared" si="95"/>
        <v>4845010.3582147602</v>
      </c>
      <c r="CG83" s="199">
        <f>'Detailed Budget'!$AD$176</f>
        <v>20662817754.37001</v>
      </c>
      <c r="CH83" s="275">
        <f t="shared" si="96"/>
        <v>23117325.577585567</v>
      </c>
      <c r="CI83" s="275">
        <f t="shared" si="122"/>
        <v>27962335.935800329</v>
      </c>
      <c r="CJ83" s="275">
        <f>'Detailed Budget'!$AD$178</f>
        <v>46025131033.061455</v>
      </c>
      <c r="CK83" s="275">
        <f t="shared" si="97"/>
        <v>34881314.399234273</v>
      </c>
      <c r="CL83" s="275">
        <f t="shared" si="121"/>
        <v>62843650.335034601</v>
      </c>
      <c r="CM83" s="278">
        <f>'Detailed Budget'!$AD$189</f>
        <v>77498869683.252869</v>
      </c>
      <c r="CN83" s="275">
        <f t="shared" si="113"/>
        <v>0</v>
      </c>
      <c r="CO83" s="140">
        <f>'Detailed Budget'!$AD$191</f>
        <v>2684962805.4134097</v>
      </c>
      <c r="CP83" s="616">
        <f t="shared" si="114"/>
        <v>0</v>
      </c>
      <c r="CQ83" s="616">
        <f t="shared" si="115"/>
        <v>0</v>
      </c>
      <c r="CR83" s="199">
        <f>'Detailed Budget'!$AD$195</f>
        <v>18734176418</v>
      </c>
      <c r="CS83" s="275">
        <f t="shared" si="98"/>
        <v>8810565.1445549242</v>
      </c>
      <c r="CW83" s="278"/>
      <c r="DH83" s="140">
        <f>'Detailed Budget'!$AD$163</f>
        <v>4928560000</v>
      </c>
      <c r="DI83" s="616">
        <f t="shared" si="99"/>
        <v>5600000</v>
      </c>
    </row>
    <row r="84" spans="1:113" outlineLevel="1">
      <c r="A84" s="214" t="s">
        <v>366</v>
      </c>
      <c r="B84" s="215" t="s">
        <v>367</v>
      </c>
      <c r="C84" s="216" t="s">
        <v>234</v>
      </c>
      <c r="D84" s="217"/>
      <c r="E84" s="216"/>
      <c r="F84" s="216"/>
      <c r="G84" s="216" t="s">
        <v>234</v>
      </c>
      <c r="H84" s="216" t="s">
        <v>234</v>
      </c>
      <c r="I84" s="217" t="s">
        <v>234</v>
      </c>
      <c r="J84" s="217"/>
      <c r="K84" s="216"/>
      <c r="L84" s="216"/>
      <c r="M84" s="217"/>
      <c r="N84" s="216" t="s">
        <v>234</v>
      </c>
      <c r="O84" s="217"/>
      <c r="P84" s="216"/>
      <c r="Q84" s="217"/>
      <c r="R84" s="217" t="s">
        <v>234</v>
      </c>
      <c r="S84" s="217"/>
      <c r="T84" s="217"/>
      <c r="U84" s="218">
        <f t="shared" si="88"/>
        <v>6</v>
      </c>
      <c r="V84" s="867" t="s">
        <v>235</v>
      </c>
      <c r="W84" s="219">
        <v>94454</v>
      </c>
      <c r="X84" s="220">
        <v>2.96</v>
      </c>
      <c r="Y84" s="221">
        <f t="shared" si="128"/>
        <v>1.0296000000000001</v>
      </c>
      <c r="Z84" s="199">
        <v>19</v>
      </c>
      <c r="AA84" s="221">
        <f t="shared" si="85"/>
        <v>1.7406126843598355</v>
      </c>
      <c r="AB84" s="199">
        <f t="shared" si="123"/>
        <v>164407.8304885239</v>
      </c>
      <c r="AC84">
        <v>17.399999999999999</v>
      </c>
      <c r="AD84" s="199">
        <f t="shared" si="124"/>
        <v>28606.962505003157</v>
      </c>
      <c r="AE84" s="199">
        <f t="shared" si="131"/>
        <v>27176.614379752999</v>
      </c>
      <c r="AF84" s="199">
        <f t="shared" si="120"/>
        <v>0</v>
      </c>
      <c r="AG84" s="614">
        <f t="shared" si="117"/>
        <v>1.2565273413471512E-3</v>
      </c>
      <c r="AH84" s="199">
        <f t="shared" si="100"/>
        <v>8220.3915244261952</v>
      </c>
      <c r="AI84" s="252">
        <f t="shared" si="89"/>
        <v>6.3682127628757038E-4</v>
      </c>
      <c r="AJ84" s="199">
        <f t="shared" si="101"/>
        <v>36827.354029429349</v>
      </c>
      <c r="AK84" s="199">
        <f t="shared" si="129"/>
        <v>6576.3132195409562</v>
      </c>
      <c r="AL84" s="199">
        <f t="shared" si="130"/>
        <v>6576.3132195409562</v>
      </c>
      <c r="AM84" s="199">
        <f t="shared" si="102"/>
        <v>13152.626439081912</v>
      </c>
      <c r="AN84" s="645">
        <f t="shared" si="103"/>
        <v>6.3682127628757038E-4</v>
      </c>
      <c r="AO84" s="199">
        <v>11</v>
      </c>
      <c r="AP84" s="250">
        <f t="shared" si="104"/>
        <v>1.2498579706851495E-3</v>
      </c>
      <c r="AQ84" s="199">
        <v>11</v>
      </c>
      <c r="AU84" s="199">
        <v>0</v>
      </c>
      <c r="AW84" s="250">
        <f t="shared" si="105"/>
        <v>0</v>
      </c>
      <c r="AX84" s="199">
        <v>1</v>
      </c>
      <c r="AY84" s="199">
        <f t="shared" si="90"/>
        <v>12282.21377503349</v>
      </c>
      <c r="AZ84" s="199">
        <f t="shared" si="106"/>
        <v>12282.21377503349</v>
      </c>
      <c r="BA84" s="252">
        <f t="shared" si="107"/>
        <v>9.6546170582947996E-4</v>
      </c>
      <c r="BB84" s="284">
        <v>0</v>
      </c>
      <c r="BC84" s="199">
        <f t="shared" si="91"/>
        <v>0</v>
      </c>
      <c r="BD84" s="270">
        <f t="shared" si="118"/>
        <v>0</v>
      </c>
      <c r="BE84" s="199">
        <f t="shared" si="92"/>
        <v>0</v>
      </c>
      <c r="BF84" s="251">
        <f t="shared" si="119"/>
        <v>0</v>
      </c>
      <c r="BG84" s="204">
        <f t="shared" si="125"/>
        <v>0</v>
      </c>
      <c r="BH84" s="636">
        <v>1</v>
      </c>
      <c r="BI84" s="199">
        <f t="shared" si="108"/>
        <v>50308.796129488306</v>
      </c>
      <c r="BJ84" s="199">
        <f t="shared" si="109"/>
        <v>100617.59225897661</v>
      </c>
      <c r="BK84" s="199">
        <f t="shared" si="116"/>
        <v>150926.38838846493</v>
      </c>
      <c r="BL84" s="251">
        <f t="shared" si="110"/>
        <v>6.3682127628757028E-4</v>
      </c>
      <c r="BM84" s="199">
        <f t="shared" si="93"/>
        <v>18056.325704001621</v>
      </c>
      <c r="BN84" s="251">
        <f t="shared" si="111"/>
        <v>7.7972829809065973E-4</v>
      </c>
      <c r="BT84" s="199">
        <f>'Detailed Budget'!$AD$12</f>
        <v>194045122715</v>
      </c>
      <c r="BU84" s="199">
        <f>'Detailed Budget'!$AD$24</f>
        <v>194045122715</v>
      </c>
      <c r="BV84" s="596">
        <f t="shared" si="94"/>
        <v>0</v>
      </c>
      <c r="BW84" s="278"/>
      <c r="BX84" s="275">
        <f t="shared" si="126"/>
        <v>0</v>
      </c>
      <c r="BY84" s="275">
        <f t="shared" si="127"/>
        <v>0</v>
      </c>
      <c r="CA84" s="199">
        <f>'Detailed Budget'!$AD$96</f>
        <v>71050111380.677719</v>
      </c>
      <c r="CB84" s="275">
        <f t="shared" si="112"/>
        <v>68596161.732963651</v>
      </c>
      <c r="CE84" s="199">
        <f>'Detailed Budget'!$AD$175</f>
        <v>4330586076.5988197</v>
      </c>
      <c r="CF84" s="275">
        <f t="shared" si="95"/>
        <v>0</v>
      </c>
      <c r="CG84" s="199">
        <f>'Detailed Budget'!$AD$176</f>
        <v>20662817754.37001</v>
      </c>
      <c r="CH84" s="275">
        <f t="shared" si="96"/>
        <v>0</v>
      </c>
      <c r="CI84" s="275">
        <f t="shared" si="122"/>
        <v>0</v>
      </c>
      <c r="CJ84" s="275">
        <f>'Detailed Budget'!$AD$178</f>
        <v>46025131033.061455</v>
      </c>
      <c r="CK84" s="275">
        <f t="shared" si="97"/>
        <v>0</v>
      </c>
      <c r="CL84" s="275">
        <f t="shared" si="121"/>
        <v>0</v>
      </c>
      <c r="CM84" s="278">
        <f>'Detailed Budget'!$AD$189</f>
        <v>77498869683.252869</v>
      </c>
      <c r="CN84" s="275">
        <f t="shared" si="113"/>
        <v>49352929.102533177</v>
      </c>
      <c r="CO84" s="140">
        <f>'Detailed Budget'!$AD$191</f>
        <v>2684962805.4134097</v>
      </c>
      <c r="CP84" s="616">
        <f t="shared" si="114"/>
        <v>1709841.4405280231</v>
      </c>
      <c r="CQ84" s="616">
        <f t="shared" si="115"/>
        <v>51062770.543061197</v>
      </c>
      <c r="CR84" s="199">
        <f>'Detailed Budget'!$AD$195</f>
        <v>18734176418</v>
      </c>
      <c r="CS84" s="275">
        <f t="shared" si="98"/>
        <v>14607567.494537313</v>
      </c>
      <c r="CW84" s="278"/>
      <c r="DH84" s="140">
        <f>'Detailed Budget'!$AD$163</f>
        <v>4928560000</v>
      </c>
      <c r="DI84" s="616">
        <f t="shared" si="99"/>
        <v>6160000</v>
      </c>
    </row>
    <row r="85" spans="1:113" outlineLevel="1">
      <c r="A85" s="214" t="s">
        <v>368</v>
      </c>
      <c r="B85" s="215" t="s">
        <v>369</v>
      </c>
      <c r="C85" s="216" t="s">
        <v>234</v>
      </c>
      <c r="D85" s="217" t="s">
        <v>234</v>
      </c>
      <c r="E85" s="216"/>
      <c r="F85" s="216"/>
      <c r="G85" s="216"/>
      <c r="H85" s="216" t="s">
        <v>234</v>
      </c>
      <c r="I85" s="217" t="s">
        <v>234</v>
      </c>
      <c r="J85" s="217"/>
      <c r="K85" s="216"/>
      <c r="L85" s="216"/>
      <c r="M85" s="217" t="s">
        <v>234</v>
      </c>
      <c r="N85" s="216"/>
      <c r="O85" s="217"/>
      <c r="P85" s="216"/>
      <c r="Q85" s="217"/>
      <c r="R85" s="217" t="s">
        <v>234</v>
      </c>
      <c r="S85" s="217"/>
      <c r="T85" s="217"/>
      <c r="U85" s="218">
        <f t="shared" si="88"/>
        <v>6</v>
      </c>
      <c r="V85" s="867" t="s">
        <v>238</v>
      </c>
      <c r="W85" s="219">
        <v>110852</v>
      </c>
      <c r="X85" s="220">
        <v>2.96</v>
      </c>
      <c r="Y85" s="221">
        <f t="shared" si="128"/>
        <v>1.0296000000000001</v>
      </c>
      <c r="Z85" s="199">
        <v>19</v>
      </c>
      <c r="AA85" s="221">
        <f t="shared" si="85"/>
        <v>1.7406126843598355</v>
      </c>
      <c r="AB85" s="199">
        <f t="shared" si="123"/>
        <v>192950.39728665649</v>
      </c>
      <c r="AC85">
        <v>17.399999999999999</v>
      </c>
      <c r="AD85" s="199">
        <f t="shared" si="124"/>
        <v>33573.369127878228</v>
      </c>
      <c r="AE85" s="199">
        <f t="shared" si="131"/>
        <v>31894.700671484316</v>
      </c>
      <c r="AF85" s="199">
        <f t="shared" si="120"/>
        <v>31894.700671484316</v>
      </c>
      <c r="AG85" s="614">
        <f t="shared" si="117"/>
        <v>1.4746709386898851E-3</v>
      </c>
      <c r="AH85" s="199">
        <f t="shared" si="100"/>
        <v>9647.519864332824</v>
      </c>
      <c r="AI85" s="252">
        <f t="shared" si="89"/>
        <v>7.4737874646949574E-4</v>
      </c>
      <c r="AJ85" s="199">
        <f t="shared" si="101"/>
        <v>43220.888992211054</v>
      </c>
      <c r="AK85" s="199">
        <f t="shared" si="129"/>
        <v>7718.0158914662597</v>
      </c>
      <c r="AL85" s="199">
        <f t="shared" si="130"/>
        <v>7718.0158914662597</v>
      </c>
      <c r="AM85" s="199">
        <f t="shared" si="102"/>
        <v>15436.031782932519</v>
      </c>
      <c r="AN85" s="645">
        <f t="shared" si="103"/>
        <v>7.4737874646949574E-4</v>
      </c>
      <c r="AO85" s="199">
        <v>10</v>
      </c>
      <c r="AP85" s="250">
        <f t="shared" si="104"/>
        <v>1.1362345188046814E-3</v>
      </c>
      <c r="AQ85" s="199">
        <v>10</v>
      </c>
      <c r="AU85" s="199">
        <v>0</v>
      </c>
      <c r="AW85" s="250">
        <f t="shared" si="105"/>
        <v>0</v>
      </c>
      <c r="AX85" s="199">
        <v>1</v>
      </c>
      <c r="AY85" s="199">
        <f t="shared" si="90"/>
        <v>14414.508240942816</v>
      </c>
      <c r="AZ85" s="199">
        <f t="shared" si="106"/>
        <v>14414.508240942816</v>
      </c>
      <c r="BA85" s="252">
        <f t="shared" si="107"/>
        <v>1.1330738879730827E-3</v>
      </c>
      <c r="BB85" s="284">
        <v>1</v>
      </c>
      <c r="BC85" s="199">
        <f t="shared" si="91"/>
        <v>24172.825772072323</v>
      </c>
      <c r="BD85" s="270">
        <f t="shared" si="118"/>
        <v>2.1769344306074813E-3</v>
      </c>
      <c r="BE85" s="199">
        <f t="shared" si="92"/>
        <v>103405.97691386494</v>
      </c>
      <c r="BF85" s="251">
        <f t="shared" si="119"/>
        <v>2.1769344789830587E-3</v>
      </c>
      <c r="BG85" s="204">
        <f t="shared" si="125"/>
        <v>127578.80268593726</v>
      </c>
      <c r="BH85" s="636">
        <v>0</v>
      </c>
      <c r="BI85" s="199">
        <f t="shared" si="108"/>
        <v>59042.821569716885</v>
      </c>
      <c r="BJ85" s="199">
        <f t="shared" si="109"/>
        <v>118085.64313943377</v>
      </c>
      <c r="BK85" s="199">
        <f t="shared" si="116"/>
        <v>177128.46470915066</v>
      </c>
      <c r="BL85" s="251">
        <f t="shared" si="110"/>
        <v>7.4737874646949585E-4</v>
      </c>
      <c r="BM85" s="199">
        <f t="shared" si="93"/>
        <v>21191.054025663158</v>
      </c>
      <c r="BN85" s="251">
        <f t="shared" si="111"/>
        <v>9.1509561585476334E-4</v>
      </c>
      <c r="BT85" s="199">
        <f>'Detailed Budget'!$AD$12</f>
        <v>194045122715</v>
      </c>
      <c r="BU85" s="199">
        <f>'Detailed Budget'!$AD$24</f>
        <v>194045122715</v>
      </c>
      <c r="BV85" s="596">
        <f t="shared" si="94"/>
        <v>0</v>
      </c>
      <c r="BW85" s="278"/>
      <c r="BX85" s="275">
        <f t="shared" si="126"/>
        <v>0</v>
      </c>
      <c r="BY85" s="275">
        <f t="shared" si="127"/>
        <v>0</v>
      </c>
      <c r="CA85" s="199">
        <f>'Detailed Budget'!$AD$96</f>
        <v>71050111380.677719</v>
      </c>
      <c r="CB85" s="275">
        <f t="shared" si="112"/>
        <v>80505025.943025082</v>
      </c>
      <c r="CE85" s="199">
        <f>'Detailed Budget'!$AD$175</f>
        <v>4330586076.5988197</v>
      </c>
      <c r="CF85" s="275">
        <f t="shared" si="95"/>
        <v>9427401.9348573387</v>
      </c>
      <c r="CG85" s="199">
        <f>'Detailed Budget'!$AD$176</f>
        <v>20662817754.37001</v>
      </c>
      <c r="CH85" s="275">
        <f t="shared" si="96"/>
        <v>44981600.402431376</v>
      </c>
      <c r="CI85" s="275">
        <f t="shared" si="122"/>
        <v>54409002.337288715</v>
      </c>
      <c r="CJ85" s="275">
        <f>'Detailed Budget'!$AD$178</f>
        <v>46025131033.061455</v>
      </c>
      <c r="CK85" s="275">
        <f t="shared" si="97"/>
        <v>67871923.183849692</v>
      </c>
      <c r="CL85" s="275">
        <f t="shared" si="121"/>
        <v>122280925.5211384</v>
      </c>
      <c r="CM85" s="278">
        <f>'Detailed Budget'!$AD$189</f>
        <v>77498869683.252869</v>
      </c>
      <c r="CN85" s="275">
        <f t="shared" si="113"/>
        <v>0</v>
      </c>
      <c r="CO85" s="140">
        <f>'Detailed Budget'!$AD$191</f>
        <v>2684962805.4134097</v>
      </c>
      <c r="CP85" s="616">
        <f t="shared" si="114"/>
        <v>0</v>
      </c>
      <c r="CQ85" s="616">
        <f t="shared" si="115"/>
        <v>0</v>
      </c>
      <c r="CR85" s="199">
        <f>'Detailed Budget'!$AD$195</f>
        <v>18734176418</v>
      </c>
      <c r="CS85" s="275">
        <f t="shared" si="98"/>
        <v>17143562.706761494</v>
      </c>
      <c r="CW85" s="278"/>
      <c r="DH85" s="140">
        <f>'Detailed Budget'!$AD$163</f>
        <v>4928560000</v>
      </c>
      <c r="DI85" s="616">
        <f t="shared" si="99"/>
        <v>5600000</v>
      </c>
    </row>
    <row r="86" spans="1:113" outlineLevel="1">
      <c r="A86" s="214"/>
      <c r="B86" s="215"/>
      <c r="C86" s="216"/>
      <c r="D86" s="217"/>
      <c r="E86" s="216"/>
      <c r="F86" s="216"/>
      <c r="G86" s="216"/>
      <c r="H86" s="216"/>
      <c r="I86" s="217"/>
      <c r="J86" s="217"/>
      <c r="K86" s="216"/>
      <c r="L86" s="216"/>
      <c r="M86" s="217"/>
      <c r="N86" s="216"/>
      <c r="O86" s="217"/>
      <c r="P86" s="216"/>
      <c r="Q86" s="217"/>
      <c r="R86" s="217"/>
      <c r="S86" s="217"/>
      <c r="T86" s="217"/>
      <c r="U86" s="218"/>
      <c r="V86" s="867"/>
      <c r="W86" s="219"/>
      <c r="X86" s="220"/>
      <c r="Y86" s="221"/>
      <c r="Z86" s="199"/>
      <c r="AA86" s="221"/>
      <c r="AF86" s="199">
        <f t="shared" si="120"/>
        <v>0</v>
      </c>
      <c r="AG86" s="614">
        <f t="shared" si="117"/>
        <v>0</v>
      </c>
      <c r="AJ86" s="199"/>
      <c r="AK86" s="199">
        <f t="shared" si="129"/>
        <v>0</v>
      </c>
      <c r="AL86" s="199">
        <f t="shared" si="130"/>
        <v>0</v>
      </c>
      <c r="AM86" s="199">
        <f t="shared" si="102"/>
        <v>0</v>
      </c>
      <c r="AN86" s="645">
        <f t="shared" si="103"/>
        <v>0</v>
      </c>
      <c r="AP86" s="250">
        <f t="shared" si="104"/>
        <v>0</v>
      </c>
      <c r="AW86" s="250">
        <f t="shared" si="105"/>
        <v>0</v>
      </c>
      <c r="AX86" s="199"/>
      <c r="BA86" s="252">
        <f t="shared" si="107"/>
        <v>0</v>
      </c>
      <c r="BB86" s="284"/>
      <c r="BD86" s="270"/>
      <c r="BF86" s="251"/>
      <c r="BG86" s="204"/>
      <c r="BH86" s="636"/>
      <c r="BI86" s="199">
        <f t="shared" si="108"/>
        <v>0</v>
      </c>
      <c r="BJ86" s="199">
        <f t="shared" si="109"/>
        <v>0</v>
      </c>
      <c r="BK86" s="199">
        <f t="shared" si="116"/>
        <v>0</v>
      </c>
      <c r="BL86" s="251">
        <f t="shared" si="110"/>
        <v>0</v>
      </c>
      <c r="BN86" s="251">
        <f t="shared" si="111"/>
        <v>0</v>
      </c>
      <c r="BT86" s="199"/>
      <c r="BU86" s="199"/>
      <c r="BV86" s="596"/>
      <c r="BW86" s="278"/>
      <c r="BX86" s="275"/>
      <c r="BY86" s="275"/>
      <c r="CA86" s="199">
        <f>'Detailed Budget'!$AD$96</f>
        <v>71050111380.677719</v>
      </c>
      <c r="CB86" s="275">
        <f t="shared" si="112"/>
        <v>0</v>
      </c>
      <c r="CE86" s="199"/>
      <c r="CF86" s="275"/>
      <c r="CG86" s="199"/>
      <c r="CH86" s="275"/>
      <c r="CI86" s="275"/>
      <c r="CJ86" s="275"/>
      <c r="CK86" s="275"/>
      <c r="CL86" s="275"/>
      <c r="CM86" s="278">
        <f>'Detailed Budget'!$AD$189</f>
        <v>77498869683.252869</v>
      </c>
      <c r="CN86" s="275">
        <f t="shared" si="113"/>
        <v>0</v>
      </c>
      <c r="CO86" s="140">
        <f>'Detailed Budget'!$AD$191</f>
        <v>2684962805.4134097</v>
      </c>
      <c r="CP86" s="616">
        <f t="shared" si="114"/>
        <v>0</v>
      </c>
      <c r="CQ86" s="616">
        <f t="shared" si="115"/>
        <v>0</v>
      </c>
      <c r="CR86" s="199"/>
      <c r="CS86" s="275"/>
      <c r="CW86" s="278"/>
      <c r="DH86" s="140">
        <f>'Detailed Budget'!$AD$163</f>
        <v>4928560000</v>
      </c>
      <c r="DI86" s="616">
        <f t="shared" si="99"/>
        <v>0</v>
      </c>
    </row>
    <row r="87" spans="1:113" s="213" customFormat="1">
      <c r="A87" s="206">
        <v>1.5</v>
      </c>
      <c r="B87" s="207" t="s">
        <v>370</v>
      </c>
      <c r="C87" s="208">
        <f>COUNTA(C89:C101)</f>
        <v>13</v>
      </c>
      <c r="D87" s="208">
        <f t="shared" ref="D87:T87" si="132">COUNTA(D89:D101)</f>
        <v>13</v>
      </c>
      <c r="E87" s="208">
        <f t="shared" si="132"/>
        <v>0</v>
      </c>
      <c r="F87" s="208">
        <f t="shared" si="132"/>
        <v>0</v>
      </c>
      <c r="G87" s="208">
        <f t="shared" si="132"/>
        <v>0</v>
      </c>
      <c r="H87" s="208">
        <f t="shared" si="132"/>
        <v>13</v>
      </c>
      <c r="I87" s="208">
        <f t="shared" si="132"/>
        <v>13</v>
      </c>
      <c r="J87" s="208">
        <f t="shared" si="132"/>
        <v>0</v>
      </c>
      <c r="K87" s="208">
        <f t="shared" si="132"/>
        <v>11</v>
      </c>
      <c r="L87" s="208">
        <f t="shared" si="132"/>
        <v>0</v>
      </c>
      <c r="M87" s="208">
        <f t="shared" si="132"/>
        <v>2</v>
      </c>
      <c r="N87" s="208">
        <f t="shared" si="132"/>
        <v>0</v>
      </c>
      <c r="O87" s="208">
        <f t="shared" si="132"/>
        <v>0</v>
      </c>
      <c r="P87" s="208">
        <f t="shared" si="132"/>
        <v>0</v>
      </c>
      <c r="Q87" s="208">
        <f t="shared" si="132"/>
        <v>0</v>
      </c>
      <c r="R87" s="208">
        <f t="shared" si="132"/>
        <v>13</v>
      </c>
      <c r="S87" s="208">
        <f t="shared" si="132"/>
        <v>0</v>
      </c>
      <c r="T87" s="208">
        <f t="shared" si="132"/>
        <v>0</v>
      </c>
      <c r="U87" s="209">
        <f>SUM(C87:T87)</f>
        <v>78</v>
      </c>
      <c r="V87" s="866"/>
      <c r="W87" s="210">
        <f>SUM(W89:W101)</f>
        <v>1869377</v>
      </c>
      <c r="X87" s="211">
        <v>3.05</v>
      </c>
      <c r="Y87" s="212">
        <f t="shared" si="128"/>
        <v>1.0305</v>
      </c>
      <c r="Z87" s="210">
        <v>19</v>
      </c>
      <c r="AA87" s="212">
        <f t="shared" si="85"/>
        <v>1.7697500211431931</v>
      </c>
      <c r="AB87" s="210">
        <f>SUM(AB89:AB101)</f>
        <v>3308329.9852745989</v>
      </c>
      <c r="AC87" s="213">
        <v>19.100000000000001</v>
      </c>
      <c r="AD87" s="210">
        <f t="shared" ref="AD87:AE87" si="133">SUM(AD89:AD101)</f>
        <v>631891.02718744846</v>
      </c>
      <c r="AE87" s="210">
        <f t="shared" si="133"/>
        <v>600296.47582807601</v>
      </c>
      <c r="AF87" s="210">
        <f>SUM(AF89:AF101)</f>
        <v>600296.47582807601</v>
      </c>
      <c r="AG87" s="614">
        <f t="shared" si="117"/>
        <v>2.7755073691382019E-2</v>
      </c>
      <c r="AH87" s="210">
        <f t="shared" ref="AH87:AO87" si="134">SUM(AH89:AH101)</f>
        <v>165416.49926372999</v>
      </c>
      <c r="AI87" s="252">
        <f t="shared" si="89"/>
        <v>1.2814565567484152E-2</v>
      </c>
      <c r="AJ87" s="210">
        <f t="shared" si="134"/>
        <v>797307.52645117848</v>
      </c>
      <c r="AK87" s="199">
        <f t="shared" si="129"/>
        <v>132333.19941098397</v>
      </c>
      <c r="AL87" s="199">
        <f t="shared" si="130"/>
        <v>132333.19941098397</v>
      </c>
      <c r="AM87" s="199">
        <f t="shared" si="102"/>
        <v>264666.39882196794</v>
      </c>
      <c r="AN87" s="645">
        <f t="shared" si="103"/>
        <v>1.281456556748415E-2</v>
      </c>
      <c r="AO87" s="210">
        <f t="shared" si="134"/>
        <v>147</v>
      </c>
      <c r="AP87" s="250">
        <f t="shared" si="104"/>
        <v>1.6702647426428813E-2</v>
      </c>
      <c r="AQ87" s="210">
        <f t="shared" ref="AQ87" si="135">SUM(AQ89:AQ101)</f>
        <v>147</v>
      </c>
      <c r="AR87" s="210"/>
      <c r="AS87" s="210"/>
      <c r="AT87" s="210"/>
      <c r="AU87" s="199"/>
      <c r="AV87" s="210">
        <v>1837961</v>
      </c>
      <c r="AW87" s="250">
        <f t="shared" si="105"/>
        <v>5.290012983256754E-2</v>
      </c>
      <c r="AX87" s="199"/>
      <c r="AY87" s="210">
        <v>271008</v>
      </c>
      <c r="AZ87" s="210">
        <f t="shared" ref="AZ87" si="136">SUM(AZ89:AZ101)</f>
        <v>0</v>
      </c>
      <c r="BA87" s="252">
        <f t="shared" si="107"/>
        <v>0</v>
      </c>
      <c r="BB87" s="284"/>
      <c r="BC87" s="210">
        <f>SUM(BC89:BC101)</f>
        <v>454961.53957496292</v>
      </c>
      <c r="BD87" s="270">
        <f t="shared" si="118"/>
        <v>4.0972513906387897E-2</v>
      </c>
      <c r="BE87" s="210">
        <f>SUM(BE89:BE101)</f>
        <v>1946224.3637373412</v>
      </c>
      <c r="BF87" s="251">
        <f t="shared" si="119"/>
        <v>4.0972514816874209E-2</v>
      </c>
      <c r="BG87" s="210">
        <f>SUM(BG89:BG101)</f>
        <v>2401185.9033123041</v>
      </c>
      <c r="BH87"/>
      <c r="BI87" s="199">
        <f t="shared" si="108"/>
        <v>1012348.9754940273</v>
      </c>
      <c r="BJ87" s="199">
        <f t="shared" si="109"/>
        <v>2024697.9509880545</v>
      </c>
      <c r="BK87" s="199">
        <f t="shared" si="116"/>
        <v>3037046.9264820819</v>
      </c>
      <c r="BL87" s="251">
        <f t="shared" si="110"/>
        <v>1.2814565567484148E-2</v>
      </c>
      <c r="BM87" s="210">
        <v>376037</v>
      </c>
      <c r="BN87" s="251">
        <f t="shared" si="111"/>
        <v>1.6238447114638462E-2</v>
      </c>
      <c r="BT87" s="210">
        <f>'Detailed Budget'!$AD$12</f>
        <v>194045122715</v>
      </c>
      <c r="BU87" s="210">
        <f>'Detailed Budget'!$AD$24</f>
        <v>194045122715</v>
      </c>
      <c r="BV87" s="596">
        <f>AV87/34743979</f>
        <v>5.290012983256754E-2</v>
      </c>
      <c r="BW87" s="278">
        <v>1</v>
      </c>
      <c r="BX87" s="613">
        <f t="shared" si="126"/>
        <v>10265012185</v>
      </c>
      <c r="BY87" s="613">
        <f t="shared" si="127"/>
        <v>10265012185</v>
      </c>
      <c r="BZ87" s="613">
        <f>BX87+BY87</f>
        <v>20530024370</v>
      </c>
      <c r="CA87" s="210">
        <f>'Detailed Budget'!$AD$96</f>
        <v>71050111380.677719</v>
      </c>
      <c r="CB87" s="613">
        <f t="shared" si="112"/>
        <v>0</v>
      </c>
      <c r="CE87" s="210">
        <f>'Detailed Budget'!$AD$175</f>
        <v>4330586076.5988197</v>
      </c>
      <c r="CF87" s="210">
        <f>SUM(CF89:CF101)</f>
        <v>177434998.24625492</v>
      </c>
      <c r="CG87" s="240">
        <f>'Detailed Budget'!$AD$176</f>
        <v>20662817754.37001</v>
      </c>
      <c r="CH87" s="210">
        <f>SUM(CH89:CH101)</f>
        <v>846607606.59929669</v>
      </c>
      <c r="CI87" s="613">
        <f>SUM(CI89:CI101)</f>
        <v>1024042604.8455517</v>
      </c>
      <c r="CJ87" s="275">
        <f>'Detailed Budget'!$AD$178</f>
        <v>46025131033.061455</v>
      </c>
      <c r="CK87" s="613">
        <f>SUM(CK89:CK101)</f>
        <v>1277430903.4781342</v>
      </c>
      <c r="CL87" s="613">
        <f>SUM(CL89:CL101)</f>
        <v>2301473508.3236856</v>
      </c>
      <c r="CM87" s="278">
        <f>'Detailed Budget'!$AD$189</f>
        <v>77498869683.252869</v>
      </c>
      <c r="CN87" s="275">
        <f t="shared" si="113"/>
        <v>0</v>
      </c>
      <c r="CO87" s="140">
        <f>'Detailed Budget'!$AD$191</f>
        <v>2684962805.4134097</v>
      </c>
      <c r="CP87" s="616">
        <f t="shared" si="114"/>
        <v>0</v>
      </c>
      <c r="CQ87" s="616">
        <f t="shared" si="115"/>
        <v>0</v>
      </c>
      <c r="CR87" s="210">
        <f>'Detailed Budget'!$AD$195</f>
        <v>18734176418</v>
      </c>
      <c r="CS87" s="275">
        <f>BN87*CR87</f>
        <v>304213933</v>
      </c>
      <c r="CW87" s="278"/>
      <c r="DH87" s="140">
        <f>'Detailed Budget'!$AD$163</f>
        <v>4928560000</v>
      </c>
      <c r="DI87" s="616">
        <f t="shared" si="99"/>
        <v>82320000</v>
      </c>
    </row>
    <row r="88" spans="1:113" s="213" customFormat="1">
      <c r="A88" s="214" t="s">
        <v>2323</v>
      </c>
      <c r="B88" s="215" t="s">
        <v>2318</v>
      </c>
      <c r="C88" s="208"/>
      <c r="D88" s="208"/>
      <c r="E88" s="208"/>
      <c r="F88" s="208"/>
      <c r="G88" s="208"/>
      <c r="H88" s="208"/>
      <c r="I88" s="208"/>
      <c r="J88" s="208"/>
      <c r="K88" s="208"/>
      <c r="L88" s="208"/>
      <c r="M88" s="208"/>
      <c r="N88" s="208"/>
      <c r="O88" s="208"/>
      <c r="P88" s="208"/>
      <c r="Q88" s="208"/>
      <c r="R88" s="208"/>
      <c r="S88" s="208"/>
      <c r="T88" s="208"/>
      <c r="U88" s="209"/>
      <c r="V88" s="866"/>
      <c r="W88" s="210"/>
      <c r="X88" s="211"/>
      <c r="Y88" s="212"/>
      <c r="Z88" s="210"/>
      <c r="AA88" s="212"/>
      <c r="AB88" s="210"/>
      <c r="AD88" s="210"/>
      <c r="AE88" s="210"/>
      <c r="AF88" s="199"/>
      <c r="AG88" s="614">
        <f t="shared" si="117"/>
        <v>0</v>
      </c>
      <c r="AH88" s="210"/>
      <c r="AI88" s="252"/>
      <c r="AJ88" s="199"/>
      <c r="AK88" s="199">
        <f t="shared" si="129"/>
        <v>0</v>
      </c>
      <c r="AL88" s="199">
        <f t="shared" si="130"/>
        <v>0</v>
      </c>
      <c r="AM88" s="199">
        <f t="shared" si="102"/>
        <v>0</v>
      </c>
      <c r="AN88" s="645">
        <f t="shared" si="103"/>
        <v>0</v>
      </c>
      <c r="AO88" s="210"/>
      <c r="AP88" s="250"/>
      <c r="AQ88" s="210"/>
      <c r="AR88" s="210"/>
      <c r="AS88" s="210"/>
      <c r="AT88" s="210"/>
      <c r="AU88" s="199"/>
      <c r="AV88" s="240"/>
      <c r="AW88" s="250">
        <f t="shared" si="105"/>
        <v>0</v>
      </c>
      <c r="AX88" s="199"/>
      <c r="AY88" s="210"/>
      <c r="AZ88" s="199"/>
      <c r="BA88" s="252">
        <f t="shared" si="107"/>
        <v>0</v>
      </c>
      <c r="BB88" s="284"/>
      <c r="BC88" s="210"/>
      <c r="BD88" s="270">
        <f t="shared" si="118"/>
        <v>0</v>
      </c>
      <c r="BE88" s="210"/>
      <c r="BF88" s="251">
        <f t="shared" si="119"/>
        <v>0</v>
      </c>
      <c r="BG88" s="204"/>
      <c r="BH88"/>
      <c r="BI88" s="199">
        <f t="shared" si="108"/>
        <v>0</v>
      </c>
      <c r="BJ88" s="199">
        <f t="shared" si="109"/>
        <v>0</v>
      </c>
      <c r="BK88" s="199">
        <f t="shared" si="116"/>
        <v>0</v>
      </c>
      <c r="BL88" s="251">
        <f t="shared" si="110"/>
        <v>0</v>
      </c>
      <c r="BM88" s="210"/>
      <c r="BN88" s="251">
        <f t="shared" si="111"/>
        <v>0</v>
      </c>
      <c r="BT88" s="210"/>
      <c r="BU88" s="210">
        <f>'Detailed Budget'!$AD$24</f>
        <v>194045122715</v>
      </c>
      <c r="BV88" s="596"/>
      <c r="BW88" s="278"/>
      <c r="BX88" s="275"/>
      <c r="BY88" s="275"/>
      <c r="CA88" s="210">
        <f>'Detailed Budget'!$AD$96</f>
        <v>71050111380.677719</v>
      </c>
      <c r="CB88" s="275"/>
      <c r="CE88" s="210"/>
      <c r="CF88" s="275"/>
      <c r="CG88" s="240"/>
      <c r="CH88" s="275"/>
      <c r="CI88" s="275"/>
      <c r="CJ88" s="275"/>
      <c r="CK88" s="275"/>
      <c r="CL88" s="275"/>
      <c r="CM88" s="278">
        <f>'Detailed Budget'!$AD$189</f>
        <v>77498869683.252869</v>
      </c>
      <c r="CN88" s="275">
        <f t="shared" si="113"/>
        <v>0</v>
      </c>
      <c r="CO88" s="140">
        <f>'Detailed Budget'!$AD$191</f>
        <v>2684962805.4134097</v>
      </c>
      <c r="CP88" s="616">
        <f t="shared" si="114"/>
        <v>0</v>
      </c>
      <c r="CQ88" s="616">
        <f t="shared" si="115"/>
        <v>0</v>
      </c>
      <c r="CR88" s="210"/>
      <c r="CS88" s="275"/>
      <c r="CW88" s="278"/>
      <c r="DH88" s="140"/>
      <c r="DI88" s="616"/>
    </row>
    <row r="89" spans="1:113" outlineLevel="1">
      <c r="A89" s="214" t="s">
        <v>371</v>
      </c>
      <c r="B89" s="215" t="s">
        <v>372</v>
      </c>
      <c r="C89" s="216" t="s">
        <v>234</v>
      </c>
      <c r="D89" s="217" t="s">
        <v>234</v>
      </c>
      <c r="E89" s="216"/>
      <c r="F89" s="216"/>
      <c r="G89" s="216"/>
      <c r="H89" s="216" t="s">
        <v>234</v>
      </c>
      <c r="I89" s="217" t="s">
        <v>234</v>
      </c>
      <c r="J89" s="217"/>
      <c r="K89" s="216" t="s">
        <v>234</v>
      </c>
      <c r="L89" s="216"/>
      <c r="M89" s="217"/>
      <c r="N89" s="216"/>
      <c r="O89" s="217"/>
      <c r="P89" s="216"/>
      <c r="Q89" s="217"/>
      <c r="R89" s="217" t="s">
        <v>234</v>
      </c>
      <c r="S89" s="217"/>
      <c r="T89" s="217"/>
      <c r="U89" s="218">
        <f t="shared" ref="U89:U101" si="137">COUNTA(C89:T89)</f>
        <v>6</v>
      </c>
      <c r="V89" s="867" t="s">
        <v>238</v>
      </c>
      <c r="W89" s="219">
        <v>111902</v>
      </c>
      <c r="X89" s="220">
        <v>3.05</v>
      </c>
      <c r="Y89" s="221">
        <f t="shared" si="128"/>
        <v>1.0305</v>
      </c>
      <c r="Z89" s="199">
        <v>19</v>
      </c>
      <c r="AA89" s="221">
        <f t="shared" si="85"/>
        <v>1.7697500211431931</v>
      </c>
      <c r="AB89" s="199">
        <f t="shared" si="123"/>
        <v>198038.56686596561</v>
      </c>
      <c r="AC89">
        <v>19.100000000000001</v>
      </c>
      <c r="AD89" s="199">
        <f t="shared" si="124"/>
        <v>37825.366271399434</v>
      </c>
      <c r="AE89" s="199">
        <f t="shared" si="131"/>
        <v>35934.097957829465</v>
      </c>
      <c r="AF89" s="199">
        <f t="shared" si="120"/>
        <v>35934.097957829465</v>
      </c>
      <c r="AG89" s="614">
        <f t="shared" si="117"/>
        <v>1.6614349359241241E-3</v>
      </c>
      <c r="AH89" s="199">
        <f>AB89*0.05</f>
        <v>9901.9283432982811</v>
      </c>
      <c r="AI89" s="252">
        <f t="shared" si="89"/>
        <v>7.6708738586845314E-4</v>
      </c>
      <c r="AJ89" s="199">
        <f t="shared" si="101"/>
        <v>47727.294614697719</v>
      </c>
      <c r="AK89" s="199">
        <f t="shared" si="129"/>
        <v>7921.5426746386247</v>
      </c>
      <c r="AL89" s="199">
        <f t="shared" si="130"/>
        <v>7921.5426746386247</v>
      </c>
      <c r="AM89" s="199">
        <f t="shared" si="102"/>
        <v>15843.085349277249</v>
      </c>
      <c r="AN89" s="645">
        <f t="shared" si="103"/>
        <v>7.6708738586845314E-4</v>
      </c>
      <c r="AO89" s="199">
        <v>11</v>
      </c>
      <c r="AP89" s="250">
        <f t="shared" si="104"/>
        <v>1.2498579706851495E-3</v>
      </c>
      <c r="AQ89" s="199">
        <v>11</v>
      </c>
      <c r="AU89" s="199">
        <v>1</v>
      </c>
      <c r="AV89" s="199">
        <f t="shared" ref="AV89:AV101" si="138">W89/1869377*1837961</f>
        <v>110021.41987517767</v>
      </c>
      <c r="AW89" s="250">
        <f t="shared" si="105"/>
        <v>3.1666326955579172E-3</v>
      </c>
      <c r="AX89" s="199">
        <v>0</v>
      </c>
      <c r="AY89" s="199">
        <f t="shared" ref="AY89:AY101" si="139">AJ89/797308*271008</f>
        <v>16222.687667676732</v>
      </c>
      <c r="AZ89" s="199">
        <f t="shared" si="106"/>
        <v>0</v>
      </c>
      <c r="BA89" s="252">
        <f t="shared" si="107"/>
        <v>0</v>
      </c>
      <c r="BB89" s="284">
        <v>1</v>
      </c>
      <c r="BC89" s="199">
        <f t="shared" ref="BC89:BC101" si="140">AD89*BB89*0.18*4</f>
        <v>27234.263715407593</v>
      </c>
      <c r="BD89" s="270">
        <f t="shared" si="118"/>
        <v>2.4526386337012911E-3</v>
      </c>
      <c r="BE89" s="199">
        <f t="shared" ref="BE89:BE101" si="141">AD89*BB89*0.77*4</f>
        <v>116502.12811591027</v>
      </c>
      <c r="BF89" s="251">
        <f t="shared" si="119"/>
        <v>2.4526386882035341E-3</v>
      </c>
      <c r="BG89" s="204">
        <f t="shared" si="125"/>
        <v>143736.39183131786</v>
      </c>
      <c r="BH89" s="636">
        <v>0</v>
      </c>
      <c r="BI89" s="199">
        <f t="shared" si="108"/>
        <v>60599.80146098548</v>
      </c>
      <c r="BJ89" s="199">
        <f t="shared" si="109"/>
        <v>121199.60292197096</v>
      </c>
      <c r="BK89" s="199">
        <f t="shared" si="116"/>
        <v>181799.40438295645</v>
      </c>
      <c r="BL89" s="251">
        <f t="shared" si="110"/>
        <v>7.6708738586845325E-4</v>
      </c>
      <c r="BM89" s="199">
        <f t="shared" ref="BM89:BM101" si="142">AH89/165416*376037</f>
        <v>22509.862579368717</v>
      </c>
      <c r="BN89" s="251">
        <f t="shared" si="111"/>
        <v>9.7204587062671552E-4</v>
      </c>
      <c r="BT89" s="199">
        <f>'Detailed Budget'!$AD$12</f>
        <v>194045122715</v>
      </c>
      <c r="BU89" s="199">
        <f>'Detailed Budget'!$AD$24</f>
        <v>194045122715</v>
      </c>
      <c r="BV89" s="596">
        <f t="shared" ref="BV89:BV101" si="143">AV89/34743979</f>
        <v>3.1666326955579172E-3</v>
      </c>
      <c r="BW89" s="278"/>
      <c r="BX89" s="275">
        <f t="shared" si="126"/>
        <v>614469630.00286722</v>
      </c>
      <c r="BY89" s="275">
        <f t="shared" si="127"/>
        <v>614469630.00286722</v>
      </c>
      <c r="CA89" s="199">
        <f>'Detailed Budget'!$AD$96</f>
        <v>71050111380.677719</v>
      </c>
      <c r="CB89" s="275">
        <f t="shared" si="112"/>
        <v>0</v>
      </c>
      <c r="CE89" s="199">
        <f>'Detailed Budget'!$AD$175</f>
        <v>4330586076.5988197</v>
      </c>
      <c r="CF89" s="275">
        <f t="shared" ref="CF89:CF101" si="144">BB89*BD89*CE89</f>
        <v>10621362.718035163</v>
      </c>
      <c r="CG89" s="199">
        <f>'Detailed Budget'!$AD$176</f>
        <v>20662817754.37001</v>
      </c>
      <c r="CH89" s="275">
        <f t="shared" ref="CH89:CH101" si="145">BB89*BF89*CG89</f>
        <v>50678426.231666759</v>
      </c>
      <c r="CI89" s="275">
        <f t="shared" si="122"/>
        <v>61299788.94970192</v>
      </c>
      <c r="CJ89" s="275">
        <f>'Detailed Budget'!$AD$178</f>
        <v>46025131033.061455</v>
      </c>
      <c r="CK89" s="275">
        <f t="shared" ref="CK89:CK101" si="146">BB89*AG89*CJ89</f>
        <v>76467760.628813878</v>
      </c>
      <c r="CL89" s="275">
        <f t="shared" si="121"/>
        <v>137767549.5785158</v>
      </c>
      <c r="CM89" s="278">
        <f>'Detailed Budget'!$AD$189</f>
        <v>77498869683.252869</v>
      </c>
      <c r="CN89" s="275">
        <f t="shared" si="113"/>
        <v>0</v>
      </c>
      <c r="CO89" s="140">
        <f>'Detailed Budget'!$AD$191</f>
        <v>2684962805.4134097</v>
      </c>
      <c r="CP89" s="616">
        <f t="shared" si="114"/>
        <v>0</v>
      </c>
      <c r="CQ89" s="616">
        <f t="shared" si="115"/>
        <v>0</v>
      </c>
      <c r="CR89" s="199">
        <f>'Detailed Budget'!$AD$195</f>
        <v>18734176418</v>
      </c>
      <c r="CS89" s="275">
        <f t="shared" ref="CS89:CS101" si="147">BN89*CR89</f>
        <v>18210478.826709293</v>
      </c>
      <c r="CW89" s="278"/>
      <c r="DH89" s="140">
        <f>'Detailed Budget'!$AD$163</f>
        <v>4928560000</v>
      </c>
      <c r="DI89" s="616">
        <f t="shared" ref="DI89:DI103" si="148">AP89*DH89</f>
        <v>6160000</v>
      </c>
    </row>
    <row r="90" spans="1:113" outlineLevel="1">
      <c r="A90" s="214" t="s">
        <v>373</v>
      </c>
      <c r="B90" s="215" t="s">
        <v>374</v>
      </c>
      <c r="C90" s="216" t="s">
        <v>234</v>
      </c>
      <c r="D90" s="217" t="s">
        <v>234</v>
      </c>
      <c r="E90" s="216"/>
      <c r="F90" s="216"/>
      <c r="G90" s="216"/>
      <c r="H90" s="216" t="s">
        <v>234</v>
      </c>
      <c r="I90" s="217" t="s">
        <v>234</v>
      </c>
      <c r="J90" s="217"/>
      <c r="K90" s="216" t="s">
        <v>234</v>
      </c>
      <c r="L90" s="216"/>
      <c r="M90" s="217"/>
      <c r="N90" s="216"/>
      <c r="O90" s="217"/>
      <c r="P90" s="216"/>
      <c r="Q90" s="217"/>
      <c r="R90" s="217" t="s">
        <v>234</v>
      </c>
      <c r="S90" s="217"/>
      <c r="T90" s="217"/>
      <c r="U90" s="218">
        <f t="shared" si="137"/>
        <v>6</v>
      </c>
      <c r="V90" s="867" t="s">
        <v>238</v>
      </c>
      <c r="W90" s="219">
        <v>113083</v>
      </c>
      <c r="X90" s="220">
        <v>3.05</v>
      </c>
      <c r="Y90" s="221">
        <f t="shared" si="128"/>
        <v>1.0305</v>
      </c>
      <c r="Z90" s="199">
        <v>19</v>
      </c>
      <c r="AA90" s="221">
        <f t="shared" si="85"/>
        <v>1.7697500211431931</v>
      </c>
      <c r="AB90" s="199">
        <f t="shared" si="123"/>
        <v>200128.6416409357</v>
      </c>
      <c r="AC90">
        <v>19.100000000000001</v>
      </c>
      <c r="AD90" s="199">
        <f t="shared" si="124"/>
        <v>38224.570553418722</v>
      </c>
      <c r="AE90" s="199">
        <f t="shared" si="131"/>
        <v>36313.342025747785</v>
      </c>
      <c r="AF90" s="199">
        <f t="shared" si="120"/>
        <v>36313.342025747785</v>
      </c>
      <c r="AG90" s="614">
        <f t="shared" si="117"/>
        <v>1.678969516712013E-3</v>
      </c>
      <c r="AH90" s="199">
        <f t="shared" ref="AH90:AH101" si="149">AB90*0.05</f>
        <v>10006.432082046786</v>
      </c>
      <c r="AI90" s="252">
        <f t="shared" si="89"/>
        <v>7.7518313217066973E-4</v>
      </c>
      <c r="AJ90" s="199">
        <f t="shared" si="101"/>
        <v>48231.002635465506</v>
      </c>
      <c r="AK90" s="199">
        <f t="shared" si="129"/>
        <v>8005.1456656374285</v>
      </c>
      <c r="AL90" s="199">
        <f t="shared" si="130"/>
        <v>8005.1456656374285</v>
      </c>
      <c r="AM90" s="199">
        <f t="shared" si="102"/>
        <v>16010.291331274857</v>
      </c>
      <c r="AN90" s="645">
        <f t="shared" si="103"/>
        <v>7.7518313217066973E-4</v>
      </c>
      <c r="AO90" s="199">
        <v>10</v>
      </c>
      <c r="AP90" s="250">
        <f t="shared" si="104"/>
        <v>1.1362345188046814E-3</v>
      </c>
      <c r="AQ90" s="199">
        <v>10</v>
      </c>
      <c r="AU90" s="199">
        <v>1</v>
      </c>
      <c r="AV90" s="199">
        <f t="shared" si="138"/>
        <v>111182.57246291144</v>
      </c>
      <c r="AW90" s="250">
        <f t="shared" si="105"/>
        <v>3.2000529491141888E-3</v>
      </c>
      <c r="AX90" s="199">
        <v>0</v>
      </c>
      <c r="AY90" s="199">
        <f t="shared" si="139"/>
        <v>16393.899926041424</v>
      </c>
      <c r="AZ90" s="199">
        <f t="shared" si="106"/>
        <v>0</v>
      </c>
      <c r="BA90" s="252">
        <f t="shared" si="107"/>
        <v>0</v>
      </c>
      <c r="BB90" s="284">
        <v>1</v>
      </c>
      <c r="BC90" s="199">
        <f t="shared" si="140"/>
        <v>27521.690798461477</v>
      </c>
      <c r="BD90" s="270">
        <f t="shared" si="118"/>
        <v>2.4785234813930316E-3</v>
      </c>
      <c r="BE90" s="199">
        <f t="shared" si="141"/>
        <v>117731.67730452967</v>
      </c>
      <c r="BF90" s="251">
        <f t="shared" si="119"/>
        <v>2.4785235364704851E-3</v>
      </c>
      <c r="BG90" s="204">
        <f t="shared" si="125"/>
        <v>145253.36810299114</v>
      </c>
      <c r="BH90" s="636">
        <v>0</v>
      </c>
      <c r="BI90" s="199">
        <f t="shared" si="108"/>
        <v>61239.364342126333</v>
      </c>
      <c r="BJ90" s="199">
        <f t="shared" si="109"/>
        <v>122478.72868425267</v>
      </c>
      <c r="BK90" s="199">
        <f t="shared" si="116"/>
        <v>183718.09302637901</v>
      </c>
      <c r="BL90" s="251">
        <f t="shared" si="110"/>
        <v>7.7518313217066984E-4</v>
      </c>
      <c r="BM90" s="199">
        <f t="shared" si="142"/>
        <v>22747.428911572199</v>
      </c>
      <c r="BN90" s="251">
        <f t="shared" si="111"/>
        <v>9.8230472366964703E-4</v>
      </c>
      <c r="BT90" s="199">
        <f>'Detailed Budget'!$AD$12</f>
        <v>194045122715</v>
      </c>
      <c r="BU90" s="199">
        <f>'Detailed Budget'!$AD$24</f>
        <v>194045122715</v>
      </c>
      <c r="BV90" s="596">
        <f t="shared" si="143"/>
        <v>3.2000529491141888E-3</v>
      </c>
      <c r="BW90" s="278"/>
      <c r="BX90" s="275">
        <f t="shared" si="126"/>
        <v>620954667.20536041</v>
      </c>
      <c r="BY90" s="275">
        <f t="shared" si="127"/>
        <v>620954667.20536041</v>
      </c>
      <c r="CA90" s="199">
        <f>'Detailed Budget'!$AD$96</f>
        <v>71050111380.677719</v>
      </c>
      <c r="CB90" s="275">
        <f t="shared" si="112"/>
        <v>0</v>
      </c>
      <c r="CE90" s="199">
        <f>'Detailed Budget'!$AD$175</f>
        <v>4330586076.5988197</v>
      </c>
      <c r="CF90" s="275">
        <f t="shared" si="144"/>
        <v>10733459.279043896</v>
      </c>
      <c r="CG90" s="199">
        <f>'Detailed Budget'!$AD$176</f>
        <v>20662817754.37001</v>
      </c>
      <c r="CH90" s="275">
        <f t="shared" si="145"/>
        <v>51213280.134006284</v>
      </c>
      <c r="CI90" s="275">
        <f t="shared" si="122"/>
        <v>61946739.413050182</v>
      </c>
      <c r="CJ90" s="275">
        <f>'Detailed Budget'!$AD$178</f>
        <v>46025131033.061455</v>
      </c>
      <c r="CK90" s="275">
        <f t="shared" si="146"/>
        <v>77274792.007186264</v>
      </c>
      <c r="CL90" s="275">
        <f t="shared" si="121"/>
        <v>139221531.42023644</v>
      </c>
      <c r="CM90" s="278">
        <f>'Detailed Budget'!$AD$189</f>
        <v>77498869683.252869</v>
      </c>
      <c r="CN90" s="275">
        <f t="shared" si="113"/>
        <v>0</v>
      </c>
      <c r="CO90" s="140">
        <f>'Detailed Budget'!$AD$191</f>
        <v>2684962805.4134097</v>
      </c>
      <c r="CP90" s="616">
        <f t="shared" si="114"/>
        <v>0</v>
      </c>
      <c r="CQ90" s="616">
        <f t="shared" si="115"/>
        <v>0</v>
      </c>
      <c r="CR90" s="199">
        <f>'Detailed Budget'!$AD$195</f>
        <v>18734176418</v>
      </c>
      <c r="CS90" s="275">
        <f t="shared" si="147"/>
        <v>18402669.989461906</v>
      </c>
      <c r="CW90" s="278"/>
      <c r="DH90" s="140">
        <f>'Detailed Budget'!$AD$163</f>
        <v>4928560000</v>
      </c>
      <c r="DI90" s="616">
        <f t="shared" si="148"/>
        <v>5600000</v>
      </c>
    </row>
    <row r="91" spans="1:113" outlineLevel="1">
      <c r="A91" s="214" t="s">
        <v>375</v>
      </c>
      <c r="B91" s="215" t="s">
        <v>376</v>
      </c>
      <c r="C91" s="216" t="s">
        <v>234</v>
      </c>
      <c r="D91" s="217" t="s">
        <v>234</v>
      </c>
      <c r="E91" s="216"/>
      <c r="F91" s="216"/>
      <c r="G91" s="216"/>
      <c r="H91" s="216" t="s">
        <v>234</v>
      </c>
      <c r="I91" s="217" t="s">
        <v>234</v>
      </c>
      <c r="J91" s="217"/>
      <c r="K91" s="216" t="s">
        <v>234</v>
      </c>
      <c r="L91" s="216"/>
      <c r="M91" s="217"/>
      <c r="N91" s="216"/>
      <c r="O91" s="217"/>
      <c r="P91" s="216"/>
      <c r="Q91" s="217"/>
      <c r="R91" s="217" t="s">
        <v>234</v>
      </c>
      <c r="S91" s="217"/>
      <c r="T91" s="217"/>
      <c r="U91" s="218">
        <f t="shared" si="137"/>
        <v>6</v>
      </c>
      <c r="V91" s="867" t="s">
        <v>238</v>
      </c>
      <c r="W91" s="219">
        <v>138991</v>
      </c>
      <c r="X91" s="220">
        <v>3.05</v>
      </c>
      <c r="Y91" s="221">
        <f t="shared" si="128"/>
        <v>1.0305</v>
      </c>
      <c r="Z91" s="199">
        <v>19</v>
      </c>
      <c r="AA91" s="221">
        <f t="shared" si="85"/>
        <v>1.7697500211431931</v>
      </c>
      <c r="AB91" s="199">
        <f t="shared" si="123"/>
        <v>245979.32518871356</v>
      </c>
      <c r="AC91">
        <v>19.100000000000001</v>
      </c>
      <c r="AD91" s="199">
        <f t="shared" si="124"/>
        <v>46982.051111044297</v>
      </c>
      <c r="AE91" s="199">
        <f t="shared" si="131"/>
        <v>44632.948555492083</v>
      </c>
      <c r="AF91" s="199">
        <f t="shared" si="120"/>
        <v>44632.948555492083</v>
      </c>
      <c r="AG91" s="614">
        <f t="shared" si="117"/>
        <v>2.0636315988903677E-3</v>
      </c>
      <c r="AH91" s="199">
        <f t="shared" si="149"/>
        <v>12298.966259435678</v>
      </c>
      <c r="AI91" s="252">
        <f t="shared" si="89"/>
        <v>9.5278228136442742E-4</v>
      </c>
      <c r="AJ91" s="199">
        <f t="shared" si="101"/>
        <v>59281.017370479974</v>
      </c>
      <c r="AK91" s="199">
        <f t="shared" si="129"/>
        <v>9839.173007548543</v>
      </c>
      <c r="AL91" s="199">
        <f t="shared" si="130"/>
        <v>9839.173007548543</v>
      </c>
      <c r="AM91" s="199">
        <f t="shared" si="102"/>
        <v>19678.346015097086</v>
      </c>
      <c r="AN91" s="645">
        <f t="shared" si="103"/>
        <v>9.5278228136442752E-4</v>
      </c>
      <c r="AO91" s="199">
        <v>10</v>
      </c>
      <c r="AP91" s="250">
        <f t="shared" si="104"/>
        <v>1.1362345188046814E-3</v>
      </c>
      <c r="AQ91" s="199">
        <v>10</v>
      </c>
      <c r="AU91" s="199">
        <v>1</v>
      </c>
      <c r="AV91" s="199">
        <f t="shared" si="138"/>
        <v>136655.1730073709</v>
      </c>
      <c r="AW91" s="250">
        <f t="shared" si="105"/>
        <v>3.933204455579797E-3</v>
      </c>
      <c r="AX91" s="199">
        <v>0</v>
      </c>
      <c r="AY91" s="199">
        <f t="shared" si="139"/>
        <v>20149.841661615133</v>
      </c>
      <c r="AZ91" s="199">
        <f t="shared" si="106"/>
        <v>0</v>
      </c>
      <c r="BA91" s="252">
        <f t="shared" si="107"/>
        <v>0</v>
      </c>
      <c r="BB91" s="284">
        <v>1</v>
      </c>
      <c r="BC91" s="199">
        <f t="shared" si="140"/>
        <v>33827.076799951894</v>
      </c>
      <c r="BD91" s="270">
        <f t="shared" si="118"/>
        <v>3.0463682180548709E-3</v>
      </c>
      <c r="BE91" s="199">
        <f t="shared" si="141"/>
        <v>144704.71742201643</v>
      </c>
      <c r="BF91" s="251">
        <f t="shared" si="119"/>
        <v>3.0463682857509019E-3</v>
      </c>
      <c r="BG91" s="204">
        <f t="shared" si="125"/>
        <v>178531.79422196833</v>
      </c>
      <c r="BH91" s="636">
        <v>0</v>
      </c>
      <c r="BI91" s="199">
        <f t="shared" si="108"/>
        <v>75269.673507746338</v>
      </c>
      <c r="BJ91" s="199">
        <f t="shared" si="109"/>
        <v>150539.34701549268</v>
      </c>
      <c r="BK91" s="199">
        <f t="shared" si="116"/>
        <v>225809.02052323901</v>
      </c>
      <c r="BL91" s="251">
        <f t="shared" si="110"/>
        <v>9.5278228136442731E-4</v>
      </c>
      <c r="BM91" s="199">
        <f t="shared" si="142"/>
        <v>27959.00260736213</v>
      </c>
      <c r="BN91" s="251">
        <f t="shared" si="111"/>
        <v>1.2073566835648854E-3</v>
      </c>
      <c r="BT91" s="199">
        <f>'Detailed Budget'!$AD$12</f>
        <v>194045122715</v>
      </c>
      <c r="BU91" s="199">
        <f>'Detailed Budget'!$AD$24</f>
        <v>194045122715</v>
      </c>
      <c r="BV91" s="596">
        <f t="shared" si="143"/>
        <v>3.933204455579797E-3</v>
      </c>
      <c r="BW91" s="278"/>
      <c r="BX91" s="275">
        <f t="shared" si="126"/>
        <v>763219141.24616647</v>
      </c>
      <c r="BY91" s="275">
        <f t="shared" si="127"/>
        <v>763219141.24616647</v>
      </c>
      <c r="CA91" s="199">
        <f>'Detailed Budget'!$AD$96</f>
        <v>71050111380.677719</v>
      </c>
      <c r="CB91" s="275">
        <f t="shared" si="112"/>
        <v>0</v>
      </c>
      <c r="CE91" s="199">
        <f>'Detailed Budget'!$AD$175</f>
        <v>4330586076.5988197</v>
      </c>
      <c r="CF91" s="275">
        <f t="shared" si="144"/>
        <v>13192559.789301582</v>
      </c>
      <c r="CG91" s="199">
        <f>'Detailed Budget'!$AD$176</f>
        <v>20662817754.37001</v>
      </c>
      <c r="CH91" s="275">
        <f t="shared" si="145"/>
        <v>62946552.701163471</v>
      </c>
      <c r="CI91" s="275">
        <f t="shared" si="122"/>
        <v>76139112.490465045</v>
      </c>
      <c r="CJ91" s="275">
        <f>'Detailed Budget'!$AD$178</f>
        <v>46025131033.061455</v>
      </c>
      <c r="CK91" s="275">
        <f t="shared" si="146"/>
        <v>94978914.74289529</v>
      </c>
      <c r="CL91" s="275">
        <f t="shared" si="121"/>
        <v>171118027.23336035</v>
      </c>
      <c r="CM91" s="278">
        <f>'Detailed Budget'!$AD$189</f>
        <v>77498869683.252869</v>
      </c>
      <c r="CN91" s="275">
        <f t="shared" si="113"/>
        <v>0</v>
      </c>
      <c r="CO91" s="140">
        <f>'Detailed Budget'!$AD$191</f>
        <v>2684962805.4134097</v>
      </c>
      <c r="CP91" s="616">
        <f t="shared" si="114"/>
        <v>0</v>
      </c>
      <c r="CQ91" s="616">
        <f t="shared" si="115"/>
        <v>0</v>
      </c>
      <c r="CR91" s="199">
        <f>'Detailed Budget'!$AD$195</f>
        <v>18734176418</v>
      </c>
      <c r="CS91" s="275">
        <f t="shared" si="147"/>
        <v>22618833.109355964</v>
      </c>
      <c r="CW91" s="278"/>
      <c r="DH91" s="140">
        <f>'Detailed Budget'!$AD$163</f>
        <v>4928560000</v>
      </c>
      <c r="DI91" s="616">
        <f t="shared" si="148"/>
        <v>5600000</v>
      </c>
    </row>
    <row r="92" spans="1:113" outlineLevel="1">
      <c r="A92" s="214" t="s">
        <v>377</v>
      </c>
      <c r="B92" s="215" t="s">
        <v>378</v>
      </c>
      <c r="C92" s="216" t="s">
        <v>234</v>
      </c>
      <c r="D92" s="217" t="s">
        <v>234</v>
      </c>
      <c r="E92" s="216"/>
      <c r="F92" s="216"/>
      <c r="G92" s="216"/>
      <c r="H92" s="216" t="s">
        <v>234</v>
      </c>
      <c r="I92" s="217" t="s">
        <v>234</v>
      </c>
      <c r="J92" s="217"/>
      <c r="K92" s="216" t="s">
        <v>234</v>
      </c>
      <c r="L92" s="216"/>
      <c r="M92" s="217"/>
      <c r="N92" s="216"/>
      <c r="O92" s="217"/>
      <c r="P92" s="216"/>
      <c r="Q92" s="217"/>
      <c r="R92" s="217" t="s">
        <v>234</v>
      </c>
      <c r="S92" s="217"/>
      <c r="T92" s="217"/>
      <c r="U92" s="218">
        <f t="shared" si="137"/>
        <v>6</v>
      </c>
      <c r="V92" s="867" t="s">
        <v>238</v>
      </c>
      <c r="W92" s="219">
        <v>216230</v>
      </c>
      <c r="X92" s="220">
        <v>3.05</v>
      </c>
      <c r="Y92" s="221">
        <f t="shared" si="128"/>
        <v>1.0305</v>
      </c>
      <c r="Z92" s="199">
        <v>19</v>
      </c>
      <c r="AA92" s="221">
        <f t="shared" si="85"/>
        <v>1.7697500211431931</v>
      </c>
      <c r="AB92" s="199">
        <f t="shared" si="123"/>
        <v>382673.04707179265</v>
      </c>
      <c r="AC92">
        <v>19.100000000000001</v>
      </c>
      <c r="AD92" s="199">
        <f t="shared" si="124"/>
        <v>73090.551990712411</v>
      </c>
      <c r="AE92" s="199">
        <f t="shared" si="131"/>
        <v>69436.02439117679</v>
      </c>
      <c r="AF92" s="199">
        <f t="shared" si="120"/>
        <v>69436.02439117679</v>
      </c>
      <c r="AG92" s="614">
        <f t="shared" si="117"/>
        <v>3.2104169379892525E-3</v>
      </c>
      <c r="AH92" s="199">
        <f t="shared" si="149"/>
        <v>19133.652353589634</v>
      </c>
      <c r="AI92" s="252">
        <f t="shared" si="89"/>
        <v>1.4822550575176103E-3</v>
      </c>
      <c r="AJ92" s="199">
        <f t="shared" si="101"/>
        <v>92224.204344302037</v>
      </c>
      <c r="AK92" s="199">
        <f t="shared" si="129"/>
        <v>15306.921882871706</v>
      </c>
      <c r="AL92" s="199">
        <f t="shared" si="130"/>
        <v>15306.921882871706</v>
      </c>
      <c r="AM92" s="199">
        <f t="shared" si="102"/>
        <v>30613.843765743411</v>
      </c>
      <c r="AN92" s="645">
        <f t="shared" si="103"/>
        <v>1.4822550575176101E-3</v>
      </c>
      <c r="AO92" s="199">
        <v>11</v>
      </c>
      <c r="AP92" s="250">
        <f t="shared" si="104"/>
        <v>1.2498579706851495E-3</v>
      </c>
      <c r="AQ92" s="199">
        <v>11</v>
      </c>
      <c r="AU92" s="199">
        <v>1</v>
      </c>
      <c r="AV92" s="199">
        <f t="shared" si="138"/>
        <v>212596.12535620155</v>
      </c>
      <c r="AW92" s="250">
        <f t="shared" si="105"/>
        <v>6.1189343153874674E-3</v>
      </c>
      <c r="AX92" s="199">
        <v>0</v>
      </c>
      <c r="AY92" s="199">
        <f t="shared" si="139"/>
        <v>31347.355314308406</v>
      </c>
      <c r="AZ92" s="199">
        <f t="shared" si="106"/>
        <v>0</v>
      </c>
      <c r="BA92" s="252">
        <f t="shared" si="107"/>
        <v>0</v>
      </c>
      <c r="BB92" s="284">
        <v>1</v>
      </c>
      <c r="BC92" s="199">
        <f t="shared" si="140"/>
        <v>52625.197433312933</v>
      </c>
      <c r="BD92" s="270">
        <f t="shared" si="118"/>
        <v>4.7392723254743446E-3</v>
      </c>
      <c r="BE92" s="199">
        <f t="shared" si="141"/>
        <v>225118.90013139424</v>
      </c>
      <c r="BF92" s="251">
        <f t="shared" si="119"/>
        <v>4.73927243078989E-3</v>
      </c>
      <c r="BG92" s="204">
        <f t="shared" si="125"/>
        <v>277744.09756470716</v>
      </c>
      <c r="BH92" s="636">
        <v>0</v>
      </c>
      <c r="BI92" s="199">
        <f t="shared" si="108"/>
        <v>117097.95240396853</v>
      </c>
      <c r="BJ92" s="199">
        <f t="shared" si="109"/>
        <v>234195.90480793707</v>
      </c>
      <c r="BK92" s="199">
        <f t="shared" si="116"/>
        <v>351293.85721190559</v>
      </c>
      <c r="BL92" s="251">
        <f t="shared" si="110"/>
        <v>1.4822550575176098E-3</v>
      </c>
      <c r="BM92" s="199">
        <f t="shared" si="142"/>
        <v>43496.162584555212</v>
      </c>
      <c r="BN92" s="251">
        <f t="shared" si="111"/>
        <v>1.878299571103418E-3</v>
      </c>
      <c r="BT92" s="199">
        <f>'Detailed Budget'!$AD$12</f>
        <v>194045122715</v>
      </c>
      <c r="BU92" s="199">
        <f>'Detailed Budget'!$AD$24</f>
        <v>194045122715</v>
      </c>
      <c r="BV92" s="596">
        <f t="shared" si="143"/>
        <v>6.1189343153874674E-3</v>
      </c>
      <c r="BW92" s="278"/>
      <c r="BX92" s="275">
        <f t="shared" si="126"/>
        <v>1187349360.1143856</v>
      </c>
      <c r="BY92" s="275">
        <f t="shared" si="127"/>
        <v>1187349360.1143856</v>
      </c>
      <c r="CA92" s="199">
        <f>'Detailed Budget'!$AD$96</f>
        <v>71050111380.677719</v>
      </c>
      <c r="CB92" s="275">
        <f t="shared" si="112"/>
        <v>0</v>
      </c>
      <c r="CE92" s="199">
        <f>'Detailed Budget'!$AD$175</f>
        <v>4330586076.5988197</v>
      </c>
      <c r="CF92" s="275">
        <f t="shared" si="144"/>
        <v>20523826.745909307</v>
      </c>
      <c r="CG92" s="199">
        <f>'Detailed Budget'!$AD$176</f>
        <v>20662817754.37001</v>
      </c>
      <c r="CH92" s="275">
        <f t="shared" si="145"/>
        <v>97926722.525721654</v>
      </c>
      <c r="CI92" s="275">
        <f t="shared" si="122"/>
        <v>118450549.27163096</v>
      </c>
      <c r="CJ92" s="275">
        <f>'Detailed Budget'!$AD$178</f>
        <v>46025131033.061455</v>
      </c>
      <c r="CK92" s="275">
        <f t="shared" si="146"/>
        <v>147759860.24171528</v>
      </c>
      <c r="CL92" s="275">
        <f t="shared" si="121"/>
        <v>266210409.51334625</v>
      </c>
      <c r="CM92" s="278">
        <f>'Detailed Budget'!$AD$189</f>
        <v>77498869683.252869</v>
      </c>
      <c r="CN92" s="275">
        <f t="shared" si="113"/>
        <v>0</v>
      </c>
      <c r="CO92" s="140">
        <f>'Detailed Budget'!$AD$191</f>
        <v>2684962805.4134097</v>
      </c>
      <c r="CP92" s="616">
        <f t="shared" si="114"/>
        <v>0</v>
      </c>
      <c r="CQ92" s="616">
        <f t="shared" si="115"/>
        <v>0</v>
      </c>
      <c r="CR92" s="199">
        <f>'Detailed Budget'!$AD$195</f>
        <v>18734176418</v>
      </c>
      <c r="CS92" s="275">
        <f t="shared" si="147"/>
        <v>35188395.530905165</v>
      </c>
      <c r="CW92" s="278"/>
      <c r="DH92" s="140">
        <f>'Detailed Budget'!$AD$163</f>
        <v>4928560000</v>
      </c>
      <c r="DI92" s="616">
        <f t="shared" si="148"/>
        <v>6160000</v>
      </c>
    </row>
    <row r="93" spans="1:113" outlineLevel="1">
      <c r="A93" s="214" t="s">
        <v>379</v>
      </c>
      <c r="B93" s="215" t="s">
        <v>380</v>
      </c>
      <c r="C93" s="216" t="s">
        <v>234</v>
      </c>
      <c r="D93" s="217" t="s">
        <v>234</v>
      </c>
      <c r="E93" s="216"/>
      <c r="F93" s="216"/>
      <c r="G93" s="216"/>
      <c r="H93" s="216" t="s">
        <v>234</v>
      </c>
      <c r="I93" s="217" t="s">
        <v>234</v>
      </c>
      <c r="J93" s="217"/>
      <c r="K93" s="216" t="s">
        <v>234</v>
      </c>
      <c r="L93" s="216"/>
      <c r="M93" s="217"/>
      <c r="N93" s="216"/>
      <c r="O93" s="217"/>
      <c r="P93" s="216"/>
      <c r="Q93" s="217"/>
      <c r="R93" s="217" t="s">
        <v>234</v>
      </c>
      <c r="S93" s="217"/>
      <c r="T93" s="217"/>
      <c r="U93" s="218">
        <f t="shared" si="137"/>
        <v>6</v>
      </c>
      <c r="V93" s="867" t="s">
        <v>238</v>
      </c>
      <c r="W93" s="219">
        <v>81801</v>
      </c>
      <c r="X93" s="220">
        <v>3.05</v>
      </c>
      <c r="Y93" s="221">
        <f t="shared" si="128"/>
        <v>1.0305</v>
      </c>
      <c r="Z93" s="199">
        <v>19</v>
      </c>
      <c r="AA93" s="221">
        <f t="shared" si="85"/>
        <v>1.7697500211431931</v>
      </c>
      <c r="AB93" s="199">
        <f t="shared" si="123"/>
        <v>144767.32147953435</v>
      </c>
      <c r="AC93">
        <v>19.100000000000001</v>
      </c>
      <c r="AD93" s="199">
        <f t="shared" si="124"/>
        <v>27650.558402591065</v>
      </c>
      <c r="AE93" s="199">
        <f t="shared" si="131"/>
        <v>26268.030482461509</v>
      </c>
      <c r="AF93" s="199">
        <f t="shared" si="120"/>
        <v>26268.030482461509</v>
      </c>
      <c r="AG93" s="614">
        <f t="shared" si="117"/>
        <v>1.2145184106944404E-3</v>
      </c>
      <c r="AH93" s="199">
        <f t="shared" si="149"/>
        <v>7238.3660739767183</v>
      </c>
      <c r="AI93" s="252">
        <f t="shared" si="89"/>
        <v>5.6074525255514062E-4</v>
      </c>
      <c r="AJ93" s="199">
        <f t="shared" si="101"/>
        <v>34888.924476567787</v>
      </c>
      <c r="AK93" s="199">
        <f t="shared" si="129"/>
        <v>5790.6928591813739</v>
      </c>
      <c r="AL93" s="199">
        <f t="shared" si="130"/>
        <v>5790.6928591813739</v>
      </c>
      <c r="AM93" s="199">
        <f t="shared" si="102"/>
        <v>11581.385718362748</v>
      </c>
      <c r="AN93" s="645">
        <f t="shared" si="103"/>
        <v>5.6074525255514051E-4</v>
      </c>
      <c r="AO93" s="199">
        <v>10</v>
      </c>
      <c r="AP93" s="250">
        <f t="shared" si="104"/>
        <v>1.1362345188046814E-3</v>
      </c>
      <c r="AQ93" s="199">
        <v>10</v>
      </c>
      <c r="AU93" s="199">
        <v>1</v>
      </c>
      <c r="AV93" s="199">
        <f t="shared" si="138"/>
        <v>80426.285206782792</v>
      </c>
      <c r="AW93" s="250">
        <f t="shared" si="105"/>
        <v>2.3148265547473074E-3</v>
      </c>
      <c r="AX93" s="199">
        <v>0</v>
      </c>
      <c r="AY93" s="199">
        <f t="shared" si="139"/>
        <v>11858.877177384002</v>
      </c>
      <c r="AZ93" s="199">
        <f t="shared" si="106"/>
        <v>0</v>
      </c>
      <c r="BA93" s="252">
        <f t="shared" si="107"/>
        <v>0</v>
      </c>
      <c r="BB93" s="284">
        <v>1</v>
      </c>
      <c r="BC93" s="199">
        <f t="shared" si="140"/>
        <v>19908.402049865566</v>
      </c>
      <c r="BD93" s="270">
        <f t="shared" si="118"/>
        <v>1.792892824752009E-3</v>
      </c>
      <c r="BE93" s="199">
        <f t="shared" si="141"/>
        <v>85163.719879980476</v>
      </c>
      <c r="BF93" s="251">
        <f t="shared" si="119"/>
        <v>1.7928928645934595E-3</v>
      </c>
      <c r="BG93" s="204">
        <f t="shared" si="125"/>
        <v>105072.12192984603</v>
      </c>
      <c r="BH93" s="636">
        <v>0</v>
      </c>
      <c r="BI93" s="199">
        <f t="shared" si="108"/>
        <v>44298.800372737511</v>
      </c>
      <c r="BJ93" s="199">
        <f t="shared" si="109"/>
        <v>88597.600745475022</v>
      </c>
      <c r="BK93" s="199">
        <f t="shared" si="116"/>
        <v>132896.40111821253</v>
      </c>
      <c r="BL93" s="251">
        <f t="shared" si="110"/>
        <v>5.6074525255514051E-4</v>
      </c>
      <c r="BM93" s="199">
        <f t="shared" si="142"/>
        <v>16454.837883638724</v>
      </c>
      <c r="BN93" s="251">
        <f t="shared" si="111"/>
        <v>7.1057107346728348E-4</v>
      </c>
      <c r="BT93" s="199">
        <f>'Detailed Budget'!$AD$12</f>
        <v>194045122715</v>
      </c>
      <c r="BU93" s="199">
        <f>'Detailed Budget'!$AD$24</f>
        <v>194045122715</v>
      </c>
      <c r="BV93" s="596">
        <f t="shared" si="143"/>
        <v>2.3148265547473074E-3</v>
      </c>
      <c r="BW93" s="278"/>
      <c r="BX93" s="275">
        <f t="shared" si="126"/>
        <v>449180802.87988192</v>
      </c>
      <c r="BY93" s="275">
        <f t="shared" si="127"/>
        <v>449180802.87988192</v>
      </c>
      <c r="CA93" s="199">
        <f>'Detailed Budget'!$AD$96</f>
        <v>71050111380.677719</v>
      </c>
      <c r="CB93" s="275">
        <f t="shared" si="112"/>
        <v>0</v>
      </c>
      <c r="CE93" s="199">
        <f>'Detailed Budget'!$AD$175</f>
        <v>4330586076.5988197</v>
      </c>
      <c r="CF93" s="275">
        <f t="shared" si="144"/>
        <v>7764276.7037049783</v>
      </c>
      <c r="CG93" s="199">
        <f>'Detailed Budget'!$AD$176</f>
        <v>20662817754.37001</v>
      </c>
      <c r="CH93" s="275">
        <f t="shared" si="145"/>
        <v>37046218.514205039</v>
      </c>
      <c r="CI93" s="275">
        <f t="shared" si="122"/>
        <v>44810495.217910014</v>
      </c>
      <c r="CJ93" s="275">
        <f>'Detailed Budget'!$AD$178</f>
        <v>46025131033.061455</v>
      </c>
      <c r="CK93" s="275">
        <f t="shared" si="146"/>
        <v>55898368.994277164</v>
      </c>
      <c r="CL93" s="275">
        <f t="shared" si="121"/>
        <v>100708864.21218717</v>
      </c>
      <c r="CM93" s="278">
        <f>'Detailed Budget'!$AD$189</f>
        <v>77498869683.252869</v>
      </c>
      <c r="CN93" s="275">
        <f t="shared" si="113"/>
        <v>0</v>
      </c>
      <c r="CO93" s="140">
        <f>'Detailed Budget'!$AD$191</f>
        <v>2684962805.4134097</v>
      </c>
      <c r="CP93" s="616">
        <f t="shared" si="114"/>
        <v>0</v>
      </c>
      <c r="CQ93" s="616">
        <f t="shared" si="115"/>
        <v>0</v>
      </c>
      <c r="CR93" s="199">
        <f>'Detailed Budget'!$AD$195</f>
        <v>18734176418</v>
      </c>
      <c r="CS93" s="275">
        <f t="shared" si="147"/>
        <v>13311963.847863728</v>
      </c>
      <c r="CW93" s="278"/>
      <c r="DH93" s="140">
        <f>'Detailed Budget'!$AD$163</f>
        <v>4928560000</v>
      </c>
      <c r="DI93" s="616">
        <f t="shared" si="148"/>
        <v>5600000</v>
      </c>
    </row>
    <row r="94" spans="1:113" outlineLevel="1">
      <c r="A94" s="214" t="s">
        <v>381</v>
      </c>
      <c r="B94" s="215" t="s">
        <v>382</v>
      </c>
      <c r="C94" s="216" t="s">
        <v>234</v>
      </c>
      <c r="D94" s="217" t="s">
        <v>234</v>
      </c>
      <c r="E94" s="216"/>
      <c r="F94" s="216"/>
      <c r="G94" s="216"/>
      <c r="H94" s="216" t="s">
        <v>234</v>
      </c>
      <c r="I94" s="217" t="s">
        <v>234</v>
      </c>
      <c r="J94" s="217"/>
      <c r="K94" s="216"/>
      <c r="L94" s="216"/>
      <c r="M94" s="217" t="s">
        <v>234</v>
      </c>
      <c r="N94" s="216"/>
      <c r="O94" s="217"/>
      <c r="P94" s="216"/>
      <c r="Q94" s="217"/>
      <c r="R94" s="217" t="s">
        <v>234</v>
      </c>
      <c r="S94" s="217"/>
      <c r="T94" s="217"/>
      <c r="U94" s="218">
        <f t="shared" si="137"/>
        <v>6</v>
      </c>
      <c r="V94" s="867" t="s">
        <v>238</v>
      </c>
      <c r="W94" s="219">
        <v>92550</v>
      </c>
      <c r="X94" s="220">
        <v>3.05</v>
      </c>
      <c r="Y94" s="221">
        <f t="shared" si="128"/>
        <v>1.0305</v>
      </c>
      <c r="Z94" s="199">
        <v>19</v>
      </c>
      <c r="AA94" s="221">
        <f t="shared" si="85"/>
        <v>1.7697500211431931</v>
      </c>
      <c r="AB94" s="199">
        <f t="shared" si="123"/>
        <v>163790.36445680252</v>
      </c>
      <c r="AC94">
        <v>19.100000000000001</v>
      </c>
      <c r="AD94" s="199">
        <f t="shared" si="124"/>
        <v>31283.959611249284</v>
      </c>
      <c r="AE94" s="199">
        <f t="shared" si="131"/>
        <v>29719.761630686819</v>
      </c>
      <c r="AF94" s="199">
        <f t="shared" si="120"/>
        <v>29719.761630686819</v>
      </c>
      <c r="AG94" s="614">
        <f t="shared" si="117"/>
        <v>1.3741113056047046E-3</v>
      </c>
      <c r="AH94" s="199">
        <f t="shared" si="149"/>
        <v>8189.5182228401263</v>
      </c>
      <c r="AI94" s="252">
        <f t="shared" si="89"/>
        <v>6.3442956839131865E-4</v>
      </c>
      <c r="AJ94" s="199">
        <f t="shared" si="101"/>
        <v>39473.477834089412</v>
      </c>
      <c r="AK94" s="199">
        <f t="shared" si="129"/>
        <v>6551.6145782721005</v>
      </c>
      <c r="AL94" s="199">
        <f t="shared" si="130"/>
        <v>6551.6145782721005</v>
      </c>
      <c r="AM94" s="199">
        <f t="shared" si="102"/>
        <v>13103.229156544201</v>
      </c>
      <c r="AN94" s="645">
        <f t="shared" si="103"/>
        <v>6.3442956839131854E-4</v>
      </c>
      <c r="AO94" s="199">
        <v>10</v>
      </c>
      <c r="AP94" s="250">
        <f t="shared" si="104"/>
        <v>1.1362345188046814E-3</v>
      </c>
      <c r="AQ94" s="199">
        <v>10</v>
      </c>
      <c r="AU94" s="199">
        <v>1</v>
      </c>
      <c r="AV94" s="199">
        <f t="shared" si="138"/>
        <v>90994.641824522289</v>
      </c>
      <c r="AW94" s="250">
        <f t="shared" si="105"/>
        <v>2.6190046288170473E-3</v>
      </c>
      <c r="AX94" s="199">
        <v>0</v>
      </c>
      <c r="AY94" s="199">
        <f t="shared" si="139"/>
        <v>13417.18417582779</v>
      </c>
      <c r="AZ94" s="199">
        <f t="shared" si="106"/>
        <v>0</v>
      </c>
      <c r="BA94" s="252">
        <f t="shared" si="107"/>
        <v>0</v>
      </c>
      <c r="BB94" s="284">
        <v>1</v>
      </c>
      <c r="BC94" s="199">
        <f t="shared" si="140"/>
        <v>22524.450920099483</v>
      </c>
      <c r="BD94" s="270">
        <f t="shared" si="118"/>
        <v>2.0284865824476278E-3</v>
      </c>
      <c r="BE94" s="199">
        <f t="shared" si="141"/>
        <v>96354.595602647794</v>
      </c>
      <c r="BF94" s="251">
        <f t="shared" si="119"/>
        <v>2.0284866275244147E-3</v>
      </c>
      <c r="BG94" s="204">
        <f t="shared" si="125"/>
        <v>118879.04652274727</v>
      </c>
      <c r="BH94" s="636">
        <v>0</v>
      </c>
      <c r="BI94" s="199">
        <f t="shared" si="108"/>
        <v>50119.851523781566</v>
      </c>
      <c r="BJ94" s="199">
        <f t="shared" si="109"/>
        <v>100239.70304756313</v>
      </c>
      <c r="BK94" s="199">
        <f t="shared" si="116"/>
        <v>150359.55457134469</v>
      </c>
      <c r="BL94" s="251">
        <f t="shared" si="110"/>
        <v>6.3442956839131843E-4</v>
      </c>
      <c r="BM94" s="199">
        <f t="shared" si="142"/>
        <v>18617.073704854021</v>
      </c>
      <c r="BN94" s="251">
        <f t="shared" si="111"/>
        <v>8.0394314066328137E-4</v>
      </c>
      <c r="BT94" s="199">
        <f>'Detailed Budget'!$AD$12</f>
        <v>194045122715</v>
      </c>
      <c r="BU94" s="199">
        <f>'Detailed Budget'!$AD$24</f>
        <v>194045122715</v>
      </c>
      <c r="BV94" s="596">
        <f t="shared" si="143"/>
        <v>2.6190046288170473E-3</v>
      </c>
      <c r="BW94" s="278"/>
      <c r="BX94" s="275">
        <f t="shared" si="126"/>
        <v>508205074.589957</v>
      </c>
      <c r="BY94" s="275">
        <f t="shared" si="127"/>
        <v>508205074.589957</v>
      </c>
      <c r="CA94" s="199">
        <f>'Detailed Budget'!$AD$96</f>
        <v>71050111380.677719</v>
      </c>
      <c r="CB94" s="275">
        <f t="shared" si="112"/>
        <v>0</v>
      </c>
      <c r="CE94" s="199">
        <f>'Detailed Budget'!$AD$175</f>
        <v>4330586076.5988197</v>
      </c>
      <c r="CF94" s="275">
        <f t="shared" si="144"/>
        <v>8784535.7505152207</v>
      </c>
      <c r="CG94" s="199">
        <f>'Detailed Budget'!$AD$176</f>
        <v>20662817754.37001</v>
      </c>
      <c r="CH94" s="275">
        <f t="shared" si="145"/>
        <v>41914249.501713626</v>
      </c>
      <c r="CI94" s="275">
        <f t="shared" si="122"/>
        <v>50698785.252228849</v>
      </c>
      <c r="CJ94" s="275">
        <f>'Detailed Budget'!$AD$178</f>
        <v>46025131033.061455</v>
      </c>
      <c r="CK94" s="275">
        <f t="shared" si="146"/>
        <v>63243652.894467682</v>
      </c>
      <c r="CL94" s="275">
        <f t="shared" si="121"/>
        <v>113942438.14669654</v>
      </c>
      <c r="CM94" s="278">
        <f>'Detailed Budget'!$AD$189</f>
        <v>77498869683.252869</v>
      </c>
      <c r="CN94" s="275">
        <f t="shared" si="113"/>
        <v>0</v>
      </c>
      <c r="CO94" s="140">
        <f>'Detailed Budget'!$AD$191</f>
        <v>2684962805.4134097</v>
      </c>
      <c r="CP94" s="616">
        <f t="shared" si="114"/>
        <v>0</v>
      </c>
      <c r="CQ94" s="616">
        <f t="shared" si="115"/>
        <v>0</v>
      </c>
      <c r="CR94" s="199">
        <f>'Detailed Budget'!$AD$195</f>
        <v>18734176418</v>
      </c>
      <c r="CS94" s="275">
        <f t="shared" si="147"/>
        <v>15061212.627226902</v>
      </c>
      <c r="CW94" s="278"/>
      <c r="DH94" s="140">
        <f>'Detailed Budget'!$AD$163</f>
        <v>4928560000</v>
      </c>
      <c r="DI94" s="616">
        <f t="shared" si="148"/>
        <v>5600000</v>
      </c>
    </row>
    <row r="95" spans="1:113" outlineLevel="1">
      <c r="A95" s="214" t="s">
        <v>383</v>
      </c>
      <c r="B95" s="215" t="s">
        <v>384</v>
      </c>
      <c r="C95" s="216" t="s">
        <v>234</v>
      </c>
      <c r="D95" s="217" t="s">
        <v>234</v>
      </c>
      <c r="E95" s="216"/>
      <c r="F95" s="216"/>
      <c r="G95" s="216"/>
      <c r="H95" s="216" t="s">
        <v>234</v>
      </c>
      <c r="I95" s="217" t="s">
        <v>234</v>
      </c>
      <c r="J95" s="217"/>
      <c r="K95" s="216" t="s">
        <v>234</v>
      </c>
      <c r="L95" s="216"/>
      <c r="M95" s="217"/>
      <c r="N95" s="216"/>
      <c r="O95" s="217"/>
      <c r="P95" s="216"/>
      <c r="Q95" s="217"/>
      <c r="R95" s="217" t="s">
        <v>234</v>
      </c>
      <c r="S95" s="217"/>
      <c r="T95" s="217"/>
      <c r="U95" s="218">
        <f t="shared" si="137"/>
        <v>6</v>
      </c>
      <c r="V95" s="867" t="s">
        <v>238</v>
      </c>
      <c r="W95" s="219">
        <v>108558</v>
      </c>
      <c r="X95" s="220">
        <v>3.05</v>
      </c>
      <c r="Y95" s="221">
        <f t="shared" si="128"/>
        <v>1.0305</v>
      </c>
      <c r="Z95" s="199">
        <v>19</v>
      </c>
      <c r="AA95" s="221">
        <f t="shared" si="85"/>
        <v>1.7697500211431931</v>
      </c>
      <c r="AB95" s="199">
        <f t="shared" si="123"/>
        <v>192120.52279526275</v>
      </c>
      <c r="AC95">
        <v>19.100000000000001</v>
      </c>
      <c r="AD95" s="199">
        <f t="shared" si="124"/>
        <v>36695.019853895188</v>
      </c>
      <c r="AE95" s="199">
        <f t="shared" si="131"/>
        <v>34860.268861200428</v>
      </c>
      <c r="AF95" s="199">
        <f t="shared" si="120"/>
        <v>34860.268861200428</v>
      </c>
      <c r="AG95" s="614">
        <f t="shared" si="117"/>
        <v>1.6117857926940629E-3</v>
      </c>
      <c r="AH95" s="199">
        <f t="shared" si="149"/>
        <v>9606.0261397631384</v>
      </c>
      <c r="AI95" s="252">
        <f t="shared" si="89"/>
        <v>7.4416429049621569E-4</v>
      </c>
      <c r="AJ95" s="199">
        <f t="shared" si="101"/>
        <v>46301.045993658328</v>
      </c>
      <c r="AK95" s="199">
        <f t="shared" si="129"/>
        <v>7684.8209118105096</v>
      </c>
      <c r="AL95" s="199">
        <f t="shared" si="130"/>
        <v>7684.8209118105096</v>
      </c>
      <c r="AM95" s="199">
        <f t="shared" si="102"/>
        <v>15369.641823621019</v>
      </c>
      <c r="AN95" s="645">
        <f t="shared" si="103"/>
        <v>7.4416429049621558E-4</v>
      </c>
      <c r="AO95" s="199">
        <v>11</v>
      </c>
      <c r="AP95" s="250">
        <f t="shared" si="104"/>
        <v>1.2498579706851495E-3</v>
      </c>
      <c r="AQ95" s="199">
        <v>11</v>
      </c>
      <c r="AU95" s="199">
        <v>1</v>
      </c>
      <c r="AV95" s="199">
        <f t="shared" si="138"/>
        <v>106733.61779780108</v>
      </c>
      <c r="AW95" s="250">
        <f t="shared" si="105"/>
        <v>3.0720032900607348E-3</v>
      </c>
      <c r="AX95" s="199">
        <v>0</v>
      </c>
      <c r="AY95" s="199">
        <f t="shared" si="139"/>
        <v>15737.900375575507</v>
      </c>
      <c r="AZ95" s="199">
        <f t="shared" si="106"/>
        <v>0</v>
      </c>
      <c r="BA95" s="252">
        <f t="shared" si="107"/>
        <v>0</v>
      </c>
      <c r="BB95" s="284">
        <v>1</v>
      </c>
      <c r="BC95" s="199">
        <f t="shared" si="140"/>
        <v>26420.414294804534</v>
      </c>
      <c r="BD95" s="270">
        <f t="shared" si="118"/>
        <v>2.3793457203387311E-3</v>
      </c>
      <c r="BE95" s="199">
        <f t="shared" si="141"/>
        <v>113020.66114999718</v>
      </c>
      <c r="BF95" s="251">
        <f t="shared" si="119"/>
        <v>2.3793457732122682E-3</v>
      </c>
      <c r="BG95" s="204">
        <f t="shared" si="125"/>
        <v>139441.07544480171</v>
      </c>
      <c r="BH95" s="636">
        <v>0</v>
      </c>
      <c r="BI95" s="199">
        <f t="shared" si="108"/>
        <v>58788.879975350399</v>
      </c>
      <c r="BJ95" s="199">
        <f t="shared" si="109"/>
        <v>117577.7599507008</v>
      </c>
      <c r="BK95" s="199">
        <f t="shared" si="116"/>
        <v>176366.6399260512</v>
      </c>
      <c r="BL95" s="251">
        <f t="shared" si="110"/>
        <v>7.4416429049621558E-4</v>
      </c>
      <c r="BM95" s="199">
        <f t="shared" si="142"/>
        <v>21837.193811469937</v>
      </c>
      <c r="BN95" s="251">
        <f t="shared" si="111"/>
        <v>9.4299794126552667E-4</v>
      </c>
      <c r="BT95" s="199">
        <f>'Detailed Budget'!$AD$12</f>
        <v>194045122715</v>
      </c>
      <c r="BU95" s="199">
        <f>'Detailed Budget'!$AD$24</f>
        <v>194045122715</v>
      </c>
      <c r="BV95" s="596">
        <f t="shared" si="143"/>
        <v>3.0720032900607348E-3</v>
      </c>
      <c r="BW95" s="278"/>
      <c r="BX95" s="275">
        <f t="shared" si="126"/>
        <v>596107255.40071905</v>
      </c>
      <c r="BY95" s="275">
        <f t="shared" si="127"/>
        <v>596107255.40071905</v>
      </c>
      <c r="CA95" s="199">
        <f>'Detailed Budget'!$AD$96</f>
        <v>71050111380.677719</v>
      </c>
      <c r="CB95" s="275">
        <f t="shared" si="112"/>
        <v>0</v>
      </c>
      <c r="CE95" s="199">
        <f>'Detailed Budget'!$AD$175</f>
        <v>4330586076.5988197</v>
      </c>
      <c r="CF95" s="275">
        <f t="shared" si="144"/>
        <v>10303961.447913898</v>
      </c>
      <c r="CG95" s="199">
        <f>'Detailed Budget'!$AD$176</f>
        <v>20662817754.37001</v>
      </c>
      <c r="CH95" s="275">
        <f t="shared" si="145"/>
        <v>49163988.086515695</v>
      </c>
      <c r="CI95" s="275">
        <f t="shared" si="122"/>
        <v>59467949.534429595</v>
      </c>
      <c r="CJ95" s="275">
        <f>'Detailed Budget'!$AD$178</f>
        <v>46025131033.061455</v>
      </c>
      <c r="CK95" s="275">
        <f t="shared" si="146"/>
        <v>74182652.305971071</v>
      </c>
      <c r="CL95" s="275">
        <f t="shared" si="121"/>
        <v>133650601.84040067</v>
      </c>
      <c r="CM95" s="278">
        <f>'Detailed Budget'!$AD$189</f>
        <v>77498869683.252869</v>
      </c>
      <c r="CN95" s="275">
        <f t="shared" si="113"/>
        <v>0</v>
      </c>
      <c r="CO95" s="140">
        <f>'Detailed Budget'!$AD$191</f>
        <v>2684962805.4134097</v>
      </c>
      <c r="CP95" s="616">
        <f t="shared" si="114"/>
        <v>0</v>
      </c>
      <c r="CQ95" s="616">
        <f t="shared" si="115"/>
        <v>0</v>
      </c>
      <c r="CR95" s="199">
        <f>'Detailed Budget'!$AD$195</f>
        <v>18734176418</v>
      </c>
      <c r="CS95" s="275">
        <f t="shared" si="147"/>
        <v>17666289.793479178</v>
      </c>
      <c r="CW95" s="278"/>
      <c r="DH95" s="140">
        <f>'Detailed Budget'!$AD$163</f>
        <v>4928560000</v>
      </c>
      <c r="DI95" s="616">
        <f t="shared" si="148"/>
        <v>6160000</v>
      </c>
    </row>
    <row r="96" spans="1:113" outlineLevel="1">
      <c r="A96" s="214" t="s">
        <v>385</v>
      </c>
      <c r="B96" s="215" t="s">
        <v>386</v>
      </c>
      <c r="C96" s="216" t="s">
        <v>234</v>
      </c>
      <c r="D96" s="217" t="s">
        <v>234</v>
      </c>
      <c r="E96" s="216"/>
      <c r="F96" s="216"/>
      <c r="G96" s="216"/>
      <c r="H96" s="216" t="s">
        <v>234</v>
      </c>
      <c r="I96" s="217" t="s">
        <v>234</v>
      </c>
      <c r="J96" s="217"/>
      <c r="K96" s="216" t="s">
        <v>234</v>
      </c>
      <c r="L96" s="216"/>
      <c r="M96" s="217"/>
      <c r="N96" s="216"/>
      <c r="O96" s="217"/>
      <c r="P96" s="216"/>
      <c r="Q96" s="217"/>
      <c r="R96" s="217" t="s">
        <v>234</v>
      </c>
      <c r="S96" s="217"/>
      <c r="T96" s="217"/>
      <c r="U96" s="218">
        <f t="shared" si="137"/>
        <v>6</v>
      </c>
      <c r="V96" s="867" t="s">
        <v>238</v>
      </c>
      <c r="W96" s="219">
        <v>329922</v>
      </c>
      <c r="X96" s="220">
        <v>3.05</v>
      </c>
      <c r="Y96" s="221">
        <f t="shared" si="128"/>
        <v>1.0305</v>
      </c>
      <c r="Z96" s="199">
        <v>19</v>
      </c>
      <c r="AA96" s="221">
        <f t="shared" si="85"/>
        <v>1.7697500211431931</v>
      </c>
      <c r="AB96" s="199">
        <f t="shared" si="123"/>
        <v>583879.46647560457</v>
      </c>
      <c r="AC96">
        <v>19.100000000000001</v>
      </c>
      <c r="AD96" s="199">
        <f t="shared" si="124"/>
        <v>111520.97809684048</v>
      </c>
      <c r="AE96" s="199">
        <f t="shared" si="131"/>
        <v>105944.92919199845</v>
      </c>
      <c r="AF96" s="199">
        <f t="shared" si="120"/>
        <v>105944.92919199845</v>
      </c>
      <c r="AG96" s="614">
        <f t="shared" si="117"/>
        <v>4.8984284188840124E-3</v>
      </c>
      <c r="AH96" s="199">
        <f t="shared" si="149"/>
        <v>29193.973323780228</v>
      </c>
      <c r="AI96" s="252">
        <f t="shared" si="89"/>
        <v>2.2616128802031401E-3</v>
      </c>
      <c r="AJ96" s="199">
        <f t="shared" si="101"/>
        <v>140714.95142062072</v>
      </c>
      <c r="AK96" s="199">
        <f t="shared" si="129"/>
        <v>23355.178659024183</v>
      </c>
      <c r="AL96" s="199">
        <f t="shared" si="130"/>
        <v>23355.178659024183</v>
      </c>
      <c r="AM96" s="199">
        <f t="shared" si="102"/>
        <v>46710.357318048365</v>
      </c>
      <c r="AN96" s="645">
        <f t="shared" si="103"/>
        <v>2.2616128802031401E-3</v>
      </c>
      <c r="AO96" s="199">
        <v>13</v>
      </c>
      <c r="AP96" s="250">
        <f t="shared" si="104"/>
        <v>1.4771048744460858E-3</v>
      </c>
      <c r="AQ96" s="199">
        <v>13</v>
      </c>
      <c r="AU96" s="199">
        <v>1</v>
      </c>
      <c r="AV96" s="199">
        <f t="shared" si="138"/>
        <v>324377.46320940083</v>
      </c>
      <c r="AW96" s="250">
        <f t="shared" si="105"/>
        <v>9.3362209092228855E-3</v>
      </c>
      <c r="AX96" s="199">
        <v>0</v>
      </c>
      <c r="AY96" s="199">
        <f t="shared" si="139"/>
        <v>47829.543356644579</v>
      </c>
      <c r="AZ96" s="199">
        <f t="shared" si="106"/>
        <v>0</v>
      </c>
      <c r="BA96" s="252">
        <f t="shared" si="107"/>
        <v>0</v>
      </c>
      <c r="BB96" s="284">
        <v>1</v>
      </c>
      <c r="BC96" s="199">
        <f t="shared" si="140"/>
        <v>80295.104229725141</v>
      </c>
      <c r="BD96" s="270">
        <f t="shared" si="118"/>
        <v>7.2311437088523637E-3</v>
      </c>
      <c r="BE96" s="199">
        <f t="shared" si="141"/>
        <v>343484.61253826867</v>
      </c>
      <c r="BF96" s="251">
        <f t="shared" si="119"/>
        <v>7.2311438695419773E-3</v>
      </c>
      <c r="BG96" s="204">
        <f t="shared" si="125"/>
        <v>423779.71676799381</v>
      </c>
      <c r="BH96" s="636">
        <v>0</v>
      </c>
      <c r="BI96" s="199">
        <f t="shared" si="108"/>
        <v>178667.11674153499</v>
      </c>
      <c r="BJ96" s="199">
        <f t="shared" si="109"/>
        <v>357334.23348306998</v>
      </c>
      <c r="BK96" s="199">
        <f t="shared" si="116"/>
        <v>536001.35022460495</v>
      </c>
      <c r="BL96" s="251">
        <f t="shared" si="110"/>
        <v>2.2616128802031401E-3</v>
      </c>
      <c r="BM96" s="199">
        <f t="shared" si="142"/>
        <v>66366.096065400838</v>
      </c>
      <c r="BN96" s="251">
        <f t="shared" si="111"/>
        <v>2.865894423056846E-3</v>
      </c>
      <c r="BT96" s="199">
        <f>'Detailed Budget'!$AD$12</f>
        <v>194045122715</v>
      </c>
      <c r="BU96" s="199">
        <f>'Detailed Budget'!$AD$24</f>
        <v>194045122715</v>
      </c>
      <c r="BV96" s="596">
        <f t="shared" si="143"/>
        <v>9.3362209092228855E-3</v>
      </c>
      <c r="BW96" s="278"/>
      <c r="BX96" s="275">
        <f t="shared" si="126"/>
        <v>1811648132.0245037</v>
      </c>
      <c r="BY96" s="275">
        <f t="shared" si="127"/>
        <v>1811648132.0245037</v>
      </c>
      <c r="CA96" s="199">
        <f>'Detailed Budget'!$AD$96</f>
        <v>71050111380.677719</v>
      </c>
      <c r="CB96" s="275">
        <f t="shared" si="112"/>
        <v>0</v>
      </c>
      <c r="CE96" s="199">
        <f>'Detailed Budget'!$AD$175</f>
        <v>4330586076.5988197</v>
      </c>
      <c r="CF96" s="275">
        <f t="shared" si="144"/>
        <v>31315090.263441198</v>
      </c>
      <c r="CG96" s="199">
        <f>'Detailed Budget'!$AD$176</f>
        <v>20662817754.37001</v>
      </c>
      <c r="CH96" s="275">
        <f t="shared" si="145"/>
        <v>149415807.93197581</v>
      </c>
      <c r="CI96" s="275">
        <f t="shared" si="122"/>
        <v>180730898.19541702</v>
      </c>
      <c r="CJ96" s="275">
        <f>'Detailed Budget'!$AD$178</f>
        <v>46025131033.061455</v>
      </c>
      <c r="CK96" s="275">
        <f t="shared" si="146"/>
        <v>225450809.83520871</v>
      </c>
      <c r="CL96" s="275">
        <f t="shared" si="121"/>
        <v>406181708.0306257</v>
      </c>
      <c r="CM96" s="278">
        <f>'Detailed Budget'!$AD$189</f>
        <v>77498869683.252869</v>
      </c>
      <c r="CN96" s="275">
        <f t="shared" si="113"/>
        <v>0</v>
      </c>
      <c r="CO96" s="140">
        <f>'Detailed Budget'!$AD$191</f>
        <v>2684962805.4134097</v>
      </c>
      <c r="CP96" s="616">
        <f t="shared" si="114"/>
        <v>0</v>
      </c>
      <c r="CQ96" s="616">
        <f t="shared" si="115"/>
        <v>0</v>
      </c>
      <c r="CR96" s="199">
        <f>'Detailed Budget'!$AD$195</f>
        <v>18734176418</v>
      </c>
      <c r="CS96" s="275">
        <f t="shared" si="147"/>
        <v>53690171.716909282</v>
      </c>
      <c r="CW96" s="278"/>
      <c r="DH96" s="140">
        <f>'Detailed Budget'!$AD$163</f>
        <v>4928560000</v>
      </c>
      <c r="DI96" s="616">
        <f t="shared" si="148"/>
        <v>7280000.0000000009</v>
      </c>
    </row>
    <row r="97" spans="1:113" outlineLevel="1">
      <c r="A97" s="214" t="s">
        <v>387</v>
      </c>
      <c r="B97" s="215" t="s">
        <v>388</v>
      </c>
      <c r="C97" s="216" t="s">
        <v>234</v>
      </c>
      <c r="D97" s="217" t="s">
        <v>234</v>
      </c>
      <c r="E97" s="216"/>
      <c r="F97" s="216"/>
      <c r="G97" s="216"/>
      <c r="H97" s="216" t="s">
        <v>234</v>
      </c>
      <c r="I97" s="217" t="s">
        <v>234</v>
      </c>
      <c r="J97" s="217"/>
      <c r="K97" s="216" t="s">
        <v>234</v>
      </c>
      <c r="L97" s="216"/>
      <c r="M97" s="217"/>
      <c r="N97" s="216"/>
      <c r="O97" s="217"/>
      <c r="P97" s="216"/>
      <c r="Q97" s="217"/>
      <c r="R97" s="217" t="s">
        <v>234</v>
      </c>
      <c r="S97" s="217"/>
      <c r="T97" s="217"/>
      <c r="U97" s="218">
        <f t="shared" si="137"/>
        <v>6</v>
      </c>
      <c r="V97" s="867" t="s">
        <v>238</v>
      </c>
      <c r="W97" s="219">
        <v>187220</v>
      </c>
      <c r="X97" s="220">
        <v>3.05</v>
      </c>
      <c r="Y97" s="221">
        <f t="shared" si="128"/>
        <v>1.0305</v>
      </c>
      <c r="Z97" s="199">
        <v>19</v>
      </c>
      <c r="AA97" s="221">
        <f t="shared" si="85"/>
        <v>1.7697500211431931</v>
      </c>
      <c r="AB97" s="199">
        <f t="shared" si="123"/>
        <v>331332.5989584286</v>
      </c>
      <c r="AC97">
        <v>19.100000000000001</v>
      </c>
      <c r="AD97" s="199">
        <f t="shared" si="124"/>
        <v>63284.526401059869</v>
      </c>
      <c r="AE97" s="199">
        <f t="shared" si="131"/>
        <v>60120.30008100687</v>
      </c>
      <c r="AF97" s="199">
        <f t="shared" si="120"/>
        <v>60120.30008100687</v>
      </c>
      <c r="AG97" s="614">
        <f t="shared" si="117"/>
        <v>2.779698742683012E-3</v>
      </c>
      <c r="AH97" s="199">
        <f t="shared" si="149"/>
        <v>16566.629947921432</v>
      </c>
      <c r="AI97" s="252">
        <f t="shared" si="89"/>
        <v>1.2833917211693428E-3</v>
      </c>
      <c r="AJ97" s="199">
        <f t="shared" si="101"/>
        <v>79851.156348981298</v>
      </c>
      <c r="AK97" s="199">
        <f t="shared" si="129"/>
        <v>13253.303958337145</v>
      </c>
      <c r="AL97" s="199">
        <f t="shared" si="130"/>
        <v>13253.303958337145</v>
      </c>
      <c r="AM97" s="199">
        <f t="shared" si="102"/>
        <v>26506.607916674289</v>
      </c>
      <c r="AN97" s="645">
        <f t="shared" si="103"/>
        <v>1.2833917211693426E-3</v>
      </c>
      <c r="AO97" s="199">
        <v>14</v>
      </c>
      <c r="AP97" s="250">
        <f t="shared" si="104"/>
        <v>1.5907283263265539E-3</v>
      </c>
      <c r="AQ97" s="199">
        <v>14</v>
      </c>
      <c r="AU97" s="199">
        <v>1</v>
      </c>
      <c r="AV97" s="199">
        <f t="shared" si="138"/>
        <v>184073.65577943882</v>
      </c>
      <c r="AW97" s="250">
        <f t="shared" si="105"/>
        <v>5.2980015840856575E-3</v>
      </c>
      <c r="AX97" s="199">
        <v>0</v>
      </c>
      <c r="AY97" s="199">
        <f t="shared" si="139"/>
        <v>27141.709577509224</v>
      </c>
      <c r="AZ97" s="199">
        <f t="shared" si="106"/>
        <v>0</v>
      </c>
      <c r="BA97" s="252">
        <f t="shared" si="107"/>
        <v>0</v>
      </c>
      <c r="BB97" s="284">
        <v>1</v>
      </c>
      <c r="BC97" s="199">
        <f t="shared" si="140"/>
        <v>45564.859008763102</v>
      </c>
      <c r="BD97" s="270">
        <f t="shared" si="118"/>
        <v>4.1034387678643425E-3</v>
      </c>
      <c r="BE97" s="199">
        <f t="shared" si="141"/>
        <v>194916.34131526441</v>
      </c>
      <c r="BF97" s="251">
        <f t="shared" si="119"/>
        <v>4.1034388590504697E-3</v>
      </c>
      <c r="BG97" s="204">
        <f t="shared" si="125"/>
        <v>240481.20032402751</v>
      </c>
      <c r="BH97" s="636">
        <v>0</v>
      </c>
      <c r="BI97" s="199">
        <f t="shared" si="108"/>
        <v>101387.77528127914</v>
      </c>
      <c r="BJ97" s="199">
        <f t="shared" si="109"/>
        <v>202775.55056255829</v>
      </c>
      <c r="BK97" s="199">
        <f t="shared" si="116"/>
        <v>304163.32584383746</v>
      </c>
      <c r="BL97" s="251">
        <f t="shared" si="110"/>
        <v>1.2833917211693426E-3</v>
      </c>
      <c r="BM97" s="199">
        <f t="shared" si="142"/>
        <v>37660.600097490766</v>
      </c>
      <c r="BN97" s="251">
        <f t="shared" si="111"/>
        <v>1.626301834629709E-3</v>
      </c>
      <c r="BT97" s="199">
        <f>'Detailed Budget'!$AD$12</f>
        <v>194045122715</v>
      </c>
      <c r="BU97" s="199">
        <f>'Detailed Budget'!$AD$24</f>
        <v>194045122715</v>
      </c>
      <c r="BV97" s="596">
        <f t="shared" si="143"/>
        <v>5.2980015840856575E-3</v>
      </c>
      <c r="BW97" s="278"/>
      <c r="BX97" s="275">
        <f t="shared" si="126"/>
        <v>1028051367.5281658</v>
      </c>
      <c r="BY97" s="275">
        <f t="shared" si="127"/>
        <v>1028051367.5281658</v>
      </c>
      <c r="CA97" s="199">
        <f>'Detailed Budget'!$AD$96</f>
        <v>71050111380.677719</v>
      </c>
      <c r="CB97" s="275">
        <f t="shared" si="112"/>
        <v>0</v>
      </c>
      <c r="CE97" s="199">
        <f>'Detailed Budget'!$AD$175</f>
        <v>4330586076.5988197</v>
      </c>
      <c r="CF97" s="275">
        <f t="shared" si="144"/>
        <v>17770294.794289138</v>
      </c>
      <c r="CG97" s="199">
        <f>'Detailed Budget'!$AD$176</f>
        <v>20662817754.37001</v>
      </c>
      <c r="CH97" s="275">
        <f t="shared" si="145"/>
        <v>84788609.310759857</v>
      </c>
      <c r="CI97" s="275">
        <f t="shared" si="122"/>
        <v>102558904.105049</v>
      </c>
      <c r="CJ97" s="275">
        <f>'Detailed Budget'!$AD$178</f>
        <v>46025131033.061455</v>
      </c>
      <c r="CK97" s="275">
        <f t="shared" si="146"/>
        <v>127935998.8644218</v>
      </c>
      <c r="CL97" s="275">
        <f t="shared" si="121"/>
        <v>230494902.9694708</v>
      </c>
      <c r="CM97" s="278">
        <f>'Detailed Budget'!$AD$189</f>
        <v>77498869683.252869</v>
      </c>
      <c r="CN97" s="275">
        <f t="shared" si="113"/>
        <v>0</v>
      </c>
      <c r="CO97" s="140">
        <f>'Detailed Budget'!$AD$191</f>
        <v>2684962805.4134097</v>
      </c>
      <c r="CP97" s="616">
        <f t="shared" si="114"/>
        <v>0</v>
      </c>
      <c r="CQ97" s="616">
        <f t="shared" si="115"/>
        <v>0</v>
      </c>
      <c r="CR97" s="199">
        <f>'Detailed Budget'!$AD$195</f>
        <v>18734176418</v>
      </c>
      <c r="CS97" s="275">
        <f t="shared" si="147"/>
        <v>30467425.47887003</v>
      </c>
      <c r="CW97" s="278"/>
      <c r="DH97" s="140">
        <f>'Detailed Budget'!$AD$163</f>
        <v>4928560000</v>
      </c>
      <c r="DI97" s="616">
        <f t="shared" si="148"/>
        <v>7840000.0000000009</v>
      </c>
    </row>
    <row r="98" spans="1:113" outlineLevel="1">
      <c r="A98" s="214" t="s">
        <v>389</v>
      </c>
      <c r="B98" s="215" t="s">
        <v>390</v>
      </c>
      <c r="C98" s="216" t="s">
        <v>234</v>
      </c>
      <c r="D98" s="217" t="s">
        <v>234</v>
      </c>
      <c r="E98" s="216"/>
      <c r="F98" s="216"/>
      <c r="G98" s="216"/>
      <c r="H98" s="216" t="s">
        <v>234</v>
      </c>
      <c r="I98" s="217" t="s">
        <v>234</v>
      </c>
      <c r="J98" s="217"/>
      <c r="K98" s="216" t="s">
        <v>234</v>
      </c>
      <c r="L98" s="216"/>
      <c r="M98" s="217"/>
      <c r="N98" s="216"/>
      <c r="O98" s="217"/>
      <c r="P98" s="216"/>
      <c r="Q98" s="217"/>
      <c r="R98" s="217" t="s">
        <v>234</v>
      </c>
      <c r="S98" s="217"/>
      <c r="T98" s="217"/>
      <c r="U98" s="218">
        <f t="shared" si="137"/>
        <v>6</v>
      </c>
      <c r="V98" s="867" t="s">
        <v>238</v>
      </c>
      <c r="W98" s="219">
        <v>148405</v>
      </c>
      <c r="X98" s="220">
        <v>3.05</v>
      </c>
      <c r="Y98" s="221">
        <f t="shared" si="128"/>
        <v>1.0305</v>
      </c>
      <c r="Z98" s="199">
        <v>19</v>
      </c>
      <c r="AA98" s="221">
        <f t="shared" si="85"/>
        <v>1.7697500211431931</v>
      </c>
      <c r="AB98" s="199">
        <f t="shared" si="123"/>
        <v>262639.75188775558</v>
      </c>
      <c r="AC98">
        <v>19.100000000000001</v>
      </c>
      <c r="AD98" s="199">
        <f t="shared" si="124"/>
        <v>50164.192610561317</v>
      </c>
      <c r="AE98" s="199">
        <f t="shared" si="131"/>
        <v>47655.982980033252</v>
      </c>
      <c r="AF98" s="199">
        <f t="shared" si="120"/>
        <v>47655.982980033252</v>
      </c>
      <c r="AG98" s="614">
        <f t="shared" si="117"/>
        <v>2.2034034393113582E-3</v>
      </c>
      <c r="AH98" s="199">
        <f t="shared" si="149"/>
        <v>13131.98759438778</v>
      </c>
      <c r="AI98" s="252">
        <f t="shared" si="89"/>
        <v>1.0173151820325624E-3</v>
      </c>
      <c r="AJ98" s="199">
        <f t="shared" si="101"/>
        <v>63296.180204949094</v>
      </c>
      <c r="AK98" s="199">
        <f t="shared" si="129"/>
        <v>10505.590075510223</v>
      </c>
      <c r="AL98" s="199">
        <f t="shared" si="130"/>
        <v>10505.590075510223</v>
      </c>
      <c r="AM98" s="199">
        <f t="shared" si="102"/>
        <v>21011.180151020446</v>
      </c>
      <c r="AN98" s="645">
        <f t="shared" si="103"/>
        <v>1.0173151820325622E-3</v>
      </c>
      <c r="AO98" s="199">
        <v>15</v>
      </c>
      <c r="AP98" s="250">
        <f t="shared" si="104"/>
        <v>1.7043517782070218E-3</v>
      </c>
      <c r="AQ98" s="199">
        <v>15</v>
      </c>
      <c r="AU98" s="199">
        <v>1</v>
      </c>
      <c r="AV98" s="199">
        <f t="shared" si="138"/>
        <v>145910.9650996027</v>
      </c>
      <c r="AW98" s="250">
        <f t="shared" si="105"/>
        <v>4.1996043429453692E-3</v>
      </c>
      <c r="AX98" s="199">
        <v>0</v>
      </c>
      <c r="AY98" s="199">
        <f t="shared" si="139"/>
        <v>21514.610671136928</v>
      </c>
      <c r="AZ98" s="199">
        <f t="shared" si="106"/>
        <v>0</v>
      </c>
      <c r="BA98" s="252">
        <f t="shared" si="107"/>
        <v>0</v>
      </c>
      <c r="BB98" s="284">
        <v>1</v>
      </c>
      <c r="BC98" s="199">
        <f t="shared" si="140"/>
        <v>36118.21867960415</v>
      </c>
      <c r="BD98" s="270">
        <f t="shared" si="118"/>
        <v>3.2527017965223149E-3</v>
      </c>
      <c r="BE98" s="199">
        <f t="shared" si="141"/>
        <v>154505.71324052886</v>
      </c>
      <c r="BF98" s="251">
        <f t="shared" si="119"/>
        <v>3.252701868803466E-3</v>
      </c>
      <c r="BG98" s="204">
        <f t="shared" si="125"/>
        <v>190623.93192013301</v>
      </c>
      <c r="BH98" s="636">
        <v>0</v>
      </c>
      <c r="BI98" s="199">
        <f t="shared" si="108"/>
        <v>80367.764077653206</v>
      </c>
      <c r="BJ98" s="199">
        <f t="shared" si="109"/>
        <v>160735.52815530641</v>
      </c>
      <c r="BK98" s="199">
        <f t="shared" si="116"/>
        <v>241103.29223295962</v>
      </c>
      <c r="BL98" s="251">
        <f t="shared" si="110"/>
        <v>1.0173151820325622E-3</v>
      </c>
      <c r="BM98" s="199">
        <f t="shared" si="142"/>
        <v>29852.693929431236</v>
      </c>
      <c r="BN98" s="251">
        <f t="shared" si="111"/>
        <v>1.2891321641289495E-3</v>
      </c>
      <c r="BT98" s="199">
        <f>'Detailed Budget'!$AD$12</f>
        <v>194045122715</v>
      </c>
      <c r="BU98" s="199">
        <f>'Detailed Budget'!$AD$24</f>
        <v>194045122715</v>
      </c>
      <c r="BV98" s="596">
        <f t="shared" si="143"/>
        <v>4.1996043429453692E-3</v>
      </c>
      <c r="BW98" s="278"/>
      <c r="BX98" s="275">
        <f t="shared" si="126"/>
        <v>814912740.08128107</v>
      </c>
      <c r="BY98" s="275">
        <f t="shared" si="127"/>
        <v>814912740.08128107</v>
      </c>
      <c r="CA98" s="199">
        <f>'Detailed Budget'!$AD$96</f>
        <v>71050111380.677719</v>
      </c>
      <c r="CB98" s="275">
        <f t="shared" si="112"/>
        <v>0</v>
      </c>
      <c r="CE98" s="199">
        <f>'Detailed Budget'!$AD$175</f>
        <v>4330586076.5988197</v>
      </c>
      <c r="CF98" s="275">
        <f t="shared" si="144"/>
        <v>14086105.111347504</v>
      </c>
      <c r="CG98" s="199">
        <f>'Detailed Budget'!$AD$176</f>
        <v>20662817754.37001</v>
      </c>
      <c r="CH98" s="275">
        <f t="shared" si="145"/>
        <v>67209985.924384773</v>
      </c>
      <c r="CI98" s="275">
        <f t="shared" si="122"/>
        <v>81296091.035732269</v>
      </c>
      <c r="CJ98" s="275">
        <f>'Detailed Budget'!$AD$178</f>
        <v>46025131033.061455</v>
      </c>
      <c r="CK98" s="275">
        <f t="shared" si="146"/>
        <v>101411932.01300353</v>
      </c>
      <c r="CL98" s="275">
        <f t="shared" si="121"/>
        <v>182708023.0487358</v>
      </c>
      <c r="CM98" s="278">
        <f>'Detailed Budget'!$AD$189</f>
        <v>77498869683.252869</v>
      </c>
      <c r="CN98" s="275">
        <f t="shared" si="113"/>
        <v>0</v>
      </c>
      <c r="CO98" s="140">
        <f>'Detailed Budget'!$AD$191</f>
        <v>2684962805.4134097</v>
      </c>
      <c r="CP98" s="616">
        <f t="shared" si="114"/>
        <v>0</v>
      </c>
      <c r="CQ98" s="616">
        <f t="shared" si="115"/>
        <v>0</v>
      </c>
      <c r="CR98" s="199">
        <f>'Detailed Budget'!$AD$195</f>
        <v>18734176418</v>
      </c>
      <c r="CS98" s="275">
        <f t="shared" si="147"/>
        <v>24150829.388909873</v>
      </c>
      <c r="CW98" s="278"/>
      <c r="DH98" s="140">
        <f>'Detailed Budget'!$AD$163</f>
        <v>4928560000</v>
      </c>
      <c r="DI98" s="616">
        <f t="shared" si="148"/>
        <v>8400000</v>
      </c>
    </row>
    <row r="99" spans="1:113" outlineLevel="1">
      <c r="A99" s="214" t="s">
        <v>391</v>
      </c>
      <c r="B99" s="215" t="s">
        <v>392</v>
      </c>
      <c r="C99" s="216" t="s">
        <v>234</v>
      </c>
      <c r="D99" s="217" t="s">
        <v>234</v>
      </c>
      <c r="E99" s="216"/>
      <c r="F99" s="216"/>
      <c r="G99" s="216"/>
      <c r="H99" s="216" t="s">
        <v>234</v>
      </c>
      <c r="I99" s="217" t="s">
        <v>234</v>
      </c>
      <c r="J99" s="217"/>
      <c r="K99" s="216" t="s">
        <v>234</v>
      </c>
      <c r="L99" s="216"/>
      <c r="M99" s="217"/>
      <c r="N99" s="216"/>
      <c r="O99" s="217"/>
      <c r="P99" s="216"/>
      <c r="Q99" s="217"/>
      <c r="R99" s="217" t="s">
        <v>234</v>
      </c>
      <c r="S99" s="217"/>
      <c r="T99" s="217"/>
      <c r="U99" s="218">
        <f t="shared" si="137"/>
        <v>6</v>
      </c>
      <c r="V99" s="867" t="s">
        <v>238</v>
      </c>
      <c r="W99" s="219">
        <v>148977</v>
      </c>
      <c r="X99" s="220">
        <v>3.05</v>
      </c>
      <c r="Y99" s="221">
        <f t="shared" si="128"/>
        <v>1.0305</v>
      </c>
      <c r="Z99" s="199">
        <v>19</v>
      </c>
      <c r="AA99" s="221">
        <f t="shared" si="85"/>
        <v>1.7697500211431931</v>
      </c>
      <c r="AB99" s="199">
        <f t="shared" si="123"/>
        <v>263652.04889984947</v>
      </c>
      <c r="AC99">
        <v>19.100000000000001</v>
      </c>
      <c r="AD99" s="199">
        <f t="shared" si="124"/>
        <v>50357.541339871248</v>
      </c>
      <c r="AE99" s="199">
        <f t="shared" si="131"/>
        <v>47839.664272877686</v>
      </c>
      <c r="AF99" s="199">
        <f t="shared" si="120"/>
        <v>47839.664272877686</v>
      </c>
      <c r="AG99" s="614">
        <f t="shared" si="117"/>
        <v>2.2118960559164998E-3</v>
      </c>
      <c r="AH99" s="199">
        <f t="shared" si="149"/>
        <v>13182.602444992473</v>
      </c>
      <c r="AI99" s="252">
        <f t="shared" si="89"/>
        <v>1.0212362378199185E-3</v>
      </c>
      <c r="AJ99" s="199">
        <f t="shared" si="101"/>
        <v>63540.143784863722</v>
      </c>
      <c r="AK99" s="199">
        <f t="shared" si="129"/>
        <v>10546.081955993979</v>
      </c>
      <c r="AL99" s="199">
        <f t="shared" si="130"/>
        <v>10546.081955993979</v>
      </c>
      <c r="AM99" s="199">
        <f t="shared" si="102"/>
        <v>21092.163911987958</v>
      </c>
      <c r="AN99" s="645">
        <f t="shared" si="103"/>
        <v>1.0212362378199185E-3</v>
      </c>
      <c r="AO99" s="199">
        <v>10</v>
      </c>
      <c r="AP99" s="250">
        <f t="shared" si="104"/>
        <v>1.1362345188046814E-3</v>
      </c>
      <c r="AQ99" s="199">
        <v>10</v>
      </c>
      <c r="AU99" s="199">
        <v>1</v>
      </c>
      <c r="AV99" s="199">
        <f t="shared" si="138"/>
        <v>146473.3522970487</v>
      </c>
      <c r="AW99" s="250">
        <f t="shared" si="105"/>
        <v>4.2157909517804137E-3</v>
      </c>
      <c r="AX99" s="199">
        <v>0</v>
      </c>
      <c r="AY99" s="199">
        <f t="shared" si="139"/>
        <v>21597.534813206872</v>
      </c>
      <c r="AZ99" s="199">
        <f t="shared" si="106"/>
        <v>0</v>
      </c>
      <c r="BA99" s="252">
        <f t="shared" si="107"/>
        <v>0</v>
      </c>
      <c r="BB99" s="284">
        <v>1</v>
      </c>
      <c r="BC99" s="199">
        <f t="shared" si="140"/>
        <v>36257.429764707296</v>
      </c>
      <c r="BD99" s="270">
        <f t="shared" si="118"/>
        <v>3.2652387422290674E-3</v>
      </c>
      <c r="BE99" s="199">
        <f t="shared" si="141"/>
        <v>155101.22732680343</v>
      </c>
      <c r="BF99" s="251">
        <f t="shared" si="119"/>
        <v>3.2652388147888134E-3</v>
      </c>
      <c r="BG99" s="204">
        <f t="shared" si="125"/>
        <v>191358.65709151071</v>
      </c>
      <c r="BH99" s="636">
        <v>0</v>
      </c>
      <c r="BI99" s="199">
        <f t="shared" si="108"/>
        <v>80677.526963353943</v>
      </c>
      <c r="BJ99" s="199">
        <f t="shared" si="109"/>
        <v>161355.05392670789</v>
      </c>
      <c r="BK99" s="199">
        <f t="shared" si="116"/>
        <v>242032.58089006183</v>
      </c>
      <c r="BL99" s="251">
        <f t="shared" si="110"/>
        <v>1.0212362378199187E-3</v>
      </c>
      <c r="BM99" s="199">
        <f t="shared" si="142"/>
        <v>29967.755692361286</v>
      </c>
      <c r="BN99" s="251">
        <f t="shared" si="111"/>
        <v>1.2941008888880999E-3</v>
      </c>
      <c r="BT99" s="199">
        <f>'Detailed Budget'!$AD$12</f>
        <v>194045122715</v>
      </c>
      <c r="BU99" s="199">
        <f>'Detailed Budget'!$AD$24</f>
        <v>194045122715</v>
      </c>
      <c r="BV99" s="596">
        <f t="shared" si="143"/>
        <v>4.2157909517804137E-3</v>
      </c>
      <c r="BW99" s="278"/>
      <c r="BX99" s="275">
        <f t="shared" si="126"/>
        <v>818053672.57901704</v>
      </c>
      <c r="BY99" s="275">
        <f t="shared" si="127"/>
        <v>818053672.57901704</v>
      </c>
      <c r="CA99" s="199">
        <f>'Detailed Budget'!$AD$96</f>
        <v>71050111380.677719</v>
      </c>
      <c r="CB99" s="275">
        <f t="shared" si="112"/>
        <v>0</v>
      </c>
      <c r="CE99" s="199">
        <f>'Detailed Budget'!$AD$175</f>
        <v>4330586076.5988197</v>
      </c>
      <c r="CF99" s="275">
        <f t="shared" si="144"/>
        <v>14140397.433868242</v>
      </c>
      <c r="CG99" s="199">
        <f>'Detailed Budget'!$AD$176</f>
        <v>20662817754.37001</v>
      </c>
      <c r="CH99" s="275">
        <f t="shared" si="145"/>
        <v>67469034.55447638</v>
      </c>
      <c r="CI99" s="275">
        <f t="shared" si="122"/>
        <v>81609431.988344625</v>
      </c>
      <c r="CJ99" s="275">
        <f>'Detailed Budget'!$AD$178</f>
        <v>46025131033.061455</v>
      </c>
      <c r="CK99" s="275">
        <f t="shared" si="146"/>
        <v>101802805.80506873</v>
      </c>
      <c r="CL99" s="275">
        <f t="shared" si="121"/>
        <v>183412237.79341334</v>
      </c>
      <c r="CM99" s="278">
        <f>'Detailed Budget'!$AD$189</f>
        <v>77498869683.252869</v>
      </c>
      <c r="CN99" s="275">
        <f t="shared" si="113"/>
        <v>0</v>
      </c>
      <c r="CO99" s="140">
        <f>'Detailed Budget'!$AD$191</f>
        <v>2684962805.4134097</v>
      </c>
      <c r="CP99" s="616">
        <f t="shared" si="114"/>
        <v>0</v>
      </c>
      <c r="CQ99" s="616">
        <f t="shared" si="115"/>
        <v>0</v>
      </c>
      <c r="CR99" s="199">
        <f>'Detailed Budget'!$AD$195</f>
        <v>18734176418</v>
      </c>
      <c r="CS99" s="275">
        <f t="shared" si="147"/>
        <v>24243914.355120279</v>
      </c>
      <c r="CW99" s="278"/>
      <c r="DH99" s="140">
        <f>'Detailed Budget'!$AD$163</f>
        <v>4928560000</v>
      </c>
      <c r="DI99" s="616">
        <f t="shared" si="148"/>
        <v>5600000</v>
      </c>
    </row>
    <row r="100" spans="1:113" outlineLevel="1">
      <c r="A100" s="214" t="s">
        <v>393</v>
      </c>
      <c r="B100" s="215" t="s">
        <v>394</v>
      </c>
      <c r="C100" s="216" t="s">
        <v>234</v>
      </c>
      <c r="D100" s="217" t="s">
        <v>234</v>
      </c>
      <c r="E100" s="216"/>
      <c r="F100" s="216"/>
      <c r="G100" s="216"/>
      <c r="H100" s="216" t="s">
        <v>234</v>
      </c>
      <c r="I100" s="217" t="s">
        <v>234</v>
      </c>
      <c r="J100" s="217"/>
      <c r="K100" s="216"/>
      <c r="L100" s="216"/>
      <c r="M100" s="217" t="s">
        <v>234</v>
      </c>
      <c r="N100" s="216"/>
      <c r="O100" s="217"/>
      <c r="P100" s="216"/>
      <c r="Q100" s="217"/>
      <c r="R100" s="217" t="s">
        <v>234</v>
      </c>
      <c r="S100" s="217"/>
      <c r="T100" s="217"/>
      <c r="U100" s="218">
        <f t="shared" si="137"/>
        <v>6</v>
      </c>
      <c r="V100" s="867" t="s">
        <v>238</v>
      </c>
      <c r="W100" s="219">
        <v>119051</v>
      </c>
      <c r="X100" s="220">
        <v>3.05</v>
      </c>
      <c r="Y100" s="221">
        <f t="shared" si="128"/>
        <v>1.0305</v>
      </c>
      <c r="Z100" s="199">
        <v>19</v>
      </c>
      <c r="AA100" s="221">
        <f t="shared" si="85"/>
        <v>1.7697500211431931</v>
      </c>
      <c r="AB100" s="199">
        <f t="shared" si="123"/>
        <v>210690.50976711829</v>
      </c>
      <c r="AC100">
        <v>19.100000000000001</v>
      </c>
      <c r="AD100" s="199">
        <f t="shared" si="124"/>
        <v>40241.887365519593</v>
      </c>
      <c r="AE100" s="199">
        <f t="shared" si="131"/>
        <v>38229.79299724361</v>
      </c>
      <c r="AF100" s="199">
        <f t="shared" si="120"/>
        <v>38229.79299724361</v>
      </c>
      <c r="AG100" s="614">
        <f t="shared" si="117"/>
        <v>1.7675777962565713E-3</v>
      </c>
      <c r="AH100" s="199">
        <f t="shared" si="149"/>
        <v>10534.525488355916</v>
      </c>
      <c r="AI100" s="252">
        <f t="shared" si="89"/>
        <v>8.1609372821777281E-4</v>
      </c>
      <c r="AJ100" s="199">
        <f t="shared" si="101"/>
        <v>50776.41285387551</v>
      </c>
      <c r="AK100" s="199">
        <f t="shared" si="129"/>
        <v>8427.6203906847313</v>
      </c>
      <c r="AL100" s="199">
        <f t="shared" si="130"/>
        <v>8427.6203906847313</v>
      </c>
      <c r="AM100" s="199">
        <f t="shared" si="102"/>
        <v>16855.240781369463</v>
      </c>
      <c r="AN100" s="645">
        <f t="shared" si="103"/>
        <v>8.1609372821777281E-4</v>
      </c>
      <c r="AO100" s="199">
        <v>12</v>
      </c>
      <c r="AP100" s="250">
        <f t="shared" si="104"/>
        <v>1.3634814225656176E-3</v>
      </c>
      <c r="AQ100" s="199">
        <v>12</v>
      </c>
      <c r="AU100" s="199">
        <v>1</v>
      </c>
      <c r="AV100" s="199">
        <f t="shared" si="138"/>
        <v>117050.27664885146</v>
      </c>
      <c r="AW100" s="250">
        <f t="shared" si="105"/>
        <v>3.3689370077287771E-3</v>
      </c>
      <c r="AX100" s="199">
        <v>0</v>
      </c>
      <c r="AY100" s="199">
        <f t="shared" si="139"/>
        <v>17259.094471274708</v>
      </c>
      <c r="AZ100" s="199">
        <f t="shared" si="106"/>
        <v>0</v>
      </c>
      <c r="BA100" s="252">
        <f t="shared" si="107"/>
        <v>0</v>
      </c>
      <c r="BB100" s="284">
        <v>1</v>
      </c>
      <c r="BC100" s="199">
        <f t="shared" si="140"/>
        <v>28974.158903174106</v>
      </c>
      <c r="BD100" s="270">
        <f t="shared" si="118"/>
        <v>2.6093285372984607E-3</v>
      </c>
      <c r="BE100" s="199">
        <f t="shared" si="141"/>
        <v>123945.01308580035</v>
      </c>
      <c r="BF100" s="251">
        <f t="shared" si="119"/>
        <v>2.6093285952826484E-3</v>
      </c>
      <c r="BG100" s="204">
        <f t="shared" si="125"/>
        <v>152919.17198897447</v>
      </c>
      <c r="BH100" s="636">
        <v>0</v>
      </c>
      <c r="BI100" s="199">
        <f t="shared" si="108"/>
        <v>64471.295988738195</v>
      </c>
      <c r="BJ100" s="199">
        <f t="shared" si="109"/>
        <v>128942.59197747639</v>
      </c>
      <c r="BK100" s="199">
        <f t="shared" si="116"/>
        <v>193413.88796621459</v>
      </c>
      <c r="BL100" s="251">
        <f t="shared" si="110"/>
        <v>8.1609372821777281E-4</v>
      </c>
      <c r="BM100" s="199">
        <f t="shared" si="142"/>
        <v>23947.933459066193</v>
      </c>
      <c r="BN100" s="251">
        <f t="shared" si="111"/>
        <v>1.0341462435343525E-3</v>
      </c>
      <c r="BT100" s="199">
        <f>'Detailed Budget'!$AD$12</f>
        <v>194045122715</v>
      </c>
      <c r="BU100" s="199">
        <f>'Detailed Budget'!$AD$24</f>
        <v>194045122715</v>
      </c>
      <c r="BV100" s="596">
        <f t="shared" si="143"/>
        <v>3.3689370077287771E-3</v>
      </c>
      <c r="BW100" s="278"/>
      <c r="BX100" s="275">
        <f t="shared" si="126"/>
        <v>653725795.08383548</v>
      </c>
      <c r="BY100" s="275">
        <f t="shared" si="127"/>
        <v>653725795.08383548</v>
      </c>
      <c r="CA100" s="199">
        <f>'Detailed Budget'!$AD$96</f>
        <v>71050111380.677719</v>
      </c>
      <c r="CB100" s="275">
        <f t="shared" si="112"/>
        <v>0</v>
      </c>
      <c r="CE100" s="199">
        <f>'Detailed Budget'!$AD$175</f>
        <v>4330586076.5988197</v>
      </c>
      <c r="CF100" s="275">
        <f t="shared" si="144"/>
        <v>11299921.832896678</v>
      </c>
      <c r="CG100" s="199">
        <f>'Detailed Budget'!$AD$176</f>
        <v>20662817754.37001</v>
      </c>
      <c r="CH100" s="275">
        <f t="shared" si="145"/>
        <v>53916081.225591667</v>
      </c>
      <c r="CI100" s="275">
        <f t="shared" si="122"/>
        <v>65216003.058488347</v>
      </c>
      <c r="CJ100" s="275">
        <f>'Detailed Budget'!$AD$178</f>
        <v>46025131033.061455</v>
      </c>
      <c r="CK100" s="275">
        <f t="shared" si="146"/>
        <v>81352999.683838695</v>
      </c>
      <c r="CL100" s="275">
        <f t="shared" si="121"/>
        <v>146569002.74232703</v>
      </c>
      <c r="CM100" s="278">
        <f>'Detailed Budget'!$AD$189</f>
        <v>77498869683.252869</v>
      </c>
      <c r="CN100" s="275">
        <f t="shared" si="113"/>
        <v>0</v>
      </c>
      <c r="CO100" s="140">
        <f>'Detailed Budget'!$AD$191</f>
        <v>2684962805.4134097</v>
      </c>
      <c r="CP100" s="616">
        <f t="shared" si="114"/>
        <v>0</v>
      </c>
      <c r="CQ100" s="616">
        <f t="shared" si="115"/>
        <v>0</v>
      </c>
      <c r="CR100" s="199">
        <f>'Detailed Budget'!$AD$195</f>
        <v>18734176418</v>
      </c>
      <c r="CS100" s="275">
        <f t="shared" si="147"/>
        <v>19373878.168384552</v>
      </c>
      <c r="CW100" s="278"/>
      <c r="DH100" s="140">
        <f>'Detailed Budget'!$AD$163</f>
        <v>4928560000</v>
      </c>
      <c r="DI100" s="616">
        <f t="shared" si="148"/>
        <v>6720000</v>
      </c>
    </row>
    <row r="101" spans="1:113" outlineLevel="1">
      <c r="A101" s="214" t="s">
        <v>395</v>
      </c>
      <c r="B101" s="215" t="s">
        <v>396</v>
      </c>
      <c r="C101" s="216" t="s">
        <v>234</v>
      </c>
      <c r="D101" s="217" t="s">
        <v>234</v>
      </c>
      <c r="E101" s="216"/>
      <c r="F101" s="216"/>
      <c r="G101" s="216"/>
      <c r="H101" s="216" t="s">
        <v>234</v>
      </c>
      <c r="I101" s="217" t="s">
        <v>234</v>
      </c>
      <c r="J101" s="217"/>
      <c r="K101" s="216" t="s">
        <v>234</v>
      </c>
      <c r="L101" s="216"/>
      <c r="M101" s="217"/>
      <c r="N101" s="216"/>
      <c r="O101" s="217"/>
      <c r="P101" s="216"/>
      <c r="Q101" s="217"/>
      <c r="R101" s="217" t="s">
        <v>234</v>
      </c>
      <c r="S101" s="217"/>
      <c r="T101" s="217"/>
      <c r="U101" s="218">
        <f t="shared" si="137"/>
        <v>6</v>
      </c>
      <c r="V101" s="867" t="s">
        <v>238</v>
      </c>
      <c r="W101" s="219">
        <v>72687</v>
      </c>
      <c r="X101" s="220">
        <v>3.05</v>
      </c>
      <c r="Y101" s="221">
        <f t="shared" si="128"/>
        <v>1.0305</v>
      </c>
      <c r="Z101" s="199">
        <v>19</v>
      </c>
      <c r="AA101" s="221">
        <f t="shared" si="85"/>
        <v>1.7697500211431931</v>
      </c>
      <c r="AB101" s="199">
        <f t="shared" si="123"/>
        <v>128637.81978683527</v>
      </c>
      <c r="AC101">
        <v>19.100000000000001</v>
      </c>
      <c r="AD101" s="199">
        <f t="shared" si="124"/>
        <v>24569.823579285541</v>
      </c>
      <c r="AE101" s="199">
        <f t="shared" si="131"/>
        <v>23341.332400321262</v>
      </c>
      <c r="AF101" s="199">
        <f t="shared" si="120"/>
        <v>23341.332400321262</v>
      </c>
      <c r="AG101" s="614">
        <f t="shared" si="117"/>
        <v>1.0792007398216009E-3</v>
      </c>
      <c r="AH101" s="199">
        <f t="shared" si="149"/>
        <v>6431.890989341764</v>
      </c>
      <c r="AI101" s="252">
        <f t="shared" si="89"/>
        <v>4.9826884967757727E-4</v>
      </c>
      <c r="AJ101" s="199">
        <f t="shared" si="101"/>
        <v>31001.714568627307</v>
      </c>
      <c r="AK101" s="199">
        <f t="shared" si="129"/>
        <v>5145.5127914734112</v>
      </c>
      <c r="AL101" s="199">
        <f t="shared" si="130"/>
        <v>5145.5127914734112</v>
      </c>
      <c r="AM101" s="199">
        <f t="shared" si="102"/>
        <v>10291.025582946822</v>
      </c>
      <c r="AN101" s="645">
        <f t="shared" si="103"/>
        <v>4.9826884967757727E-4</v>
      </c>
      <c r="AO101" s="199">
        <v>10</v>
      </c>
      <c r="AP101" s="250">
        <f t="shared" si="104"/>
        <v>1.1362345188046814E-3</v>
      </c>
      <c r="AQ101" s="199">
        <v>10</v>
      </c>
      <c r="AU101" s="199">
        <v>1</v>
      </c>
      <c r="AV101" s="199">
        <f t="shared" si="138"/>
        <v>71465.451434889808</v>
      </c>
      <c r="AW101" s="250">
        <f t="shared" si="105"/>
        <v>2.0569161475399752E-3</v>
      </c>
      <c r="AX101" s="199">
        <v>0</v>
      </c>
      <c r="AY101" s="199">
        <f t="shared" si="139"/>
        <v>10537.599850766015</v>
      </c>
      <c r="AZ101" s="199">
        <f t="shared" si="106"/>
        <v>0</v>
      </c>
      <c r="BA101" s="252">
        <f t="shared" si="107"/>
        <v>0</v>
      </c>
      <c r="BB101" s="284">
        <v>1</v>
      </c>
      <c r="BC101" s="199">
        <f t="shared" si="140"/>
        <v>17690.272977085588</v>
      </c>
      <c r="BD101" s="270">
        <f t="shared" si="118"/>
        <v>1.5931345674594351E-3</v>
      </c>
      <c r="BE101" s="199">
        <f t="shared" si="141"/>
        <v>75675.056624199467</v>
      </c>
      <c r="BF101" s="251">
        <f t="shared" si="119"/>
        <v>1.5931346028618817E-3</v>
      </c>
      <c r="BG101" s="204">
        <f t="shared" si="125"/>
        <v>93365.329601285048</v>
      </c>
      <c r="BH101" s="636">
        <v>0</v>
      </c>
      <c r="BI101" s="199">
        <f t="shared" si="108"/>
        <v>39363.172854771597</v>
      </c>
      <c r="BJ101" s="199">
        <f t="shared" si="109"/>
        <v>78726.345709543195</v>
      </c>
      <c r="BK101" s="199">
        <f t="shared" si="116"/>
        <v>118089.51856431479</v>
      </c>
      <c r="BL101" s="251">
        <f t="shared" si="110"/>
        <v>4.9826884967757727E-4</v>
      </c>
      <c r="BM101" s="199">
        <f t="shared" si="142"/>
        <v>14621.493640029435</v>
      </c>
      <c r="BN101" s="251">
        <f t="shared" si="111"/>
        <v>6.3140156742724947E-4</v>
      </c>
      <c r="BT101" s="199">
        <f>'Detailed Budget'!$AD$12</f>
        <v>194045122715</v>
      </c>
      <c r="BU101" s="199">
        <f>'Detailed Budget'!$AD$24</f>
        <v>194045122715</v>
      </c>
      <c r="BV101" s="596">
        <f t="shared" si="143"/>
        <v>2.0569161475399752E-3</v>
      </c>
      <c r="BW101" s="278"/>
      <c r="BX101" s="275">
        <f t="shared" si="126"/>
        <v>399134546.26385957</v>
      </c>
      <c r="BY101" s="275">
        <f t="shared" si="127"/>
        <v>399134546.26385957</v>
      </c>
      <c r="CA101" s="199">
        <f>'Detailed Budget'!$AD$96</f>
        <v>71050111380.677719</v>
      </c>
      <c r="CB101" s="275">
        <f t="shared" si="112"/>
        <v>0</v>
      </c>
      <c r="CE101" s="199">
        <f>'Detailed Budget'!$AD$175</f>
        <v>4330586076.5988197</v>
      </c>
      <c r="CF101" s="275">
        <f t="shared" si="144"/>
        <v>6899206.3759881128</v>
      </c>
      <c r="CG101" s="199">
        <f>'Detailed Budget'!$AD$176</f>
        <v>20662817754.37001</v>
      </c>
      <c r="CH101" s="275">
        <f t="shared" si="145"/>
        <v>32918649.957115706</v>
      </c>
      <c r="CI101" s="275">
        <f t="shared" si="122"/>
        <v>39817856.333103821</v>
      </c>
      <c r="CJ101" s="275">
        <f>'Detailed Budget'!$AD$178</f>
        <v>46025131033.061455</v>
      </c>
      <c r="CK101" s="275">
        <f t="shared" si="146"/>
        <v>49670355.461266041</v>
      </c>
      <c r="CL101" s="275">
        <f t="shared" si="121"/>
        <v>89488211.794369861</v>
      </c>
      <c r="CM101" s="278">
        <f>'Detailed Budget'!$AD$189</f>
        <v>77498869683.252869</v>
      </c>
      <c r="CN101" s="275">
        <f t="shared" si="113"/>
        <v>0</v>
      </c>
      <c r="CO101" s="140">
        <f>'Detailed Budget'!$AD$191</f>
        <v>2684962805.4134097</v>
      </c>
      <c r="CP101" s="616">
        <f t="shared" si="114"/>
        <v>0</v>
      </c>
      <c r="CQ101" s="616">
        <f t="shared" si="115"/>
        <v>0</v>
      </c>
      <c r="CR101" s="199">
        <f>'Detailed Budget'!$AD$195</f>
        <v>18734176418</v>
      </c>
      <c r="CS101" s="275">
        <f t="shared" si="147"/>
        <v>11828788.354783814</v>
      </c>
      <c r="CW101" s="278"/>
      <c r="DH101" s="140">
        <f>'Detailed Budget'!$AD$163</f>
        <v>4928560000</v>
      </c>
      <c r="DI101" s="616">
        <f t="shared" si="148"/>
        <v>5600000</v>
      </c>
    </row>
    <row r="102" spans="1:113" outlineLevel="1">
      <c r="A102" s="214"/>
      <c r="B102" s="215"/>
      <c r="C102" s="216"/>
      <c r="D102" s="217"/>
      <c r="E102" s="216"/>
      <c r="F102" s="216"/>
      <c r="G102" s="216"/>
      <c r="H102" s="216"/>
      <c r="I102" s="217"/>
      <c r="J102" s="217"/>
      <c r="K102" s="216"/>
      <c r="L102" s="216"/>
      <c r="M102" s="217"/>
      <c r="N102" s="216"/>
      <c r="O102" s="217"/>
      <c r="P102" s="216"/>
      <c r="Q102" s="217"/>
      <c r="R102" s="217"/>
      <c r="S102" s="217"/>
      <c r="T102" s="217"/>
      <c r="U102" s="218"/>
      <c r="V102" s="867"/>
      <c r="W102" s="219"/>
      <c r="X102" s="220"/>
      <c r="Y102" s="221"/>
      <c r="Z102" s="199"/>
      <c r="AA102" s="221"/>
      <c r="AF102" s="199">
        <f t="shared" si="120"/>
        <v>0</v>
      </c>
      <c r="AG102" s="614">
        <f t="shared" si="117"/>
        <v>0</v>
      </c>
      <c r="AJ102" s="199"/>
      <c r="AK102" s="199">
        <f t="shared" si="129"/>
        <v>0</v>
      </c>
      <c r="AL102" s="199">
        <f t="shared" si="130"/>
        <v>0</v>
      </c>
      <c r="AM102" s="199">
        <f t="shared" si="102"/>
        <v>0</v>
      </c>
      <c r="AN102" s="645">
        <f t="shared" si="103"/>
        <v>0</v>
      </c>
      <c r="AP102" s="250">
        <f t="shared" si="104"/>
        <v>0</v>
      </c>
      <c r="AW102" s="250">
        <f t="shared" si="105"/>
        <v>0</v>
      </c>
      <c r="AX102" s="199"/>
      <c r="AZ102" s="199">
        <f t="shared" si="106"/>
        <v>0</v>
      </c>
      <c r="BA102" s="252">
        <f t="shared" si="107"/>
        <v>0</v>
      </c>
      <c r="BB102" s="284"/>
      <c r="BD102" s="270"/>
      <c r="BF102" s="251"/>
      <c r="BG102" s="204"/>
      <c r="BH102" s="636"/>
      <c r="BI102" s="199">
        <f t="shared" si="108"/>
        <v>0</v>
      </c>
      <c r="BJ102" s="199">
        <f t="shared" si="109"/>
        <v>0</v>
      </c>
      <c r="BK102" s="199">
        <f t="shared" si="116"/>
        <v>0</v>
      </c>
      <c r="BL102" s="251">
        <f t="shared" si="110"/>
        <v>0</v>
      </c>
      <c r="BN102" s="251">
        <f t="shared" si="111"/>
        <v>0</v>
      </c>
      <c r="BT102" s="199"/>
      <c r="BU102" s="199"/>
      <c r="BV102" s="596"/>
      <c r="BW102" s="278"/>
      <c r="BX102" s="275"/>
      <c r="BY102" s="275"/>
      <c r="CA102" s="199">
        <f>'Detailed Budget'!$AD$96</f>
        <v>71050111380.677719</v>
      </c>
      <c r="CB102" s="275">
        <f t="shared" si="112"/>
        <v>0</v>
      </c>
      <c r="CE102" s="199"/>
      <c r="CF102" s="275"/>
      <c r="CG102" s="199"/>
      <c r="CH102" s="275"/>
      <c r="CI102" s="275"/>
      <c r="CJ102" s="275"/>
      <c r="CK102" s="275"/>
      <c r="CL102" s="275"/>
      <c r="CM102" s="278">
        <f>'Detailed Budget'!$AD$189</f>
        <v>77498869683.252869</v>
      </c>
      <c r="CN102" s="275">
        <f t="shared" si="113"/>
        <v>0</v>
      </c>
      <c r="CO102" s="140">
        <f>'Detailed Budget'!$AD$191</f>
        <v>2684962805.4134097</v>
      </c>
      <c r="CP102" s="616">
        <f t="shared" si="114"/>
        <v>0</v>
      </c>
      <c r="CQ102" s="616">
        <f t="shared" si="115"/>
        <v>0</v>
      </c>
      <c r="CR102" s="199"/>
      <c r="CS102" s="275"/>
      <c r="CW102" s="278"/>
      <c r="DH102" s="140">
        <f>'Detailed Budget'!$AD$163</f>
        <v>4928560000</v>
      </c>
      <c r="DI102" s="616">
        <f t="shared" si="148"/>
        <v>0</v>
      </c>
    </row>
    <row r="103" spans="1:113" s="223" customFormat="1">
      <c r="A103" s="206">
        <v>1.6</v>
      </c>
      <c r="B103" s="207" t="s">
        <v>397</v>
      </c>
      <c r="C103" s="222">
        <f t="shared" ref="C103:T103" si="150">COUNTA(C105:C129)</f>
        <v>25</v>
      </c>
      <c r="D103" s="222">
        <f t="shared" si="150"/>
        <v>25</v>
      </c>
      <c r="E103" s="222">
        <f t="shared" si="150"/>
        <v>0</v>
      </c>
      <c r="F103" s="222">
        <f t="shared" si="150"/>
        <v>0</v>
      </c>
      <c r="G103" s="222">
        <f t="shared" si="150"/>
        <v>0</v>
      </c>
      <c r="H103" s="222">
        <f t="shared" si="150"/>
        <v>25</v>
      </c>
      <c r="I103" s="222">
        <f t="shared" si="150"/>
        <v>25</v>
      </c>
      <c r="J103" s="222">
        <f t="shared" si="150"/>
        <v>0</v>
      </c>
      <c r="K103" s="222">
        <f t="shared" si="150"/>
        <v>22</v>
      </c>
      <c r="L103" s="222">
        <f t="shared" si="150"/>
        <v>0</v>
      </c>
      <c r="M103" s="222">
        <f t="shared" si="150"/>
        <v>3</v>
      </c>
      <c r="N103" s="222">
        <f t="shared" si="150"/>
        <v>0</v>
      </c>
      <c r="O103" s="222">
        <f t="shared" si="150"/>
        <v>0</v>
      </c>
      <c r="P103" s="222">
        <f t="shared" si="150"/>
        <v>0</v>
      </c>
      <c r="Q103" s="222">
        <f t="shared" si="150"/>
        <v>0</v>
      </c>
      <c r="R103" s="222">
        <f t="shared" si="150"/>
        <v>25</v>
      </c>
      <c r="S103" s="222">
        <f t="shared" si="150"/>
        <v>2</v>
      </c>
      <c r="T103" s="222">
        <f t="shared" si="150"/>
        <v>0</v>
      </c>
      <c r="U103" s="209">
        <f>SUM(C103:T103)</f>
        <v>152</v>
      </c>
      <c r="V103" s="866"/>
      <c r="W103" s="210">
        <f>SUM(W105:W129)</f>
        <v>3954772</v>
      </c>
      <c r="X103" s="211">
        <v>3.42</v>
      </c>
      <c r="Y103" s="212">
        <f t="shared" si="128"/>
        <v>1.0342</v>
      </c>
      <c r="Z103" s="210">
        <v>19</v>
      </c>
      <c r="AA103" s="212">
        <f t="shared" si="85"/>
        <v>1.8944630332534185</v>
      </c>
      <c r="AB103" s="210">
        <f>SUM(AB105:AB129)</f>
        <v>7492169.3589456901</v>
      </c>
      <c r="AC103" s="213">
        <v>19.899999999999999</v>
      </c>
      <c r="AD103" s="210">
        <f t="shared" ref="AD103:AE103" si="151">SUM(AD105:AD129)</f>
        <v>1490941.7024301921</v>
      </c>
      <c r="AE103" s="210">
        <f t="shared" si="151"/>
        <v>1416394.6173086823</v>
      </c>
      <c r="AF103" s="210">
        <f>SUM(AF105:AF129)</f>
        <v>1416394.6173086823</v>
      </c>
      <c r="AG103" s="614">
        <f t="shared" si="117"/>
        <v>6.5487869015473363E-2</v>
      </c>
      <c r="AH103" s="210">
        <f t="shared" ref="AH103:AO103" si="152">SUM(AH105:AH129)</f>
        <v>374608.4679472844</v>
      </c>
      <c r="AI103" s="252">
        <f t="shared" si="89"/>
        <v>2.9020350424607429E-2</v>
      </c>
      <c r="AJ103" s="210">
        <f t="shared" si="152"/>
        <v>1865550.1703774764</v>
      </c>
      <c r="AK103" s="199">
        <f t="shared" si="129"/>
        <v>299686.77435782761</v>
      </c>
      <c r="AL103" s="199">
        <f t="shared" si="130"/>
        <v>299686.77435782761</v>
      </c>
      <c r="AM103" s="199">
        <f t="shared" si="102"/>
        <v>599373.54871565523</v>
      </c>
      <c r="AN103" s="645">
        <f t="shared" si="103"/>
        <v>2.902035042460744E-2</v>
      </c>
      <c r="AO103" s="210">
        <f t="shared" si="152"/>
        <v>274</v>
      </c>
      <c r="AP103" s="250">
        <f t="shared" si="104"/>
        <v>3.1132825815248268E-2</v>
      </c>
      <c r="AQ103" s="210">
        <f t="shared" ref="AQ103" si="153">SUM(AQ105:AQ129)</f>
        <v>274</v>
      </c>
      <c r="AR103" s="210"/>
      <c r="AS103" s="210"/>
      <c r="AT103" s="210"/>
      <c r="AU103" s="199"/>
      <c r="AV103" s="210">
        <v>4162316</v>
      </c>
      <c r="AW103" s="250">
        <f t="shared" si="105"/>
        <v>0.119799634923795</v>
      </c>
      <c r="AX103" s="199"/>
      <c r="AY103" s="240">
        <v>548669</v>
      </c>
      <c r="AZ103" s="210">
        <f t="shared" ref="AZ103" si="154">SUM(AZ105:AZ129)</f>
        <v>0</v>
      </c>
      <c r="BA103" s="252">
        <f t="shared" si="107"/>
        <v>0</v>
      </c>
      <c r="BB103" s="284"/>
      <c r="BC103" s="210">
        <f>SUM(BC105:BC129)</f>
        <v>1073478.0257497379</v>
      </c>
      <c r="BD103" s="270">
        <f t="shared" si="118"/>
        <v>9.6674310930376942E-2</v>
      </c>
      <c r="BE103" s="210">
        <f>SUM(BE105:BE129)</f>
        <v>4592100.4434849899</v>
      </c>
      <c r="BF103" s="251">
        <f t="shared" si="119"/>
        <v>9.667431307866195E-2</v>
      </c>
      <c r="BG103" s="210">
        <f>SUM(BG105:BG129)</f>
        <v>5665578.4692347301</v>
      </c>
      <c r="BH103"/>
      <c r="BI103" s="199">
        <f t="shared" si="108"/>
        <v>2292603.8238373813</v>
      </c>
      <c r="BJ103" s="199">
        <f t="shared" si="109"/>
        <v>4585207.6476747626</v>
      </c>
      <c r="BK103" s="199">
        <f t="shared" si="116"/>
        <v>6877811.4715121444</v>
      </c>
      <c r="BL103" s="251">
        <f t="shared" si="110"/>
        <v>2.9020350424607443E-2</v>
      </c>
      <c r="BM103" s="210">
        <v>689311</v>
      </c>
      <c r="BN103" s="251">
        <f t="shared" si="111"/>
        <v>2.9766592699757077E-2</v>
      </c>
      <c r="BT103" s="240">
        <f>'Detailed Budget'!$AD$12</f>
        <v>194045122715</v>
      </c>
      <c r="BU103" s="240">
        <f>'Detailed Budget'!$AD$24</f>
        <v>194045122715</v>
      </c>
      <c r="BV103" s="596">
        <f>AV103/34743979</f>
        <v>0.119799634923795</v>
      </c>
      <c r="BW103" s="278">
        <v>1</v>
      </c>
      <c r="BX103" s="613">
        <f t="shared" si="126"/>
        <v>23246534860</v>
      </c>
      <c r="BY103" s="613">
        <f t="shared" si="127"/>
        <v>23246534860</v>
      </c>
      <c r="BZ103" s="613">
        <f>BX103+BY103</f>
        <v>46493069720</v>
      </c>
      <c r="CA103" s="240">
        <f>'Detailed Budget'!$AD$96</f>
        <v>71050111380.677719</v>
      </c>
      <c r="CB103" s="613">
        <f t="shared" si="112"/>
        <v>0</v>
      </c>
      <c r="CE103" s="240">
        <f>'Detailed Budget'!$AD$175</f>
        <v>4330586076.5988197</v>
      </c>
      <c r="CF103" s="613">
        <f>SUM(CF105:CF129)</f>
        <v>418656424.87987554</v>
      </c>
      <c r="CG103" s="632">
        <f>'Detailed Budget'!$AD$176</f>
        <v>20662817754.37001</v>
      </c>
      <c r="CH103" s="613">
        <f>SUM(CH105:CH129)</f>
        <v>1997563712.6733015</v>
      </c>
      <c r="CI103" s="613">
        <f>SUM(CI105:CI129)</f>
        <v>2416220137.5531769</v>
      </c>
      <c r="CJ103" s="275">
        <f>'Detailed Budget'!$AD$178</f>
        <v>46025131033.061455</v>
      </c>
      <c r="CK103" s="613">
        <f>SUM(CK105:CK129)</f>
        <v>3014087752.5131264</v>
      </c>
      <c r="CL103" s="613">
        <f>SUM(CL105:CL129)</f>
        <v>5430307890.0663042</v>
      </c>
      <c r="CM103" s="278">
        <f>'Detailed Budget'!$AD$189</f>
        <v>77498869683.252869</v>
      </c>
      <c r="CN103" s="275">
        <f t="shared" si="113"/>
        <v>0</v>
      </c>
      <c r="CO103" s="140">
        <f>'Detailed Budget'!$AD$191</f>
        <v>2684962805.4134097</v>
      </c>
      <c r="CP103" s="616">
        <f t="shared" si="114"/>
        <v>0</v>
      </c>
      <c r="CQ103" s="616">
        <f t="shared" si="115"/>
        <v>0</v>
      </c>
      <c r="CR103" s="240">
        <f>'Detailed Budget'!$AD$195</f>
        <v>18734176418</v>
      </c>
      <c r="CS103" s="275">
        <f>BN103*CR103</f>
        <v>557652599</v>
      </c>
      <c r="CW103" s="278"/>
      <c r="DH103" s="140">
        <f>'Detailed Budget'!$AD$163</f>
        <v>4928560000</v>
      </c>
      <c r="DI103" s="616">
        <f t="shared" si="148"/>
        <v>153440000</v>
      </c>
    </row>
    <row r="104" spans="1:113" s="223" customFormat="1">
      <c r="A104" s="214" t="s">
        <v>2324</v>
      </c>
      <c r="B104" s="215" t="s">
        <v>2318</v>
      </c>
      <c r="C104" s="222"/>
      <c r="D104" s="222"/>
      <c r="E104" s="222"/>
      <c r="F104" s="222"/>
      <c r="G104" s="222"/>
      <c r="H104" s="222"/>
      <c r="I104" s="222"/>
      <c r="J104" s="222"/>
      <c r="K104" s="222"/>
      <c r="L104" s="222"/>
      <c r="M104" s="222"/>
      <c r="N104" s="222"/>
      <c r="O104" s="222"/>
      <c r="P104" s="222"/>
      <c r="Q104" s="222"/>
      <c r="R104" s="222"/>
      <c r="S104" s="222"/>
      <c r="T104" s="222"/>
      <c r="U104" s="625"/>
      <c r="V104" s="868"/>
      <c r="W104" s="240"/>
      <c r="X104" s="626"/>
      <c r="Y104" s="239"/>
      <c r="Z104" s="240"/>
      <c r="AA104" s="239"/>
      <c r="AB104" s="240"/>
      <c r="AD104" s="240"/>
      <c r="AE104" s="240"/>
      <c r="AF104" s="199"/>
      <c r="AG104" s="614">
        <f t="shared" si="117"/>
        <v>0</v>
      </c>
      <c r="AH104" s="240"/>
      <c r="AI104" s="252"/>
      <c r="AJ104" s="199"/>
      <c r="AK104" s="199">
        <f t="shared" si="129"/>
        <v>0</v>
      </c>
      <c r="AL104" s="199">
        <f t="shared" si="130"/>
        <v>0</v>
      </c>
      <c r="AM104" s="199">
        <f t="shared" si="102"/>
        <v>0</v>
      </c>
      <c r="AN104" s="645">
        <f t="shared" si="103"/>
        <v>0</v>
      </c>
      <c r="AO104" s="240"/>
      <c r="AP104" s="250"/>
      <c r="AQ104" s="240"/>
      <c r="AR104" s="240"/>
      <c r="AS104" s="240"/>
      <c r="AT104" s="240"/>
      <c r="AU104" s="199"/>
      <c r="AV104" s="240"/>
      <c r="AW104" s="250">
        <f t="shared" si="105"/>
        <v>0</v>
      </c>
      <c r="AX104" s="199"/>
      <c r="AY104" s="240"/>
      <c r="AZ104" s="199">
        <f t="shared" si="106"/>
        <v>0</v>
      </c>
      <c r="BA104" s="252">
        <f t="shared" si="107"/>
        <v>0</v>
      </c>
      <c r="BB104" s="284"/>
      <c r="BC104" s="240"/>
      <c r="BD104" s="270">
        <f t="shared" si="118"/>
        <v>0</v>
      </c>
      <c r="BE104" s="240"/>
      <c r="BF104" s="251">
        <f t="shared" si="119"/>
        <v>0</v>
      </c>
      <c r="BG104" s="199"/>
      <c r="BH104"/>
      <c r="BI104" s="199">
        <f t="shared" si="108"/>
        <v>0</v>
      </c>
      <c r="BJ104" s="199">
        <f t="shared" si="109"/>
        <v>0</v>
      </c>
      <c r="BK104" s="199">
        <f t="shared" si="116"/>
        <v>0</v>
      </c>
      <c r="BL104" s="251">
        <f t="shared" si="110"/>
        <v>0</v>
      </c>
      <c r="BM104" s="240"/>
      <c r="BN104" s="251">
        <f t="shared" si="111"/>
        <v>0</v>
      </c>
      <c r="BT104" s="240"/>
      <c r="BU104" s="240">
        <f>'Detailed Budget'!$AD$24</f>
        <v>194045122715</v>
      </c>
      <c r="BV104" s="624"/>
      <c r="BW104" s="284"/>
      <c r="BX104" s="275"/>
      <c r="BY104" s="275"/>
      <c r="CA104" s="240">
        <f>'Detailed Budget'!$AD$96</f>
        <v>71050111380.677719</v>
      </c>
      <c r="CB104" s="275"/>
      <c r="CE104" s="240"/>
      <c r="CF104" s="275"/>
      <c r="CG104" s="240"/>
      <c r="CH104" s="275"/>
      <c r="CI104" s="275"/>
      <c r="CJ104" s="275"/>
      <c r="CK104" s="275"/>
      <c r="CL104" s="275"/>
      <c r="CM104" s="284">
        <f>'Detailed Budget'!$AD$189</f>
        <v>77498869683.252869</v>
      </c>
      <c r="CN104" s="275">
        <f t="shared" si="113"/>
        <v>0</v>
      </c>
      <c r="CO104" s="140">
        <f>'Detailed Budget'!$AD$191</f>
        <v>2684962805.4134097</v>
      </c>
      <c r="CP104" s="616">
        <f t="shared" si="114"/>
        <v>0</v>
      </c>
      <c r="CQ104" s="616">
        <f t="shared" si="115"/>
        <v>0</v>
      </c>
      <c r="CR104" s="240"/>
      <c r="CS104" s="275"/>
      <c r="CW104" s="284"/>
      <c r="DH104" s="140"/>
      <c r="DI104" s="616"/>
    </row>
    <row r="105" spans="1:113" ht="15.5" customHeight="1" outlineLevel="1">
      <c r="A105" s="214" t="s">
        <v>398</v>
      </c>
      <c r="B105" s="215" t="s">
        <v>399</v>
      </c>
      <c r="C105" s="216" t="s">
        <v>234</v>
      </c>
      <c r="D105" s="217" t="s">
        <v>234</v>
      </c>
      <c r="E105" s="216"/>
      <c r="F105" s="216"/>
      <c r="G105" s="216"/>
      <c r="H105" s="216" t="s">
        <v>234</v>
      </c>
      <c r="I105" s="217" t="s">
        <v>234</v>
      </c>
      <c r="J105" s="217"/>
      <c r="K105" s="216" t="s">
        <v>234</v>
      </c>
      <c r="L105" s="216"/>
      <c r="M105" s="217"/>
      <c r="N105" s="216"/>
      <c r="O105" s="217"/>
      <c r="P105" s="216"/>
      <c r="Q105" s="217"/>
      <c r="R105" s="217" t="s">
        <v>234</v>
      </c>
      <c r="S105" s="217"/>
      <c r="T105" s="217"/>
      <c r="U105" s="218">
        <f t="shared" ref="U105:U129" si="155">COUNTA(C105:T105)</f>
        <v>6</v>
      </c>
      <c r="V105" s="867" t="s">
        <v>238</v>
      </c>
      <c r="W105" s="219">
        <v>132098</v>
      </c>
      <c r="X105" s="220">
        <v>3.42</v>
      </c>
      <c r="Y105" s="221">
        <f t="shared" si="128"/>
        <v>1.0342</v>
      </c>
      <c r="Z105" s="199">
        <v>19</v>
      </c>
      <c r="AA105" s="221">
        <f t="shared" si="85"/>
        <v>1.8944630332534185</v>
      </c>
      <c r="AB105" s="199">
        <f t="shared" si="123"/>
        <v>250254.77776671006</v>
      </c>
      <c r="AC105">
        <v>19.899999999999999</v>
      </c>
      <c r="AD105" s="199">
        <f t="shared" si="124"/>
        <v>49800.7007755753</v>
      </c>
      <c r="AE105" s="199">
        <f t="shared" si="131"/>
        <v>47310.665736796531</v>
      </c>
      <c r="AF105" s="199">
        <f t="shared" si="120"/>
        <v>47310.665736796531</v>
      </c>
      <c r="AG105" s="614">
        <f t="shared" si="117"/>
        <v>2.1874374859551953E-3</v>
      </c>
      <c r="AH105" s="199">
        <f>AB105*0.05</f>
        <v>12512.738888335503</v>
      </c>
      <c r="AI105" s="252">
        <f t="shared" si="89"/>
        <v>9.6934292302812712E-4</v>
      </c>
      <c r="AJ105" s="199">
        <f t="shared" si="101"/>
        <v>62313.439663910802</v>
      </c>
      <c r="AK105" s="199">
        <f t="shared" si="129"/>
        <v>10010.191110668402</v>
      </c>
      <c r="AL105" s="199">
        <f t="shared" si="130"/>
        <v>10010.191110668402</v>
      </c>
      <c r="AM105" s="199">
        <f t="shared" si="102"/>
        <v>20020.382221336804</v>
      </c>
      <c r="AN105" s="645">
        <f t="shared" si="103"/>
        <v>9.6934292302812701E-4</v>
      </c>
      <c r="AO105" s="199">
        <v>11</v>
      </c>
      <c r="AP105" s="250">
        <f t="shared" si="104"/>
        <v>1.2498579706851495E-3</v>
      </c>
      <c r="AQ105" s="199">
        <v>11</v>
      </c>
      <c r="AU105" s="199">
        <v>1</v>
      </c>
      <c r="AV105" s="199">
        <f t="shared" ref="AV105:AV129" si="156">W105/3954772*4162316</f>
        <v>139030.42172039248</v>
      </c>
      <c r="AW105" s="250">
        <f t="shared" si="105"/>
        <v>4.0015687817561854E-3</v>
      </c>
      <c r="AX105" s="199">
        <v>0</v>
      </c>
      <c r="AY105" s="199">
        <f t="shared" ref="AY105:AY129" si="157">AJ105/1865550*548669</f>
        <v>18326.741511596192</v>
      </c>
      <c r="AZ105" s="199">
        <f t="shared" si="106"/>
        <v>0</v>
      </c>
      <c r="BA105" s="252">
        <f t="shared" si="107"/>
        <v>0</v>
      </c>
      <c r="BB105" s="284">
        <v>1</v>
      </c>
      <c r="BC105" s="199">
        <f t="shared" ref="BC105:BC129" si="158">AD105*BB105*0.18*4</f>
        <v>35856.504558414214</v>
      </c>
      <c r="BD105" s="270">
        <f t="shared" si="118"/>
        <v>3.2291325834412033E-3</v>
      </c>
      <c r="BE105" s="199">
        <f t="shared" ref="BE105:BE129" si="159">AD105*BB105*0.77*4</f>
        <v>153386.15838877193</v>
      </c>
      <c r="BF105" s="251">
        <f t="shared" si="119"/>
        <v>3.2291326551986028E-3</v>
      </c>
      <c r="BG105" s="204">
        <f t="shared" si="125"/>
        <v>189242.66294718615</v>
      </c>
      <c r="BH105" s="636">
        <v>0</v>
      </c>
      <c r="BI105" s="199">
        <f t="shared" si="108"/>
        <v>76577.961996613274</v>
      </c>
      <c r="BJ105" s="199">
        <f t="shared" si="109"/>
        <v>153155.92399322655</v>
      </c>
      <c r="BK105" s="199">
        <f t="shared" si="116"/>
        <v>229733.88598983982</v>
      </c>
      <c r="BL105" s="251">
        <f t="shared" si="110"/>
        <v>9.6934292302812701E-4</v>
      </c>
      <c r="BM105" s="199">
        <f t="shared" ref="BM105:BM129" si="160">AH105/374608*689311</f>
        <v>23024.517778203972</v>
      </c>
      <c r="BN105" s="251">
        <f t="shared" si="111"/>
        <v>9.94270282662127E-4</v>
      </c>
      <c r="BT105" s="199">
        <f>'Detailed Budget'!$AD$12</f>
        <v>194045122715</v>
      </c>
      <c r="BU105" s="199">
        <f>'Detailed Budget'!$AD$24</f>
        <v>194045122715</v>
      </c>
      <c r="BV105" s="596">
        <f t="shared" ref="BV105:BV129" si="161">AV105/34743979</f>
        <v>4.0015687817561854E-3</v>
      </c>
      <c r="BW105" s="278"/>
      <c r="BX105" s="275">
        <f t="shared" si="126"/>
        <v>776484905.30839205</v>
      </c>
      <c r="BY105" s="275">
        <f t="shared" si="127"/>
        <v>776484905.30839205</v>
      </c>
      <c r="CA105" s="199">
        <f>'Detailed Budget'!$AD$96</f>
        <v>71050111380.677719</v>
      </c>
      <c r="CB105" s="275">
        <f t="shared" si="112"/>
        <v>0</v>
      </c>
      <c r="CE105" s="199">
        <f>'Detailed Budget'!$AD$175</f>
        <v>4330586076.5988197</v>
      </c>
      <c r="CF105" s="275">
        <f t="shared" ref="CF105:CF129" si="162">BB105*BD105*CE105</f>
        <v>13984036.605342051</v>
      </c>
      <c r="CG105" s="199">
        <f>'Detailed Budget'!$AD$176</f>
        <v>20662817754.37001</v>
      </c>
      <c r="CH105" s="275">
        <f t="shared" ref="CH105:CH129" si="163">BB105*BF105*CG105</f>
        <v>66722979.559053667</v>
      </c>
      <c r="CI105" s="275">
        <f t="shared" si="122"/>
        <v>80707016.16439572</v>
      </c>
      <c r="CJ105" s="275">
        <f>'Detailed Budget'!$AD$178</f>
        <v>46025131033.061455</v>
      </c>
      <c r="CK105" s="275">
        <f t="shared" ref="CK105:CK129" si="164">BB105*AG105*CJ105</f>
        <v>100677096.9177184</v>
      </c>
      <c r="CL105" s="275">
        <f t="shared" si="121"/>
        <v>181384113.0821141</v>
      </c>
      <c r="CM105" s="278">
        <f>'Detailed Budget'!$AD$189</f>
        <v>77498869683.252869</v>
      </c>
      <c r="CN105" s="275">
        <f t="shared" si="113"/>
        <v>0</v>
      </c>
      <c r="CO105" s="140">
        <f>'Detailed Budget'!$AD$191</f>
        <v>2684962805.4134097</v>
      </c>
      <c r="CP105" s="616">
        <f t="shared" si="114"/>
        <v>0</v>
      </c>
      <c r="CQ105" s="616">
        <f t="shared" si="115"/>
        <v>0</v>
      </c>
      <c r="CR105" s="199">
        <f>'Detailed Budget'!$AD$195</f>
        <v>18734176418</v>
      </c>
      <c r="CS105" s="275">
        <f t="shared" ref="CS105:CS129" si="165">BN105*CR105</f>
        <v>18626834.882567015</v>
      </c>
      <c r="CW105" s="278"/>
      <c r="DH105" s="140">
        <f>'Detailed Budget'!$AD$163</f>
        <v>4928560000</v>
      </c>
      <c r="DI105" s="616">
        <f t="shared" ref="DI105:DI152" si="166">AP105*DH105</f>
        <v>6160000</v>
      </c>
    </row>
    <row r="106" spans="1:113" outlineLevel="1">
      <c r="A106" s="214" t="s">
        <v>400</v>
      </c>
      <c r="B106" s="215" t="s">
        <v>401</v>
      </c>
      <c r="C106" s="216" t="s">
        <v>234</v>
      </c>
      <c r="D106" s="217" t="s">
        <v>234</v>
      </c>
      <c r="E106" s="216"/>
      <c r="F106" s="216"/>
      <c r="G106" s="216"/>
      <c r="H106" s="216" t="s">
        <v>234</v>
      </c>
      <c r="I106" s="217" t="s">
        <v>234</v>
      </c>
      <c r="J106" s="217"/>
      <c r="K106" s="216" t="s">
        <v>234</v>
      </c>
      <c r="L106" s="216"/>
      <c r="M106" s="217"/>
      <c r="N106" s="216"/>
      <c r="O106" s="217"/>
      <c r="P106" s="216"/>
      <c r="Q106" s="217"/>
      <c r="R106" s="217" t="s">
        <v>234</v>
      </c>
      <c r="S106" s="217"/>
      <c r="T106" s="217"/>
      <c r="U106" s="218">
        <f t="shared" si="155"/>
        <v>6</v>
      </c>
      <c r="V106" s="867" t="s">
        <v>238</v>
      </c>
      <c r="W106" s="219">
        <v>57347</v>
      </c>
      <c r="X106" s="220">
        <v>3.42</v>
      </c>
      <c r="Y106" s="221">
        <f t="shared" si="128"/>
        <v>1.0342</v>
      </c>
      <c r="Z106" s="199">
        <v>19</v>
      </c>
      <c r="AA106" s="221">
        <f t="shared" si="85"/>
        <v>1.8944630332534185</v>
      </c>
      <c r="AB106" s="199">
        <f t="shared" si="123"/>
        <v>108641.77156798379</v>
      </c>
      <c r="AC106">
        <v>19.899999999999999</v>
      </c>
      <c r="AD106" s="199">
        <f t="shared" si="124"/>
        <v>21619.71254202877</v>
      </c>
      <c r="AE106" s="199">
        <f t="shared" si="131"/>
        <v>20538.726914927331</v>
      </c>
      <c r="AF106" s="199">
        <f t="shared" si="120"/>
        <v>20538.726914927331</v>
      </c>
      <c r="AG106" s="614">
        <f t="shared" si="117"/>
        <v>9.4962056584560375E-4</v>
      </c>
      <c r="AH106" s="199">
        <f t="shared" ref="AH106:AH129" si="167">AB106*0.05</f>
        <v>5432.0885783991898</v>
      </c>
      <c r="AI106" s="252">
        <f t="shared" si="89"/>
        <v>4.2081567175047323E-4</v>
      </c>
      <c r="AJ106" s="199">
        <f t="shared" si="101"/>
        <v>27051.801120427961</v>
      </c>
      <c r="AK106" s="199">
        <f t="shared" si="129"/>
        <v>4345.6708627193511</v>
      </c>
      <c r="AL106" s="199">
        <f t="shared" si="130"/>
        <v>4345.6708627193511</v>
      </c>
      <c r="AM106" s="199">
        <f t="shared" si="102"/>
        <v>8691.3417254387023</v>
      </c>
      <c r="AN106" s="645">
        <f t="shared" si="103"/>
        <v>4.2081567175047317E-4</v>
      </c>
      <c r="AO106" s="199">
        <v>10</v>
      </c>
      <c r="AP106" s="250">
        <f t="shared" si="104"/>
        <v>1.1362345188046814E-3</v>
      </c>
      <c r="AQ106" s="199">
        <v>10</v>
      </c>
      <c r="AU106" s="199">
        <v>1</v>
      </c>
      <c r="AV106" s="199">
        <f t="shared" si="156"/>
        <v>60356.535257152631</v>
      </c>
      <c r="AW106" s="250">
        <f t="shared" si="105"/>
        <v>1.7371797069400897E-3</v>
      </c>
      <c r="AX106" s="199">
        <v>0</v>
      </c>
      <c r="AY106" s="199">
        <f t="shared" si="157"/>
        <v>7956.0905196559133</v>
      </c>
      <c r="AZ106" s="199">
        <f t="shared" si="106"/>
        <v>0</v>
      </c>
      <c r="BA106" s="252">
        <f t="shared" si="107"/>
        <v>0</v>
      </c>
      <c r="BB106" s="284">
        <v>1</v>
      </c>
      <c r="BC106" s="199">
        <f t="shared" si="158"/>
        <v>15566.193030260714</v>
      </c>
      <c r="BD106" s="270">
        <f t="shared" si="118"/>
        <v>1.4018461010961761E-3</v>
      </c>
      <c r="BE106" s="199">
        <f t="shared" si="159"/>
        <v>66588.714629448616</v>
      </c>
      <c r="BF106" s="251">
        <f t="shared" si="119"/>
        <v>1.4018461322478331E-3</v>
      </c>
      <c r="BG106" s="204">
        <f t="shared" si="125"/>
        <v>82154.907659709337</v>
      </c>
      <c r="BH106" s="636">
        <v>0</v>
      </c>
      <c r="BI106" s="199">
        <f t="shared" si="108"/>
        <v>33244.382099803035</v>
      </c>
      <c r="BJ106" s="199">
        <f t="shared" si="109"/>
        <v>66488.76419960607</v>
      </c>
      <c r="BK106" s="199">
        <f t="shared" si="116"/>
        <v>99733.146299409098</v>
      </c>
      <c r="BL106" s="251">
        <f t="shared" si="110"/>
        <v>4.2081567175047312E-4</v>
      </c>
      <c r="BM106" s="199">
        <f t="shared" si="160"/>
        <v>9995.511067742611</v>
      </c>
      <c r="BN106" s="251">
        <f t="shared" si="111"/>
        <v>4.3163725340145202E-4</v>
      </c>
      <c r="BT106" s="199">
        <f>'Detailed Budget'!$AD$12</f>
        <v>194045122715</v>
      </c>
      <c r="BU106" s="199">
        <f>'Detailed Budget'!$AD$24</f>
        <v>194045122715</v>
      </c>
      <c r="BV106" s="596">
        <f t="shared" si="161"/>
        <v>1.7371797069400897E-3</v>
      </c>
      <c r="BW106" s="278"/>
      <c r="BX106" s="275">
        <f t="shared" si="126"/>
        <v>337091249.41119742</v>
      </c>
      <c r="BY106" s="275">
        <f t="shared" si="127"/>
        <v>337091249.41119742</v>
      </c>
      <c r="CA106" s="199">
        <f>'Detailed Budget'!$AD$96</f>
        <v>71050111380.677719</v>
      </c>
      <c r="CB106" s="275">
        <f t="shared" si="112"/>
        <v>0</v>
      </c>
      <c r="CE106" s="199">
        <f>'Detailed Budget'!$AD$175</f>
        <v>4330586076.5988197</v>
      </c>
      <c r="CF106" s="275">
        <f t="shared" si="162"/>
        <v>6070815.2069414416</v>
      </c>
      <c r="CG106" s="199">
        <f>'Detailed Budget'!$AD$176</f>
        <v>20662817754.37001</v>
      </c>
      <c r="CH106" s="275">
        <f t="shared" si="163"/>
        <v>28966091.150305457</v>
      </c>
      <c r="CI106" s="275">
        <f t="shared" si="122"/>
        <v>35036906.357246898</v>
      </c>
      <c r="CJ106" s="275">
        <f>'Detailed Budget'!$AD$178</f>
        <v>46025131033.061455</v>
      </c>
      <c r="CK106" s="275">
        <f t="shared" si="164"/>
        <v>43706410.974733874</v>
      </c>
      <c r="CL106" s="275">
        <f t="shared" si="121"/>
        <v>78743317.331980765</v>
      </c>
      <c r="CM106" s="278">
        <f>'Detailed Budget'!$AD$189</f>
        <v>77498869683.252869</v>
      </c>
      <c r="CN106" s="275">
        <f t="shared" si="113"/>
        <v>0</v>
      </c>
      <c r="CO106" s="140">
        <f>'Detailed Budget'!$AD$191</f>
        <v>2684962805.4134097</v>
      </c>
      <c r="CP106" s="616">
        <f t="shared" si="114"/>
        <v>0</v>
      </c>
      <c r="CQ106" s="616">
        <f t="shared" si="115"/>
        <v>0</v>
      </c>
      <c r="CR106" s="199">
        <f>'Detailed Budget'!$AD$195</f>
        <v>18734176418</v>
      </c>
      <c r="CS106" s="275">
        <f t="shared" si="165"/>
        <v>8086368.453803773</v>
      </c>
      <c r="CW106" s="278"/>
      <c r="DH106" s="140">
        <f>'Detailed Budget'!$AD$163</f>
        <v>4928560000</v>
      </c>
      <c r="DI106" s="616">
        <f t="shared" si="166"/>
        <v>5600000</v>
      </c>
    </row>
    <row r="107" spans="1:113" outlineLevel="1">
      <c r="A107" s="214" t="s">
        <v>402</v>
      </c>
      <c r="B107" s="215" t="s">
        <v>403</v>
      </c>
      <c r="C107" s="216" t="s">
        <v>234</v>
      </c>
      <c r="D107" s="217" t="s">
        <v>234</v>
      </c>
      <c r="E107" s="216"/>
      <c r="F107" s="216"/>
      <c r="G107" s="216"/>
      <c r="H107" s="216" t="s">
        <v>234</v>
      </c>
      <c r="I107" s="217" t="s">
        <v>234</v>
      </c>
      <c r="J107" s="217"/>
      <c r="K107" s="216" t="s">
        <v>234</v>
      </c>
      <c r="L107" s="216"/>
      <c r="M107" s="217"/>
      <c r="N107" s="216"/>
      <c r="O107" s="217"/>
      <c r="P107" s="216"/>
      <c r="Q107" s="217"/>
      <c r="R107" s="217" t="s">
        <v>234</v>
      </c>
      <c r="S107" s="217"/>
      <c r="T107" s="217"/>
      <c r="U107" s="218">
        <f t="shared" si="155"/>
        <v>6</v>
      </c>
      <c r="V107" s="867" t="s">
        <v>238</v>
      </c>
      <c r="W107" s="219">
        <v>185553</v>
      </c>
      <c r="X107" s="220">
        <v>3.42</v>
      </c>
      <c r="Y107" s="221">
        <f t="shared" si="128"/>
        <v>1.0342</v>
      </c>
      <c r="Z107" s="199">
        <v>19</v>
      </c>
      <c r="AA107" s="221">
        <f t="shared" si="85"/>
        <v>1.8944630332534185</v>
      </c>
      <c r="AB107" s="199">
        <f t="shared" si="123"/>
        <v>351523.29920927156</v>
      </c>
      <c r="AC107">
        <v>19.899999999999999</v>
      </c>
      <c r="AD107" s="199">
        <f t="shared" si="124"/>
        <v>69953.136542645036</v>
      </c>
      <c r="AE107" s="199">
        <f t="shared" si="131"/>
        <v>66455.479715512774</v>
      </c>
      <c r="AF107" s="199">
        <f t="shared" si="120"/>
        <v>66455.479715512774</v>
      </c>
      <c r="AG107" s="614">
        <f t="shared" si="117"/>
        <v>3.072609637022849E-3</v>
      </c>
      <c r="AH107" s="199">
        <f t="shared" si="167"/>
        <v>17576.164960463579</v>
      </c>
      <c r="AI107" s="252">
        <f t="shared" si="89"/>
        <v>1.3615988689960339E-3</v>
      </c>
      <c r="AJ107" s="199">
        <f t="shared" si="101"/>
        <v>87529.301503108611</v>
      </c>
      <c r="AK107" s="199">
        <f t="shared" si="129"/>
        <v>14060.931968370862</v>
      </c>
      <c r="AL107" s="199">
        <f t="shared" si="130"/>
        <v>14060.931968370862</v>
      </c>
      <c r="AM107" s="199">
        <f t="shared" si="102"/>
        <v>28121.863936741724</v>
      </c>
      <c r="AN107" s="645">
        <f t="shared" si="103"/>
        <v>1.3615988689960339E-3</v>
      </c>
      <c r="AO107" s="199">
        <v>14</v>
      </c>
      <c r="AP107" s="250">
        <f t="shared" si="104"/>
        <v>1.5907283263265539E-3</v>
      </c>
      <c r="AQ107" s="199">
        <v>14</v>
      </c>
      <c r="AU107" s="199">
        <v>1</v>
      </c>
      <c r="AV107" s="199">
        <f t="shared" si="156"/>
        <v>195290.70721346262</v>
      </c>
      <c r="AW107" s="250">
        <f t="shared" si="105"/>
        <v>5.6208503698860343E-3</v>
      </c>
      <c r="AX107" s="199">
        <v>0</v>
      </c>
      <c r="AY107" s="199">
        <f t="shared" si="157"/>
        <v>25742.871714191042</v>
      </c>
      <c r="AZ107" s="199">
        <f t="shared" si="106"/>
        <v>0</v>
      </c>
      <c r="BA107" s="252">
        <f t="shared" si="107"/>
        <v>0</v>
      </c>
      <c r="BB107" s="284">
        <v>1</v>
      </c>
      <c r="BC107" s="199">
        <f t="shared" si="158"/>
        <v>50366.258310704427</v>
      </c>
      <c r="BD107" s="270">
        <f t="shared" si="118"/>
        <v>4.5358388337088046E-3</v>
      </c>
      <c r="BE107" s="199">
        <f t="shared" si="159"/>
        <v>215455.66055134672</v>
      </c>
      <c r="BF107" s="251">
        <f t="shared" si="119"/>
        <v>4.5358389345036745E-3</v>
      </c>
      <c r="BG107" s="204">
        <f t="shared" si="125"/>
        <v>265821.91886205116</v>
      </c>
      <c r="BH107" s="636">
        <v>0</v>
      </c>
      <c r="BI107" s="199">
        <f t="shared" si="108"/>
        <v>107566.12955803709</v>
      </c>
      <c r="BJ107" s="199">
        <f t="shared" si="109"/>
        <v>215132.25911607419</v>
      </c>
      <c r="BK107" s="199">
        <f t="shared" si="116"/>
        <v>322698.38867411128</v>
      </c>
      <c r="BL107" s="251">
        <f t="shared" si="110"/>
        <v>1.3615988689960339E-3</v>
      </c>
      <c r="BM107" s="199">
        <f t="shared" si="160"/>
        <v>32341.658066731383</v>
      </c>
      <c r="BN107" s="251">
        <f t="shared" si="111"/>
        <v>1.3966133761208017E-3</v>
      </c>
      <c r="BT107" s="199">
        <f>'Detailed Budget'!$AD$12</f>
        <v>194045122715</v>
      </c>
      <c r="BU107" s="199">
        <f>'Detailed Budget'!$AD$24</f>
        <v>194045122715</v>
      </c>
      <c r="BV107" s="596">
        <f t="shared" si="161"/>
        <v>5.6208503698860343E-3</v>
      </c>
      <c r="BW107" s="278"/>
      <c r="BX107" s="275">
        <f t="shared" si="126"/>
        <v>1090698599.7871888</v>
      </c>
      <c r="BY107" s="275">
        <f t="shared" si="127"/>
        <v>1090698599.7871888</v>
      </c>
      <c r="CA107" s="199">
        <f>'Detailed Budget'!$AD$96</f>
        <v>71050111380.677719</v>
      </c>
      <c r="CB107" s="275">
        <f t="shared" si="112"/>
        <v>0</v>
      </c>
      <c r="CE107" s="199">
        <f>'Detailed Budget'!$AD$175</f>
        <v>4330586076.5988197</v>
      </c>
      <c r="CF107" s="275">
        <f t="shared" si="162"/>
        <v>19642840.498955578</v>
      </c>
      <c r="CG107" s="199">
        <f>'Detailed Budget'!$AD$176</f>
        <v>20662817754.37001</v>
      </c>
      <c r="CH107" s="275">
        <f t="shared" si="163"/>
        <v>93723213.266825274</v>
      </c>
      <c r="CI107" s="275">
        <f t="shared" si="122"/>
        <v>113366053.76578085</v>
      </c>
      <c r="CJ107" s="275">
        <f>'Detailed Budget'!$AD$178</f>
        <v>46025131033.061455</v>
      </c>
      <c r="CK107" s="275">
        <f t="shared" si="164"/>
        <v>141417261.15742403</v>
      </c>
      <c r="CL107" s="275">
        <f t="shared" si="121"/>
        <v>254783314.9232049</v>
      </c>
      <c r="CM107" s="278">
        <f>'Detailed Budget'!$AD$189</f>
        <v>77498869683.252869</v>
      </c>
      <c r="CN107" s="275">
        <f t="shared" si="113"/>
        <v>0</v>
      </c>
      <c r="CO107" s="140">
        <f>'Detailed Budget'!$AD$191</f>
        <v>2684962805.4134097</v>
      </c>
      <c r="CP107" s="616">
        <f t="shared" si="114"/>
        <v>0</v>
      </c>
      <c r="CQ107" s="616">
        <f t="shared" si="115"/>
        <v>0</v>
      </c>
      <c r="CR107" s="199">
        <f>'Detailed Budget'!$AD$195</f>
        <v>18734176418</v>
      </c>
      <c r="CS107" s="275">
        <f t="shared" si="165"/>
        <v>26164401.375985689</v>
      </c>
      <c r="CW107" s="278"/>
      <c r="DH107" s="140">
        <f>'Detailed Budget'!$AD$163</f>
        <v>4928560000</v>
      </c>
      <c r="DI107" s="616">
        <f t="shared" si="166"/>
        <v>7840000.0000000009</v>
      </c>
    </row>
    <row r="108" spans="1:113" outlineLevel="1">
      <c r="A108" s="214" t="s">
        <v>404</v>
      </c>
      <c r="B108" s="215" t="s">
        <v>405</v>
      </c>
      <c r="C108" s="216" t="s">
        <v>234</v>
      </c>
      <c r="D108" s="217" t="s">
        <v>234</v>
      </c>
      <c r="E108" s="216"/>
      <c r="F108" s="216"/>
      <c r="G108" s="216"/>
      <c r="H108" s="216" t="s">
        <v>234</v>
      </c>
      <c r="I108" s="217" t="s">
        <v>234</v>
      </c>
      <c r="J108" s="217"/>
      <c r="K108" s="216" t="s">
        <v>234</v>
      </c>
      <c r="L108" s="216"/>
      <c r="M108" s="217"/>
      <c r="N108" s="216"/>
      <c r="O108" s="217"/>
      <c r="P108" s="216"/>
      <c r="Q108" s="217"/>
      <c r="R108" s="217" t="s">
        <v>234</v>
      </c>
      <c r="S108" s="217"/>
      <c r="T108" s="217"/>
      <c r="U108" s="218">
        <f t="shared" si="155"/>
        <v>6</v>
      </c>
      <c r="V108" s="867" t="s">
        <v>238</v>
      </c>
      <c r="W108" s="219">
        <v>172835</v>
      </c>
      <c r="X108" s="220">
        <v>3.42</v>
      </c>
      <c r="Y108" s="221">
        <f t="shared" si="128"/>
        <v>1.0342</v>
      </c>
      <c r="Z108" s="199">
        <v>19</v>
      </c>
      <c r="AA108" s="221">
        <f t="shared" si="85"/>
        <v>1.8944630332534185</v>
      </c>
      <c r="AB108" s="199">
        <f t="shared" si="123"/>
        <v>327429.51835235459</v>
      </c>
      <c r="AC108">
        <v>19.899999999999999</v>
      </c>
      <c r="AD108" s="199">
        <f t="shared" si="124"/>
        <v>65158.474152118557</v>
      </c>
      <c r="AE108" s="199">
        <f t="shared" si="131"/>
        <v>61900.550444512628</v>
      </c>
      <c r="AF108" s="199">
        <f t="shared" si="120"/>
        <v>61900.550444512628</v>
      </c>
      <c r="AG108" s="614">
        <f t="shared" si="117"/>
        <v>2.8620097040459825E-3</v>
      </c>
      <c r="AH108" s="199">
        <f t="shared" si="167"/>
        <v>16371.47591761773</v>
      </c>
      <c r="AI108" s="252">
        <f t="shared" si="89"/>
        <v>1.2682734341289525E-3</v>
      </c>
      <c r="AJ108" s="199">
        <f t="shared" si="101"/>
        <v>81529.950069736282</v>
      </c>
      <c r="AK108" s="199">
        <f t="shared" si="129"/>
        <v>13097.180734094183</v>
      </c>
      <c r="AL108" s="199">
        <f t="shared" si="130"/>
        <v>13097.180734094183</v>
      </c>
      <c r="AM108" s="199">
        <f t="shared" si="102"/>
        <v>26194.361468188366</v>
      </c>
      <c r="AN108" s="645">
        <f t="shared" si="103"/>
        <v>1.2682734341289525E-3</v>
      </c>
      <c r="AO108" s="199">
        <v>10</v>
      </c>
      <c r="AP108" s="250">
        <f t="shared" si="104"/>
        <v>1.1362345188046814E-3</v>
      </c>
      <c r="AQ108" s="199">
        <v>10</v>
      </c>
      <c r="AU108" s="199">
        <v>1</v>
      </c>
      <c r="AV108" s="199">
        <f t="shared" si="156"/>
        <v>181905.274402671</v>
      </c>
      <c r="AW108" s="250">
        <f t="shared" si="105"/>
        <v>5.2355913064151636E-3</v>
      </c>
      <c r="AX108" s="199">
        <v>0</v>
      </c>
      <c r="AY108" s="199">
        <f t="shared" si="157"/>
        <v>23978.427903198597</v>
      </c>
      <c r="AZ108" s="199">
        <f t="shared" si="106"/>
        <v>0</v>
      </c>
      <c r="BA108" s="252">
        <f t="shared" si="107"/>
        <v>0</v>
      </c>
      <c r="BB108" s="284">
        <v>1</v>
      </c>
      <c r="BC108" s="199">
        <f t="shared" si="158"/>
        <v>46914.101389525356</v>
      </c>
      <c r="BD108" s="270">
        <f t="shared" si="118"/>
        <v>4.2249476150968248E-3</v>
      </c>
      <c r="BE108" s="199">
        <f t="shared" si="159"/>
        <v>200688.10038852517</v>
      </c>
      <c r="BF108" s="251">
        <f t="shared" si="119"/>
        <v>4.2249477089831081E-3</v>
      </c>
      <c r="BG108" s="204">
        <f t="shared" si="125"/>
        <v>247602.20177805051</v>
      </c>
      <c r="BH108" s="636">
        <v>0</v>
      </c>
      <c r="BI108" s="199">
        <f t="shared" si="108"/>
        <v>100193.43261582049</v>
      </c>
      <c r="BJ108" s="199">
        <f t="shared" si="109"/>
        <v>200386.86523164099</v>
      </c>
      <c r="BK108" s="199">
        <f t="shared" si="116"/>
        <v>300580.29784746148</v>
      </c>
      <c r="BL108" s="251">
        <f t="shared" si="110"/>
        <v>1.2682734341289523E-3</v>
      </c>
      <c r="BM108" s="199">
        <f t="shared" si="160"/>
        <v>30124.926419748095</v>
      </c>
      <c r="BN108" s="251">
        <f t="shared" si="111"/>
        <v>1.3008880096890849E-3</v>
      </c>
      <c r="BT108" s="199">
        <f>'Detailed Budget'!$AD$12</f>
        <v>194045122715</v>
      </c>
      <c r="BU108" s="199">
        <f>'Detailed Budget'!$AD$24</f>
        <v>194045122715</v>
      </c>
      <c r="BV108" s="596">
        <f t="shared" si="161"/>
        <v>5.2355913064151636E-3</v>
      </c>
      <c r="BW108" s="278"/>
      <c r="BX108" s="275">
        <f t="shared" si="126"/>
        <v>1015940957.5389175</v>
      </c>
      <c r="BY108" s="275">
        <f t="shared" si="127"/>
        <v>1015940957.5389175</v>
      </c>
      <c r="CA108" s="199">
        <f>'Detailed Budget'!$AD$96</f>
        <v>71050111380.677719</v>
      </c>
      <c r="CB108" s="275">
        <f t="shared" si="112"/>
        <v>0</v>
      </c>
      <c r="CE108" s="199">
        <f>'Detailed Budget'!$AD$175</f>
        <v>4330586076.5988197</v>
      </c>
      <c r="CF108" s="275">
        <f t="shared" si="162"/>
        <v>18296499.316297699</v>
      </c>
      <c r="CG108" s="199">
        <f>'Detailed Budget'!$AD$176</f>
        <v>20662817754.37001</v>
      </c>
      <c r="CH108" s="275">
        <f t="shared" si="163"/>
        <v>87299324.532461062</v>
      </c>
      <c r="CI108" s="275">
        <f t="shared" si="122"/>
        <v>105595823.84875876</v>
      </c>
      <c r="CJ108" s="275">
        <f>'Detailed Budget'!$AD$178</f>
        <v>46025131033.061455</v>
      </c>
      <c r="CK108" s="275">
        <f t="shared" si="164"/>
        <v>131724371.64660978</v>
      </c>
      <c r="CL108" s="275">
        <f t="shared" si="121"/>
        <v>237320195.49536854</v>
      </c>
      <c r="CM108" s="278">
        <f>'Detailed Budget'!$AD$189</f>
        <v>77498869683.252869</v>
      </c>
      <c r="CN108" s="275">
        <f t="shared" si="113"/>
        <v>0</v>
      </c>
      <c r="CO108" s="140">
        <f>'Detailed Budget'!$AD$191</f>
        <v>2684962805.4134097</v>
      </c>
      <c r="CP108" s="616">
        <f t="shared" si="114"/>
        <v>0</v>
      </c>
      <c r="CQ108" s="616">
        <f t="shared" si="115"/>
        <v>0</v>
      </c>
      <c r="CR108" s="199">
        <f>'Detailed Budget'!$AD$195</f>
        <v>18734176418</v>
      </c>
      <c r="CS108" s="275">
        <f t="shared" si="165"/>
        <v>24371065.47357621</v>
      </c>
      <c r="CW108" s="278"/>
      <c r="DH108" s="140">
        <f>'Detailed Budget'!$AD$163</f>
        <v>4928560000</v>
      </c>
      <c r="DI108" s="616">
        <f t="shared" si="166"/>
        <v>5600000</v>
      </c>
    </row>
    <row r="109" spans="1:113" outlineLevel="1">
      <c r="A109" s="214" t="s">
        <v>406</v>
      </c>
      <c r="B109" s="215" t="s">
        <v>407</v>
      </c>
      <c r="C109" s="216" t="s">
        <v>234</v>
      </c>
      <c r="D109" s="217" t="s">
        <v>234</v>
      </c>
      <c r="E109" s="216"/>
      <c r="F109" s="216"/>
      <c r="G109" s="216"/>
      <c r="H109" s="216" t="s">
        <v>234</v>
      </c>
      <c r="I109" s="217" t="s">
        <v>234</v>
      </c>
      <c r="J109" s="217"/>
      <c r="K109" s="216" t="s">
        <v>234</v>
      </c>
      <c r="L109" s="216"/>
      <c r="M109" s="217"/>
      <c r="N109" s="216"/>
      <c r="O109" s="217"/>
      <c r="P109" s="216"/>
      <c r="Q109" s="217"/>
      <c r="R109" s="217" t="s">
        <v>234</v>
      </c>
      <c r="S109" s="217"/>
      <c r="T109" s="217"/>
      <c r="U109" s="218">
        <f t="shared" si="155"/>
        <v>6</v>
      </c>
      <c r="V109" s="867" t="s">
        <v>238</v>
      </c>
      <c r="W109" s="219">
        <v>148136</v>
      </c>
      <c r="X109" s="220">
        <v>3.42</v>
      </c>
      <c r="Y109" s="221">
        <f t="shared" si="128"/>
        <v>1.0342</v>
      </c>
      <c r="Z109" s="199">
        <v>19</v>
      </c>
      <c r="AA109" s="221">
        <f t="shared" si="85"/>
        <v>1.8944630332534185</v>
      </c>
      <c r="AB109" s="199">
        <f t="shared" si="123"/>
        <v>280638.17589402839</v>
      </c>
      <c r="AC109">
        <v>19.899999999999999</v>
      </c>
      <c r="AD109" s="199">
        <f t="shared" si="124"/>
        <v>55846.997002911645</v>
      </c>
      <c r="AE109" s="199">
        <f t="shared" si="131"/>
        <v>53054.647152766061</v>
      </c>
      <c r="AF109" s="199">
        <f t="shared" si="120"/>
        <v>53054.647152766061</v>
      </c>
      <c r="AG109" s="614">
        <f t="shared" si="117"/>
        <v>2.4530139700787205E-3</v>
      </c>
      <c r="AH109" s="199">
        <f t="shared" si="167"/>
        <v>14031.90879470142</v>
      </c>
      <c r="AI109" s="252">
        <f t="shared" si="89"/>
        <v>1.0870307139070588E-3</v>
      </c>
      <c r="AJ109" s="199">
        <f t="shared" si="101"/>
        <v>69878.905797613057</v>
      </c>
      <c r="AK109" s="199">
        <f t="shared" si="129"/>
        <v>11225.527035761135</v>
      </c>
      <c r="AL109" s="199">
        <f t="shared" si="130"/>
        <v>11225.527035761135</v>
      </c>
      <c r="AM109" s="199">
        <f t="shared" si="102"/>
        <v>22451.054071522271</v>
      </c>
      <c r="AN109" s="645">
        <f t="shared" si="103"/>
        <v>1.0870307139070586E-3</v>
      </c>
      <c r="AO109" s="199">
        <v>10</v>
      </c>
      <c r="AP109" s="250">
        <f t="shared" si="104"/>
        <v>1.1362345188046814E-3</v>
      </c>
      <c r="AQ109" s="199">
        <v>10</v>
      </c>
      <c r="AU109" s="199">
        <v>1</v>
      </c>
      <c r="AV109" s="199">
        <f t="shared" si="156"/>
        <v>155910.08608739011</v>
      </c>
      <c r="AW109" s="250">
        <f t="shared" si="105"/>
        <v>4.4873986968329135E-3</v>
      </c>
      <c r="AX109" s="199">
        <v>0</v>
      </c>
      <c r="AY109" s="199">
        <f t="shared" si="157"/>
        <v>20551.788676299515</v>
      </c>
      <c r="AZ109" s="199">
        <f t="shared" si="106"/>
        <v>0</v>
      </c>
      <c r="BA109" s="252">
        <f t="shared" si="107"/>
        <v>0</v>
      </c>
      <c r="BB109" s="284">
        <v>1</v>
      </c>
      <c r="BC109" s="199">
        <f t="shared" si="158"/>
        <v>40209.837842096385</v>
      </c>
      <c r="BD109" s="270">
        <f t="shared" si="118"/>
        <v>3.6211811259871168E-3</v>
      </c>
      <c r="BE109" s="199">
        <f t="shared" si="159"/>
        <v>172008.75076896788</v>
      </c>
      <c r="BF109" s="251">
        <f t="shared" si="119"/>
        <v>3.6211812064565717E-3</v>
      </c>
      <c r="BG109" s="204">
        <f t="shared" si="125"/>
        <v>212218.58861106425</v>
      </c>
      <c r="BH109" s="636">
        <v>0</v>
      </c>
      <c r="BI109" s="199">
        <f t="shared" si="108"/>
        <v>85875.281823572674</v>
      </c>
      <c r="BJ109" s="199">
        <f t="shared" si="109"/>
        <v>171750.56364714535</v>
      </c>
      <c r="BK109" s="199">
        <f t="shared" si="116"/>
        <v>257625.84547071802</v>
      </c>
      <c r="BL109" s="251">
        <f t="shared" si="110"/>
        <v>1.0870307139070586E-3</v>
      </c>
      <c r="BM109" s="199">
        <f t="shared" si="160"/>
        <v>25819.921312904236</v>
      </c>
      <c r="BN109" s="251">
        <f t="shared" si="111"/>
        <v>1.1149845008435924E-3</v>
      </c>
      <c r="BT109" s="199">
        <f>'Detailed Budget'!$AD$12</f>
        <v>194045122715</v>
      </c>
      <c r="BU109" s="199">
        <f>'Detailed Budget'!$AD$24</f>
        <v>194045122715</v>
      </c>
      <c r="BV109" s="596">
        <f t="shared" si="161"/>
        <v>4.4873986968329135E-3</v>
      </c>
      <c r="BW109" s="278"/>
      <c r="BX109" s="275">
        <f t="shared" si="126"/>
        <v>870757830.79807377</v>
      </c>
      <c r="BY109" s="275">
        <f t="shared" si="127"/>
        <v>870757830.79807377</v>
      </c>
      <c r="CA109" s="199">
        <f>'Detailed Budget'!$AD$96</f>
        <v>71050111380.677719</v>
      </c>
      <c r="CB109" s="275">
        <f t="shared" si="112"/>
        <v>0</v>
      </c>
      <c r="CE109" s="199">
        <f>'Detailed Budget'!$AD$175</f>
        <v>4330586076.5988197</v>
      </c>
      <c r="CF109" s="275">
        <f t="shared" si="162"/>
        <v>15681836.565042244</v>
      </c>
      <c r="CG109" s="199">
        <f>'Detailed Budget'!$AD$176</f>
        <v>20662817754.37001</v>
      </c>
      <c r="CH109" s="275">
        <f t="shared" si="163"/>
        <v>74823807.324561864</v>
      </c>
      <c r="CI109" s="275">
        <f t="shared" si="122"/>
        <v>90505643.889604107</v>
      </c>
      <c r="CJ109" s="275">
        <f>'Detailed Budget'!$AD$178</f>
        <v>46025131033.061455</v>
      </c>
      <c r="CK109" s="275">
        <f t="shared" si="164"/>
        <v>112900289.3988034</v>
      </c>
      <c r="CL109" s="275">
        <f t="shared" si="121"/>
        <v>203405933.2884075</v>
      </c>
      <c r="CM109" s="278">
        <f>'Detailed Budget'!$AD$189</f>
        <v>77498869683.252869</v>
      </c>
      <c r="CN109" s="275">
        <f t="shared" si="113"/>
        <v>0</v>
      </c>
      <c r="CO109" s="140">
        <f>'Detailed Budget'!$AD$191</f>
        <v>2684962805.4134097</v>
      </c>
      <c r="CP109" s="616">
        <f t="shared" si="114"/>
        <v>0</v>
      </c>
      <c r="CQ109" s="616">
        <f t="shared" si="115"/>
        <v>0</v>
      </c>
      <c r="CR109" s="199">
        <f>'Detailed Budget'!$AD$195</f>
        <v>18734176418</v>
      </c>
      <c r="CS109" s="275">
        <f t="shared" si="165"/>
        <v>20888316.342139531</v>
      </c>
      <c r="CW109" s="278"/>
      <c r="DH109" s="140">
        <f>'Detailed Budget'!$AD$163</f>
        <v>4928560000</v>
      </c>
      <c r="DI109" s="616">
        <f t="shared" si="166"/>
        <v>5600000</v>
      </c>
    </row>
    <row r="110" spans="1:113" outlineLevel="1">
      <c r="A110" s="214" t="s">
        <v>408</v>
      </c>
      <c r="B110" s="215" t="s">
        <v>409</v>
      </c>
      <c r="C110" s="216" t="s">
        <v>234</v>
      </c>
      <c r="D110" s="217" t="s">
        <v>234</v>
      </c>
      <c r="E110" s="216"/>
      <c r="F110" s="216"/>
      <c r="G110" s="216"/>
      <c r="H110" s="216" t="s">
        <v>234</v>
      </c>
      <c r="I110" s="217" t="s">
        <v>234</v>
      </c>
      <c r="J110" s="217"/>
      <c r="K110" s="216"/>
      <c r="L110" s="216"/>
      <c r="M110" s="217" t="s">
        <v>234</v>
      </c>
      <c r="N110" s="216"/>
      <c r="O110" s="217"/>
      <c r="P110" s="216"/>
      <c r="Q110" s="217"/>
      <c r="R110" s="217" t="s">
        <v>234</v>
      </c>
      <c r="S110" s="217"/>
      <c r="T110" s="217"/>
      <c r="U110" s="218">
        <f t="shared" si="155"/>
        <v>6</v>
      </c>
      <c r="V110" s="867" t="s">
        <v>238</v>
      </c>
      <c r="W110" s="219">
        <v>202151</v>
      </c>
      <c r="X110" s="220">
        <v>3.42</v>
      </c>
      <c r="Y110" s="221">
        <f t="shared" si="128"/>
        <v>1.0342</v>
      </c>
      <c r="Z110" s="199">
        <v>19</v>
      </c>
      <c r="AA110" s="221">
        <f t="shared" si="85"/>
        <v>1.8944630332534185</v>
      </c>
      <c r="AB110" s="199">
        <f t="shared" si="123"/>
        <v>382967.59663521178</v>
      </c>
      <c r="AC110">
        <v>19.899999999999999</v>
      </c>
      <c r="AD110" s="199">
        <f t="shared" si="124"/>
        <v>76210.55173040714</v>
      </c>
      <c r="AE110" s="199">
        <f t="shared" si="131"/>
        <v>72400.024143886782</v>
      </c>
      <c r="AF110" s="199">
        <f t="shared" si="120"/>
        <v>72400.024143886782</v>
      </c>
      <c r="AG110" s="614">
        <f t="shared" si="117"/>
        <v>3.3474592743518348E-3</v>
      </c>
      <c r="AH110" s="199">
        <f t="shared" si="167"/>
        <v>19148.379831760591</v>
      </c>
      <c r="AI110" s="252">
        <f t="shared" si="89"/>
        <v>1.4833959729372052E-3</v>
      </c>
      <c r="AJ110" s="199">
        <f t="shared" si="101"/>
        <v>95358.931562167738</v>
      </c>
      <c r="AK110" s="199">
        <f t="shared" si="129"/>
        <v>15318.703865408472</v>
      </c>
      <c r="AL110" s="199">
        <f t="shared" si="130"/>
        <v>15318.703865408472</v>
      </c>
      <c r="AM110" s="199">
        <f t="shared" si="102"/>
        <v>30637.407730816944</v>
      </c>
      <c r="AN110" s="645">
        <f t="shared" si="103"/>
        <v>1.4833959729372052E-3</v>
      </c>
      <c r="AO110" s="199">
        <v>11</v>
      </c>
      <c r="AP110" s="250">
        <f t="shared" si="104"/>
        <v>1.2498579706851495E-3</v>
      </c>
      <c r="AQ110" s="199">
        <v>11</v>
      </c>
      <c r="AU110" s="199">
        <v>1</v>
      </c>
      <c r="AV110" s="199">
        <f t="shared" si="156"/>
        <v>212759.76003572394</v>
      </c>
      <c r="AW110" s="250">
        <f t="shared" si="105"/>
        <v>6.1236440430649563E-3</v>
      </c>
      <c r="AX110" s="199">
        <v>0</v>
      </c>
      <c r="AY110" s="199">
        <f t="shared" si="157"/>
        <v>28045.611010845601</v>
      </c>
      <c r="AZ110" s="199">
        <f t="shared" si="106"/>
        <v>0</v>
      </c>
      <c r="BA110" s="252">
        <f t="shared" si="107"/>
        <v>0</v>
      </c>
      <c r="BB110" s="284">
        <v>1</v>
      </c>
      <c r="BC110" s="199">
        <f t="shared" si="158"/>
        <v>54871.597245893136</v>
      </c>
      <c r="BD110" s="270">
        <f t="shared" si="118"/>
        <v>4.9415765634242964E-3</v>
      </c>
      <c r="BE110" s="199">
        <f t="shared" si="159"/>
        <v>234728.49932965401</v>
      </c>
      <c r="BF110" s="251">
        <f t="shared" si="119"/>
        <v>4.9415766732354219E-3</v>
      </c>
      <c r="BG110" s="204">
        <f t="shared" si="125"/>
        <v>289600.09657554713</v>
      </c>
      <c r="BH110" s="636">
        <v>0</v>
      </c>
      <c r="BI110" s="199">
        <f t="shared" si="108"/>
        <v>117188.08457037481</v>
      </c>
      <c r="BJ110" s="199">
        <f t="shared" si="109"/>
        <v>234376.16914074961</v>
      </c>
      <c r="BK110" s="199">
        <f t="shared" si="116"/>
        <v>351564.25371112442</v>
      </c>
      <c r="BL110" s="251">
        <f t="shared" si="110"/>
        <v>1.4833959729372052E-3</v>
      </c>
      <c r="BM110" s="199">
        <f t="shared" si="160"/>
        <v>35234.668907793544</v>
      </c>
      <c r="BN110" s="251">
        <f t="shared" si="111"/>
        <v>1.5215425813443933E-3</v>
      </c>
      <c r="BT110" s="199">
        <f>'Detailed Budget'!$AD$12</f>
        <v>194045122715</v>
      </c>
      <c r="BU110" s="199">
        <f>'Detailed Budget'!$AD$24</f>
        <v>194045122715</v>
      </c>
      <c r="BV110" s="596">
        <f t="shared" si="161"/>
        <v>6.1236440430649563E-3</v>
      </c>
      <c r="BW110" s="278"/>
      <c r="BX110" s="275">
        <f t="shared" si="126"/>
        <v>1188263259.7995181</v>
      </c>
      <c r="BY110" s="275">
        <f t="shared" si="127"/>
        <v>1188263259.7995181</v>
      </c>
      <c r="CA110" s="199">
        <f>'Detailed Budget'!$AD$96</f>
        <v>71050111380.677719</v>
      </c>
      <c r="CB110" s="275">
        <f t="shared" si="112"/>
        <v>0</v>
      </c>
      <c r="CE110" s="199">
        <f>'Detailed Budget'!$AD$175</f>
        <v>4330586076.5988197</v>
      </c>
      <c r="CF110" s="275">
        <f t="shared" si="162"/>
        <v>21399922.662012301</v>
      </c>
      <c r="CG110" s="199">
        <f>'Detailed Budget'!$AD$176</f>
        <v>20662817754.37001</v>
      </c>
      <c r="CH110" s="275">
        <f t="shared" si="163"/>
        <v>102106898.21830957</v>
      </c>
      <c r="CI110" s="275">
        <f t="shared" si="122"/>
        <v>123506820.88032186</v>
      </c>
      <c r="CJ110" s="275">
        <f>'Detailed Budget'!$AD$178</f>
        <v>46025131033.061455</v>
      </c>
      <c r="CK110" s="275">
        <f t="shared" si="164"/>
        <v>154067251.72988001</v>
      </c>
      <c r="CL110" s="275">
        <f t="shared" si="121"/>
        <v>277574072.61020184</v>
      </c>
      <c r="CM110" s="278">
        <f>'Detailed Budget'!$AD$189</f>
        <v>77498869683.252869</v>
      </c>
      <c r="CN110" s="275">
        <f t="shared" si="113"/>
        <v>0</v>
      </c>
      <c r="CO110" s="140">
        <f>'Detailed Budget'!$AD$191</f>
        <v>2684962805.4134097</v>
      </c>
      <c r="CP110" s="616">
        <f t="shared" si="114"/>
        <v>0</v>
      </c>
      <c r="CQ110" s="616">
        <f t="shared" si="115"/>
        <v>0</v>
      </c>
      <c r="CR110" s="199">
        <f>'Detailed Budget'!$AD$195</f>
        <v>18734176418</v>
      </c>
      <c r="CS110" s="275">
        <f t="shared" si="165"/>
        <v>28504847.146404978</v>
      </c>
      <c r="CW110" s="278"/>
      <c r="DH110" s="140">
        <f>'Detailed Budget'!$AD$163</f>
        <v>4928560000</v>
      </c>
      <c r="DI110" s="616">
        <f t="shared" si="166"/>
        <v>6160000</v>
      </c>
    </row>
    <row r="111" spans="1:113" outlineLevel="1">
      <c r="A111" s="214" t="s">
        <v>410</v>
      </c>
      <c r="B111" s="215" t="s">
        <v>411</v>
      </c>
      <c r="C111" s="216" t="s">
        <v>234</v>
      </c>
      <c r="D111" s="217" t="s">
        <v>234</v>
      </c>
      <c r="E111" s="216"/>
      <c r="F111" s="216"/>
      <c r="G111" s="216"/>
      <c r="H111" s="216" t="s">
        <v>234</v>
      </c>
      <c r="I111" s="217" t="s">
        <v>234</v>
      </c>
      <c r="J111" s="217"/>
      <c r="K111" s="216" t="s">
        <v>234</v>
      </c>
      <c r="L111" s="216"/>
      <c r="M111" s="217"/>
      <c r="N111" s="216"/>
      <c r="O111" s="217"/>
      <c r="P111" s="216"/>
      <c r="Q111" s="217"/>
      <c r="R111" s="217" t="s">
        <v>234</v>
      </c>
      <c r="S111" s="217"/>
      <c r="T111" s="217"/>
      <c r="U111" s="218">
        <f t="shared" si="155"/>
        <v>6</v>
      </c>
      <c r="V111" s="867" t="s">
        <v>238</v>
      </c>
      <c r="W111" s="219">
        <v>159818</v>
      </c>
      <c r="X111" s="220">
        <v>3.42</v>
      </c>
      <c r="Y111" s="221">
        <f t="shared" si="128"/>
        <v>1.0342</v>
      </c>
      <c r="Z111" s="199">
        <v>19</v>
      </c>
      <c r="AA111" s="221">
        <f t="shared" si="85"/>
        <v>1.8944630332534185</v>
      </c>
      <c r="AB111" s="199">
        <f t="shared" si="123"/>
        <v>302769.29304849484</v>
      </c>
      <c r="AC111">
        <v>19.899999999999999</v>
      </c>
      <c r="AD111" s="199">
        <f t="shared" si="124"/>
        <v>60251.089316650468</v>
      </c>
      <c r="AE111" s="199">
        <f t="shared" si="131"/>
        <v>57238.534850817945</v>
      </c>
      <c r="AF111" s="199">
        <f t="shared" si="120"/>
        <v>57238.534850817945</v>
      </c>
      <c r="AG111" s="614">
        <f t="shared" si="117"/>
        <v>2.6464585696254856E-3</v>
      </c>
      <c r="AH111" s="199">
        <f t="shared" si="167"/>
        <v>15138.464652424744</v>
      </c>
      <c r="AI111" s="252">
        <f t="shared" si="89"/>
        <v>1.1727539196089967E-3</v>
      </c>
      <c r="AJ111" s="199">
        <f t="shared" si="101"/>
        <v>75389.553969075205</v>
      </c>
      <c r="AK111" s="199">
        <f t="shared" si="129"/>
        <v>12110.771721939795</v>
      </c>
      <c r="AL111" s="199">
        <f t="shared" si="130"/>
        <v>12110.771721939795</v>
      </c>
      <c r="AM111" s="199">
        <f t="shared" si="102"/>
        <v>24221.543443879589</v>
      </c>
      <c r="AN111" s="645">
        <f t="shared" si="103"/>
        <v>1.1727539196089967E-3</v>
      </c>
      <c r="AO111" s="199">
        <v>10</v>
      </c>
      <c r="AP111" s="250">
        <f t="shared" si="104"/>
        <v>1.1362345188046814E-3</v>
      </c>
      <c r="AQ111" s="199">
        <v>10</v>
      </c>
      <c r="AU111" s="199">
        <v>1</v>
      </c>
      <c r="AV111" s="199">
        <f t="shared" si="156"/>
        <v>168205.15025594397</v>
      </c>
      <c r="AW111" s="250">
        <f t="shared" si="105"/>
        <v>4.8412748078147287E-3</v>
      </c>
      <c r="AX111" s="199">
        <v>0</v>
      </c>
      <c r="AY111" s="199">
        <f t="shared" si="157"/>
        <v>22172.502043182183</v>
      </c>
      <c r="AZ111" s="199">
        <f t="shared" si="106"/>
        <v>0</v>
      </c>
      <c r="BA111" s="252">
        <f t="shared" si="107"/>
        <v>0</v>
      </c>
      <c r="BB111" s="284">
        <v>1</v>
      </c>
      <c r="BC111" s="199">
        <f t="shared" si="158"/>
        <v>43380.784307988339</v>
      </c>
      <c r="BD111" s="270">
        <f t="shared" si="118"/>
        <v>3.9067473483353748E-3</v>
      </c>
      <c r="BE111" s="199">
        <f t="shared" si="159"/>
        <v>185573.35509528345</v>
      </c>
      <c r="BF111" s="251">
        <f t="shared" si="119"/>
        <v>3.9067474351506485E-3</v>
      </c>
      <c r="BG111" s="204">
        <f t="shared" si="125"/>
        <v>228954.13940327178</v>
      </c>
      <c r="BH111" s="636">
        <v>0</v>
      </c>
      <c r="BI111" s="199">
        <f t="shared" si="108"/>
        <v>92647.403672839428</v>
      </c>
      <c r="BJ111" s="199">
        <f t="shared" si="109"/>
        <v>185294.80734567886</v>
      </c>
      <c r="BK111" s="199">
        <f t="shared" si="116"/>
        <v>277942.21101851831</v>
      </c>
      <c r="BL111" s="251">
        <f t="shared" si="110"/>
        <v>1.1727539196089967E-3</v>
      </c>
      <c r="BM111" s="199">
        <f t="shared" si="160"/>
        <v>27856.079443118015</v>
      </c>
      <c r="BN111" s="251">
        <f t="shared" si="111"/>
        <v>1.2029121412473758E-3</v>
      </c>
      <c r="BT111" s="199">
        <f>'Detailed Budget'!$AD$12</f>
        <v>194045122715</v>
      </c>
      <c r="BU111" s="199">
        <f>'Detailed Budget'!$AD$24</f>
        <v>194045122715</v>
      </c>
      <c r="BV111" s="596">
        <f t="shared" si="161"/>
        <v>4.8412748078147287E-3</v>
      </c>
      <c r="BW111" s="278"/>
      <c r="BX111" s="275">
        <f t="shared" si="126"/>
        <v>939425764.17944705</v>
      </c>
      <c r="BY111" s="275">
        <f t="shared" si="127"/>
        <v>939425764.17944705</v>
      </c>
      <c r="CA111" s="199">
        <f>'Detailed Budget'!$AD$96</f>
        <v>71050111380.677719</v>
      </c>
      <c r="CB111" s="275">
        <f t="shared" si="112"/>
        <v>0</v>
      </c>
      <c r="CE111" s="199">
        <f>'Detailed Budget'!$AD$175</f>
        <v>4330586076.5988197</v>
      </c>
      <c r="CF111" s="275">
        <f t="shared" si="162"/>
        <v>16918505.671490531</v>
      </c>
      <c r="CG111" s="199">
        <f>'Detailed Budget'!$AD$176</f>
        <v>20662817754.37001</v>
      </c>
      <c r="CH111" s="275">
        <f t="shared" si="163"/>
        <v>80724410.264870316</v>
      </c>
      <c r="CI111" s="275">
        <f t="shared" si="122"/>
        <v>97642915.936360851</v>
      </c>
      <c r="CJ111" s="275">
        <f>'Detailed Budget'!$AD$178</f>
        <v>46025131033.061455</v>
      </c>
      <c r="CK111" s="275">
        <f t="shared" si="164"/>
        <v>121803602.44058137</v>
      </c>
      <c r="CL111" s="275">
        <f t="shared" si="121"/>
        <v>219446518.37694222</v>
      </c>
      <c r="CM111" s="278">
        <f>'Detailed Budget'!$AD$189</f>
        <v>77498869683.252869</v>
      </c>
      <c r="CN111" s="275">
        <f t="shared" si="113"/>
        <v>0</v>
      </c>
      <c r="CO111" s="140">
        <f>'Detailed Budget'!$AD$191</f>
        <v>2684962805.4134097</v>
      </c>
      <c r="CP111" s="616">
        <f t="shared" si="114"/>
        <v>0</v>
      </c>
      <c r="CQ111" s="616">
        <f t="shared" si="115"/>
        <v>0</v>
      </c>
      <c r="CR111" s="199">
        <f>'Detailed Budget'!$AD$195</f>
        <v>18734176418</v>
      </c>
      <c r="CS111" s="275">
        <f t="shared" si="165"/>
        <v>22535568.269482471</v>
      </c>
      <c r="CW111" s="278"/>
      <c r="DH111" s="140">
        <f>'Detailed Budget'!$AD$163</f>
        <v>4928560000</v>
      </c>
      <c r="DI111" s="616">
        <f t="shared" si="166"/>
        <v>5600000</v>
      </c>
    </row>
    <row r="112" spans="1:113" outlineLevel="1">
      <c r="A112" s="214" t="s">
        <v>412</v>
      </c>
      <c r="B112" s="215" t="s">
        <v>413</v>
      </c>
      <c r="C112" s="216" t="s">
        <v>234</v>
      </c>
      <c r="D112" s="217" t="s">
        <v>234</v>
      </c>
      <c r="E112" s="216"/>
      <c r="F112" s="216"/>
      <c r="G112" s="216"/>
      <c r="H112" s="216" t="s">
        <v>234</v>
      </c>
      <c r="I112" s="217" t="s">
        <v>234</v>
      </c>
      <c r="J112" s="217"/>
      <c r="K112" s="216" t="s">
        <v>234</v>
      </c>
      <c r="L112" s="216"/>
      <c r="M112" s="217"/>
      <c r="N112" s="216"/>
      <c r="O112" s="217"/>
      <c r="P112" s="216"/>
      <c r="Q112" s="217"/>
      <c r="R112" s="217" t="s">
        <v>234</v>
      </c>
      <c r="S112" s="217"/>
      <c r="T112" s="217"/>
      <c r="U112" s="218">
        <f t="shared" si="155"/>
        <v>6</v>
      </c>
      <c r="V112" s="867" t="s">
        <v>238</v>
      </c>
      <c r="W112" s="219">
        <v>126845</v>
      </c>
      <c r="X112" s="220">
        <v>3.42</v>
      </c>
      <c r="Y112" s="221">
        <f t="shared" si="128"/>
        <v>1.0342</v>
      </c>
      <c r="Z112" s="199">
        <v>19</v>
      </c>
      <c r="AA112" s="221">
        <f t="shared" si="85"/>
        <v>1.8944630332534185</v>
      </c>
      <c r="AB112" s="199">
        <f t="shared" si="123"/>
        <v>240303.16345302988</v>
      </c>
      <c r="AC112">
        <v>19.899999999999999</v>
      </c>
      <c r="AD112" s="199">
        <f t="shared" si="124"/>
        <v>47820.329527152942</v>
      </c>
      <c r="AE112" s="199">
        <f t="shared" si="131"/>
        <v>45429.313050795296</v>
      </c>
      <c r="AF112" s="199">
        <f t="shared" si="120"/>
        <v>45429.313050795296</v>
      </c>
      <c r="AG112" s="614">
        <f t="shared" si="117"/>
        <v>2.1004519970475462E-3</v>
      </c>
      <c r="AH112" s="199">
        <f t="shared" si="167"/>
        <v>12015.158172651494</v>
      </c>
      <c r="AI112" s="252">
        <f t="shared" si="89"/>
        <v>9.3079609889251008E-4</v>
      </c>
      <c r="AJ112" s="199">
        <f t="shared" si="101"/>
        <v>59835.487699804435</v>
      </c>
      <c r="AK112" s="199">
        <f t="shared" si="129"/>
        <v>9612.1265381211961</v>
      </c>
      <c r="AL112" s="199">
        <f t="shared" si="130"/>
        <v>9612.1265381211961</v>
      </c>
      <c r="AM112" s="199">
        <f t="shared" si="102"/>
        <v>19224.253076242392</v>
      </c>
      <c r="AN112" s="645">
        <f t="shared" si="103"/>
        <v>9.3079609889251019E-4</v>
      </c>
      <c r="AO112" s="199">
        <v>10</v>
      </c>
      <c r="AP112" s="250">
        <f t="shared" si="104"/>
        <v>1.1362345188046814E-3</v>
      </c>
      <c r="AQ112" s="199">
        <v>10</v>
      </c>
      <c r="AU112" s="199">
        <v>1</v>
      </c>
      <c r="AV112" s="199">
        <f t="shared" si="156"/>
        <v>133501.74751414242</v>
      </c>
      <c r="AW112" s="250">
        <f t="shared" si="105"/>
        <v>3.8424426722725807E-3</v>
      </c>
      <c r="AX112" s="199">
        <v>0</v>
      </c>
      <c r="AY112" s="199">
        <f t="shared" si="157"/>
        <v>17597.961566703652</v>
      </c>
      <c r="AZ112" s="199">
        <f t="shared" si="106"/>
        <v>0</v>
      </c>
      <c r="BA112" s="252">
        <f t="shared" si="107"/>
        <v>0</v>
      </c>
      <c r="BB112" s="284">
        <v>1</v>
      </c>
      <c r="BC112" s="199">
        <f t="shared" si="158"/>
        <v>34430.637259550116</v>
      </c>
      <c r="BD112" s="270">
        <f t="shared" si="118"/>
        <v>3.1007231187951331E-3</v>
      </c>
      <c r="BE112" s="199">
        <f t="shared" si="159"/>
        <v>147286.61494363105</v>
      </c>
      <c r="BF112" s="251">
        <f t="shared" si="119"/>
        <v>3.1007231876990322E-3</v>
      </c>
      <c r="BG112" s="204">
        <f t="shared" si="125"/>
        <v>181717.25220318115</v>
      </c>
      <c r="BH112" s="636">
        <v>0</v>
      </c>
      <c r="BI112" s="199">
        <f t="shared" si="108"/>
        <v>73532.768016627146</v>
      </c>
      <c r="BJ112" s="199">
        <f t="shared" si="109"/>
        <v>147065.53603325429</v>
      </c>
      <c r="BK112" s="199">
        <f t="shared" si="116"/>
        <v>220598.30404988144</v>
      </c>
      <c r="BL112" s="251">
        <f t="shared" si="110"/>
        <v>9.3079609889251008E-4</v>
      </c>
      <c r="BM112" s="199">
        <f t="shared" si="160"/>
        <v>22108.926384777082</v>
      </c>
      <c r="BN112" s="251">
        <f t="shared" si="111"/>
        <v>9.5473219885446785E-4</v>
      </c>
      <c r="BT112" s="199">
        <f>'Detailed Budget'!$AD$12</f>
        <v>194045122715</v>
      </c>
      <c r="BU112" s="199">
        <f>'Detailed Budget'!$AD$24</f>
        <v>194045122715</v>
      </c>
      <c r="BV112" s="596">
        <f t="shared" si="161"/>
        <v>3.8424426722725807E-3</v>
      </c>
      <c r="BW112" s="278"/>
      <c r="BX112" s="275">
        <f t="shared" si="126"/>
        <v>745607259.86648548</v>
      </c>
      <c r="BY112" s="275">
        <f t="shared" si="127"/>
        <v>745607259.86648548</v>
      </c>
      <c r="CA112" s="199">
        <f>'Detailed Budget'!$AD$96</f>
        <v>71050111380.677719</v>
      </c>
      <c r="CB112" s="275">
        <f t="shared" si="112"/>
        <v>0</v>
      </c>
      <c r="CE112" s="199">
        <f>'Detailed Budget'!$AD$175</f>
        <v>4330586076.5988197</v>
      </c>
      <c r="CF112" s="275">
        <f t="shared" si="162"/>
        <v>13427948.365642272</v>
      </c>
      <c r="CG112" s="199">
        <f>'Detailed Budget'!$AD$176</f>
        <v>20662817754.37001</v>
      </c>
      <c r="CH112" s="275">
        <f t="shared" si="163"/>
        <v>64069678.134174339</v>
      </c>
      <c r="CI112" s="275">
        <f t="shared" si="122"/>
        <v>77497626.499816611</v>
      </c>
      <c r="CJ112" s="275">
        <f>'Detailed Budget'!$AD$178</f>
        <v>46025131033.061455</v>
      </c>
      <c r="CK112" s="275">
        <f t="shared" si="164"/>
        <v>96673578.392768934</v>
      </c>
      <c r="CL112" s="275">
        <f t="shared" si="121"/>
        <v>174171204.89258555</v>
      </c>
      <c r="CM112" s="278">
        <f>'Detailed Budget'!$AD$189</f>
        <v>77498869683.252869</v>
      </c>
      <c r="CN112" s="275">
        <f t="shared" si="113"/>
        <v>0</v>
      </c>
      <c r="CO112" s="140">
        <f>'Detailed Budget'!$AD$191</f>
        <v>2684962805.4134097</v>
      </c>
      <c r="CP112" s="616">
        <f t="shared" si="114"/>
        <v>0</v>
      </c>
      <c r="CQ112" s="616">
        <f t="shared" si="115"/>
        <v>0</v>
      </c>
      <c r="CR112" s="199">
        <f>'Detailed Budget'!$AD$195</f>
        <v>18734176418</v>
      </c>
      <c r="CS112" s="275">
        <f t="shared" si="165"/>
        <v>17886121.445284657</v>
      </c>
      <c r="CW112" s="278"/>
      <c r="DH112" s="140">
        <f>'Detailed Budget'!$AD$163</f>
        <v>4928560000</v>
      </c>
      <c r="DI112" s="616">
        <f t="shared" si="166"/>
        <v>5600000</v>
      </c>
    </row>
    <row r="113" spans="1:113" outlineLevel="1">
      <c r="A113" s="214" t="s">
        <v>414</v>
      </c>
      <c r="B113" s="215" t="s">
        <v>415</v>
      </c>
      <c r="C113" s="216" t="s">
        <v>234</v>
      </c>
      <c r="D113" s="217" t="s">
        <v>234</v>
      </c>
      <c r="E113" s="216"/>
      <c r="F113" s="216"/>
      <c r="G113" s="216"/>
      <c r="H113" s="216" t="s">
        <v>234</v>
      </c>
      <c r="I113" s="217" t="s">
        <v>234</v>
      </c>
      <c r="J113" s="217"/>
      <c r="K113" s="216" t="s">
        <v>234</v>
      </c>
      <c r="L113" s="216"/>
      <c r="M113" s="217"/>
      <c r="N113" s="216"/>
      <c r="O113" s="217"/>
      <c r="P113" s="216"/>
      <c r="Q113" s="217"/>
      <c r="R113" s="217" t="s">
        <v>234</v>
      </c>
      <c r="S113" s="217"/>
      <c r="T113" s="217"/>
      <c r="U113" s="218">
        <f t="shared" si="155"/>
        <v>6</v>
      </c>
      <c r="V113" s="867" t="s">
        <v>238</v>
      </c>
      <c r="W113" s="219">
        <v>90879</v>
      </c>
      <c r="X113" s="220">
        <v>3.42</v>
      </c>
      <c r="Y113" s="221">
        <f t="shared" si="128"/>
        <v>1.0342</v>
      </c>
      <c r="Z113" s="199">
        <v>19</v>
      </c>
      <c r="AA113" s="221">
        <f t="shared" si="85"/>
        <v>1.8944630332534185</v>
      </c>
      <c r="AB113" s="199">
        <f t="shared" si="123"/>
        <v>172166.90599903741</v>
      </c>
      <c r="AC113">
        <v>19.899999999999999</v>
      </c>
      <c r="AD113" s="199">
        <f t="shared" si="124"/>
        <v>34261.214293808443</v>
      </c>
      <c r="AE113" s="199">
        <f t="shared" si="131"/>
        <v>32548.153579118021</v>
      </c>
      <c r="AF113" s="199">
        <f t="shared" si="120"/>
        <v>32548.153579118021</v>
      </c>
      <c r="AG113" s="614">
        <f t="shared" si="117"/>
        <v>1.5048837324268512E-3</v>
      </c>
      <c r="AH113" s="199">
        <f t="shared" si="167"/>
        <v>8608.3452999518704</v>
      </c>
      <c r="AI113" s="252">
        <f t="shared" si="89"/>
        <v>6.6687546747015974E-4</v>
      </c>
      <c r="AJ113" s="199">
        <f t="shared" si="101"/>
        <v>42869.559593760314</v>
      </c>
      <c r="AK113" s="199">
        <f t="shared" si="129"/>
        <v>6886.6762399614963</v>
      </c>
      <c r="AL113" s="199">
        <f t="shared" si="130"/>
        <v>6886.6762399614963</v>
      </c>
      <c r="AM113" s="199">
        <f t="shared" si="102"/>
        <v>13773.352479922993</v>
      </c>
      <c r="AN113" s="645">
        <f t="shared" si="103"/>
        <v>6.6687546747015974E-4</v>
      </c>
      <c r="AO113" s="199">
        <v>10</v>
      </c>
      <c r="AP113" s="250">
        <f t="shared" si="104"/>
        <v>1.1362345188046814E-3</v>
      </c>
      <c r="AQ113" s="199">
        <v>10</v>
      </c>
      <c r="AU113" s="199">
        <v>1</v>
      </c>
      <c r="AV113" s="199">
        <f t="shared" si="156"/>
        <v>95648.273974833442</v>
      </c>
      <c r="AW113" s="250">
        <f t="shared" si="105"/>
        <v>2.7529453081592483E-3</v>
      </c>
      <c r="AX113" s="199">
        <v>0</v>
      </c>
      <c r="AY113" s="199">
        <f t="shared" si="157"/>
        <v>12608.184392135765</v>
      </c>
      <c r="AZ113" s="199">
        <f t="shared" si="106"/>
        <v>0</v>
      </c>
      <c r="BA113" s="252">
        <f t="shared" si="107"/>
        <v>0</v>
      </c>
      <c r="BB113" s="284">
        <v>1</v>
      </c>
      <c r="BC113" s="199">
        <f t="shared" si="158"/>
        <v>24668.074291542078</v>
      </c>
      <c r="BD113" s="270">
        <f t="shared" si="118"/>
        <v>2.2215350728289084E-3</v>
      </c>
      <c r="BE113" s="199">
        <f t="shared" si="159"/>
        <v>105524.54002493001</v>
      </c>
      <c r="BF113" s="251">
        <f t="shared" si="119"/>
        <v>2.2215351221955958E-3</v>
      </c>
      <c r="BG113" s="204">
        <f t="shared" si="125"/>
        <v>130192.61431647209</v>
      </c>
      <c r="BH113" s="636">
        <v>0</v>
      </c>
      <c r="BI113" s="199">
        <f t="shared" si="108"/>
        <v>52683.073235705451</v>
      </c>
      <c r="BJ113" s="199">
        <f t="shared" si="109"/>
        <v>105366.1464714109</v>
      </c>
      <c r="BK113" s="199">
        <f t="shared" si="116"/>
        <v>158049.21970711637</v>
      </c>
      <c r="BL113" s="251">
        <f t="shared" si="110"/>
        <v>6.6687546747015985E-4</v>
      </c>
      <c r="BM113" s="199">
        <f t="shared" si="160"/>
        <v>15840.097133684076</v>
      </c>
      <c r="BN113" s="251">
        <f t="shared" si="111"/>
        <v>6.8402465607391068E-4</v>
      </c>
      <c r="BT113" s="199">
        <f>'Detailed Budget'!$AD$12</f>
        <v>194045122715</v>
      </c>
      <c r="BU113" s="199">
        <f>'Detailed Budget'!$AD$24</f>
        <v>194045122715</v>
      </c>
      <c r="BV113" s="596">
        <f t="shared" si="161"/>
        <v>2.7529453081592483E-3</v>
      </c>
      <c r="BW113" s="278"/>
      <c r="BX113" s="275">
        <f t="shared" si="126"/>
        <v>534195610.14944482</v>
      </c>
      <c r="BY113" s="275">
        <f t="shared" si="127"/>
        <v>534195610.14944482</v>
      </c>
      <c r="CA113" s="199">
        <f>'Detailed Budget'!$AD$96</f>
        <v>71050111380.677719</v>
      </c>
      <c r="CB113" s="275">
        <f t="shared" si="112"/>
        <v>0</v>
      </c>
      <c r="CE113" s="199">
        <f>'Detailed Budget'!$AD$175</f>
        <v>4330586076.5988197</v>
      </c>
      <c r="CF113" s="275">
        <f t="shared" si="162"/>
        <v>9620548.8550688159</v>
      </c>
      <c r="CG113" s="199">
        <f>'Detailed Budget'!$AD$176</f>
        <v>20662817754.37001</v>
      </c>
      <c r="CH113" s="275">
        <f t="shared" si="163"/>
        <v>45903175.364859708</v>
      </c>
      <c r="CI113" s="275">
        <f t="shared" si="122"/>
        <v>55523724.219928525</v>
      </c>
      <c r="CJ113" s="275">
        <f>'Detailed Budget'!$AD$178</f>
        <v>46025131033.061455</v>
      </c>
      <c r="CK113" s="275">
        <f t="shared" si="164"/>
        <v>69262470.974468425</v>
      </c>
      <c r="CL113" s="275">
        <f t="shared" si="121"/>
        <v>124786195.19439694</v>
      </c>
      <c r="CM113" s="278">
        <f>'Detailed Budget'!$AD$189</f>
        <v>77498869683.252869</v>
      </c>
      <c r="CN113" s="275">
        <f t="shared" si="113"/>
        <v>0</v>
      </c>
      <c r="CO113" s="140">
        <f>'Detailed Budget'!$AD$191</f>
        <v>2684962805.4134097</v>
      </c>
      <c r="CP113" s="616">
        <f t="shared" si="114"/>
        <v>0</v>
      </c>
      <c r="CQ113" s="616">
        <f t="shared" si="115"/>
        <v>0</v>
      </c>
      <c r="CR113" s="199">
        <f>'Detailed Budget'!$AD$195</f>
        <v>18734176418</v>
      </c>
      <c r="CS113" s="275">
        <f t="shared" si="165"/>
        <v>12814638.581150418</v>
      </c>
      <c r="CW113" s="278"/>
      <c r="DH113" s="140">
        <f>'Detailed Budget'!$AD$163</f>
        <v>4928560000</v>
      </c>
      <c r="DI113" s="616">
        <f t="shared" si="166"/>
        <v>5600000</v>
      </c>
    </row>
    <row r="114" spans="1:113" outlineLevel="1">
      <c r="A114" s="214" t="s">
        <v>416</v>
      </c>
      <c r="B114" s="215" t="s">
        <v>417</v>
      </c>
      <c r="C114" s="216" t="s">
        <v>234</v>
      </c>
      <c r="D114" s="217" t="s">
        <v>234</v>
      </c>
      <c r="E114" s="216"/>
      <c r="F114" s="216"/>
      <c r="G114" s="216"/>
      <c r="H114" s="216" t="s">
        <v>234</v>
      </c>
      <c r="I114" s="217" t="s">
        <v>234</v>
      </c>
      <c r="J114" s="217"/>
      <c r="K114" s="216" t="s">
        <v>234</v>
      </c>
      <c r="L114" s="216"/>
      <c r="M114" s="217"/>
      <c r="N114" s="216"/>
      <c r="O114" s="217"/>
      <c r="P114" s="216"/>
      <c r="Q114" s="217"/>
      <c r="R114" s="217" t="s">
        <v>234</v>
      </c>
      <c r="S114" s="217" t="s">
        <v>234</v>
      </c>
      <c r="T114" s="217"/>
      <c r="U114" s="218">
        <f t="shared" si="155"/>
        <v>7</v>
      </c>
      <c r="V114" s="867" t="s">
        <v>418</v>
      </c>
      <c r="W114" s="219">
        <v>120893</v>
      </c>
      <c r="X114" s="220">
        <v>3.42</v>
      </c>
      <c r="Y114" s="221">
        <f t="shared" si="128"/>
        <v>1.0342</v>
      </c>
      <c r="Z114" s="199">
        <v>19</v>
      </c>
      <c r="AA114" s="221">
        <f t="shared" si="85"/>
        <v>1.8944630332534185</v>
      </c>
      <c r="AB114" s="199">
        <f t="shared" si="123"/>
        <v>229027.31947910553</v>
      </c>
      <c r="AC114">
        <v>19.899999999999999</v>
      </c>
      <c r="AD114" s="199">
        <f t="shared" si="124"/>
        <v>45576.436576341999</v>
      </c>
      <c r="AE114" s="199">
        <f t="shared" si="131"/>
        <v>43297.614747524894</v>
      </c>
      <c r="AF114" s="199">
        <f t="shared" si="120"/>
        <v>43297.614747524894</v>
      </c>
      <c r="AG114" s="614">
        <f t="shared" si="117"/>
        <v>2.0018916258352239E-3</v>
      </c>
      <c r="AH114" s="199">
        <f t="shared" si="167"/>
        <v>11451.365973955277</v>
      </c>
      <c r="AI114" s="252">
        <f t="shared" si="89"/>
        <v>8.871199714881329E-4</v>
      </c>
      <c r="AJ114" s="199">
        <f t="shared" si="101"/>
        <v>57027.802550297274</v>
      </c>
      <c r="AK114" s="199">
        <f t="shared" si="129"/>
        <v>9161.0927791642207</v>
      </c>
      <c r="AL114" s="199">
        <f t="shared" si="130"/>
        <v>9161.0927791642207</v>
      </c>
      <c r="AM114" s="199">
        <f t="shared" si="102"/>
        <v>18322.185558328441</v>
      </c>
      <c r="AN114" s="645">
        <f t="shared" si="103"/>
        <v>8.871199714881329E-4</v>
      </c>
      <c r="AO114" s="199">
        <v>10</v>
      </c>
      <c r="AP114" s="250">
        <f t="shared" si="104"/>
        <v>1.1362345188046814E-3</v>
      </c>
      <c r="AQ114" s="199">
        <v>10</v>
      </c>
      <c r="AU114" s="199">
        <v>1</v>
      </c>
      <c r="AV114" s="199">
        <f t="shared" si="156"/>
        <v>127237.39021819715</v>
      </c>
      <c r="AW114" s="250">
        <f t="shared" si="105"/>
        <v>3.6621421575864167E-3</v>
      </c>
      <c r="AX114" s="199">
        <v>0</v>
      </c>
      <c r="AY114" s="199">
        <f t="shared" si="157"/>
        <v>16772.205192821984</v>
      </c>
      <c r="AZ114" s="199">
        <f t="shared" si="106"/>
        <v>0</v>
      </c>
      <c r="BA114" s="252">
        <f t="shared" si="107"/>
        <v>0</v>
      </c>
      <c r="BB114" s="284">
        <v>1</v>
      </c>
      <c r="BC114" s="199">
        <f t="shared" si="158"/>
        <v>32815.034334966236</v>
      </c>
      <c r="BD114" s="270">
        <f t="shared" si="118"/>
        <v>2.955226615164177E-3</v>
      </c>
      <c r="BE114" s="199">
        <f t="shared" si="159"/>
        <v>140375.42465513336</v>
      </c>
      <c r="BF114" s="251">
        <f t="shared" si="119"/>
        <v>2.9552266808348707E-3</v>
      </c>
      <c r="BG114" s="204">
        <f t="shared" si="125"/>
        <v>173190.45899009961</v>
      </c>
      <c r="BH114" s="636">
        <v>0</v>
      </c>
      <c r="BI114" s="199">
        <f t="shared" si="108"/>
        <v>70082.359760606283</v>
      </c>
      <c r="BJ114" s="199">
        <f t="shared" si="109"/>
        <v>140164.71952121257</v>
      </c>
      <c r="BK114" s="199">
        <f t="shared" si="116"/>
        <v>210247.07928181885</v>
      </c>
      <c r="BL114" s="251">
        <f t="shared" si="110"/>
        <v>8.8711997148813279E-4</v>
      </c>
      <c r="BM114" s="199">
        <f t="shared" si="160"/>
        <v>21071.500157159178</v>
      </c>
      <c r="BN114" s="251">
        <f t="shared" si="111"/>
        <v>9.0993290800672636E-4</v>
      </c>
      <c r="BT114" s="199">
        <f>'Detailed Budget'!$AD$12</f>
        <v>194045122715</v>
      </c>
      <c r="BU114" s="199">
        <f>'Detailed Budget'!$AD$24</f>
        <v>194045122715</v>
      </c>
      <c r="BV114" s="596">
        <f t="shared" si="161"/>
        <v>3.6621421575864167E-3</v>
      </c>
      <c r="BW114" s="278"/>
      <c r="BX114" s="275">
        <f t="shared" si="126"/>
        <v>710620824.36863112</v>
      </c>
      <c r="BY114" s="275">
        <f t="shared" si="127"/>
        <v>710620824.36863112</v>
      </c>
      <c r="CA114" s="199">
        <f>'Detailed Budget'!$AD$96</f>
        <v>71050111380.677719</v>
      </c>
      <c r="CB114" s="275">
        <f t="shared" si="112"/>
        <v>0</v>
      </c>
      <c r="CE114" s="199">
        <f>'Detailed Budget'!$AD$175</f>
        <v>4330586076.5988197</v>
      </c>
      <c r="CF114" s="275">
        <f t="shared" si="162"/>
        <v>12797863.232824244</v>
      </c>
      <c r="CG114" s="199">
        <f>'Detailed Budget'!$AD$176</f>
        <v>20662817754.37001</v>
      </c>
      <c r="CH114" s="275">
        <f t="shared" si="163"/>
        <v>61063310.328942724</v>
      </c>
      <c r="CI114" s="275">
        <f t="shared" si="122"/>
        <v>73861173.561766967</v>
      </c>
      <c r="CJ114" s="275">
        <f>'Detailed Budget'!$AD$178</f>
        <v>46025131033.061455</v>
      </c>
      <c r="CK114" s="275">
        <f t="shared" si="164"/>
        <v>92137324.393054619</v>
      </c>
      <c r="CL114" s="275">
        <f t="shared" si="121"/>
        <v>165998497.95482159</v>
      </c>
      <c r="CM114" s="278">
        <f>'Detailed Budget'!$AD$189</f>
        <v>77498869683.252869</v>
      </c>
      <c r="CN114" s="275">
        <f t="shared" si="113"/>
        <v>0</v>
      </c>
      <c r="CO114" s="140">
        <f>'Detailed Budget'!$AD$191</f>
        <v>2684962805.4134097</v>
      </c>
      <c r="CP114" s="616">
        <f t="shared" si="114"/>
        <v>0</v>
      </c>
      <c r="CQ114" s="616">
        <f t="shared" si="115"/>
        <v>0</v>
      </c>
      <c r="CR114" s="199">
        <f>'Detailed Budget'!$AD$195</f>
        <v>18734176418</v>
      </c>
      <c r="CS114" s="275">
        <f t="shared" si="165"/>
        <v>17046843.627141777</v>
      </c>
      <c r="CW114" s="278"/>
      <c r="DH114" s="140">
        <f>'Detailed Budget'!$AD$163</f>
        <v>4928560000</v>
      </c>
      <c r="DI114" s="616">
        <f t="shared" si="166"/>
        <v>5600000</v>
      </c>
    </row>
    <row r="115" spans="1:113" outlineLevel="1">
      <c r="A115" s="214" t="s">
        <v>419</v>
      </c>
      <c r="B115" s="215" t="s">
        <v>420</v>
      </c>
      <c r="C115" s="216" t="s">
        <v>234</v>
      </c>
      <c r="D115" s="217" t="s">
        <v>234</v>
      </c>
      <c r="E115" s="216"/>
      <c r="F115" s="216"/>
      <c r="G115" s="216"/>
      <c r="H115" s="216" t="s">
        <v>234</v>
      </c>
      <c r="I115" s="217" t="s">
        <v>234</v>
      </c>
      <c r="J115" s="217"/>
      <c r="K115" s="216" t="s">
        <v>234</v>
      </c>
      <c r="L115" s="216"/>
      <c r="M115" s="217"/>
      <c r="N115" s="216"/>
      <c r="O115" s="217"/>
      <c r="P115" s="216"/>
      <c r="Q115" s="217"/>
      <c r="R115" s="217" t="s">
        <v>234</v>
      </c>
      <c r="S115" s="217"/>
      <c r="T115" s="217"/>
      <c r="U115" s="218">
        <f t="shared" si="155"/>
        <v>6</v>
      </c>
      <c r="V115" s="867" t="s">
        <v>238</v>
      </c>
      <c r="W115" s="219">
        <v>151968</v>
      </c>
      <c r="X115" s="220">
        <v>3.42</v>
      </c>
      <c r="Y115" s="221">
        <f t="shared" si="128"/>
        <v>1.0342</v>
      </c>
      <c r="Z115" s="199">
        <v>19</v>
      </c>
      <c r="AA115" s="221">
        <f t="shared" si="85"/>
        <v>1.8944630332534185</v>
      </c>
      <c r="AB115" s="199">
        <f t="shared" si="123"/>
        <v>287897.75823745551</v>
      </c>
      <c r="AC115">
        <v>19.899999999999999</v>
      </c>
      <c r="AD115" s="199">
        <f t="shared" si="124"/>
        <v>57291.653889253641</v>
      </c>
      <c r="AE115" s="199">
        <f t="shared" si="131"/>
        <v>54427.071194790959</v>
      </c>
      <c r="AF115" s="199">
        <f t="shared" si="120"/>
        <v>54427.071194790959</v>
      </c>
      <c r="AG115" s="614">
        <f t="shared" si="117"/>
        <v>2.5164688327275141E-3</v>
      </c>
      <c r="AH115" s="199">
        <f t="shared" si="167"/>
        <v>14394.887911872776</v>
      </c>
      <c r="AI115" s="252">
        <f t="shared" si="89"/>
        <v>1.1151501561472426E-3</v>
      </c>
      <c r="AJ115" s="199">
        <f t="shared" si="101"/>
        <v>71686.541801126412</v>
      </c>
      <c r="AK115" s="199">
        <f t="shared" si="129"/>
        <v>11515.91032949822</v>
      </c>
      <c r="AL115" s="199">
        <f t="shared" si="130"/>
        <v>11515.91032949822</v>
      </c>
      <c r="AM115" s="199">
        <f t="shared" si="102"/>
        <v>23031.820658996439</v>
      </c>
      <c r="AN115" s="645">
        <f t="shared" si="103"/>
        <v>1.1151501561472424E-3</v>
      </c>
      <c r="AO115" s="199">
        <v>13</v>
      </c>
      <c r="AP115" s="250">
        <f t="shared" si="104"/>
        <v>1.4771048744460858E-3</v>
      </c>
      <c r="AQ115" s="199">
        <v>13</v>
      </c>
      <c r="AU115" s="199">
        <v>1</v>
      </c>
      <c r="AV115" s="199">
        <f t="shared" si="156"/>
        <v>159943.18708840865</v>
      </c>
      <c r="AW115" s="250">
        <f t="shared" si="105"/>
        <v>4.6034792701322045E-3</v>
      </c>
      <c r="AX115" s="199">
        <v>0</v>
      </c>
      <c r="AY115" s="199">
        <f t="shared" si="157"/>
        <v>21083.424836365808</v>
      </c>
      <c r="AZ115" s="199">
        <f t="shared" si="106"/>
        <v>0</v>
      </c>
      <c r="BA115" s="252">
        <f t="shared" si="107"/>
        <v>0</v>
      </c>
      <c r="BB115" s="284">
        <v>1</v>
      </c>
      <c r="BC115" s="199">
        <f t="shared" si="158"/>
        <v>41249.990800262618</v>
      </c>
      <c r="BD115" s="270">
        <f t="shared" si="118"/>
        <v>3.7148542781903801E-3</v>
      </c>
      <c r="BE115" s="199">
        <f t="shared" si="159"/>
        <v>176458.29397890123</v>
      </c>
      <c r="BF115" s="251">
        <f t="shared" si="119"/>
        <v>3.7148543607414294E-3</v>
      </c>
      <c r="BG115" s="204">
        <f t="shared" si="125"/>
        <v>217708.28477916383</v>
      </c>
      <c r="BH115" s="636">
        <v>0</v>
      </c>
      <c r="BI115" s="199">
        <f t="shared" si="108"/>
        <v>88096.714020661384</v>
      </c>
      <c r="BJ115" s="199">
        <f t="shared" si="109"/>
        <v>176193.42804132277</v>
      </c>
      <c r="BK115" s="199">
        <f t="shared" si="116"/>
        <v>264290.14206198417</v>
      </c>
      <c r="BL115" s="251">
        <f t="shared" si="110"/>
        <v>1.1151501561472426E-3</v>
      </c>
      <c r="BM115" s="199">
        <f t="shared" si="160"/>
        <v>26487.834166437809</v>
      </c>
      <c r="BN115" s="251">
        <f t="shared" si="111"/>
        <v>1.1438270550318561E-3</v>
      </c>
      <c r="BT115" s="199">
        <f>'Detailed Budget'!$AD$12</f>
        <v>194045122715</v>
      </c>
      <c r="BU115" s="199">
        <f>'Detailed Budget'!$AD$24</f>
        <v>194045122715</v>
      </c>
      <c r="BV115" s="596">
        <f t="shared" si="161"/>
        <v>4.6034792701322045E-3</v>
      </c>
      <c r="BW115" s="278"/>
      <c r="BX115" s="275">
        <f t="shared" si="126"/>
        <v>893282699.88876224</v>
      </c>
      <c r="BY115" s="275">
        <f t="shared" si="127"/>
        <v>893282699.88876224</v>
      </c>
      <c r="CA115" s="199">
        <f>'Detailed Budget'!$AD$96</f>
        <v>71050111380.677719</v>
      </c>
      <c r="CB115" s="275">
        <f t="shared" si="112"/>
        <v>0</v>
      </c>
      <c r="CE115" s="199">
        <f>'Detailed Budget'!$AD$175</f>
        <v>4330586076.5988197</v>
      </c>
      <c r="CF115" s="275">
        <f t="shared" si="162"/>
        <v>16087496.213724818</v>
      </c>
      <c r="CG115" s="199">
        <f>'Detailed Budget'!$AD$176</f>
        <v>20662817754.37001</v>
      </c>
      <c r="CH115" s="275">
        <f t="shared" si="163"/>
        <v>76759358.640026867</v>
      </c>
      <c r="CI115" s="275">
        <f t="shared" si="122"/>
        <v>92846854.853751689</v>
      </c>
      <c r="CJ115" s="275">
        <f>'Detailed Budget'!$AD$178</f>
        <v>46025131033.061455</v>
      </c>
      <c r="CK115" s="275">
        <f t="shared" si="164"/>
        <v>115820807.76689905</v>
      </c>
      <c r="CL115" s="275">
        <f t="shared" si="121"/>
        <v>208667662.62065074</v>
      </c>
      <c r="CM115" s="278">
        <f>'Detailed Budget'!$AD$189</f>
        <v>77498869683.252869</v>
      </c>
      <c r="CN115" s="275">
        <f t="shared" si="113"/>
        <v>0</v>
      </c>
      <c r="CO115" s="140">
        <f>'Detailed Budget'!$AD$191</f>
        <v>2684962805.4134097</v>
      </c>
      <c r="CP115" s="616">
        <f t="shared" si="114"/>
        <v>0</v>
      </c>
      <c r="CQ115" s="616">
        <f t="shared" si="115"/>
        <v>0</v>
      </c>
      <c r="CR115" s="199">
        <f>'Detailed Budget'!$AD$195</f>
        <v>18734176418</v>
      </c>
      <c r="CS115" s="275">
        <f t="shared" si="165"/>
        <v>21428657.840648185</v>
      </c>
      <c r="CW115" s="278"/>
      <c r="DH115" s="140">
        <f>'Detailed Budget'!$AD$163</f>
        <v>4928560000</v>
      </c>
      <c r="DI115" s="616">
        <f t="shared" si="166"/>
        <v>7280000.0000000009</v>
      </c>
    </row>
    <row r="116" spans="1:113" outlineLevel="1">
      <c r="A116" s="214" t="s">
        <v>421</v>
      </c>
      <c r="B116" s="215" t="s">
        <v>422</v>
      </c>
      <c r="C116" s="216" t="s">
        <v>234</v>
      </c>
      <c r="D116" s="217" t="s">
        <v>234</v>
      </c>
      <c r="E116" s="216"/>
      <c r="F116" s="216"/>
      <c r="G116" s="216"/>
      <c r="H116" s="216" t="s">
        <v>234</v>
      </c>
      <c r="I116" s="217" t="s">
        <v>234</v>
      </c>
      <c r="J116" s="217"/>
      <c r="K116" s="216" t="s">
        <v>234</v>
      </c>
      <c r="L116" s="216"/>
      <c r="M116" s="217"/>
      <c r="N116" s="216"/>
      <c r="O116" s="217"/>
      <c r="P116" s="216"/>
      <c r="Q116" s="217"/>
      <c r="R116" s="217" t="s">
        <v>234</v>
      </c>
      <c r="S116" s="217"/>
      <c r="T116" s="217"/>
      <c r="U116" s="218">
        <f t="shared" si="155"/>
        <v>6</v>
      </c>
      <c r="V116" s="867" t="s">
        <v>238</v>
      </c>
      <c r="W116" s="219">
        <v>117021</v>
      </c>
      <c r="X116" s="220">
        <v>3.42</v>
      </c>
      <c r="Y116" s="221">
        <f t="shared" si="128"/>
        <v>1.0342</v>
      </c>
      <c r="Z116" s="199">
        <v>19</v>
      </c>
      <c r="AA116" s="221">
        <f t="shared" si="85"/>
        <v>1.8944630332534185</v>
      </c>
      <c r="AB116" s="199">
        <f t="shared" ref="AB116:AB149" si="168">W116*AA116</f>
        <v>221691.95861434829</v>
      </c>
      <c r="AC116">
        <v>19.899999999999999</v>
      </c>
      <c r="AD116" s="199">
        <f t="shared" ref="AD116:AD149" si="169">AB116*AC116/100</f>
        <v>44116.699764255303</v>
      </c>
      <c r="AE116" s="199">
        <f t="shared" si="131"/>
        <v>41910.864776042537</v>
      </c>
      <c r="AF116" s="199">
        <f t="shared" si="120"/>
        <v>41910.864776042537</v>
      </c>
      <c r="AG116" s="614">
        <f t="shared" si="117"/>
        <v>1.9377743951003263E-3</v>
      </c>
      <c r="AH116" s="199">
        <f t="shared" si="167"/>
        <v>11084.597930717415</v>
      </c>
      <c r="AI116" s="252">
        <f t="shared" si="89"/>
        <v>8.5870700688636073E-4</v>
      </c>
      <c r="AJ116" s="199">
        <f t="shared" si="101"/>
        <v>55201.297694972716</v>
      </c>
      <c r="AK116" s="199">
        <f t="shared" si="129"/>
        <v>8867.6783445739311</v>
      </c>
      <c r="AL116" s="199">
        <f t="shared" si="130"/>
        <v>8867.6783445739311</v>
      </c>
      <c r="AM116" s="199">
        <f t="shared" si="102"/>
        <v>17735.356689147862</v>
      </c>
      <c r="AN116" s="645">
        <f t="shared" si="103"/>
        <v>8.5870700688636063E-4</v>
      </c>
      <c r="AO116" s="199">
        <v>10</v>
      </c>
      <c r="AP116" s="250">
        <f t="shared" si="104"/>
        <v>1.1362345188046814E-3</v>
      </c>
      <c r="AQ116" s="199">
        <v>10</v>
      </c>
      <c r="AU116" s="199">
        <v>1</v>
      </c>
      <c r="AV116" s="199">
        <f t="shared" si="156"/>
        <v>123162.19004180266</v>
      </c>
      <c r="AW116" s="250">
        <f t="shared" si="105"/>
        <v>3.5448498872798265E-3</v>
      </c>
      <c r="AX116" s="199">
        <v>0</v>
      </c>
      <c r="AY116" s="199">
        <f t="shared" si="157"/>
        <v>16235.01959475918</v>
      </c>
      <c r="AZ116" s="199">
        <f t="shared" si="106"/>
        <v>0</v>
      </c>
      <c r="BA116" s="252">
        <f t="shared" si="107"/>
        <v>0</v>
      </c>
      <c r="BB116" s="284">
        <v>1</v>
      </c>
      <c r="BC116" s="199">
        <f t="shared" si="158"/>
        <v>31764.023830263817</v>
      </c>
      <c r="BD116" s="270">
        <f t="shared" si="118"/>
        <v>2.8605756638773721E-3</v>
      </c>
      <c r="BE116" s="199">
        <f t="shared" si="159"/>
        <v>135879.43527390633</v>
      </c>
      <c r="BF116" s="251">
        <f t="shared" si="119"/>
        <v>2.8605757274447431E-3</v>
      </c>
      <c r="BG116" s="204">
        <f t="shared" si="125"/>
        <v>167643.45910417015</v>
      </c>
      <c r="BH116" s="636">
        <v>0</v>
      </c>
      <c r="BI116" s="199">
        <f t="shared" si="108"/>
        <v>67837.739335990569</v>
      </c>
      <c r="BJ116" s="199">
        <f t="shared" si="109"/>
        <v>135675.47867198114</v>
      </c>
      <c r="BK116" s="199">
        <f t="shared" si="116"/>
        <v>203513.21800797171</v>
      </c>
      <c r="BL116" s="251">
        <f t="shared" si="110"/>
        <v>8.5870700688636052E-4</v>
      </c>
      <c r="BM116" s="199">
        <f t="shared" si="160"/>
        <v>20396.615353171186</v>
      </c>
      <c r="BN116" s="251">
        <f t="shared" si="111"/>
        <v>8.8078928331545344E-4</v>
      </c>
      <c r="BT116" s="199">
        <f>'Detailed Budget'!$AD$12</f>
        <v>194045122715</v>
      </c>
      <c r="BU116" s="199">
        <f>'Detailed Budget'!$AD$24</f>
        <v>194045122715</v>
      </c>
      <c r="BV116" s="596">
        <f t="shared" si="161"/>
        <v>3.5448498872798265E-3</v>
      </c>
      <c r="BW116" s="278"/>
      <c r="BX116" s="275">
        <f t="shared" si="126"/>
        <v>687860831.38346791</v>
      </c>
      <c r="BY116" s="275">
        <f t="shared" si="127"/>
        <v>687860831.38346791</v>
      </c>
      <c r="CA116" s="199">
        <f>'Detailed Budget'!$AD$96</f>
        <v>71050111380.677719</v>
      </c>
      <c r="CB116" s="275">
        <f t="shared" si="112"/>
        <v>0</v>
      </c>
      <c r="CE116" s="199">
        <f>'Detailed Budget'!$AD$175</f>
        <v>4330586076.5988197</v>
      </c>
      <c r="CF116" s="275">
        <f t="shared" si="162"/>
        <v>12387969.141044773</v>
      </c>
      <c r="CG116" s="199">
        <f>'Detailed Budget'!$AD$176</f>
        <v>20662817754.37001</v>
      </c>
      <c r="CH116" s="275">
        <f t="shared" si="163"/>
        <v>59107554.928765148</v>
      </c>
      <c r="CI116" s="275">
        <f t="shared" si="122"/>
        <v>71495524.069809914</v>
      </c>
      <c r="CJ116" s="275">
        <f>'Detailed Budget'!$AD$178</f>
        <v>46025131033.061455</v>
      </c>
      <c r="CK116" s="275">
        <f t="shared" si="164"/>
        <v>89186320.447003916</v>
      </c>
      <c r="CL116" s="275">
        <f t="shared" si="121"/>
        <v>160681844.51681381</v>
      </c>
      <c r="CM116" s="278">
        <f>'Detailed Budget'!$AD$189</f>
        <v>77498869683.252869</v>
      </c>
      <c r="CN116" s="275">
        <f t="shared" si="113"/>
        <v>0</v>
      </c>
      <c r="CO116" s="140">
        <f>'Detailed Budget'!$AD$191</f>
        <v>2684962805.4134097</v>
      </c>
      <c r="CP116" s="616">
        <f t="shared" si="114"/>
        <v>0</v>
      </c>
      <c r="CQ116" s="616">
        <f t="shared" si="115"/>
        <v>0</v>
      </c>
      <c r="CR116" s="199">
        <f>'Detailed Budget'!$AD$195</f>
        <v>18734176418</v>
      </c>
      <c r="CS116" s="275">
        <f t="shared" si="165"/>
        <v>16500861.820715489</v>
      </c>
      <c r="CW116" s="278"/>
      <c r="DH116" s="140">
        <f>'Detailed Budget'!$AD$163</f>
        <v>4928560000</v>
      </c>
      <c r="DI116" s="616">
        <f t="shared" si="166"/>
        <v>5600000</v>
      </c>
    </row>
    <row r="117" spans="1:113" outlineLevel="1">
      <c r="A117" s="214" t="s">
        <v>423</v>
      </c>
      <c r="B117" s="215" t="s">
        <v>424</v>
      </c>
      <c r="C117" s="216" t="s">
        <v>234</v>
      </c>
      <c r="D117" s="217" t="s">
        <v>234</v>
      </c>
      <c r="E117" s="216"/>
      <c r="F117" s="216"/>
      <c r="G117" s="216"/>
      <c r="H117" s="216" t="s">
        <v>234</v>
      </c>
      <c r="I117" s="217" t="s">
        <v>234</v>
      </c>
      <c r="J117" s="217"/>
      <c r="K117" s="216" t="s">
        <v>234</v>
      </c>
      <c r="L117" s="216"/>
      <c r="M117" s="217"/>
      <c r="N117" s="216"/>
      <c r="O117" s="217"/>
      <c r="P117" s="216"/>
      <c r="Q117" s="217"/>
      <c r="R117" s="217" t="s">
        <v>234</v>
      </c>
      <c r="S117" s="217" t="s">
        <v>234</v>
      </c>
      <c r="T117" s="217"/>
      <c r="U117" s="218">
        <f t="shared" si="155"/>
        <v>7</v>
      </c>
      <c r="V117" s="867" t="s">
        <v>418</v>
      </c>
      <c r="W117" s="219">
        <v>209777</v>
      </c>
      <c r="X117" s="220">
        <v>3.42</v>
      </c>
      <c r="Y117" s="221">
        <f t="shared" si="128"/>
        <v>1.0342</v>
      </c>
      <c r="Z117" s="199">
        <v>19</v>
      </c>
      <c r="AA117" s="221">
        <f t="shared" ref="AA117:AA149" si="170">POWER(Y117,Z117)</f>
        <v>1.8944630332534185</v>
      </c>
      <c r="AB117" s="199">
        <f t="shared" si="168"/>
        <v>397414.77172680234</v>
      </c>
      <c r="AC117">
        <v>19.899999999999999</v>
      </c>
      <c r="AD117" s="199">
        <f t="shared" si="169"/>
        <v>79085.539573633665</v>
      </c>
      <c r="AE117" s="199">
        <f t="shared" si="131"/>
        <v>75131.262594951972</v>
      </c>
      <c r="AF117" s="199">
        <f t="shared" si="120"/>
        <v>75131.262594951972</v>
      </c>
      <c r="AG117" s="614">
        <f t="shared" si="117"/>
        <v>3.4737397499676223E-3</v>
      </c>
      <c r="AH117" s="199">
        <f t="shared" si="167"/>
        <v>19870.738586340118</v>
      </c>
      <c r="AI117" s="252">
        <f t="shared" si="89"/>
        <v>1.5393560111740634E-3</v>
      </c>
      <c r="AJ117" s="199">
        <f t="shared" si="101"/>
        <v>98956.278159973779</v>
      </c>
      <c r="AK117" s="199">
        <f t="shared" si="129"/>
        <v>15896.590869072093</v>
      </c>
      <c r="AL117" s="199">
        <f t="shared" si="130"/>
        <v>15896.590869072093</v>
      </c>
      <c r="AM117" s="199">
        <f t="shared" si="102"/>
        <v>31793.181738144187</v>
      </c>
      <c r="AN117" s="645">
        <f t="shared" si="103"/>
        <v>1.5393560111740634E-3</v>
      </c>
      <c r="AO117" s="199">
        <v>12</v>
      </c>
      <c r="AP117" s="250">
        <f t="shared" si="104"/>
        <v>1.3634814225656176E-3</v>
      </c>
      <c r="AQ117" s="199">
        <v>12</v>
      </c>
      <c r="AU117" s="199">
        <v>1</v>
      </c>
      <c r="AV117" s="199">
        <f t="shared" si="156"/>
        <v>220785.96782115378</v>
      </c>
      <c r="AW117" s="250">
        <f t="shared" si="105"/>
        <v>6.3546540775066031E-3</v>
      </c>
      <c r="AX117" s="199">
        <v>0</v>
      </c>
      <c r="AY117" s="199">
        <f t="shared" si="157"/>
        <v>29103.611364881486</v>
      </c>
      <c r="AZ117" s="199">
        <f t="shared" si="106"/>
        <v>0</v>
      </c>
      <c r="BA117" s="252">
        <f t="shared" si="107"/>
        <v>0</v>
      </c>
      <c r="BB117" s="284">
        <v>1</v>
      </c>
      <c r="BC117" s="199">
        <f t="shared" si="158"/>
        <v>56941.588493016236</v>
      </c>
      <c r="BD117" s="270">
        <f t="shared" si="118"/>
        <v>5.1279939587014593E-3</v>
      </c>
      <c r="BE117" s="199">
        <f t="shared" si="159"/>
        <v>243583.46188679169</v>
      </c>
      <c r="BF117" s="251">
        <f t="shared" si="119"/>
        <v>5.1279940726551296E-3</v>
      </c>
      <c r="BG117" s="204">
        <f t="shared" si="125"/>
        <v>300525.05037980794</v>
      </c>
      <c r="BH117" s="636">
        <v>0</v>
      </c>
      <c r="BI117" s="199">
        <f t="shared" si="108"/>
        <v>121608.92014840152</v>
      </c>
      <c r="BJ117" s="199">
        <f t="shared" si="109"/>
        <v>243217.84029680304</v>
      </c>
      <c r="BK117" s="199">
        <f t="shared" si="116"/>
        <v>364826.76044520456</v>
      </c>
      <c r="BL117" s="251">
        <f t="shared" si="110"/>
        <v>1.5393560111740634E-3</v>
      </c>
      <c r="BM117" s="199">
        <f t="shared" si="160"/>
        <v>36563.87126192898</v>
      </c>
      <c r="BN117" s="251">
        <f t="shared" si="111"/>
        <v>1.5789416727430619E-3</v>
      </c>
      <c r="BT117" s="199">
        <f>'Detailed Budget'!$AD$12</f>
        <v>194045122715</v>
      </c>
      <c r="BU117" s="199">
        <f>'Detailed Budget'!$AD$24</f>
        <v>194045122715</v>
      </c>
      <c r="BV117" s="596">
        <f t="shared" si="161"/>
        <v>6.3546540775066031E-3</v>
      </c>
      <c r="BW117" s="278"/>
      <c r="BX117" s="275">
        <f t="shared" si="126"/>
        <v>1233089630.2811439</v>
      </c>
      <c r="BY117" s="275">
        <f t="shared" si="127"/>
        <v>1233089630.2811439</v>
      </c>
      <c r="CA117" s="199">
        <f>'Detailed Budget'!$AD$96</f>
        <v>71050111380.677719</v>
      </c>
      <c r="CB117" s="275">
        <f t="shared" si="112"/>
        <v>0</v>
      </c>
      <c r="CE117" s="199">
        <f>'Detailed Budget'!$AD$175</f>
        <v>4330586076.5988197</v>
      </c>
      <c r="CF117" s="275">
        <f t="shared" si="162"/>
        <v>22207219.238435403</v>
      </c>
      <c r="CG117" s="199">
        <f>'Detailed Budget'!$AD$176</f>
        <v>20662817754.37001</v>
      </c>
      <c r="CH117" s="275">
        <f t="shared" si="163"/>
        <v>105958806.96876259</v>
      </c>
      <c r="CI117" s="275">
        <f t="shared" si="122"/>
        <v>128166026.20719799</v>
      </c>
      <c r="CJ117" s="275">
        <f>'Detailed Budget'!$AD$178</f>
        <v>46025131033.061455</v>
      </c>
      <c r="CK117" s="275">
        <f t="shared" si="164"/>
        <v>159879327.16701394</v>
      </c>
      <c r="CL117" s="275">
        <f t="shared" si="121"/>
        <v>288045353.37421191</v>
      </c>
      <c r="CM117" s="278">
        <f>'Detailed Budget'!$AD$189</f>
        <v>77498869683.252869</v>
      </c>
      <c r="CN117" s="275">
        <f t="shared" si="113"/>
        <v>0</v>
      </c>
      <c r="CO117" s="140">
        <f>'Detailed Budget'!$AD$191</f>
        <v>2684962805.4134097</v>
      </c>
      <c r="CP117" s="616">
        <f t="shared" si="114"/>
        <v>0</v>
      </c>
      <c r="CQ117" s="616">
        <f t="shared" si="115"/>
        <v>0</v>
      </c>
      <c r="CR117" s="199">
        <f>'Detailed Budget'!$AD$195</f>
        <v>18734176418</v>
      </c>
      <c r="CS117" s="275">
        <f t="shared" si="165"/>
        <v>29580171.850900546</v>
      </c>
      <c r="CW117" s="278"/>
      <c r="DH117" s="140">
        <f>'Detailed Budget'!$AD$163</f>
        <v>4928560000</v>
      </c>
      <c r="DI117" s="616">
        <f t="shared" si="166"/>
        <v>6720000</v>
      </c>
    </row>
    <row r="118" spans="1:113" outlineLevel="1">
      <c r="A118" s="214" t="s">
        <v>425</v>
      </c>
      <c r="B118" s="215" t="s">
        <v>426</v>
      </c>
      <c r="C118" s="216" t="s">
        <v>234</v>
      </c>
      <c r="D118" s="217" t="s">
        <v>234</v>
      </c>
      <c r="E118" s="216"/>
      <c r="F118" s="216"/>
      <c r="G118" s="216"/>
      <c r="H118" s="216" t="s">
        <v>234</v>
      </c>
      <c r="I118" s="217" t="s">
        <v>234</v>
      </c>
      <c r="J118" s="217"/>
      <c r="K118" s="216" t="s">
        <v>234</v>
      </c>
      <c r="L118" s="216"/>
      <c r="M118" s="217"/>
      <c r="N118" s="216"/>
      <c r="O118" s="217"/>
      <c r="P118" s="216"/>
      <c r="Q118" s="217"/>
      <c r="R118" s="217" t="s">
        <v>234</v>
      </c>
      <c r="S118" s="217"/>
      <c r="T118" s="217"/>
      <c r="U118" s="218">
        <f t="shared" si="155"/>
        <v>6</v>
      </c>
      <c r="V118" s="867" t="s">
        <v>238</v>
      </c>
      <c r="W118" s="219">
        <v>181470</v>
      </c>
      <c r="X118" s="220">
        <v>3.42</v>
      </c>
      <c r="Y118" s="221">
        <f t="shared" si="128"/>
        <v>1.0342</v>
      </c>
      <c r="Z118" s="199">
        <v>19</v>
      </c>
      <c r="AA118" s="221">
        <f t="shared" si="170"/>
        <v>1.8944630332534185</v>
      </c>
      <c r="AB118" s="199">
        <f t="shared" si="168"/>
        <v>343788.20664449787</v>
      </c>
      <c r="AC118">
        <v>19.899999999999999</v>
      </c>
      <c r="AD118" s="199">
        <f t="shared" si="169"/>
        <v>68413.853122255081</v>
      </c>
      <c r="AE118" s="199">
        <f t="shared" si="131"/>
        <v>64993.160466142326</v>
      </c>
      <c r="AF118" s="199">
        <f t="shared" si="120"/>
        <v>64993.160466142326</v>
      </c>
      <c r="AG118" s="614">
        <f t="shared" si="117"/>
        <v>3.0049984146337519E-3</v>
      </c>
      <c r="AH118" s="199">
        <f t="shared" si="167"/>
        <v>17189.410332224896</v>
      </c>
      <c r="AI118" s="252">
        <f t="shared" si="89"/>
        <v>1.3316375739368823E-3</v>
      </c>
      <c r="AJ118" s="199">
        <f t="shared" si="101"/>
        <v>85603.26345447998</v>
      </c>
      <c r="AK118" s="199">
        <f t="shared" si="129"/>
        <v>13751.528265779914</v>
      </c>
      <c r="AL118" s="199">
        <f t="shared" si="130"/>
        <v>13751.528265779914</v>
      </c>
      <c r="AM118" s="199">
        <f t="shared" si="102"/>
        <v>27503.056531559829</v>
      </c>
      <c r="AN118" s="645">
        <f t="shared" si="103"/>
        <v>1.3316375739368821E-3</v>
      </c>
      <c r="AO118" s="199">
        <v>11</v>
      </c>
      <c r="AP118" s="250">
        <f t="shared" si="104"/>
        <v>1.2498579706851495E-3</v>
      </c>
      <c r="AQ118" s="199">
        <v>11</v>
      </c>
      <c r="AU118" s="199">
        <v>1</v>
      </c>
      <c r="AV118" s="199">
        <f t="shared" si="156"/>
        <v>190993.43388695986</v>
      </c>
      <c r="AW118" s="250">
        <f t="shared" si="105"/>
        <v>5.4971663978659402E-3</v>
      </c>
      <c r="AX118" s="199">
        <v>0</v>
      </c>
      <c r="AY118" s="199">
        <f t="shared" si="157"/>
        <v>25176.412830696619</v>
      </c>
      <c r="AZ118" s="199">
        <f t="shared" si="106"/>
        <v>0</v>
      </c>
      <c r="BA118" s="252">
        <f t="shared" si="107"/>
        <v>0</v>
      </c>
      <c r="BB118" s="284">
        <v>1</v>
      </c>
      <c r="BC118" s="199">
        <f t="shared" si="158"/>
        <v>49257.97424802366</v>
      </c>
      <c r="BD118" s="270">
        <f t="shared" si="118"/>
        <v>4.4360299922563198E-3</v>
      </c>
      <c r="BE118" s="199">
        <f t="shared" si="159"/>
        <v>210714.66761654566</v>
      </c>
      <c r="BF118" s="251">
        <f t="shared" si="119"/>
        <v>4.4360300908332494E-3</v>
      </c>
      <c r="BG118" s="204">
        <f t="shared" si="125"/>
        <v>259972.64186456933</v>
      </c>
      <c r="BH118" s="636">
        <v>0</v>
      </c>
      <c r="BI118" s="199">
        <f t="shared" si="108"/>
        <v>105199.19123321635</v>
      </c>
      <c r="BJ118" s="199">
        <f t="shared" si="109"/>
        <v>210398.3824664327</v>
      </c>
      <c r="BK118" s="199">
        <f t="shared" si="116"/>
        <v>315597.57369964907</v>
      </c>
      <c r="BL118" s="251">
        <f t="shared" si="110"/>
        <v>1.3316375739368823E-3</v>
      </c>
      <c r="BM118" s="199">
        <f t="shared" si="160"/>
        <v>31629.996224096321</v>
      </c>
      <c r="BN118" s="251">
        <f t="shared" si="111"/>
        <v>1.3658816045261566E-3</v>
      </c>
      <c r="BT118" s="199">
        <f>'Detailed Budget'!$AD$12</f>
        <v>194045122715</v>
      </c>
      <c r="BU118" s="199">
        <f>'Detailed Budget'!$AD$24</f>
        <v>194045122715</v>
      </c>
      <c r="BV118" s="596">
        <f t="shared" si="161"/>
        <v>5.4971663978659402E-3</v>
      </c>
      <c r="BW118" s="278"/>
      <c r="BX118" s="275">
        <f t="shared" si="126"/>
        <v>1066698328.2586709</v>
      </c>
      <c r="BY118" s="275">
        <f t="shared" si="127"/>
        <v>1066698328.2586709</v>
      </c>
      <c r="CA118" s="199">
        <f>'Detailed Budget'!$AD$96</f>
        <v>71050111380.677719</v>
      </c>
      <c r="CB118" s="275">
        <f t="shared" si="112"/>
        <v>0</v>
      </c>
      <c r="CE118" s="199">
        <f>'Detailed Budget'!$AD$175</f>
        <v>4330586076.5988197</v>
      </c>
      <c r="CF118" s="275">
        <f t="shared" si="162"/>
        <v>19210609.71983999</v>
      </c>
      <c r="CG118" s="199">
        <f>'Detailed Budget'!$AD$176</f>
        <v>20662817754.37001</v>
      </c>
      <c r="CH118" s="275">
        <f t="shared" si="163"/>
        <v>91660881.319788873</v>
      </c>
      <c r="CI118" s="275">
        <f t="shared" si="122"/>
        <v>110871491.03962886</v>
      </c>
      <c r="CJ118" s="275">
        <f>'Detailed Budget'!$AD$178</f>
        <v>46025131033.061455</v>
      </c>
      <c r="CK118" s="275">
        <f t="shared" si="164"/>
        <v>138305445.78766036</v>
      </c>
      <c r="CL118" s="275">
        <f t="shared" si="121"/>
        <v>249176936.82728922</v>
      </c>
      <c r="CM118" s="278">
        <f>'Detailed Budget'!$AD$189</f>
        <v>77498869683.252869</v>
      </c>
      <c r="CN118" s="275">
        <f t="shared" si="113"/>
        <v>0</v>
      </c>
      <c r="CO118" s="140">
        <f>'Detailed Budget'!$AD$191</f>
        <v>2684962805.4134097</v>
      </c>
      <c r="CP118" s="616">
        <f t="shared" si="114"/>
        <v>0</v>
      </c>
      <c r="CQ118" s="616">
        <f t="shared" si="115"/>
        <v>0</v>
      </c>
      <c r="CR118" s="199">
        <f>'Detailed Budget'!$AD$195</f>
        <v>18734176418</v>
      </c>
      <c r="CS118" s="275">
        <f t="shared" si="165"/>
        <v>25588666.945293926</v>
      </c>
      <c r="CW118" s="278"/>
      <c r="DH118" s="140">
        <f>'Detailed Budget'!$AD$163</f>
        <v>4928560000</v>
      </c>
      <c r="DI118" s="616">
        <f t="shared" si="166"/>
        <v>6160000</v>
      </c>
    </row>
    <row r="119" spans="1:113" outlineLevel="1">
      <c r="A119" s="214" t="s">
        <v>427</v>
      </c>
      <c r="B119" s="215" t="s">
        <v>428</v>
      </c>
      <c r="C119" s="216" t="s">
        <v>234</v>
      </c>
      <c r="D119" s="217" t="s">
        <v>234</v>
      </c>
      <c r="E119" s="216"/>
      <c r="F119" s="216"/>
      <c r="G119" s="216"/>
      <c r="H119" s="216" t="s">
        <v>234</v>
      </c>
      <c r="I119" s="217" t="s">
        <v>234</v>
      </c>
      <c r="J119" s="217"/>
      <c r="K119" s="216" t="s">
        <v>234</v>
      </c>
      <c r="L119" s="216"/>
      <c r="M119" s="217"/>
      <c r="N119" s="216"/>
      <c r="O119" s="217"/>
      <c r="P119" s="216"/>
      <c r="Q119" s="217"/>
      <c r="R119" s="217" t="s">
        <v>234</v>
      </c>
      <c r="S119" s="217"/>
      <c r="T119" s="217"/>
      <c r="U119" s="218">
        <f t="shared" si="155"/>
        <v>6</v>
      </c>
      <c r="V119" s="867" t="s">
        <v>238</v>
      </c>
      <c r="W119" s="219">
        <v>199600</v>
      </c>
      <c r="X119" s="220">
        <v>3.42</v>
      </c>
      <c r="Y119" s="221">
        <f t="shared" si="128"/>
        <v>1.0342</v>
      </c>
      <c r="Z119" s="199">
        <v>19</v>
      </c>
      <c r="AA119" s="221">
        <f t="shared" si="170"/>
        <v>1.8944630332534185</v>
      </c>
      <c r="AB119" s="199">
        <f t="shared" si="168"/>
        <v>378134.82143738231</v>
      </c>
      <c r="AC119">
        <v>19.899999999999999</v>
      </c>
      <c r="AD119" s="199">
        <f t="shared" si="169"/>
        <v>75248.829466039067</v>
      </c>
      <c r="AE119" s="199">
        <f t="shared" si="131"/>
        <v>71486.387992737116</v>
      </c>
      <c r="AF119" s="199">
        <f t="shared" si="120"/>
        <v>71486.387992737116</v>
      </c>
      <c r="AG119" s="614">
        <f t="shared" si="117"/>
        <v>3.3052167496605321E-3</v>
      </c>
      <c r="AH119" s="199">
        <f t="shared" si="167"/>
        <v>18906.741071869117</v>
      </c>
      <c r="AI119" s="252">
        <f t="shared" si="89"/>
        <v>1.4646765843268951E-3</v>
      </c>
      <c r="AJ119" s="199">
        <f t="shared" si="101"/>
        <v>94155.570537908177</v>
      </c>
      <c r="AK119" s="199">
        <f t="shared" si="129"/>
        <v>15125.392857495293</v>
      </c>
      <c r="AL119" s="199">
        <f t="shared" si="130"/>
        <v>15125.392857495293</v>
      </c>
      <c r="AM119" s="199">
        <f t="shared" si="102"/>
        <v>30250.785714990587</v>
      </c>
      <c r="AN119" s="645">
        <f t="shared" si="103"/>
        <v>1.4646765843268951E-3</v>
      </c>
      <c r="AO119" s="199">
        <v>11</v>
      </c>
      <c r="AP119" s="250">
        <f t="shared" si="104"/>
        <v>1.2498579706851495E-3</v>
      </c>
      <c r="AQ119" s="199">
        <v>11</v>
      </c>
      <c r="AU119" s="199">
        <v>1</v>
      </c>
      <c r="AV119" s="199">
        <f t="shared" si="156"/>
        <v>210074.88512612105</v>
      </c>
      <c r="AW119" s="250">
        <f t="shared" si="105"/>
        <v>6.0463680664244318E-3</v>
      </c>
      <c r="AX119" s="199">
        <v>0</v>
      </c>
      <c r="AY119" s="199">
        <f t="shared" si="157"/>
        <v>27691.69560261775</v>
      </c>
      <c r="AZ119" s="199">
        <f t="shared" si="106"/>
        <v>0</v>
      </c>
      <c r="BA119" s="252">
        <f t="shared" si="107"/>
        <v>0</v>
      </c>
      <c r="BB119" s="284">
        <v>1</v>
      </c>
      <c r="BC119" s="199">
        <f t="shared" si="158"/>
        <v>54179.157215548126</v>
      </c>
      <c r="BD119" s="270">
        <f t="shared" si="118"/>
        <v>4.8792174268714452E-3</v>
      </c>
      <c r="BE119" s="199">
        <f t="shared" si="159"/>
        <v>231766.39475540034</v>
      </c>
      <c r="BF119" s="251">
        <f t="shared" si="119"/>
        <v>4.8792175352968328E-3</v>
      </c>
      <c r="BG119" s="204">
        <f t="shared" si="125"/>
        <v>285945.55197094847</v>
      </c>
      <c r="BH119" s="636">
        <v>0</v>
      </c>
      <c r="BI119" s="199">
        <f t="shared" si="108"/>
        <v>115709.25535983901</v>
      </c>
      <c r="BJ119" s="199">
        <f t="shared" si="109"/>
        <v>231418.51071967802</v>
      </c>
      <c r="BK119" s="199">
        <f t="shared" si="116"/>
        <v>347127.76607951702</v>
      </c>
      <c r="BL119" s="251">
        <f t="shared" si="110"/>
        <v>1.4646765843268953E-3</v>
      </c>
      <c r="BM119" s="199">
        <f t="shared" si="160"/>
        <v>34790.032767562821</v>
      </c>
      <c r="BN119" s="251">
        <f t="shared" si="111"/>
        <v>1.5023418100149932E-3</v>
      </c>
      <c r="BT119" s="199">
        <f>'Detailed Budget'!$AD$12</f>
        <v>194045122715</v>
      </c>
      <c r="BU119" s="199">
        <f>'Detailed Budget'!$AD$24</f>
        <v>194045122715</v>
      </c>
      <c r="BV119" s="596">
        <f t="shared" si="161"/>
        <v>6.0463680664244318E-3</v>
      </c>
      <c r="BW119" s="278"/>
      <c r="BX119" s="275">
        <f t="shared" si="126"/>
        <v>1173268233.4293861</v>
      </c>
      <c r="BY119" s="275">
        <f t="shared" si="127"/>
        <v>1173268233.4293861</v>
      </c>
      <c r="CA119" s="199">
        <f>'Detailed Budget'!$AD$96</f>
        <v>71050111380.677719</v>
      </c>
      <c r="CB119" s="275">
        <f t="shared" si="112"/>
        <v>0</v>
      </c>
      <c r="CE119" s="199">
        <f>'Detailed Budget'!$AD$175</f>
        <v>4330586076.5988197</v>
      </c>
      <c r="CF119" s="275">
        <f t="shared" si="162"/>
        <v>21129871.053507801</v>
      </c>
      <c r="CG119" s="199">
        <f>'Detailed Budget'!$AD$176</f>
        <v>20662817754.37001</v>
      </c>
      <c r="CH119" s="275">
        <f t="shared" si="163"/>
        <v>100818382.71576488</v>
      </c>
      <c r="CI119" s="275">
        <f t="shared" si="122"/>
        <v>121948253.76927269</v>
      </c>
      <c r="CJ119" s="275">
        <f>'Detailed Budget'!$AD$178</f>
        <v>46025131033.061455</v>
      </c>
      <c r="CK119" s="275">
        <f t="shared" si="164"/>
        <v>152123033.99579546</v>
      </c>
      <c r="CL119" s="275">
        <f t="shared" si="121"/>
        <v>274071287.76506817</v>
      </c>
      <c r="CM119" s="278">
        <f>'Detailed Budget'!$AD$189</f>
        <v>77498869683.252869</v>
      </c>
      <c r="CN119" s="275">
        <f t="shared" si="113"/>
        <v>0</v>
      </c>
      <c r="CO119" s="140">
        <f>'Detailed Budget'!$AD$191</f>
        <v>2684962805.4134097</v>
      </c>
      <c r="CP119" s="616">
        <f t="shared" si="114"/>
        <v>0</v>
      </c>
      <c r="CQ119" s="616">
        <f t="shared" si="115"/>
        <v>0</v>
      </c>
      <c r="CR119" s="199">
        <f>'Detailed Budget'!$AD$195</f>
        <v>18734176418</v>
      </c>
      <c r="CS119" s="275">
        <f t="shared" si="165"/>
        <v>28145136.508958321</v>
      </c>
      <c r="CW119" s="278"/>
      <c r="DH119" s="140">
        <f>'Detailed Budget'!$AD$163</f>
        <v>4928560000</v>
      </c>
      <c r="DI119" s="616">
        <f t="shared" si="166"/>
        <v>6160000</v>
      </c>
    </row>
    <row r="120" spans="1:113" outlineLevel="1">
      <c r="A120" s="214" t="s">
        <v>429</v>
      </c>
      <c r="B120" s="215" t="s">
        <v>430</v>
      </c>
      <c r="C120" s="216" t="s">
        <v>234</v>
      </c>
      <c r="D120" s="217" t="s">
        <v>234</v>
      </c>
      <c r="E120" s="216"/>
      <c r="F120" s="216"/>
      <c r="G120" s="216"/>
      <c r="H120" s="216" t="s">
        <v>234</v>
      </c>
      <c r="I120" s="217" t="s">
        <v>234</v>
      </c>
      <c r="J120" s="217"/>
      <c r="K120" s="216" t="s">
        <v>234</v>
      </c>
      <c r="L120" s="216"/>
      <c r="M120" s="217"/>
      <c r="N120" s="216"/>
      <c r="O120" s="217"/>
      <c r="P120" s="216"/>
      <c r="Q120" s="217"/>
      <c r="R120" s="217" t="s">
        <v>234</v>
      </c>
      <c r="S120" s="217"/>
      <c r="T120" s="217"/>
      <c r="U120" s="218">
        <f t="shared" si="155"/>
        <v>6</v>
      </c>
      <c r="V120" s="867" t="s">
        <v>238</v>
      </c>
      <c r="W120" s="219">
        <v>215197</v>
      </c>
      <c r="X120" s="220">
        <v>3.42</v>
      </c>
      <c r="Y120" s="221">
        <f t="shared" si="128"/>
        <v>1.0342</v>
      </c>
      <c r="Z120" s="199">
        <v>19</v>
      </c>
      <c r="AA120" s="221">
        <f t="shared" si="170"/>
        <v>1.8944630332534185</v>
      </c>
      <c r="AB120" s="199">
        <f t="shared" si="168"/>
        <v>407682.76136703591</v>
      </c>
      <c r="AC120">
        <v>19.899999999999999</v>
      </c>
      <c r="AD120" s="199">
        <f t="shared" si="169"/>
        <v>81128.869512040139</v>
      </c>
      <c r="AE120" s="199">
        <f t="shared" si="131"/>
        <v>77072.426036438133</v>
      </c>
      <c r="AF120" s="199">
        <f t="shared" si="120"/>
        <v>77072.426036438133</v>
      </c>
      <c r="AG120" s="614">
        <f t="shared" si="117"/>
        <v>3.5634906256347574E-3</v>
      </c>
      <c r="AH120" s="199">
        <f t="shared" si="167"/>
        <v>20384.138068351796</v>
      </c>
      <c r="AI120" s="252">
        <f t="shared" si="89"/>
        <v>1.579128291169313E-3</v>
      </c>
      <c r="AJ120" s="199">
        <f t="shared" si="101"/>
        <v>101513.00758039193</v>
      </c>
      <c r="AK120" s="199">
        <f t="shared" si="129"/>
        <v>16307.310454681437</v>
      </c>
      <c r="AL120" s="199">
        <f t="shared" si="130"/>
        <v>16307.310454681437</v>
      </c>
      <c r="AM120" s="199">
        <f t="shared" si="102"/>
        <v>32614.620909362875</v>
      </c>
      <c r="AN120" s="645">
        <f t="shared" si="103"/>
        <v>1.579128291169313E-3</v>
      </c>
      <c r="AO120" s="199">
        <v>10</v>
      </c>
      <c r="AP120" s="250">
        <f t="shared" si="104"/>
        <v>1.1362345188046814E-3</v>
      </c>
      <c r="AQ120" s="199">
        <v>10</v>
      </c>
      <c r="AU120" s="199">
        <v>1</v>
      </c>
      <c r="AV120" s="199">
        <f t="shared" si="156"/>
        <v>226490.40608459854</v>
      </c>
      <c r="AW120" s="250">
        <f t="shared" si="105"/>
        <v>6.5188390219956824E-3</v>
      </c>
      <c r="AX120" s="199">
        <v>0</v>
      </c>
      <c r="AY120" s="199">
        <f t="shared" si="157"/>
        <v>29855.560213409484</v>
      </c>
      <c r="AZ120" s="199">
        <f t="shared" si="106"/>
        <v>0</v>
      </c>
      <c r="BA120" s="252">
        <f t="shared" si="107"/>
        <v>0</v>
      </c>
      <c r="BB120" s="284">
        <v>1</v>
      </c>
      <c r="BC120" s="199">
        <f t="shared" si="158"/>
        <v>58412.786048668895</v>
      </c>
      <c r="BD120" s="270">
        <f t="shared" si="118"/>
        <v>5.2604857345213149E-3</v>
      </c>
      <c r="BE120" s="199">
        <f t="shared" si="159"/>
        <v>249876.91809708363</v>
      </c>
      <c r="BF120" s="251">
        <f t="shared" si="119"/>
        <v>5.2604858514192021E-3</v>
      </c>
      <c r="BG120" s="204">
        <f t="shared" si="125"/>
        <v>308289.70414575253</v>
      </c>
      <c r="BH120" s="636">
        <v>0</v>
      </c>
      <c r="BI120" s="199">
        <f t="shared" si="108"/>
        <v>124750.92497831299</v>
      </c>
      <c r="BJ120" s="199">
        <f t="shared" si="109"/>
        <v>249501.84995662599</v>
      </c>
      <c r="BK120" s="199">
        <f t="shared" si="116"/>
        <v>374252.77493493899</v>
      </c>
      <c r="BL120" s="251">
        <f t="shared" si="110"/>
        <v>1.579128291169313E-3</v>
      </c>
      <c r="BM120" s="199">
        <f t="shared" si="160"/>
        <v>37508.570548503085</v>
      </c>
      <c r="BN120" s="251">
        <f t="shared" si="111"/>
        <v>1.6197367259007838E-3</v>
      </c>
      <c r="BT120" s="199">
        <f>'Detailed Budget'!$AD$12</f>
        <v>194045122715</v>
      </c>
      <c r="BU120" s="199">
        <f>'Detailed Budget'!$AD$24</f>
        <v>194045122715</v>
      </c>
      <c r="BV120" s="596">
        <f t="shared" si="161"/>
        <v>6.5188390219956824E-3</v>
      </c>
      <c r="BW120" s="278"/>
      <c r="BX120" s="275">
        <f t="shared" si="126"/>
        <v>1264948917.9824827</v>
      </c>
      <c r="BY120" s="275">
        <f t="shared" si="127"/>
        <v>1264948917.9824827</v>
      </c>
      <c r="CA120" s="199">
        <f>'Detailed Budget'!$AD$96</f>
        <v>71050111380.677719</v>
      </c>
      <c r="CB120" s="275">
        <f t="shared" si="112"/>
        <v>0</v>
      </c>
      <c r="CE120" s="199">
        <f>'Detailed Budget'!$AD$175</f>
        <v>4330586076.5988197</v>
      </c>
      <c r="CF120" s="275">
        <f t="shared" si="162"/>
        <v>22780986.27806472</v>
      </c>
      <c r="CG120" s="199">
        <f>'Detailed Budget'!$AD$176</f>
        <v>20662817754.37001</v>
      </c>
      <c r="CH120" s="275">
        <f t="shared" si="163"/>
        <v>108696460.44731693</v>
      </c>
      <c r="CI120" s="275">
        <f t="shared" si="122"/>
        <v>131477446.72538164</v>
      </c>
      <c r="CJ120" s="275">
        <f>'Detailed Budget'!$AD$178</f>
        <v>46025131033.061455</v>
      </c>
      <c r="CK120" s="275">
        <f t="shared" si="164"/>
        <v>164010122.97992584</v>
      </c>
      <c r="CL120" s="275">
        <f t="shared" si="121"/>
        <v>295487569.70530748</v>
      </c>
      <c r="CM120" s="278">
        <f>'Detailed Budget'!$AD$189</f>
        <v>77498869683.252869</v>
      </c>
      <c r="CN120" s="275">
        <f t="shared" si="113"/>
        <v>0</v>
      </c>
      <c r="CO120" s="140">
        <f>'Detailed Budget'!$AD$191</f>
        <v>2684962805.4134097</v>
      </c>
      <c r="CP120" s="616">
        <f t="shared" si="114"/>
        <v>0</v>
      </c>
      <c r="CQ120" s="616">
        <f t="shared" si="115"/>
        <v>0</v>
      </c>
      <c r="CR120" s="199">
        <f>'Detailed Budget'!$AD$195</f>
        <v>18734176418</v>
      </c>
      <c r="CS120" s="275">
        <f t="shared" si="165"/>
        <v>30344433.573738992</v>
      </c>
      <c r="CW120" s="278"/>
      <c r="DH120" s="140">
        <f>'Detailed Budget'!$AD$163</f>
        <v>4928560000</v>
      </c>
      <c r="DI120" s="616">
        <f t="shared" si="166"/>
        <v>5600000</v>
      </c>
    </row>
    <row r="121" spans="1:113" outlineLevel="1">
      <c r="A121" s="214" t="s">
        <v>431</v>
      </c>
      <c r="B121" s="215" t="s">
        <v>432</v>
      </c>
      <c r="C121" s="216" t="s">
        <v>234</v>
      </c>
      <c r="D121" s="217" t="s">
        <v>234</v>
      </c>
      <c r="E121" s="216"/>
      <c r="F121" s="216"/>
      <c r="G121" s="216"/>
      <c r="H121" s="216" t="s">
        <v>234</v>
      </c>
      <c r="I121" s="217" t="s">
        <v>234</v>
      </c>
      <c r="J121" s="217"/>
      <c r="K121" s="216" t="s">
        <v>234</v>
      </c>
      <c r="L121" s="216"/>
      <c r="M121" s="217"/>
      <c r="N121" s="216"/>
      <c r="O121" s="217"/>
      <c r="P121" s="216"/>
      <c r="Q121" s="217"/>
      <c r="R121" s="217" t="s">
        <v>234</v>
      </c>
      <c r="S121" s="217"/>
      <c r="T121" s="217"/>
      <c r="U121" s="218">
        <f t="shared" si="155"/>
        <v>6</v>
      </c>
      <c r="V121" s="867" t="s">
        <v>238</v>
      </c>
      <c r="W121" s="219">
        <v>242858</v>
      </c>
      <c r="X121" s="220">
        <v>3.42</v>
      </c>
      <c r="Y121" s="221">
        <f t="shared" si="128"/>
        <v>1.0342</v>
      </c>
      <c r="Z121" s="199">
        <v>19</v>
      </c>
      <c r="AA121" s="221">
        <f t="shared" si="170"/>
        <v>1.8944630332534185</v>
      </c>
      <c r="AB121" s="199">
        <f t="shared" si="168"/>
        <v>460085.50332985871</v>
      </c>
      <c r="AC121">
        <v>19.899999999999999</v>
      </c>
      <c r="AD121" s="199">
        <f t="shared" si="169"/>
        <v>91557.015162641866</v>
      </c>
      <c r="AE121" s="199">
        <f t="shared" si="131"/>
        <v>86979.164404509764</v>
      </c>
      <c r="AF121" s="199">
        <f t="shared" si="120"/>
        <v>86979.164404509764</v>
      </c>
      <c r="AG121" s="614">
        <f t="shared" si="117"/>
        <v>4.021534716378043E-3</v>
      </c>
      <c r="AH121" s="199">
        <f t="shared" si="167"/>
        <v>23004.275166492938</v>
      </c>
      <c r="AI121" s="252">
        <f t="shared" si="89"/>
        <v>1.7821063422668393E-3</v>
      </c>
      <c r="AJ121" s="199">
        <f t="shared" si="101"/>
        <v>114561.2903291348</v>
      </c>
      <c r="AK121" s="199">
        <f t="shared" si="129"/>
        <v>18403.420133194348</v>
      </c>
      <c r="AL121" s="199">
        <f t="shared" si="130"/>
        <v>18403.420133194348</v>
      </c>
      <c r="AM121" s="199">
        <f t="shared" si="102"/>
        <v>36806.840266388695</v>
      </c>
      <c r="AN121" s="645">
        <f t="shared" si="103"/>
        <v>1.7821063422668391E-3</v>
      </c>
      <c r="AO121" s="199">
        <v>11</v>
      </c>
      <c r="AP121" s="250">
        <f t="shared" si="104"/>
        <v>1.2498579706851495E-3</v>
      </c>
      <c r="AQ121" s="199">
        <v>11</v>
      </c>
      <c r="AU121" s="199">
        <v>1</v>
      </c>
      <c r="AV121" s="199">
        <f t="shared" si="156"/>
        <v>255603.03833647046</v>
      </c>
      <c r="AW121" s="250">
        <f t="shared" si="105"/>
        <v>7.3567577949684593E-3</v>
      </c>
      <c r="AX121" s="199">
        <v>0</v>
      </c>
      <c r="AY121" s="199">
        <f t="shared" si="157"/>
        <v>33693.135323950613</v>
      </c>
      <c r="AZ121" s="199">
        <f t="shared" si="106"/>
        <v>0</v>
      </c>
      <c r="BA121" s="252">
        <f t="shared" si="107"/>
        <v>0</v>
      </c>
      <c r="BB121" s="284">
        <v>1</v>
      </c>
      <c r="BC121" s="199">
        <f t="shared" si="158"/>
        <v>65921.05091710214</v>
      </c>
      <c r="BD121" s="270">
        <f t="shared" si="118"/>
        <v>5.9366582457672616E-3</v>
      </c>
      <c r="BE121" s="199">
        <f t="shared" si="159"/>
        <v>281995.60670093697</v>
      </c>
      <c r="BF121" s="251">
        <f t="shared" si="119"/>
        <v>5.936658377690974E-3</v>
      </c>
      <c r="BG121" s="204">
        <f t="shared" si="125"/>
        <v>347916.65761803911</v>
      </c>
      <c r="BH121" s="636">
        <v>0</v>
      </c>
      <c r="BI121" s="199">
        <f t="shared" si="108"/>
        <v>140786.16401893675</v>
      </c>
      <c r="BJ121" s="199">
        <f t="shared" si="109"/>
        <v>281572.32803787349</v>
      </c>
      <c r="BK121" s="199">
        <f t="shared" si="116"/>
        <v>422358.49205681024</v>
      </c>
      <c r="BL121" s="251">
        <f t="shared" si="110"/>
        <v>1.7821063422668389E-3</v>
      </c>
      <c r="BM121" s="199">
        <f t="shared" si="160"/>
        <v>42329.848586496853</v>
      </c>
      <c r="BN121" s="251">
        <f t="shared" si="111"/>
        <v>1.8279345054940943E-3</v>
      </c>
      <c r="BT121" s="199">
        <f>'Detailed Budget'!$AD$12</f>
        <v>194045122715</v>
      </c>
      <c r="BU121" s="199">
        <f>'Detailed Budget'!$AD$24</f>
        <v>194045122715</v>
      </c>
      <c r="BV121" s="596">
        <f t="shared" si="161"/>
        <v>7.3567577949684593E-3</v>
      </c>
      <c r="BW121" s="278"/>
      <c r="BX121" s="275">
        <f t="shared" si="126"/>
        <v>1427542969.1091876</v>
      </c>
      <c r="BY121" s="275">
        <f t="shared" si="127"/>
        <v>1427542969.1091876</v>
      </c>
      <c r="CA121" s="199">
        <f>'Detailed Budget'!$AD$96</f>
        <v>71050111380.677719</v>
      </c>
      <c r="CB121" s="275">
        <f t="shared" si="112"/>
        <v>0</v>
      </c>
      <c r="CE121" s="199">
        <f>'Detailed Budget'!$AD$175</f>
        <v>4330586076.5988197</v>
      </c>
      <c r="CF121" s="275">
        <f t="shared" si="162"/>
        <v>25709209.540645279</v>
      </c>
      <c r="CG121" s="199">
        <f>'Detailed Budget'!$AD$176</f>
        <v>20662817754.37001</v>
      </c>
      <c r="CH121" s="275">
        <f t="shared" si="163"/>
        <v>122668090.12818252</v>
      </c>
      <c r="CI121" s="275">
        <f t="shared" si="122"/>
        <v>148377299.6688278</v>
      </c>
      <c r="CJ121" s="275">
        <f>'Detailed Budget'!$AD$178</f>
        <v>46025131033.061455</v>
      </c>
      <c r="CK121" s="275">
        <f t="shared" si="164"/>
        <v>185091662.27530506</v>
      </c>
      <c r="CL121" s="275">
        <f t="shared" si="121"/>
        <v>333468961.94413286</v>
      </c>
      <c r="CM121" s="278">
        <f>'Detailed Budget'!$AD$189</f>
        <v>77498869683.252869</v>
      </c>
      <c r="CN121" s="275">
        <f t="shared" si="113"/>
        <v>0</v>
      </c>
      <c r="CO121" s="140">
        <f>'Detailed Budget'!$AD$191</f>
        <v>2684962805.4134097</v>
      </c>
      <c r="CP121" s="616">
        <f t="shared" si="114"/>
        <v>0</v>
      </c>
      <c r="CQ121" s="616">
        <f t="shared" si="115"/>
        <v>0</v>
      </c>
      <c r="CR121" s="199">
        <f>'Detailed Budget'!$AD$195</f>
        <v>18734176418</v>
      </c>
      <c r="CS121" s="275">
        <f t="shared" si="165"/>
        <v>34244847.506475955</v>
      </c>
      <c r="CW121" s="278"/>
      <c r="DH121" s="140">
        <f>'Detailed Budget'!$AD$163</f>
        <v>4928560000</v>
      </c>
      <c r="DI121" s="616">
        <f t="shared" si="166"/>
        <v>6160000</v>
      </c>
    </row>
    <row r="122" spans="1:113" outlineLevel="1">
      <c r="A122" s="214" t="s">
        <v>433</v>
      </c>
      <c r="B122" s="215" t="s">
        <v>434</v>
      </c>
      <c r="C122" s="216" t="s">
        <v>234</v>
      </c>
      <c r="D122" s="217" t="s">
        <v>234</v>
      </c>
      <c r="E122" s="216"/>
      <c r="F122" s="216"/>
      <c r="G122" s="216"/>
      <c r="H122" s="216" t="s">
        <v>234</v>
      </c>
      <c r="I122" s="217" t="s">
        <v>234</v>
      </c>
      <c r="J122" s="217"/>
      <c r="K122" s="216" t="s">
        <v>234</v>
      </c>
      <c r="L122" s="216"/>
      <c r="M122" s="217"/>
      <c r="N122" s="216"/>
      <c r="O122" s="217"/>
      <c r="P122" s="216"/>
      <c r="Q122" s="217"/>
      <c r="R122" s="217" t="s">
        <v>234</v>
      </c>
      <c r="S122" s="217"/>
      <c r="T122" s="217"/>
      <c r="U122" s="218">
        <f t="shared" si="155"/>
        <v>6</v>
      </c>
      <c r="V122" s="867" t="s">
        <v>238</v>
      </c>
      <c r="W122" s="219">
        <v>103461</v>
      </c>
      <c r="X122" s="220">
        <v>3.42</v>
      </c>
      <c r="Y122" s="221">
        <f t="shared" si="128"/>
        <v>1.0342</v>
      </c>
      <c r="Z122" s="199">
        <v>19</v>
      </c>
      <c r="AA122" s="221">
        <f t="shared" si="170"/>
        <v>1.8944630332534185</v>
      </c>
      <c r="AB122" s="199">
        <f t="shared" si="168"/>
        <v>196003.03988343192</v>
      </c>
      <c r="AC122">
        <v>19.899999999999999</v>
      </c>
      <c r="AD122" s="199">
        <f t="shared" si="169"/>
        <v>39004.604936802949</v>
      </c>
      <c r="AE122" s="199">
        <f t="shared" si="131"/>
        <v>37054.374689962802</v>
      </c>
      <c r="AF122" s="199">
        <f t="shared" si="120"/>
        <v>37054.374689962802</v>
      </c>
      <c r="AG122" s="614">
        <f t="shared" si="117"/>
        <v>1.7132316139109635E-3</v>
      </c>
      <c r="AH122" s="199">
        <f t="shared" si="167"/>
        <v>9800.151994171596</v>
      </c>
      <c r="AI122" s="252">
        <f t="shared" si="89"/>
        <v>7.5920292630784006E-4</v>
      </c>
      <c r="AJ122" s="199">
        <f t="shared" si="101"/>
        <v>48804.756930974545</v>
      </c>
      <c r="AK122" s="199">
        <f t="shared" si="129"/>
        <v>7840.1215953372766</v>
      </c>
      <c r="AL122" s="199">
        <f t="shared" si="130"/>
        <v>7840.1215953372766</v>
      </c>
      <c r="AM122" s="199">
        <f t="shared" si="102"/>
        <v>15680.243190674553</v>
      </c>
      <c r="AN122" s="645">
        <f t="shared" si="103"/>
        <v>7.5920292630784006E-4</v>
      </c>
      <c r="AO122" s="199">
        <v>11</v>
      </c>
      <c r="AP122" s="250">
        <f t="shared" si="104"/>
        <v>1.2498579706851495E-3</v>
      </c>
      <c r="AQ122" s="199">
        <v>11</v>
      </c>
      <c r="AU122" s="199">
        <v>1</v>
      </c>
      <c r="AV122" s="199">
        <f t="shared" si="156"/>
        <v>108890.56958934675</v>
      </c>
      <c r="AW122" s="250">
        <f t="shared" si="105"/>
        <v>3.1340846018053014E-3</v>
      </c>
      <c r="AX122" s="199">
        <v>0</v>
      </c>
      <c r="AY122" s="199">
        <f t="shared" si="157"/>
        <v>14353.760113940058</v>
      </c>
      <c r="AZ122" s="199">
        <f t="shared" si="106"/>
        <v>0</v>
      </c>
      <c r="BA122" s="252">
        <f t="shared" si="107"/>
        <v>0</v>
      </c>
      <c r="BB122" s="284">
        <v>1</v>
      </c>
      <c r="BC122" s="199">
        <f t="shared" si="158"/>
        <v>28083.315554498124</v>
      </c>
      <c r="BD122" s="270">
        <f t="shared" si="118"/>
        <v>2.5291017745568468E-3</v>
      </c>
      <c r="BE122" s="199">
        <f t="shared" si="159"/>
        <v>120134.18320535308</v>
      </c>
      <c r="BF122" s="251">
        <f t="shared" si="119"/>
        <v>2.5291018307582449E-3</v>
      </c>
      <c r="BG122" s="204">
        <f t="shared" si="125"/>
        <v>148217.49875985121</v>
      </c>
      <c r="BH122" s="636">
        <v>0</v>
      </c>
      <c r="BI122" s="199">
        <f t="shared" si="108"/>
        <v>59976.930204330165</v>
      </c>
      <c r="BJ122" s="199">
        <f t="shared" si="109"/>
        <v>119953.86040866033</v>
      </c>
      <c r="BK122" s="199">
        <f t="shared" si="116"/>
        <v>179930.7906129905</v>
      </c>
      <c r="BL122" s="251">
        <f t="shared" si="110"/>
        <v>7.5920292630784006E-4</v>
      </c>
      <c r="BM122" s="199">
        <f t="shared" si="160"/>
        <v>18033.12414912233</v>
      </c>
      <c r="BN122" s="251">
        <f t="shared" si="111"/>
        <v>7.7872638279539682E-4</v>
      </c>
      <c r="BT122" s="199">
        <f>'Detailed Budget'!$AD$12</f>
        <v>194045122715</v>
      </c>
      <c r="BU122" s="199">
        <f>'Detailed Budget'!$AD$24</f>
        <v>194045122715</v>
      </c>
      <c r="BV122" s="596">
        <f t="shared" si="161"/>
        <v>3.1340846018053014E-3</v>
      </c>
      <c r="BW122" s="278"/>
      <c r="BX122" s="275">
        <f t="shared" si="126"/>
        <v>608153831.15650165</v>
      </c>
      <c r="BY122" s="275">
        <f t="shared" si="127"/>
        <v>608153831.15650165</v>
      </c>
      <c r="CA122" s="199">
        <f>'Detailed Budget'!$AD$96</f>
        <v>71050111380.677719</v>
      </c>
      <c r="CB122" s="275">
        <f t="shared" si="112"/>
        <v>0</v>
      </c>
      <c r="CE122" s="199">
        <f>'Detailed Budget'!$AD$175</f>
        <v>4330586076.5988197</v>
      </c>
      <c r="CF122" s="275">
        <f t="shared" si="162"/>
        <v>10952492.931197248</v>
      </c>
      <c r="CG122" s="199">
        <f>'Detailed Budget'!$AD$176</f>
        <v>20662817754.37001</v>
      </c>
      <c r="CH122" s="275">
        <f t="shared" si="163"/>
        <v>52258370.211201161</v>
      </c>
      <c r="CI122" s="275">
        <f t="shared" si="122"/>
        <v>63210863.14239841</v>
      </c>
      <c r="CJ122" s="275">
        <f>'Detailed Budget'!$AD$178</f>
        <v>46025131033.061455</v>
      </c>
      <c r="CK122" s="275">
        <f t="shared" si="164"/>
        <v>78851709.520235449</v>
      </c>
      <c r="CL122" s="275">
        <f t="shared" si="121"/>
        <v>142062572.66263387</v>
      </c>
      <c r="CM122" s="278">
        <f>'Detailed Budget'!$AD$189</f>
        <v>77498869683.252869</v>
      </c>
      <c r="CN122" s="275">
        <f t="shared" si="113"/>
        <v>0</v>
      </c>
      <c r="CO122" s="140">
        <f>'Detailed Budget'!$AD$191</f>
        <v>2684962805.4134097</v>
      </c>
      <c r="CP122" s="616">
        <f t="shared" si="114"/>
        <v>0</v>
      </c>
      <c r="CQ122" s="616">
        <f t="shared" si="115"/>
        <v>0</v>
      </c>
      <c r="CR122" s="199">
        <f>'Detailed Budget'!$AD$195</f>
        <v>18734176418</v>
      </c>
      <c r="CS122" s="275">
        <f t="shared" si="165"/>
        <v>14588797.436639965</v>
      </c>
      <c r="CW122" s="278"/>
      <c r="DH122" s="140">
        <f>'Detailed Budget'!$AD$163</f>
        <v>4928560000</v>
      </c>
      <c r="DI122" s="616">
        <f t="shared" si="166"/>
        <v>6160000</v>
      </c>
    </row>
    <row r="123" spans="1:113" outlineLevel="1">
      <c r="A123" s="214" t="s">
        <v>435</v>
      </c>
      <c r="B123" s="215" t="s">
        <v>436</v>
      </c>
      <c r="C123" s="216" t="s">
        <v>234</v>
      </c>
      <c r="D123" s="217" t="s">
        <v>234</v>
      </c>
      <c r="E123" s="216"/>
      <c r="F123" s="216"/>
      <c r="G123" s="216"/>
      <c r="H123" s="216" t="s">
        <v>234</v>
      </c>
      <c r="I123" s="217" t="s">
        <v>234</v>
      </c>
      <c r="J123" s="217"/>
      <c r="K123" s="216" t="s">
        <v>234</v>
      </c>
      <c r="L123" s="216"/>
      <c r="M123" s="217"/>
      <c r="N123" s="216"/>
      <c r="O123" s="217"/>
      <c r="P123" s="216"/>
      <c r="Q123" s="217"/>
      <c r="R123" s="217" t="s">
        <v>234</v>
      </c>
      <c r="S123" s="217"/>
      <c r="T123" s="217"/>
      <c r="U123" s="218">
        <f t="shared" si="155"/>
        <v>6</v>
      </c>
      <c r="V123" s="867" t="s">
        <v>238</v>
      </c>
      <c r="W123" s="219">
        <v>158178</v>
      </c>
      <c r="X123" s="220">
        <v>3.42</v>
      </c>
      <c r="Y123" s="221">
        <f t="shared" si="128"/>
        <v>1.0342</v>
      </c>
      <c r="Z123" s="199">
        <v>19</v>
      </c>
      <c r="AA123" s="221">
        <f t="shared" si="170"/>
        <v>1.8944630332534185</v>
      </c>
      <c r="AB123" s="199">
        <f t="shared" si="168"/>
        <v>299662.37367395923</v>
      </c>
      <c r="AC123">
        <v>19.899999999999999</v>
      </c>
      <c r="AD123" s="199">
        <f t="shared" si="169"/>
        <v>59632.812361117882</v>
      </c>
      <c r="AE123" s="199">
        <f t="shared" si="131"/>
        <v>56651.171743061983</v>
      </c>
      <c r="AF123" s="199">
        <f t="shared" si="120"/>
        <v>56651.171743061983</v>
      </c>
      <c r="AG123" s="614">
        <f t="shared" si="117"/>
        <v>2.6193014780952085E-3</v>
      </c>
      <c r="AH123" s="199">
        <f t="shared" si="167"/>
        <v>14983.118683697961</v>
      </c>
      <c r="AI123" s="252">
        <f t="shared" si="89"/>
        <v>1.1607195027838657E-3</v>
      </c>
      <c r="AJ123" s="199">
        <f t="shared" si="101"/>
        <v>74615.931044815836</v>
      </c>
      <c r="AK123" s="199">
        <f t="shared" si="129"/>
        <v>11986.49494695837</v>
      </c>
      <c r="AL123" s="199">
        <f t="shared" si="130"/>
        <v>11986.49494695837</v>
      </c>
      <c r="AM123" s="199">
        <f t="shared" si="102"/>
        <v>23972.98989391674</v>
      </c>
      <c r="AN123" s="645">
        <f t="shared" si="103"/>
        <v>1.1607195027838659E-3</v>
      </c>
      <c r="AO123" s="199">
        <v>11</v>
      </c>
      <c r="AP123" s="250">
        <f t="shared" si="104"/>
        <v>1.2498579706851495E-3</v>
      </c>
      <c r="AQ123" s="199">
        <v>11</v>
      </c>
      <c r="AU123" s="199">
        <v>1</v>
      </c>
      <c r="AV123" s="199">
        <f t="shared" si="156"/>
        <v>166479.08406552894</v>
      </c>
      <c r="AW123" s="250">
        <f t="shared" si="105"/>
        <v>4.7915952305154497E-3</v>
      </c>
      <c r="AX123" s="199">
        <v>0</v>
      </c>
      <c r="AY123" s="199">
        <f t="shared" si="157"/>
        <v>21944.975085325001</v>
      </c>
      <c r="AZ123" s="199">
        <f t="shared" si="106"/>
        <v>0</v>
      </c>
      <c r="BA123" s="252">
        <f t="shared" si="107"/>
        <v>0</v>
      </c>
      <c r="BB123" s="284">
        <v>1</v>
      </c>
      <c r="BC123" s="199">
        <f t="shared" si="158"/>
        <v>42935.62490000487</v>
      </c>
      <c r="BD123" s="270">
        <f t="shared" si="118"/>
        <v>3.8666575859101779E-3</v>
      </c>
      <c r="BE123" s="199">
        <f t="shared" si="159"/>
        <v>183669.06207224308</v>
      </c>
      <c r="BF123" s="251">
        <f t="shared" si="119"/>
        <v>3.8666576718345818E-3</v>
      </c>
      <c r="BG123" s="204">
        <f t="shared" si="125"/>
        <v>226604.68697224796</v>
      </c>
      <c r="BH123" s="636">
        <v>0</v>
      </c>
      <c r="BI123" s="199">
        <f t="shared" si="108"/>
        <v>91696.686344231537</v>
      </c>
      <c r="BJ123" s="199">
        <f t="shared" si="109"/>
        <v>183393.37268846307</v>
      </c>
      <c r="BK123" s="199">
        <f t="shared" si="116"/>
        <v>275090.05903269461</v>
      </c>
      <c r="BL123" s="251">
        <f t="shared" si="110"/>
        <v>1.1607195027838659E-3</v>
      </c>
      <c r="BM123" s="199">
        <f t="shared" si="160"/>
        <v>27570.229474486732</v>
      </c>
      <c r="BN123" s="251">
        <f t="shared" si="111"/>
        <v>1.1905682506240061E-3</v>
      </c>
      <c r="BT123" s="199">
        <f>'Detailed Budget'!$AD$12</f>
        <v>194045122715</v>
      </c>
      <c r="BU123" s="199">
        <f>'Detailed Budget'!$AD$24</f>
        <v>194045122715</v>
      </c>
      <c r="BV123" s="596">
        <f t="shared" si="161"/>
        <v>4.7915952305154497E-3</v>
      </c>
      <c r="BW123" s="278"/>
      <c r="BX123" s="275">
        <f t="shared" si="126"/>
        <v>929785684.50597918</v>
      </c>
      <c r="BY123" s="275">
        <f t="shared" si="127"/>
        <v>929785684.50597918</v>
      </c>
      <c r="CA123" s="199">
        <f>'Detailed Budget'!$AD$96</f>
        <v>71050111380.677719</v>
      </c>
      <c r="CB123" s="275">
        <f t="shared" si="112"/>
        <v>0</v>
      </c>
      <c r="CE123" s="199">
        <f>'Detailed Budget'!$AD$175</f>
        <v>4330586076.5988197</v>
      </c>
      <c r="CF123" s="275">
        <f t="shared" si="162"/>
        <v>16744893.504517822</v>
      </c>
      <c r="CG123" s="199">
        <f>'Detailed Budget'!$AD$176</f>
        <v>20662817754.37001</v>
      </c>
      <c r="CH123" s="275">
        <f t="shared" si="163"/>
        <v>79896042.791654602</v>
      </c>
      <c r="CI123" s="275">
        <f t="shared" si="122"/>
        <v>96640936.296172425</v>
      </c>
      <c r="CJ123" s="275">
        <f>'Detailed Budget'!$AD$178</f>
        <v>46025131033.061455</v>
      </c>
      <c r="CK123" s="275">
        <f t="shared" si="164"/>
        <v>120553693.74442352</v>
      </c>
      <c r="CL123" s="275">
        <f t="shared" si="121"/>
        <v>217194630.04059595</v>
      </c>
      <c r="CM123" s="278">
        <f>'Detailed Budget'!$AD$189</f>
        <v>77498869683.252869</v>
      </c>
      <c r="CN123" s="275">
        <f t="shared" si="113"/>
        <v>0</v>
      </c>
      <c r="CO123" s="140">
        <f>'Detailed Budget'!$AD$191</f>
        <v>2684962805.4134097</v>
      </c>
      <c r="CP123" s="616">
        <f t="shared" si="114"/>
        <v>0</v>
      </c>
      <c r="CQ123" s="616">
        <f t="shared" si="115"/>
        <v>0</v>
      </c>
      <c r="CR123" s="199">
        <f>'Detailed Budget'!$AD$195</f>
        <v>18734176418</v>
      </c>
      <c r="CS123" s="275">
        <f t="shared" si="165"/>
        <v>22304315.644859768</v>
      </c>
      <c r="CW123" s="278"/>
      <c r="DH123" s="140">
        <f>'Detailed Budget'!$AD$163</f>
        <v>4928560000</v>
      </c>
      <c r="DI123" s="616">
        <f t="shared" si="166"/>
        <v>6160000</v>
      </c>
    </row>
    <row r="124" spans="1:113" outlineLevel="1">
      <c r="A124" s="214" t="s">
        <v>437</v>
      </c>
      <c r="B124" s="215" t="s">
        <v>438</v>
      </c>
      <c r="C124" s="216" t="s">
        <v>234</v>
      </c>
      <c r="D124" s="217" t="s">
        <v>234</v>
      </c>
      <c r="E124" s="216"/>
      <c r="F124" s="216"/>
      <c r="G124" s="216"/>
      <c r="H124" s="216" t="s">
        <v>234</v>
      </c>
      <c r="I124" s="217" t="s">
        <v>234</v>
      </c>
      <c r="J124" s="217"/>
      <c r="K124" s="216" t="s">
        <v>234</v>
      </c>
      <c r="L124" s="216"/>
      <c r="M124" s="217"/>
      <c r="N124" s="216"/>
      <c r="O124" s="217"/>
      <c r="P124" s="216"/>
      <c r="Q124" s="217"/>
      <c r="R124" s="217" t="s">
        <v>234</v>
      </c>
      <c r="S124" s="217"/>
      <c r="T124" s="217"/>
      <c r="U124" s="218">
        <f t="shared" si="155"/>
        <v>6</v>
      </c>
      <c r="V124" s="867" t="s">
        <v>238</v>
      </c>
      <c r="W124" s="219">
        <v>186118</v>
      </c>
      <c r="X124" s="220">
        <v>3.42</v>
      </c>
      <c r="Y124" s="221">
        <f t="shared" si="128"/>
        <v>1.0342</v>
      </c>
      <c r="Z124" s="199">
        <v>19</v>
      </c>
      <c r="AA124" s="221">
        <f t="shared" si="170"/>
        <v>1.8944630332534185</v>
      </c>
      <c r="AB124" s="199">
        <f t="shared" si="168"/>
        <v>352593.67082305974</v>
      </c>
      <c r="AC124">
        <v>19.899999999999999</v>
      </c>
      <c r="AD124" s="199">
        <f t="shared" si="169"/>
        <v>70166.140493788887</v>
      </c>
      <c r="AE124" s="199">
        <f t="shared" si="131"/>
        <v>66657.833469099438</v>
      </c>
      <c r="AF124" s="199">
        <f t="shared" si="120"/>
        <v>66657.833469099438</v>
      </c>
      <c r="AG124" s="614">
        <f t="shared" si="117"/>
        <v>3.0819655862390728E-3</v>
      </c>
      <c r="AH124" s="199">
        <f t="shared" si="167"/>
        <v>17629.683541152986</v>
      </c>
      <c r="AI124" s="252">
        <f t="shared" si="89"/>
        <v>1.3657448723534721E-3</v>
      </c>
      <c r="AJ124" s="199">
        <f t="shared" si="101"/>
        <v>87795.824034941877</v>
      </c>
      <c r="AK124" s="199">
        <f t="shared" si="129"/>
        <v>14103.74683292239</v>
      </c>
      <c r="AL124" s="199">
        <f t="shared" si="130"/>
        <v>14103.74683292239</v>
      </c>
      <c r="AM124" s="199">
        <f t="shared" si="102"/>
        <v>28207.49366584478</v>
      </c>
      <c r="AN124" s="645">
        <f t="shared" si="103"/>
        <v>1.3657448723534723E-3</v>
      </c>
      <c r="AO124" s="199">
        <v>11</v>
      </c>
      <c r="AP124" s="250">
        <f t="shared" si="104"/>
        <v>1.2498579706851495E-3</v>
      </c>
      <c r="AQ124" s="199">
        <v>11</v>
      </c>
      <c r="AU124" s="199">
        <v>1</v>
      </c>
      <c r="AV124" s="199">
        <f t="shared" si="156"/>
        <v>195885.35806564827</v>
      </c>
      <c r="AW124" s="250">
        <f t="shared" si="105"/>
        <v>5.637965590114139E-3</v>
      </c>
      <c r="AX124" s="199">
        <v>0</v>
      </c>
      <c r="AY124" s="199">
        <f t="shared" si="157"/>
        <v>25821.257525891844</v>
      </c>
      <c r="AZ124" s="199">
        <f t="shared" si="106"/>
        <v>0</v>
      </c>
      <c r="BA124" s="252">
        <f t="shared" si="107"/>
        <v>0</v>
      </c>
      <c r="BB124" s="284">
        <v>1</v>
      </c>
      <c r="BC124" s="199">
        <f t="shared" si="158"/>
        <v>50519.621155527995</v>
      </c>
      <c r="BD124" s="270">
        <f t="shared" si="118"/>
        <v>4.5496502457638265E-3</v>
      </c>
      <c r="BE124" s="199">
        <f t="shared" si="159"/>
        <v>216111.71272086978</v>
      </c>
      <c r="BF124" s="251">
        <f t="shared" si="119"/>
        <v>4.5496503468656123E-3</v>
      </c>
      <c r="BG124" s="204">
        <f t="shared" si="125"/>
        <v>266631.33387639775</v>
      </c>
      <c r="BH124" s="636">
        <v>0</v>
      </c>
      <c r="BI124" s="199">
        <f t="shared" si="108"/>
        <v>107893.66327185629</v>
      </c>
      <c r="BJ124" s="199">
        <f t="shared" si="109"/>
        <v>215787.32654371258</v>
      </c>
      <c r="BK124" s="199">
        <f t="shared" si="116"/>
        <v>323680.9898155689</v>
      </c>
      <c r="BL124" s="251">
        <f t="shared" si="110"/>
        <v>1.3657448723534723E-3</v>
      </c>
      <c r="BM124" s="199">
        <f t="shared" si="160"/>
        <v>32440.13686690008</v>
      </c>
      <c r="BN124" s="251">
        <f t="shared" si="111"/>
        <v>1.4008659969758038E-3</v>
      </c>
      <c r="BT124" s="199">
        <f>'Detailed Budget'!$AD$12</f>
        <v>194045122715</v>
      </c>
      <c r="BU124" s="199">
        <f>'Detailed Budget'!$AD$24</f>
        <v>194045122715</v>
      </c>
      <c r="BV124" s="596">
        <f t="shared" si="161"/>
        <v>5.637965590114139E-3</v>
      </c>
      <c r="BW124" s="278"/>
      <c r="BX124" s="275">
        <f t="shared" si="126"/>
        <v>1094019724.7966454</v>
      </c>
      <c r="BY124" s="275">
        <f t="shared" si="127"/>
        <v>1094019724.7966454</v>
      </c>
      <c r="CA124" s="199">
        <f>'Detailed Budget'!$AD$96</f>
        <v>71050111380.677719</v>
      </c>
      <c r="CB124" s="275">
        <f t="shared" si="112"/>
        <v>0</v>
      </c>
      <c r="CE124" s="199">
        <f>'Detailed Budget'!$AD$175</f>
        <v>4330586076.5988197</v>
      </c>
      <c r="CF124" s="275">
        <f t="shared" si="162"/>
        <v>19702652.007699225</v>
      </c>
      <c r="CG124" s="199">
        <f>'Detailed Budget'!$AD$176</f>
        <v>20662817754.37001</v>
      </c>
      <c r="CH124" s="275">
        <f t="shared" si="163"/>
        <v>94008595.963390455</v>
      </c>
      <c r="CI124" s="275">
        <f t="shared" si="122"/>
        <v>113711247.97108968</v>
      </c>
      <c r="CJ124" s="275">
        <f>'Detailed Budget'!$AD$178</f>
        <v>46025131033.061455</v>
      </c>
      <c r="CK124" s="275">
        <f t="shared" si="164"/>
        <v>141847869.94603938</v>
      </c>
      <c r="CL124" s="275">
        <f t="shared" si="121"/>
        <v>255559117.91712904</v>
      </c>
      <c r="CM124" s="278">
        <f>'Detailed Budget'!$AD$189</f>
        <v>77498869683.252869</v>
      </c>
      <c r="CN124" s="275">
        <f t="shared" si="113"/>
        <v>0</v>
      </c>
      <c r="CO124" s="140">
        <f>'Detailed Budget'!$AD$191</f>
        <v>2684962805.4134097</v>
      </c>
      <c r="CP124" s="616">
        <f t="shared" si="114"/>
        <v>0</v>
      </c>
      <c r="CQ124" s="616">
        <f t="shared" si="115"/>
        <v>0</v>
      </c>
      <c r="CR124" s="199">
        <f>'Detailed Budget'!$AD$195</f>
        <v>18734176418</v>
      </c>
      <c r="CS124" s="275">
        <f t="shared" si="165"/>
        <v>26244070.725322165</v>
      </c>
      <c r="CW124" s="278"/>
      <c r="DH124" s="140">
        <f>'Detailed Budget'!$AD$163</f>
        <v>4928560000</v>
      </c>
      <c r="DI124" s="616">
        <f t="shared" si="166"/>
        <v>6160000</v>
      </c>
    </row>
    <row r="125" spans="1:113" outlineLevel="1">
      <c r="A125" s="214" t="s">
        <v>439</v>
      </c>
      <c r="B125" s="215" t="s">
        <v>440</v>
      </c>
      <c r="C125" s="216" t="s">
        <v>234</v>
      </c>
      <c r="D125" s="217" t="s">
        <v>234</v>
      </c>
      <c r="E125" s="216"/>
      <c r="F125" s="216"/>
      <c r="G125" s="216"/>
      <c r="H125" s="216" t="s">
        <v>234</v>
      </c>
      <c r="I125" s="217" t="s">
        <v>234</v>
      </c>
      <c r="J125" s="217"/>
      <c r="K125" s="216" t="s">
        <v>234</v>
      </c>
      <c r="L125" s="216"/>
      <c r="M125" s="217"/>
      <c r="N125" s="216"/>
      <c r="O125" s="217"/>
      <c r="P125" s="216"/>
      <c r="Q125" s="217"/>
      <c r="R125" s="217" t="s">
        <v>234</v>
      </c>
      <c r="S125" s="217"/>
      <c r="T125" s="217"/>
      <c r="U125" s="218">
        <f t="shared" si="155"/>
        <v>6</v>
      </c>
      <c r="V125" s="867" t="s">
        <v>238</v>
      </c>
      <c r="W125" s="219">
        <v>176199</v>
      </c>
      <c r="X125" s="220">
        <v>3.42</v>
      </c>
      <c r="Y125" s="221">
        <f t="shared" si="128"/>
        <v>1.0342</v>
      </c>
      <c r="Z125" s="199">
        <v>19</v>
      </c>
      <c r="AA125" s="221">
        <f t="shared" si="170"/>
        <v>1.8944630332534185</v>
      </c>
      <c r="AB125" s="199">
        <f t="shared" si="168"/>
        <v>333802.49199621909</v>
      </c>
      <c r="AC125">
        <v>19.899999999999999</v>
      </c>
      <c r="AD125" s="199">
        <f t="shared" si="169"/>
        <v>66426.695907247602</v>
      </c>
      <c r="AE125" s="199">
        <f t="shared" si="131"/>
        <v>63105.36111188522</v>
      </c>
      <c r="AF125" s="199">
        <f t="shared" si="120"/>
        <v>63105.36111188522</v>
      </c>
      <c r="AG125" s="614">
        <f t="shared" si="117"/>
        <v>2.9177148600873556E-3</v>
      </c>
      <c r="AH125" s="199">
        <f t="shared" si="167"/>
        <v>16690.124599810955</v>
      </c>
      <c r="AI125" s="252">
        <f t="shared" si="89"/>
        <v>1.2929586647385501E-3</v>
      </c>
      <c r="AJ125" s="199">
        <f t="shared" si="101"/>
        <v>83116.820507058554</v>
      </c>
      <c r="AK125" s="199">
        <f t="shared" si="129"/>
        <v>13352.099679848763</v>
      </c>
      <c r="AL125" s="199">
        <f t="shared" si="130"/>
        <v>13352.099679848763</v>
      </c>
      <c r="AM125" s="199">
        <f t="shared" si="102"/>
        <v>26704.199359697526</v>
      </c>
      <c r="AN125" s="645">
        <f t="shared" si="103"/>
        <v>1.2929586647385499E-3</v>
      </c>
      <c r="AO125" s="199">
        <v>11</v>
      </c>
      <c r="AP125" s="250">
        <f t="shared" si="104"/>
        <v>1.2498579706851495E-3</v>
      </c>
      <c r="AQ125" s="199">
        <v>11</v>
      </c>
      <c r="AU125" s="199">
        <v>1</v>
      </c>
      <c r="AV125" s="199">
        <f t="shared" si="156"/>
        <v>185445.81505179059</v>
      </c>
      <c r="AW125" s="250">
        <f t="shared" si="105"/>
        <v>5.3374950247290498E-3</v>
      </c>
      <c r="AX125" s="199">
        <v>0</v>
      </c>
      <c r="AY125" s="199">
        <f t="shared" si="157"/>
        <v>24445.135638705644</v>
      </c>
      <c r="AZ125" s="199">
        <f t="shared" si="106"/>
        <v>0</v>
      </c>
      <c r="BA125" s="252">
        <f t="shared" si="107"/>
        <v>0</v>
      </c>
      <c r="BB125" s="284">
        <v>1</v>
      </c>
      <c r="BC125" s="199">
        <f t="shared" si="158"/>
        <v>47827.221053218273</v>
      </c>
      <c r="BD125" s="270">
        <f t="shared" si="118"/>
        <v>4.307180518022655E-3</v>
      </c>
      <c r="BE125" s="199">
        <f t="shared" si="159"/>
        <v>204594.22339432262</v>
      </c>
      <c r="BF125" s="251">
        <f t="shared" si="119"/>
        <v>4.3071806137363073E-3</v>
      </c>
      <c r="BG125" s="204">
        <f t="shared" si="125"/>
        <v>252421.44444754088</v>
      </c>
      <c r="BH125" s="636">
        <v>0</v>
      </c>
      <c r="BI125" s="199">
        <f t="shared" si="108"/>
        <v>102143.56255084305</v>
      </c>
      <c r="BJ125" s="199">
        <f t="shared" si="109"/>
        <v>204287.12510168611</v>
      </c>
      <c r="BK125" s="199">
        <f t="shared" si="116"/>
        <v>306430.68765252916</v>
      </c>
      <c r="BL125" s="251">
        <f t="shared" si="110"/>
        <v>1.2929586647385501E-3</v>
      </c>
      <c r="BM125" s="199">
        <f t="shared" si="160"/>
        <v>30711.267452964934</v>
      </c>
      <c r="BN125" s="251">
        <f t="shared" si="111"/>
        <v>1.326208038992143E-3</v>
      </c>
      <c r="BT125" s="199">
        <f>'Detailed Budget'!$AD$12</f>
        <v>194045122715</v>
      </c>
      <c r="BU125" s="199">
        <f>'Detailed Budget'!$AD$24</f>
        <v>194045122715</v>
      </c>
      <c r="BV125" s="596">
        <f t="shared" si="161"/>
        <v>5.3374950247290498E-3</v>
      </c>
      <c r="BW125" s="278"/>
      <c r="BX125" s="275">
        <f t="shared" si="126"/>
        <v>1035714877.0642505</v>
      </c>
      <c r="BY125" s="275">
        <f t="shared" si="127"/>
        <v>1035714877.0642505</v>
      </c>
      <c r="CA125" s="199">
        <f>'Detailed Budget'!$AD$96</f>
        <v>71050111380.677719</v>
      </c>
      <c r="CB125" s="275">
        <f t="shared" si="112"/>
        <v>0</v>
      </c>
      <c r="CE125" s="199">
        <f>'Detailed Budget'!$AD$175</f>
        <v>4330586076.5988197</v>
      </c>
      <c r="CF125" s="275">
        <f t="shared" si="162"/>
        <v>18652615.980746601</v>
      </c>
      <c r="CG125" s="199">
        <f>'Detailed Budget'!$AD$176</f>
        <v>20662817754.37001</v>
      </c>
      <c r="CH125" s="275">
        <f t="shared" si="163"/>
        <v>88998488.056788892</v>
      </c>
      <c r="CI125" s="275">
        <f t="shared" si="122"/>
        <v>107651104.03753549</v>
      </c>
      <c r="CJ125" s="275">
        <f>'Detailed Budget'!$AD$178</f>
        <v>46025131033.061455</v>
      </c>
      <c r="CK125" s="275">
        <f t="shared" si="164"/>
        <v>134288208.7526311</v>
      </c>
      <c r="CL125" s="275">
        <f t="shared" si="121"/>
        <v>241939312.79016659</v>
      </c>
      <c r="CM125" s="278">
        <f>'Detailed Budget'!$AD$189</f>
        <v>77498869683.252869</v>
      </c>
      <c r="CN125" s="275">
        <f t="shared" si="113"/>
        <v>0</v>
      </c>
      <c r="CO125" s="140">
        <f>'Detailed Budget'!$AD$191</f>
        <v>2684962805.4134097</v>
      </c>
      <c r="CP125" s="616">
        <f t="shared" si="114"/>
        <v>0</v>
      </c>
      <c r="CQ125" s="616">
        <f t="shared" si="115"/>
        <v>0</v>
      </c>
      <c r="CR125" s="199">
        <f>'Detailed Budget'!$AD$195</f>
        <v>18734176418</v>
      </c>
      <c r="CS125" s="275">
        <f t="shared" si="165"/>
        <v>24845415.369448628</v>
      </c>
      <c r="CW125" s="278"/>
      <c r="DH125" s="140">
        <f>'Detailed Budget'!$AD$163</f>
        <v>4928560000</v>
      </c>
      <c r="DI125" s="616">
        <f t="shared" si="166"/>
        <v>6160000</v>
      </c>
    </row>
    <row r="126" spans="1:113" outlineLevel="1">
      <c r="A126" s="214" t="s">
        <v>441</v>
      </c>
      <c r="B126" s="215" t="s">
        <v>442</v>
      </c>
      <c r="C126" s="216" t="s">
        <v>234</v>
      </c>
      <c r="D126" s="217" t="s">
        <v>234</v>
      </c>
      <c r="E126" s="216"/>
      <c r="F126" s="216"/>
      <c r="G126" s="216"/>
      <c r="H126" s="216" t="s">
        <v>234</v>
      </c>
      <c r="I126" s="217" t="s">
        <v>234</v>
      </c>
      <c r="J126" s="217"/>
      <c r="K126" s="216" t="s">
        <v>234</v>
      </c>
      <c r="L126" s="216"/>
      <c r="M126" s="217"/>
      <c r="N126" s="216"/>
      <c r="O126" s="217"/>
      <c r="P126" s="216"/>
      <c r="Q126" s="217"/>
      <c r="R126" s="217" t="s">
        <v>234</v>
      </c>
      <c r="S126" s="217"/>
      <c r="T126" s="217"/>
      <c r="U126" s="218">
        <f t="shared" si="155"/>
        <v>6</v>
      </c>
      <c r="V126" s="867" t="s">
        <v>238</v>
      </c>
      <c r="W126" s="219">
        <v>235665</v>
      </c>
      <c r="X126" s="220">
        <v>3.42</v>
      </c>
      <c r="Y126" s="221">
        <f t="shared" si="128"/>
        <v>1.0342</v>
      </c>
      <c r="Z126" s="199">
        <v>19</v>
      </c>
      <c r="AA126" s="221">
        <f t="shared" si="170"/>
        <v>1.8944630332534185</v>
      </c>
      <c r="AB126" s="199">
        <f t="shared" si="168"/>
        <v>446458.63073166687</v>
      </c>
      <c r="AC126">
        <v>19.899999999999999</v>
      </c>
      <c r="AD126" s="199">
        <f t="shared" si="169"/>
        <v>88845.267515601707</v>
      </c>
      <c r="AE126" s="199">
        <f t="shared" si="131"/>
        <v>84403.004139821613</v>
      </c>
      <c r="AF126" s="199">
        <f t="shared" si="120"/>
        <v>84403.004139821613</v>
      </c>
      <c r="AG126" s="614">
        <f t="shared" si="117"/>
        <v>3.9024243752943354E-3</v>
      </c>
      <c r="AH126" s="199">
        <f t="shared" si="167"/>
        <v>22322.931536583346</v>
      </c>
      <c r="AI126" s="252">
        <f t="shared" si="89"/>
        <v>1.7293236835941772E-3</v>
      </c>
      <c r="AJ126" s="199">
        <f t="shared" si="101"/>
        <v>111168.19905218505</v>
      </c>
      <c r="AK126" s="199">
        <f t="shared" si="129"/>
        <v>17858.345229266673</v>
      </c>
      <c r="AL126" s="199">
        <f t="shared" si="130"/>
        <v>17858.345229266673</v>
      </c>
      <c r="AM126" s="199">
        <f t="shared" si="102"/>
        <v>35716.690458533347</v>
      </c>
      <c r="AN126" s="645">
        <f t="shared" si="103"/>
        <v>1.7293236835941768E-3</v>
      </c>
      <c r="AO126" s="199">
        <v>15</v>
      </c>
      <c r="AP126" s="250">
        <f t="shared" si="104"/>
        <v>1.7043517782070218E-3</v>
      </c>
      <c r="AQ126" s="199">
        <v>15</v>
      </c>
      <c r="AU126" s="199">
        <v>1</v>
      </c>
      <c r="AV126" s="199">
        <f t="shared" si="156"/>
        <v>248032.55412448556</v>
      </c>
      <c r="AW126" s="250">
        <f t="shared" si="105"/>
        <v>7.1388643806308298E-3</v>
      </c>
      <c r="AX126" s="199">
        <v>0</v>
      </c>
      <c r="AY126" s="199">
        <f t="shared" si="157"/>
        <v>32695.207636227024</v>
      </c>
      <c r="AZ126" s="199">
        <f t="shared" si="106"/>
        <v>0</v>
      </c>
      <c r="BA126" s="252">
        <f t="shared" si="107"/>
        <v>0</v>
      </c>
      <c r="BB126" s="284">
        <v>1</v>
      </c>
      <c r="BC126" s="199">
        <f t="shared" si="158"/>
        <v>63968.592611233224</v>
      </c>
      <c r="BD126" s="270">
        <f t="shared" si="118"/>
        <v>5.760825525569435E-3</v>
      </c>
      <c r="BE126" s="199">
        <f t="shared" si="159"/>
        <v>273643.42394805327</v>
      </c>
      <c r="BF126" s="251">
        <f t="shared" si="119"/>
        <v>5.7608256535858137E-3</v>
      </c>
      <c r="BG126" s="204">
        <f t="shared" si="125"/>
        <v>337612.01655928651</v>
      </c>
      <c r="BH126" s="636">
        <v>0</v>
      </c>
      <c r="BI126" s="199">
        <f t="shared" si="108"/>
        <v>136616.34100389003</v>
      </c>
      <c r="BJ126" s="199">
        <f t="shared" si="109"/>
        <v>273232.68200778007</v>
      </c>
      <c r="BK126" s="199">
        <f t="shared" si="116"/>
        <v>409849.0230116701</v>
      </c>
      <c r="BL126" s="251">
        <f t="shared" si="110"/>
        <v>1.7293236835941765E-3</v>
      </c>
      <c r="BM126" s="199">
        <f t="shared" si="160"/>
        <v>41076.117596030526</v>
      </c>
      <c r="BN126" s="251">
        <f t="shared" si="111"/>
        <v>1.773794502290498E-3</v>
      </c>
      <c r="BT126" s="199">
        <f>'Detailed Budget'!$AD$12</f>
        <v>194045122715</v>
      </c>
      <c r="BU126" s="199">
        <f>'Detailed Budget'!$AD$24</f>
        <v>194045122715</v>
      </c>
      <c r="BV126" s="596">
        <f t="shared" si="161"/>
        <v>7.1388643806308298E-3</v>
      </c>
      <c r="BW126" s="278"/>
      <c r="BX126" s="275">
        <f t="shared" si="126"/>
        <v>1385261814.7852519</v>
      </c>
      <c r="BY126" s="275">
        <f t="shared" si="127"/>
        <v>1385261814.7852519</v>
      </c>
      <c r="CA126" s="199">
        <f>'Detailed Budget'!$AD$96</f>
        <v>71050111380.677719</v>
      </c>
      <c r="CB126" s="275">
        <f t="shared" si="112"/>
        <v>0</v>
      </c>
      <c r="CE126" s="199">
        <f>'Detailed Budget'!$AD$175</f>
        <v>4330586076.5988197</v>
      </c>
      <c r="CF126" s="275">
        <f t="shared" si="162"/>
        <v>24947750.810746074</v>
      </c>
      <c r="CG126" s="199">
        <f>'Detailed Budget'!$AD$176</f>
        <v>20662817754.37001</v>
      </c>
      <c r="CH126" s="275">
        <f t="shared" si="163"/>
        <v>119034890.59474318</v>
      </c>
      <c r="CI126" s="275">
        <f t="shared" si="122"/>
        <v>143982641.40548927</v>
      </c>
      <c r="CJ126" s="275">
        <f>'Detailed Budget'!$AD$178</f>
        <v>46025131033.061455</v>
      </c>
      <c r="CK126" s="275">
        <f t="shared" si="164"/>
        <v>179609593.21953478</v>
      </c>
      <c r="CL126" s="275">
        <f t="shared" si="121"/>
        <v>323592234.62502408</v>
      </c>
      <c r="CM126" s="278">
        <f>'Detailed Budget'!$AD$189</f>
        <v>77498869683.252869</v>
      </c>
      <c r="CN126" s="275">
        <f t="shared" si="113"/>
        <v>0</v>
      </c>
      <c r="CO126" s="140">
        <f>'Detailed Budget'!$AD$191</f>
        <v>2684962805.4134097</v>
      </c>
      <c r="CP126" s="616">
        <f t="shared" si="114"/>
        <v>0</v>
      </c>
      <c r="CQ126" s="616">
        <f t="shared" si="115"/>
        <v>0</v>
      </c>
      <c r="CR126" s="199">
        <f>'Detailed Budget'!$AD$195</f>
        <v>18734176418</v>
      </c>
      <c r="CS126" s="275">
        <f t="shared" si="165"/>
        <v>33230579.135188695</v>
      </c>
      <c r="CW126" s="278"/>
      <c r="DH126" s="140">
        <f>'Detailed Budget'!$AD$163</f>
        <v>4928560000</v>
      </c>
      <c r="DI126" s="616">
        <f t="shared" si="166"/>
        <v>8400000</v>
      </c>
    </row>
    <row r="127" spans="1:113" outlineLevel="1">
      <c r="A127" s="214" t="s">
        <v>443</v>
      </c>
      <c r="B127" s="215" t="s">
        <v>444</v>
      </c>
      <c r="C127" s="216" t="s">
        <v>234</v>
      </c>
      <c r="D127" s="217" t="s">
        <v>234</v>
      </c>
      <c r="E127" s="216"/>
      <c r="F127" s="216"/>
      <c r="G127" s="216"/>
      <c r="H127" s="216" t="s">
        <v>234</v>
      </c>
      <c r="I127" s="217" t="s">
        <v>234</v>
      </c>
      <c r="J127" s="217"/>
      <c r="K127" s="216"/>
      <c r="L127" s="216"/>
      <c r="M127" s="217" t="s">
        <v>234</v>
      </c>
      <c r="N127" s="216"/>
      <c r="O127" s="217"/>
      <c r="P127" s="216"/>
      <c r="Q127" s="217"/>
      <c r="R127" s="217" t="s">
        <v>234</v>
      </c>
      <c r="S127" s="217"/>
      <c r="T127" s="217"/>
      <c r="U127" s="218">
        <f t="shared" si="155"/>
        <v>6</v>
      </c>
      <c r="V127" s="867" t="s">
        <v>238</v>
      </c>
      <c r="W127" s="219">
        <v>215075</v>
      </c>
      <c r="X127" s="220">
        <v>3.42</v>
      </c>
      <c r="Y127" s="221">
        <f t="shared" si="128"/>
        <v>1.0342</v>
      </c>
      <c r="Z127" s="199">
        <v>19</v>
      </c>
      <c r="AA127" s="221">
        <f t="shared" si="170"/>
        <v>1.8944630332534185</v>
      </c>
      <c r="AB127" s="199">
        <f t="shared" si="168"/>
        <v>407451.63687697897</v>
      </c>
      <c r="AC127">
        <v>19.899999999999999</v>
      </c>
      <c r="AD127" s="199">
        <f t="shared" si="169"/>
        <v>81082.875738518807</v>
      </c>
      <c r="AE127" s="199">
        <f t="shared" si="131"/>
        <v>77028.731951592868</v>
      </c>
      <c r="AF127" s="199">
        <f t="shared" si="120"/>
        <v>77028.731951592868</v>
      </c>
      <c r="AG127" s="614">
        <f t="shared" si="117"/>
        <v>3.5614704029721393E-3</v>
      </c>
      <c r="AH127" s="199">
        <f t="shared" si="167"/>
        <v>20372.581843848951</v>
      </c>
      <c r="AI127" s="252">
        <f t="shared" si="89"/>
        <v>1.5782330479664679E-3</v>
      </c>
      <c r="AJ127" s="199">
        <f t="shared" si="101"/>
        <v>101455.45758236776</v>
      </c>
      <c r="AK127" s="199">
        <f t="shared" si="129"/>
        <v>16298.06547507916</v>
      </c>
      <c r="AL127" s="199">
        <f t="shared" si="130"/>
        <v>16298.06547507916</v>
      </c>
      <c r="AM127" s="199">
        <f t="shared" si="102"/>
        <v>32596.13095015832</v>
      </c>
      <c r="AN127" s="645">
        <f t="shared" si="103"/>
        <v>1.5782330479664677E-3</v>
      </c>
      <c r="AO127" s="199">
        <v>10</v>
      </c>
      <c r="AP127" s="250">
        <f t="shared" si="104"/>
        <v>1.1362345188046814E-3</v>
      </c>
      <c r="AQ127" s="199">
        <v>10</v>
      </c>
      <c r="AU127" s="199">
        <v>1</v>
      </c>
      <c r="AV127" s="199">
        <f t="shared" si="156"/>
        <v>226362.00359970183</v>
      </c>
      <c r="AW127" s="250">
        <f t="shared" si="105"/>
        <v>6.51514334612342E-3</v>
      </c>
      <c r="AX127" s="199">
        <v>0</v>
      </c>
      <c r="AY127" s="199">
        <f t="shared" si="157"/>
        <v>29838.634427520108</v>
      </c>
      <c r="AZ127" s="199">
        <f t="shared" si="106"/>
        <v>0</v>
      </c>
      <c r="BA127" s="252">
        <f t="shared" si="107"/>
        <v>0</v>
      </c>
      <c r="BB127" s="284">
        <v>1</v>
      </c>
      <c r="BC127" s="199">
        <f t="shared" si="158"/>
        <v>58379.670531733536</v>
      </c>
      <c r="BD127" s="270">
        <f t="shared" si="118"/>
        <v>5.2575034473165139E-3</v>
      </c>
      <c r="BE127" s="199">
        <f t="shared" si="159"/>
        <v>249735.25727463793</v>
      </c>
      <c r="BF127" s="251">
        <f t="shared" si="119"/>
        <v>5.2575035641481286E-3</v>
      </c>
      <c r="BG127" s="204">
        <f t="shared" si="125"/>
        <v>308114.92780637147</v>
      </c>
      <c r="BH127" s="636">
        <v>0</v>
      </c>
      <c r="BI127" s="199">
        <f t="shared" si="108"/>
        <v>124680.20088435557</v>
      </c>
      <c r="BJ127" s="199">
        <f t="shared" si="109"/>
        <v>249360.40176871113</v>
      </c>
      <c r="BK127" s="199">
        <f t="shared" si="116"/>
        <v>374040.60265306669</v>
      </c>
      <c r="BL127" s="251">
        <f t="shared" si="110"/>
        <v>1.5782330479664677E-3</v>
      </c>
      <c r="BM127" s="199">
        <f t="shared" si="160"/>
        <v>37487.306099617104</v>
      </c>
      <c r="BN127" s="251">
        <f t="shared" si="111"/>
        <v>1.6188184608666065E-3</v>
      </c>
      <c r="BT127" s="199">
        <f>'Detailed Budget'!$AD$12</f>
        <v>194045122715</v>
      </c>
      <c r="BU127" s="199">
        <f>'Detailed Budget'!$AD$24</f>
        <v>194045122715</v>
      </c>
      <c r="BV127" s="596">
        <f t="shared" si="161"/>
        <v>6.51514334612342E-3</v>
      </c>
      <c r="BW127" s="278"/>
      <c r="BX127" s="275">
        <f t="shared" si="126"/>
        <v>1264231790.1043348</v>
      </c>
      <c r="BY127" s="275">
        <f t="shared" si="127"/>
        <v>1264231790.1043348</v>
      </c>
      <c r="CA127" s="199">
        <f>'Detailed Budget'!$AD$96</f>
        <v>71050111380.677719</v>
      </c>
      <c r="CB127" s="275">
        <f t="shared" si="112"/>
        <v>0</v>
      </c>
      <c r="CE127" s="199">
        <f>'Detailed Budget'!$AD$175</f>
        <v>4330586076.5988197</v>
      </c>
      <c r="CF127" s="275">
        <f t="shared" si="162"/>
        <v>22768071.226619191</v>
      </c>
      <c r="CG127" s="199">
        <f>'Detailed Budget'!$AD$176</f>
        <v>20662817754.37001</v>
      </c>
      <c r="CH127" s="275">
        <f t="shared" si="163"/>
        <v>108634837.98894356</v>
      </c>
      <c r="CI127" s="275">
        <f t="shared" si="122"/>
        <v>131402909.21556276</v>
      </c>
      <c r="CJ127" s="275">
        <f>'Detailed Budget'!$AD$178</f>
        <v>46025131033.061455</v>
      </c>
      <c r="CK127" s="275">
        <f t="shared" si="164"/>
        <v>163917141.96716291</v>
      </c>
      <c r="CL127" s="275">
        <f t="shared" si="121"/>
        <v>295320051.18272567</v>
      </c>
      <c r="CM127" s="278">
        <f>'Detailed Budget'!$AD$189</f>
        <v>77498869683.252869</v>
      </c>
      <c r="CN127" s="275">
        <f t="shared" si="113"/>
        <v>0</v>
      </c>
      <c r="CO127" s="140">
        <f>'Detailed Budget'!$AD$191</f>
        <v>2684962805.4134097</v>
      </c>
      <c r="CP127" s="616">
        <f t="shared" si="114"/>
        <v>0</v>
      </c>
      <c r="CQ127" s="616">
        <f t="shared" si="115"/>
        <v>0</v>
      </c>
      <c r="CR127" s="199">
        <f>'Detailed Budget'!$AD$195</f>
        <v>18734176418</v>
      </c>
      <c r="CS127" s="275">
        <f t="shared" si="165"/>
        <v>30327230.634590235</v>
      </c>
      <c r="CW127" s="278"/>
      <c r="DH127" s="140">
        <f>'Detailed Budget'!$AD$163</f>
        <v>4928560000</v>
      </c>
      <c r="DI127" s="616">
        <f t="shared" si="166"/>
        <v>5600000</v>
      </c>
    </row>
    <row r="128" spans="1:113" outlineLevel="1">
      <c r="A128" s="214" t="s">
        <v>445</v>
      </c>
      <c r="B128" s="215" t="s">
        <v>446</v>
      </c>
      <c r="C128" s="216" t="s">
        <v>234</v>
      </c>
      <c r="D128" s="217" t="s">
        <v>234</v>
      </c>
      <c r="E128" s="216"/>
      <c r="F128" s="216"/>
      <c r="G128" s="216"/>
      <c r="H128" s="216" t="s">
        <v>234</v>
      </c>
      <c r="I128" s="217" t="s">
        <v>234</v>
      </c>
      <c r="J128" s="217"/>
      <c r="K128" s="216"/>
      <c r="L128" s="216"/>
      <c r="M128" s="217" t="s">
        <v>234</v>
      </c>
      <c r="N128" s="216"/>
      <c r="O128" s="217"/>
      <c r="P128" s="216"/>
      <c r="Q128" s="217"/>
      <c r="R128" s="217" t="s">
        <v>234</v>
      </c>
      <c r="S128" s="217"/>
      <c r="T128" s="217"/>
      <c r="U128" s="218">
        <f t="shared" si="155"/>
        <v>6</v>
      </c>
      <c r="V128" s="867" t="s">
        <v>238</v>
      </c>
      <c r="W128" s="219">
        <v>83874</v>
      </c>
      <c r="X128" s="220">
        <v>3.42</v>
      </c>
      <c r="Y128" s="221">
        <f t="shared" si="128"/>
        <v>1.0342</v>
      </c>
      <c r="Z128" s="199">
        <v>19</v>
      </c>
      <c r="AA128" s="221">
        <f t="shared" si="170"/>
        <v>1.8944630332534185</v>
      </c>
      <c r="AB128" s="199">
        <f t="shared" si="168"/>
        <v>158896.19245109722</v>
      </c>
      <c r="AC128">
        <v>19.899999999999999</v>
      </c>
      <c r="AD128" s="199">
        <f t="shared" si="169"/>
        <v>31620.342297768348</v>
      </c>
      <c r="AE128" s="199">
        <f t="shared" si="131"/>
        <v>30039.325182879929</v>
      </c>
      <c r="AF128" s="199">
        <f t="shared" si="120"/>
        <v>30039.325182879929</v>
      </c>
      <c r="AG128" s="614">
        <f t="shared" si="117"/>
        <v>1.3888865213478332E-3</v>
      </c>
      <c r="AH128" s="199">
        <f t="shared" si="167"/>
        <v>7944.8096225548616</v>
      </c>
      <c r="AI128" s="252">
        <f t="shared" si="89"/>
        <v>6.1547236389696393E-4</v>
      </c>
      <c r="AJ128" s="199">
        <f t="shared" si="101"/>
        <v>39565.151920323209</v>
      </c>
      <c r="AK128" s="199">
        <f t="shared" si="129"/>
        <v>6355.8476980438891</v>
      </c>
      <c r="AL128" s="199">
        <f t="shared" si="130"/>
        <v>6355.8476980438891</v>
      </c>
      <c r="AM128" s="199">
        <f t="shared" si="102"/>
        <v>12711.695396087778</v>
      </c>
      <c r="AN128" s="645">
        <f t="shared" si="103"/>
        <v>6.1547236389696393E-4</v>
      </c>
      <c r="AO128" s="199">
        <v>10</v>
      </c>
      <c r="AP128" s="250">
        <f t="shared" si="104"/>
        <v>1.1362345188046814E-3</v>
      </c>
      <c r="AQ128" s="199">
        <v>10</v>
      </c>
      <c r="AU128" s="199">
        <v>1</v>
      </c>
      <c r="AV128" s="199">
        <f t="shared" si="156"/>
        <v>88275.655887115616</v>
      </c>
      <c r="AW128" s="250">
        <f t="shared" si="105"/>
        <v>2.5407468697559257E-3</v>
      </c>
      <c r="AX128" s="199">
        <v>0</v>
      </c>
      <c r="AY128" s="199">
        <f t="shared" si="157"/>
        <v>11636.339062995799</v>
      </c>
      <c r="AZ128" s="199">
        <f t="shared" si="106"/>
        <v>0</v>
      </c>
      <c r="BA128" s="252">
        <f t="shared" si="107"/>
        <v>0</v>
      </c>
      <c r="BB128" s="284">
        <v>1</v>
      </c>
      <c r="BC128" s="199">
        <f t="shared" si="158"/>
        <v>22766.646454393209</v>
      </c>
      <c r="BD128" s="270">
        <f t="shared" si="118"/>
        <v>2.0502980083237257E-3</v>
      </c>
      <c r="BE128" s="199">
        <f t="shared" si="159"/>
        <v>97390.654277126509</v>
      </c>
      <c r="BF128" s="251">
        <f t="shared" si="119"/>
        <v>2.0502980538852035E-3</v>
      </c>
      <c r="BG128" s="204">
        <f t="shared" si="125"/>
        <v>120157.30073151972</v>
      </c>
      <c r="BH128" s="636">
        <v>0</v>
      </c>
      <c r="BI128" s="199">
        <f t="shared" si="108"/>
        <v>48622.234890035747</v>
      </c>
      <c r="BJ128" s="199">
        <f t="shared" si="109"/>
        <v>97244.469780071493</v>
      </c>
      <c r="BK128" s="199">
        <f t="shared" si="116"/>
        <v>145866.70467010722</v>
      </c>
      <c r="BL128" s="251">
        <f t="shared" si="110"/>
        <v>6.1547236389696382E-4</v>
      </c>
      <c r="BM128" s="199">
        <f t="shared" si="160"/>
        <v>14619.134310353527</v>
      </c>
      <c r="BN128" s="251">
        <f t="shared" si="111"/>
        <v>6.3129968423445662E-4</v>
      </c>
      <c r="BT128" s="199">
        <f>'Detailed Budget'!$AD$12</f>
        <v>194045122715</v>
      </c>
      <c r="BU128" s="199">
        <f>'Detailed Budget'!$AD$24</f>
        <v>194045122715</v>
      </c>
      <c r="BV128" s="596">
        <f t="shared" si="161"/>
        <v>2.5407468697559257E-3</v>
      </c>
      <c r="BW128" s="278"/>
      <c r="BX128" s="275">
        <f t="shared" si="126"/>
        <v>493019538.12954074</v>
      </c>
      <c r="BY128" s="275">
        <f t="shared" si="127"/>
        <v>493019538.12954074</v>
      </c>
      <c r="CA128" s="199">
        <f>'Detailed Budget'!$AD$96</f>
        <v>71050111380.677719</v>
      </c>
      <c r="CB128" s="275">
        <f t="shared" si="112"/>
        <v>0</v>
      </c>
      <c r="CE128" s="199">
        <f>'Detailed Budget'!$AD$175</f>
        <v>4330586076.5988197</v>
      </c>
      <c r="CF128" s="275">
        <f t="shared" si="162"/>
        <v>8878992.0077250171</v>
      </c>
      <c r="CG128" s="199">
        <f>'Detailed Budget'!$AD$176</f>
        <v>20662817754.37001</v>
      </c>
      <c r="CH128" s="275">
        <f t="shared" si="163"/>
        <v>42364935.029569462</v>
      </c>
      <c r="CI128" s="275">
        <f t="shared" si="122"/>
        <v>51243927.037294477</v>
      </c>
      <c r="CJ128" s="275">
        <f>'Detailed Budget'!$AD$178</f>
        <v>46025131033.061455</v>
      </c>
      <c r="CK128" s="275">
        <f t="shared" si="164"/>
        <v>63923684.135086924</v>
      </c>
      <c r="CL128" s="275">
        <f t="shared" si="121"/>
        <v>115167611.1723814</v>
      </c>
      <c r="CM128" s="278">
        <f>'Detailed Budget'!$AD$189</f>
        <v>77498869683.252869</v>
      </c>
      <c r="CN128" s="275">
        <f t="shared" si="113"/>
        <v>0</v>
      </c>
      <c r="CO128" s="140">
        <f>'Detailed Budget'!$AD$191</f>
        <v>2684962805.4134097</v>
      </c>
      <c r="CP128" s="616">
        <f t="shared" si="114"/>
        <v>0</v>
      </c>
      <c r="CQ128" s="616">
        <f t="shared" si="115"/>
        <v>0</v>
      </c>
      <c r="CR128" s="199">
        <f>'Detailed Budget'!$AD$195</f>
        <v>18734176418</v>
      </c>
      <c r="CS128" s="275">
        <f t="shared" si="165"/>
        <v>11826879.657076003</v>
      </c>
      <c r="CW128" s="278"/>
      <c r="DH128" s="140">
        <f>'Detailed Budget'!$AD$163</f>
        <v>4928560000</v>
      </c>
      <c r="DI128" s="616">
        <f t="shared" si="166"/>
        <v>5600000</v>
      </c>
    </row>
    <row r="129" spans="1:113" outlineLevel="1">
      <c r="A129" s="214" t="s">
        <v>447</v>
      </c>
      <c r="B129" s="215" t="s">
        <v>448</v>
      </c>
      <c r="C129" s="216" t="s">
        <v>234</v>
      </c>
      <c r="D129" s="217" t="s">
        <v>234</v>
      </c>
      <c r="E129" s="216"/>
      <c r="F129" s="216"/>
      <c r="G129" s="216"/>
      <c r="H129" s="216" t="s">
        <v>234</v>
      </c>
      <c r="I129" s="217" t="s">
        <v>234</v>
      </c>
      <c r="J129" s="217"/>
      <c r="K129" s="216" t="s">
        <v>234</v>
      </c>
      <c r="L129" s="216"/>
      <c r="M129" s="217"/>
      <c r="N129" s="216"/>
      <c r="O129" s="217"/>
      <c r="P129" s="216"/>
      <c r="Q129" s="217"/>
      <c r="R129" s="217" t="s">
        <v>234</v>
      </c>
      <c r="S129" s="217"/>
      <c r="T129" s="217"/>
      <c r="U129" s="218">
        <f t="shared" si="155"/>
        <v>6</v>
      </c>
      <c r="V129" s="867" t="s">
        <v>238</v>
      </c>
      <c r="W129" s="219">
        <v>81756</v>
      </c>
      <c r="X129" s="220">
        <v>3.42</v>
      </c>
      <c r="Y129" s="221">
        <f t="shared" si="128"/>
        <v>1.0342</v>
      </c>
      <c r="Z129" s="199">
        <v>19</v>
      </c>
      <c r="AA129" s="221">
        <f t="shared" si="170"/>
        <v>1.8944630332534185</v>
      </c>
      <c r="AB129" s="199">
        <f t="shared" si="168"/>
        <v>154883.71974666649</v>
      </c>
      <c r="AC129">
        <v>19.899999999999999</v>
      </c>
      <c r="AD129" s="199">
        <f t="shared" si="169"/>
        <v>30821.860229586629</v>
      </c>
      <c r="AE129" s="199">
        <f t="shared" si="131"/>
        <v>29280.767218107296</v>
      </c>
      <c r="AF129" s="199">
        <f t="shared" si="120"/>
        <v>29280.767218107296</v>
      </c>
      <c r="AG129" s="614">
        <f t="shared" si="117"/>
        <v>1.3538141311886095E-3</v>
      </c>
      <c r="AH129" s="199">
        <f t="shared" si="167"/>
        <v>7744.1859873333251</v>
      </c>
      <c r="AI129" s="252">
        <f t="shared" si="89"/>
        <v>5.9993035485084991E-4</v>
      </c>
      <c r="AJ129" s="199">
        <f t="shared" si="101"/>
        <v>38566.046216919953</v>
      </c>
      <c r="AK129" s="199">
        <f t="shared" si="129"/>
        <v>6195.3487898666599</v>
      </c>
      <c r="AL129" s="199">
        <f t="shared" si="130"/>
        <v>6195.3487898666599</v>
      </c>
      <c r="AM129" s="199">
        <f t="shared" si="102"/>
        <v>12390.69757973332</v>
      </c>
      <c r="AN129" s="645">
        <f t="shared" si="103"/>
        <v>5.9993035485084991E-4</v>
      </c>
      <c r="AO129" s="199">
        <v>11</v>
      </c>
      <c r="AP129" s="250">
        <f t="shared" si="104"/>
        <v>1.2498579706851495E-3</v>
      </c>
      <c r="AQ129" s="199">
        <v>11</v>
      </c>
      <c r="AU129" s="199">
        <v>1</v>
      </c>
      <c r="AV129" s="199">
        <f t="shared" si="156"/>
        <v>86046.504550957688</v>
      </c>
      <c r="AW129" s="250">
        <f t="shared" si="105"/>
        <v>2.4765875132194181E-3</v>
      </c>
      <c r="AX129" s="199">
        <v>0</v>
      </c>
      <c r="AY129" s="199">
        <f t="shared" si="157"/>
        <v>11342.496321080247</v>
      </c>
      <c r="AZ129" s="199">
        <f t="shared" si="106"/>
        <v>0</v>
      </c>
      <c r="BA129" s="252">
        <f t="shared" si="107"/>
        <v>0</v>
      </c>
      <c r="BB129" s="284">
        <v>1</v>
      </c>
      <c r="BC129" s="199">
        <f t="shared" si="158"/>
        <v>22191.739365302372</v>
      </c>
      <c r="BD129" s="270">
        <f t="shared" si="118"/>
        <v>1.99852354685021E-3</v>
      </c>
      <c r="BE129" s="199">
        <f t="shared" si="159"/>
        <v>94931.329507126822</v>
      </c>
      <c r="BF129" s="251">
        <f t="shared" si="119"/>
        <v>1.9985235912611623E-3</v>
      </c>
      <c r="BG129" s="204">
        <f t="shared" si="125"/>
        <v>117123.0688724292</v>
      </c>
      <c r="BH129" s="636">
        <v>0</v>
      </c>
      <c r="BI129" s="199">
        <f t="shared" si="108"/>
        <v>47394.418242479944</v>
      </c>
      <c r="BJ129" s="199">
        <f t="shared" si="109"/>
        <v>94788.836484959887</v>
      </c>
      <c r="BK129" s="199">
        <f t="shared" si="116"/>
        <v>142183.25472743984</v>
      </c>
      <c r="BL129" s="251">
        <f t="shared" si="110"/>
        <v>5.9993035485084991E-4</v>
      </c>
      <c r="BM129" s="199">
        <f t="shared" si="160"/>
        <v>14249.969533791915</v>
      </c>
      <c r="BN129" s="251">
        <f t="shared" si="111"/>
        <v>6.153580011001292E-4</v>
      </c>
      <c r="BT129" s="199">
        <f>'Detailed Budget'!$AD$12</f>
        <v>194045122715</v>
      </c>
      <c r="BU129" s="199">
        <f>'Detailed Budget'!$AD$24</f>
        <v>194045122715</v>
      </c>
      <c r="BV129" s="596">
        <f t="shared" si="161"/>
        <v>2.4765875132194181E-3</v>
      </c>
      <c r="BW129" s="278"/>
      <c r="BX129" s="275">
        <f t="shared" si="126"/>
        <v>480569727.91709864</v>
      </c>
      <c r="BY129" s="275">
        <f t="shared" si="127"/>
        <v>480569727.91709864</v>
      </c>
      <c r="CA129" s="199">
        <f>'Detailed Budget'!$AD$96</f>
        <v>71050111380.677719</v>
      </c>
      <c r="CB129" s="275">
        <f t="shared" si="112"/>
        <v>0</v>
      </c>
      <c r="CE129" s="199">
        <f>'Detailed Budget'!$AD$175</f>
        <v>4330586076.5988197</v>
      </c>
      <c r="CF129" s="275">
        <f t="shared" si="162"/>
        <v>8654778.245744409</v>
      </c>
      <c r="CG129" s="199">
        <f>'Detailed Budget'!$AD$176</f>
        <v>20662817754.37001</v>
      </c>
      <c r="CH129" s="275">
        <f t="shared" si="163"/>
        <v>41295128.744038455</v>
      </c>
      <c r="CI129" s="275">
        <f t="shared" si="122"/>
        <v>49949906.989782862</v>
      </c>
      <c r="CJ129" s="275">
        <f>'Detailed Budget'!$AD$178</f>
        <v>46025131033.061455</v>
      </c>
      <c r="CK129" s="275">
        <f t="shared" si="164"/>
        <v>62309472.782366</v>
      </c>
      <c r="CL129" s="275">
        <f t="shared" si="121"/>
        <v>112259379.77214886</v>
      </c>
      <c r="CM129" s="278">
        <f>'Detailed Budget'!$AD$189</f>
        <v>77498869683.252869</v>
      </c>
      <c r="CN129" s="275">
        <f t="shared" si="113"/>
        <v>0</v>
      </c>
      <c r="CO129" s="140">
        <f>'Detailed Budget'!$AD$191</f>
        <v>2684962805.4134097</v>
      </c>
      <c r="CP129" s="616">
        <f t="shared" si="114"/>
        <v>0</v>
      </c>
      <c r="CQ129" s="616">
        <f t="shared" si="115"/>
        <v>0</v>
      </c>
      <c r="CR129" s="199">
        <f>'Detailed Budget'!$AD$195</f>
        <v>18734176418</v>
      </c>
      <c r="CS129" s="275">
        <f t="shared" si="165"/>
        <v>11528225.352837658</v>
      </c>
      <c r="CW129" s="278"/>
      <c r="DH129" s="140">
        <f>'Detailed Budget'!$AD$163</f>
        <v>4928560000</v>
      </c>
      <c r="DI129" s="616">
        <f t="shared" si="166"/>
        <v>6160000</v>
      </c>
    </row>
    <row r="130" spans="1:113" outlineLevel="1">
      <c r="A130" s="214"/>
      <c r="B130" s="215"/>
      <c r="C130" s="216"/>
      <c r="D130" s="217"/>
      <c r="E130" s="216"/>
      <c r="F130" s="216"/>
      <c r="G130" s="216"/>
      <c r="H130" s="216"/>
      <c r="I130" s="217"/>
      <c r="J130" s="217"/>
      <c r="K130" s="216"/>
      <c r="L130" s="216"/>
      <c r="M130" s="217"/>
      <c r="N130" s="216"/>
      <c r="O130" s="217"/>
      <c r="P130" s="216"/>
      <c r="Q130" s="217"/>
      <c r="R130" s="217"/>
      <c r="S130" s="217"/>
      <c r="T130" s="217"/>
      <c r="U130" s="218"/>
      <c r="V130" s="867"/>
      <c r="W130" s="219"/>
      <c r="X130" s="220"/>
      <c r="Y130" s="221"/>
      <c r="Z130" s="199"/>
      <c r="AA130" s="221"/>
      <c r="AF130" s="199">
        <f t="shared" si="120"/>
        <v>0</v>
      </c>
      <c r="AG130" s="614">
        <f t="shared" si="117"/>
        <v>0</v>
      </c>
      <c r="AJ130" s="199"/>
      <c r="AK130" s="199">
        <f t="shared" si="129"/>
        <v>0</v>
      </c>
      <c r="AL130" s="199">
        <f t="shared" si="130"/>
        <v>0</v>
      </c>
      <c r="AM130" s="199">
        <f t="shared" si="102"/>
        <v>0</v>
      </c>
      <c r="AN130" s="645">
        <f t="shared" si="103"/>
        <v>0</v>
      </c>
      <c r="AP130" s="250">
        <f t="shared" si="104"/>
        <v>0</v>
      </c>
      <c r="AW130" s="250">
        <f t="shared" si="105"/>
        <v>0</v>
      </c>
      <c r="AX130" s="199"/>
      <c r="BA130" s="252">
        <f t="shared" si="107"/>
        <v>0</v>
      </c>
      <c r="BB130" s="284"/>
      <c r="BD130" s="270"/>
      <c r="BF130" s="251"/>
      <c r="BG130" s="204"/>
      <c r="BH130" s="636"/>
      <c r="BI130" s="199">
        <f t="shared" si="108"/>
        <v>0</v>
      </c>
      <c r="BJ130" s="199">
        <f t="shared" si="109"/>
        <v>0</v>
      </c>
      <c r="BK130" s="199">
        <f t="shared" si="116"/>
        <v>0</v>
      </c>
      <c r="BL130" s="251">
        <f t="shared" si="110"/>
        <v>0</v>
      </c>
      <c r="BN130" s="251">
        <f t="shared" si="111"/>
        <v>0</v>
      </c>
      <c r="BT130" s="199"/>
      <c r="BU130" s="199"/>
      <c r="BV130" s="596"/>
      <c r="BW130" s="278"/>
      <c r="BX130" s="275"/>
      <c r="BY130" s="275"/>
      <c r="CA130" s="199">
        <f>'Detailed Budget'!$AD$96</f>
        <v>71050111380.677719</v>
      </c>
      <c r="CB130" s="275">
        <f t="shared" si="112"/>
        <v>0</v>
      </c>
      <c r="CE130" s="199"/>
      <c r="CF130" s="275"/>
      <c r="CG130" s="199"/>
      <c r="CH130" s="275"/>
      <c r="CI130" s="275"/>
      <c r="CJ130" s="275"/>
      <c r="CK130" s="275"/>
      <c r="CL130" s="275"/>
      <c r="CM130" s="278">
        <f>'Detailed Budget'!$AD$189</f>
        <v>77498869683.252869</v>
      </c>
      <c r="CN130" s="275">
        <f t="shared" si="113"/>
        <v>0</v>
      </c>
      <c r="CO130" s="140">
        <f>'Detailed Budget'!$AD$191</f>
        <v>2684962805.4134097</v>
      </c>
      <c r="CP130" s="616">
        <f t="shared" si="114"/>
        <v>0</v>
      </c>
      <c r="CQ130" s="616">
        <f t="shared" si="115"/>
        <v>0</v>
      </c>
      <c r="CR130" s="199"/>
      <c r="CS130" s="275"/>
      <c r="CW130" s="278"/>
      <c r="DH130" s="140">
        <f>'Detailed Budget'!$AD$163</f>
        <v>4928560000</v>
      </c>
      <c r="DI130" s="616">
        <f t="shared" si="166"/>
        <v>0</v>
      </c>
    </row>
    <row r="131" spans="1:113" s="213" customFormat="1">
      <c r="A131" s="206">
        <v>1.7</v>
      </c>
      <c r="B131" s="207" t="s">
        <v>449</v>
      </c>
      <c r="C131" s="208">
        <f>COUNTA(C133:C149)</f>
        <v>17</v>
      </c>
      <c r="D131" s="208">
        <f t="shared" ref="D131:T131" si="171">COUNTA(D133:D149)</f>
        <v>17</v>
      </c>
      <c r="E131" s="208">
        <f t="shared" si="171"/>
        <v>0</v>
      </c>
      <c r="F131" s="208">
        <f t="shared" si="171"/>
        <v>0</v>
      </c>
      <c r="G131" s="208">
        <f t="shared" si="171"/>
        <v>0</v>
      </c>
      <c r="H131" s="208">
        <f t="shared" si="171"/>
        <v>17</v>
      </c>
      <c r="I131" s="208">
        <f t="shared" si="171"/>
        <v>17</v>
      </c>
      <c r="J131" s="208">
        <f t="shared" si="171"/>
        <v>0</v>
      </c>
      <c r="K131" s="208">
        <f t="shared" si="171"/>
        <v>17</v>
      </c>
      <c r="L131" s="208">
        <f t="shared" si="171"/>
        <v>0</v>
      </c>
      <c r="M131" s="208">
        <f t="shared" si="171"/>
        <v>0</v>
      </c>
      <c r="N131" s="208">
        <f t="shared" si="171"/>
        <v>0</v>
      </c>
      <c r="O131" s="208">
        <f t="shared" si="171"/>
        <v>0</v>
      </c>
      <c r="P131" s="208">
        <f t="shared" si="171"/>
        <v>0</v>
      </c>
      <c r="Q131" s="208">
        <f t="shared" si="171"/>
        <v>3</v>
      </c>
      <c r="R131" s="208">
        <f t="shared" si="171"/>
        <v>14</v>
      </c>
      <c r="S131" s="208">
        <f t="shared" si="171"/>
        <v>0</v>
      </c>
      <c r="T131" s="208">
        <f t="shared" si="171"/>
        <v>0</v>
      </c>
      <c r="U131" s="209">
        <f>SUM(C131:T131)</f>
        <v>102</v>
      </c>
      <c r="V131" s="866"/>
      <c r="W131" s="210">
        <f>SUM(W133:W149)</f>
        <v>3206531</v>
      </c>
      <c r="X131" s="211">
        <v>2.94</v>
      </c>
      <c r="Y131" s="212">
        <f t="shared" si="128"/>
        <v>1.0294000000000001</v>
      </c>
      <c r="Z131" s="210">
        <v>19</v>
      </c>
      <c r="AA131" s="212">
        <f t="shared" si="170"/>
        <v>1.7341997303889829</v>
      </c>
      <c r="AB131" s="210">
        <f>SUM(AB133:AB149)</f>
        <v>5560765.1956839161</v>
      </c>
      <c r="AC131" s="213">
        <v>17.100000000000001</v>
      </c>
      <c r="AD131" s="210">
        <f t="shared" ref="AD131:AE131" si="172">SUM(AD133:AD149)</f>
        <v>950890.84846194962</v>
      </c>
      <c r="AE131" s="210">
        <f t="shared" si="172"/>
        <v>903346.30603885208</v>
      </c>
      <c r="AF131" s="210">
        <f>SUM(AF133:AF149)</f>
        <v>903346.30603885208</v>
      </c>
      <c r="AG131" s="614">
        <f t="shared" si="117"/>
        <v>4.1766767426645333E-2</v>
      </c>
      <c r="AH131" s="210">
        <f t="shared" ref="AH131:AO131" si="173">SUM(AH133:AH149)</f>
        <v>278038.2597841958</v>
      </c>
      <c r="AI131" s="252">
        <f t="shared" si="89"/>
        <v>2.1539202716370123E-2</v>
      </c>
      <c r="AJ131" s="210">
        <f t="shared" si="173"/>
        <v>1228929.1082461455</v>
      </c>
      <c r="AK131" s="199">
        <f t="shared" si="129"/>
        <v>222430.60782735664</v>
      </c>
      <c r="AL131" s="199">
        <f t="shared" si="130"/>
        <v>222430.60782735664</v>
      </c>
      <c r="AM131" s="199">
        <f t="shared" si="102"/>
        <v>444861.21565471328</v>
      </c>
      <c r="AN131" s="645">
        <f t="shared" si="103"/>
        <v>2.153920271637012E-2</v>
      </c>
      <c r="AO131" s="210">
        <f t="shared" si="173"/>
        <v>207</v>
      </c>
      <c r="AP131" s="250">
        <f t="shared" si="104"/>
        <v>2.3520054539256902E-2</v>
      </c>
      <c r="AQ131" s="210">
        <f t="shared" ref="AQ131" si="174">SUM(AQ133:AQ149)</f>
        <v>207</v>
      </c>
      <c r="AR131" s="210"/>
      <c r="AS131" s="210"/>
      <c r="AT131" s="210"/>
      <c r="AU131" s="199"/>
      <c r="AV131" s="199"/>
      <c r="AW131" s="250">
        <f t="shared" si="105"/>
        <v>0</v>
      </c>
      <c r="AX131" s="199"/>
      <c r="AY131" s="210">
        <v>411280</v>
      </c>
      <c r="AZ131" s="210">
        <f t="shared" ref="AZ131" si="175">SUM(AZ133:AZ149)</f>
        <v>411280.03622623824</v>
      </c>
      <c r="BA131" s="252">
        <f t="shared" si="107"/>
        <v>3.2329279771676309E-2</v>
      </c>
      <c r="BB131" s="284"/>
      <c r="BC131" s="210">
        <f>SUM(BC133:BC149)</f>
        <v>684641.41089260357</v>
      </c>
      <c r="BD131" s="270">
        <f t="shared" si="118"/>
        <v>6.1656815551689628E-2</v>
      </c>
      <c r="BE131" s="210">
        <f>SUM(BE133:BE149)</f>
        <v>2928743.8132628049</v>
      </c>
      <c r="BF131" s="251">
        <f t="shared" si="119"/>
        <v>6.165681692182004E-2</v>
      </c>
      <c r="BG131" s="210">
        <f>SUM(BG133:BG149)</f>
        <v>3613385.2241554083</v>
      </c>
      <c r="BH131"/>
      <c r="BI131" s="199">
        <f t="shared" si="108"/>
        <v>1701594.1498792784</v>
      </c>
      <c r="BJ131" s="199">
        <f t="shared" si="109"/>
        <v>3403188.2997585568</v>
      </c>
      <c r="BK131" s="199">
        <f t="shared" si="116"/>
        <v>5104782.4496378349</v>
      </c>
      <c r="BL131" s="251">
        <f t="shared" si="110"/>
        <v>2.153920271637012E-2</v>
      </c>
      <c r="BM131" s="210">
        <v>445215</v>
      </c>
      <c r="BN131" s="251">
        <f t="shared" si="111"/>
        <v>1.9225768294459752E-2</v>
      </c>
      <c r="BT131" s="210">
        <f>'Detailed Budget'!$AD$12</f>
        <v>194045122715</v>
      </c>
      <c r="BU131" s="210">
        <f>'Detailed Budget'!$AD$24</f>
        <v>194045122715</v>
      </c>
      <c r="BV131" s="596">
        <f>AV131/34743979</f>
        <v>0</v>
      </c>
      <c r="BW131" s="278"/>
      <c r="BX131" s="613">
        <f t="shared" si="126"/>
        <v>0</v>
      </c>
      <c r="BY131" s="613">
        <f t="shared" si="127"/>
        <v>0</v>
      </c>
      <c r="CA131" s="210">
        <f>'Detailed Budget'!$AD$96</f>
        <v>71050111380.677719</v>
      </c>
      <c r="CB131" s="613">
        <f t="shared" si="112"/>
        <v>2296998928.6346927</v>
      </c>
      <c r="CE131" s="210">
        <f>'Detailed Budget'!$AD$175</f>
        <v>4330586076.5988197</v>
      </c>
      <c r="CF131" s="613">
        <f>SUM(CF133:CF149)</f>
        <v>267010146.95556873</v>
      </c>
      <c r="CG131" s="632">
        <f>'Detailed Budget'!$AD$176</f>
        <v>20662817754.37001</v>
      </c>
      <c r="CH131" s="613">
        <f>SUM(CH133:CH149)</f>
        <v>1274003571.3701246</v>
      </c>
      <c r="CI131" s="613">
        <f>SUM(CI133:CI149)</f>
        <v>1541013718.3256934</v>
      </c>
      <c r="CJ131" s="275">
        <f>'Detailed Budget'!$AD$178</f>
        <v>46025131033.061455</v>
      </c>
      <c r="CK131" s="613">
        <f>SUM(CK133:CK149)</f>
        <v>1922320943.6387548</v>
      </c>
      <c r="CL131" s="613">
        <f>SUM(CL133:CL149)</f>
        <v>3463334661.9644475</v>
      </c>
      <c r="CM131" s="278">
        <f>'Detailed Budget'!$AD$189</f>
        <v>77498869683.252869</v>
      </c>
      <c r="CN131" s="275">
        <f t="shared" si="113"/>
        <v>0</v>
      </c>
      <c r="CO131" s="140">
        <f>'Detailed Budget'!$AD$191</f>
        <v>2684962805.4134097</v>
      </c>
      <c r="CP131" s="616">
        <f t="shared" si="114"/>
        <v>0</v>
      </c>
      <c r="CQ131" s="616">
        <f t="shared" si="115"/>
        <v>0</v>
      </c>
      <c r="CR131" s="210">
        <f>'Detailed Budget'!$AD$195</f>
        <v>18734176418</v>
      </c>
      <c r="CS131" s="275">
        <f>BN131*CR131</f>
        <v>360178935</v>
      </c>
      <c r="CW131" s="278"/>
      <c r="DH131" s="140">
        <f>'Detailed Budget'!$AD$163</f>
        <v>4928560000</v>
      </c>
      <c r="DI131" s="616">
        <f t="shared" si="166"/>
        <v>115920000</v>
      </c>
    </row>
    <row r="132" spans="1:113" s="213" customFormat="1">
      <c r="A132" s="214" t="s">
        <v>2325</v>
      </c>
      <c r="B132" s="215" t="s">
        <v>2318</v>
      </c>
      <c r="C132" s="208"/>
      <c r="D132" s="208"/>
      <c r="E132" s="208"/>
      <c r="F132" s="208"/>
      <c r="G132" s="208"/>
      <c r="H132" s="208"/>
      <c r="I132" s="208"/>
      <c r="J132" s="208"/>
      <c r="K132" s="208"/>
      <c r="L132" s="208"/>
      <c r="M132" s="208"/>
      <c r="N132" s="208"/>
      <c r="O132" s="208"/>
      <c r="P132" s="208"/>
      <c r="Q132" s="208"/>
      <c r="R132" s="208"/>
      <c r="S132" s="208"/>
      <c r="T132" s="208"/>
      <c r="U132" s="209"/>
      <c r="V132" s="866"/>
      <c r="W132" s="210"/>
      <c r="X132" s="211"/>
      <c r="Y132" s="212"/>
      <c r="Z132" s="210"/>
      <c r="AA132" s="212"/>
      <c r="AB132" s="210"/>
      <c r="AD132" s="210"/>
      <c r="AE132" s="199"/>
      <c r="AF132" s="199"/>
      <c r="AG132" s="614">
        <f t="shared" si="117"/>
        <v>0</v>
      </c>
      <c r="AH132" s="210"/>
      <c r="AI132" s="252"/>
      <c r="AJ132" s="199"/>
      <c r="AK132" s="199">
        <f t="shared" si="129"/>
        <v>0</v>
      </c>
      <c r="AL132" s="199">
        <f t="shared" si="130"/>
        <v>0</v>
      </c>
      <c r="AM132" s="199">
        <f t="shared" si="102"/>
        <v>0</v>
      </c>
      <c r="AN132" s="645">
        <f t="shared" si="103"/>
        <v>0</v>
      </c>
      <c r="AO132" s="210"/>
      <c r="AP132" s="250"/>
      <c r="AQ132" s="210"/>
      <c r="AR132" s="210"/>
      <c r="AS132" s="210"/>
      <c r="AT132" s="210"/>
      <c r="AU132" s="199"/>
      <c r="AV132" s="199"/>
      <c r="AW132" s="250">
        <f t="shared" si="105"/>
        <v>0</v>
      </c>
      <c r="AX132" s="199"/>
      <c r="AY132" s="210"/>
      <c r="AZ132" s="199"/>
      <c r="BA132" s="252">
        <f t="shared" si="107"/>
        <v>0</v>
      </c>
      <c r="BB132" s="284"/>
      <c r="BC132" s="269"/>
      <c r="BD132" s="270">
        <f t="shared" si="118"/>
        <v>0</v>
      </c>
      <c r="BE132" s="269"/>
      <c r="BF132" s="251">
        <f t="shared" si="119"/>
        <v>0</v>
      </c>
      <c r="BG132" s="204"/>
      <c r="BH132"/>
      <c r="BI132" s="199">
        <f t="shared" si="108"/>
        <v>0</v>
      </c>
      <c r="BJ132" s="199">
        <f t="shared" si="109"/>
        <v>0</v>
      </c>
      <c r="BK132" s="199">
        <f t="shared" si="116"/>
        <v>0</v>
      </c>
      <c r="BL132" s="251">
        <f t="shared" si="110"/>
        <v>0</v>
      </c>
      <c r="BM132" s="210"/>
      <c r="BN132" s="251">
        <f t="shared" si="111"/>
        <v>0</v>
      </c>
      <c r="BT132" s="210"/>
      <c r="BU132" s="210">
        <f>'Detailed Budget'!$AD$24</f>
        <v>194045122715</v>
      </c>
      <c r="BV132" s="596"/>
      <c r="BW132" s="278"/>
      <c r="BX132" s="275"/>
      <c r="BY132" s="275"/>
      <c r="CA132" s="210">
        <f>'Detailed Budget'!$AD$96</f>
        <v>71050111380.677719</v>
      </c>
      <c r="CB132" s="275"/>
      <c r="CE132" s="210"/>
      <c r="CF132" s="275"/>
      <c r="CG132" s="240"/>
      <c r="CH132" s="275"/>
      <c r="CI132" s="275"/>
      <c r="CJ132" s="275"/>
      <c r="CK132" s="275"/>
      <c r="CL132" s="275"/>
      <c r="CM132" s="278">
        <f>'Detailed Budget'!$AD$189</f>
        <v>77498869683.252869</v>
      </c>
      <c r="CN132" s="275">
        <f t="shared" si="113"/>
        <v>0</v>
      </c>
      <c r="CO132" s="140">
        <f>'Detailed Budget'!$AD$191</f>
        <v>2684962805.4134097</v>
      </c>
      <c r="CP132" s="616">
        <f t="shared" si="114"/>
        <v>0</v>
      </c>
      <c r="CQ132" s="616">
        <f t="shared" si="115"/>
        <v>0</v>
      </c>
      <c r="CR132" s="210"/>
      <c r="CS132" s="275"/>
      <c r="CW132" s="278"/>
      <c r="DH132" s="140">
        <f>'Detailed Budget'!$AD$163</f>
        <v>4928560000</v>
      </c>
      <c r="DI132" s="616">
        <f t="shared" si="166"/>
        <v>0</v>
      </c>
    </row>
    <row r="133" spans="1:113" outlineLevel="1">
      <c r="A133" s="214" t="s">
        <v>450</v>
      </c>
      <c r="B133" s="215" t="s">
        <v>451</v>
      </c>
      <c r="C133" s="216" t="s">
        <v>234</v>
      </c>
      <c r="D133" s="217" t="s">
        <v>234</v>
      </c>
      <c r="E133" s="216"/>
      <c r="F133" s="216"/>
      <c r="G133" s="216"/>
      <c r="H133" s="216" t="s">
        <v>234</v>
      </c>
      <c r="I133" s="217" t="s">
        <v>234</v>
      </c>
      <c r="J133" s="217"/>
      <c r="K133" s="216" t="s">
        <v>234</v>
      </c>
      <c r="L133" s="216"/>
      <c r="M133" s="217"/>
      <c r="N133" s="216"/>
      <c r="O133" s="217"/>
      <c r="P133" s="216"/>
      <c r="Q133" s="217"/>
      <c r="R133" s="217" t="s">
        <v>234</v>
      </c>
      <c r="S133" s="217"/>
      <c r="T133" s="217"/>
      <c r="U133" s="218">
        <f t="shared" ref="U133:U149" si="176">COUNTA(C133:T133)</f>
        <v>6</v>
      </c>
      <c r="V133" s="867" t="s">
        <v>238</v>
      </c>
      <c r="W133" s="219">
        <v>179805</v>
      </c>
      <c r="X133" s="220">
        <v>2.94</v>
      </c>
      <c r="Y133" s="221">
        <f t="shared" si="128"/>
        <v>1.0294000000000001</v>
      </c>
      <c r="Z133" s="199">
        <v>19</v>
      </c>
      <c r="AA133" s="221">
        <f t="shared" si="170"/>
        <v>1.7341997303889829</v>
      </c>
      <c r="AB133" s="199">
        <f t="shared" si="168"/>
        <v>311817.78252259106</v>
      </c>
      <c r="AC133">
        <v>17.100000000000001</v>
      </c>
      <c r="AD133" s="199">
        <f t="shared" si="169"/>
        <v>53320.840811363079</v>
      </c>
      <c r="AE133" s="199">
        <f t="shared" si="131"/>
        <v>50654.798770794921</v>
      </c>
      <c r="AF133" s="199">
        <f t="shared" si="120"/>
        <v>50654.798770794921</v>
      </c>
      <c r="AG133" s="614">
        <f t="shared" si="117"/>
        <v>2.3420555164281789E-3</v>
      </c>
      <c r="AH133" s="199">
        <f>AB133*0.05</f>
        <v>15590.889126129554</v>
      </c>
      <c r="AI133" s="252">
        <f t="shared" si="89"/>
        <v>1.2078025580968747E-3</v>
      </c>
      <c r="AJ133" s="199">
        <f t="shared" si="101"/>
        <v>68911.729937492637</v>
      </c>
      <c r="AK133" s="199">
        <f t="shared" si="129"/>
        <v>12472.711300903642</v>
      </c>
      <c r="AL133" s="199">
        <f t="shared" si="130"/>
        <v>12472.711300903642</v>
      </c>
      <c r="AM133" s="199">
        <f t="shared" si="102"/>
        <v>24945.422601807284</v>
      </c>
      <c r="AN133" s="645">
        <f t="shared" si="103"/>
        <v>1.2078025580968745E-3</v>
      </c>
      <c r="AO133" s="199">
        <v>11</v>
      </c>
      <c r="AP133" s="250">
        <f t="shared" si="104"/>
        <v>1.2498579706851495E-3</v>
      </c>
      <c r="AQ133" s="199">
        <v>11</v>
      </c>
      <c r="AU133" s="199">
        <v>0</v>
      </c>
      <c r="AW133" s="250">
        <f t="shared" si="105"/>
        <v>0</v>
      </c>
      <c r="AX133" s="199">
        <v>1</v>
      </c>
      <c r="AY133" s="199">
        <f t="shared" ref="AY133:AY149" si="177">AJ133/1228929*411280</f>
        <v>23062.370803107398</v>
      </c>
      <c r="AZ133" s="199">
        <f t="shared" si="106"/>
        <v>23062.370803107398</v>
      </c>
      <c r="BA133" s="252">
        <f t="shared" si="107"/>
        <v>1.8128520040337232E-3</v>
      </c>
      <c r="BB133" s="284">
        <v>1</v>
      </c>
      <c r="BC133" s="199">
        <f t="shared" ref="BC133:BC149" si="178">AD133*BB133*0.18*4</f>
        <v>38391.005384181415</v>
      </c>
      <c r="BD133" s="270">
        <f t="shared" si="118"/>
        <v>3.4573823612719027E-3</v>
      </c>
      <c r="BE133" s="199">
        <f t="shared" ref="BE133:BE149" si="179">AD133*BB133*0.77*4</f>
        <v>164228.18969899829</v>
      </c>
      <c r="BF133" s="251">
        <f t="shared" si="119"/>
        <v>3.4573824381014416E-3</v>
      </c>
      <c r="BG133" s="204">
        <f t="shared" si="125"/>
        <v>202619.19508317971</v>
      </c>
      <c r="BH133" s="636">
        <v>0</v>
      </c>
      <c r="BI133" s="199">
        <f t="shared" si="108"/>
        <v>95416.241451912851</v>
      </c>
      <c r="BJ133" s="199">
        <f t="shared" si="109"/>
        <v>190832.4829038257</v>
      </c>
      <c r="BK133" s="199">
        <f t="shared" si="116"/>
        <v>286248.72435573855</v>
      </c>
      <c r="BL133" s="251">
        <f t="shared" si="110"/>
        <v>1.2078025580968745E-3</v>
      </c>
      <c r="BM133" s="199">
        <f t="shared" ref="BM133:BM149" si="180">AH133/278038*445215</f>
        <v>24965.284249957807</v>
      </c>
      <c r="BN133" s="251">
        <f t="shared" si="111"/>
        <v>1.0780786145907354E-3</v>
      </c>
      <c r="BT133" s="199">
        <f>'Detailed Budget'!$AD$12</f>
        <v>194045122715</v>
      </c>
      <c r="BU133" s="199">
        <f>'Detailed Budget'!$AD$24</f>
        <v>194045122715</v>
      </c>
      <c r="BV133" s="596">
        <f t="shared" ref="BV133:BV152" si="181">AV133/34743979</f>
        <v>0</v>
      </c>
      <c r="BW133" s="278"/>
      <c r="BX133" s="275">
        <f t="shared" si="126"/>
        <v>0</v>
      </c>
      <c r="BY133" s="275">
        <f t="shared" si="127"/>
        <v>0</v>
      </c>
      <c r="CA133" s="199">
        <f>'Detailed Budget'!$AD$96</f>
        <v>71050111380.677719</v>
      </c>
      <c r="CB133" s="275">
        <f t="shared" si="112"/>
        <v>128803336.80328085</v>
      </c>
      <c r="CE133" s="199">
        <f>'Detailed Budget'!$AD$175</f>
        <v>4330586076.5988197</v>
      </c>
      <c r="CF133" s="275">
        <f t="shared" ref="CF133:CF149" si="182">BB133*BD133*CE133</f>
        <v>14972491.915202452</v>
      </c>
      <c r="CG133" s="199">
        <f>'Detailed Budget'!$AD$176</f>
        <v>20662817754.37001</v>
      </c>
      <c r="CH133" s="275">
        <f t="shared" ref="CH133:CH149" si="183">BB133*BF133*CG133</f>
        <v>71439263.225649536</v>
      </c>
      <c r="CI133" s="275">
        <f t="shared" si="122"/>
        <v>86411755.140851989</v>
      </c>
      <c r="CJ133" s="275">
        <f>'Detailed Budget'!$AD$178</f>
        <v>46025131033.061455</v>
      </c>
      <c r="CK133" s="275">
        <f t="shared" ref="CK133:CK149" si="184">BB133*AG133*CJ133</f>
        <v>107793412.03031135</v>
      </c>
      <c r="CL133" s="275">
        <f t="shared" si="121"/>
        <v>194205167.17116332</v>
      </c>
      <c r="CM133" s="278">
        <f>'Detailed Budget'!$AD$189</f>
        <v>77498869683.252869</v>
      </c>
      <c r="CN133" s="275">
        <f t="shared" si="113"/>
        <v>0</v>
      </c>
      <c r="CO133" s="140">
        <f>'Detailed Budget'!$AD$191</f>
        <v>2684962805.4134097</v>
      </c>
      <c r="CP133" s="616">
        <f t="shared" si="114"/>
        <v>0</v>
      </c>
      <c r="CQ133" s="616">
        <f t="shared" si="115"/>
        <v>0</v>
      </c>
      <c r="CR133" s="199">
        <f>'Detailed Budget'!$AD$195</f>
        <v>18734176418</v>
      </c>
      <c r="CS133" s="275">
        <f t="shared" ref="CS133:CS149" si="185">BN133*CR133</f>
        <v>20196914.958215866</v>
      </c>
      <c r="CW133" s="278"/>
      <c r="DH133" s="140">
        <f>'Detailed Budget'!$AD$163</f>
        <v>4928560000</v>
      </c>
      <c r="DI133" s="616">
        <f t="shared" si="166"/>
        <v>6160000</v>
      </c>
    </row>
    <row r="134" spans="1:113" outlineLevel="1">
      <c r="A134" s="214" t="s">
        <v>452</v>
      </c>
      <c r="B134" s="215" t="s">
        <v>453</v>
      </c>
      <c r="C134" s="216" t="s">
        <v>234</v>
      </c>
      <c r="D134" s="217" t="s">
        <v>234</v>
      </c>
      <c r="E134" s="216"/>
      <c r="F134" s="216"/>
      <c r="G134" s="216"/>
      <c r="H134" s="216" t="s">
        <v>234</v>
      </c>
      <c r="I134" s="217" t="s">
        <v>234</v>
      </c>
      <c r="J134" s="217"/>
      <c r="K134" s="216" t="s">
        <v>234</v>
      </c>
      <c r="L134" s="216"/>
      <c r="M134" s="217"/>
      <c r="N134" s="216"/>
      <c r="O134" s="217"/>
      <c r="P134" s="216"/>
      <c r="Q134" s="217"/>
      <c r="R134" s="217" t="s">
        <v>234</v>
      </c>
      <c r="S134" s="217"/>
      <c r="T134" s="217"/>
      <c r="U134" s="218">
        <f t="shared" si="176"/>
        <v>6</v>
      </c>
      <c r="V134" s="867" t="s">
        <v>238</v>
      </c>
      <c r="W134" s="219">
        <v>189834</v>
      </c>
      <c r="X134" s="220">
        <v>2.94</v>
      </c>
      <c r="Y134" s="221">
        <f t="shared" si="128"/>
        <v>1.0294000000000001</v>
      </c>
      <c r="Z134" s="199">
        <v>19</v>
      </c>
      <c r="AA134" s="221">
        <f t="shared" si="170"/>
        <v>1.7341997303889829</v>
      </c>
      <c r="AB134" s="199">
        <f t="shared" si="168"/>
        <v>329210.07161866216</v>
      </c>
      <c r="AC134">
        <v>17.100000000000001</v>
      </c>
      <c r="AD134" s="199">
        <f t="shared" si="169"/>
        <v>56294.922246791233</v>
      </c>
      <c r="AE134" s="199">
        <f t="shared" si="131"/>
        <v>53480.176134451671</v>
      </c>
      <c r="AF134" s="199">
        <f t="shared" si="120"/>
        <v>53480.176134451671</v>
      </c>
      <c r="AG134" s="614">
        <f t="shared" si="117"/>
        <v>2.4726885620846299E-3</v>
      </c>
      <c r="AH134" s="199">
        <f t="shared" ref="AH134:AH149" si="186">AB134*0.05</f>
        <v>16460.503580933109</v>
      </c>
      <c r="AI134" s="252">
        <f t="shared" ref="AI134:AI197" si="187">AH134/12908475</f>
        <v>1.2751702723159094E-3</v>
      </c>
      <c r="AJ134" s="199">
        <f t="shared" si="101"/>
        <v>72755.425827724335</v>
      </c>
      <c r="AK134" s="199">
        <f t="shared" si="129"/>
        <v>13168.402864746487</v>
      </c>
      <c r="AL134" s="199">
        <f t="shared" si="130"/>
        <v>13168.402864746487</v>
      </c>
      <c r="AM134" s="199">
        <f t="shared" si="102"/>
        <v>26336.805729492975</v>
      </c>
      <c r="AN134" s="645">
        <f t="shared" si="103"/>
        <v>1.2751702723159094E-3</v>
      </c>
      <c r="AO134" s="199">
        <v>16</v>
      </c>
      <c r="AP134" s="250">
        <f t="shared" si="104"/>
        <v>1.81797523008749E-3</v>
      </c>
      <c r="AQ134" s="199">
        <v>16</v>
      </c>
      <c r="AU134" s="199">
        <v>0</v>
      </c>
      <c r="AW134" s="250">
        <f t="shared" si="105"/>
        <v>0</v>
      </c>
      <c r="AX134" s="199">
        <v>1</v>
      </c>
      <c r="AY134" s="199">
        <f t="shared" si="177"/>
        <v>24348.722777659626</v>
      </c>
      <c r="AZ134" s="199">
        <f t="shared" si="106"/>
        <v>24348.722777659626</v>
      </c>
      <c r="BA134" s="252">
        <f t="shared" si="107"/>
        <v>1.9139676167722686E-3</v>
      </c>
      <c r="BB134" s="284">
        <v>1</v>
      </c>
      <c r="BC134" s="199">
        <f t="shared" si="178"/>
        <v>40532.344017689684</v>
      </c>
      <c r="BD134" s="270">
        <f t="shared" si="118"/>
        <v>3.6502250947954189E-3</v>
      </c>
      <c r="BE134" s="199">
        <f t="shared" si="179"/>
        <v>173388.36052011701</v>
      </c>
      <c r="BF134" s="251">
        <f t="shared" si="119"/>
        <v>3.6502251759102863E-3</v>
      </c>
      <c r="BG134" s="204">
        <f t="shared" si="125"/>
        <v>213920.70453780668</v>
      </c>
      <c r="BH134" s="636">
        <v>0</v>
      </c>
      <c r="BI134" s="199">
        <f t="shared" si="108"/>
        <v>100738.28191531062</v>
      </c>
      <c r="BJ134" s="199">
        <f t="shared" si="109"/>
        <v>201476.56383062125</v>
      </c>
      <c r="BK134" s="199">
        <f t="shared" si="116"/>
        <v>302214.84574593185</v>
      </c>
      <c r="BL134" s="251">
        <f t="shared" si="110"/>
        <v>1.2751702723159094E-3</v>
      </c>
      <c r="BM134" s="199">
        <f t="shared" si="180"/>
        <v>26357.775202616675</v>
      </c>
      <c r="BN134" s="251">
        <f t="shared" si="111"/>
        <v>1.1382107044977487E-3</v>
      </c>
      <c r="BT134" s="199">
        <f>'Detailed Budget'!$AD$12</f>
        <v>194045122715</v>
      </c>
      <c r="BU134" s="199">
        <f>'Detailed Budget'!$AD$24</f>
        <v>194045122715</v>
      </c>
      <c r="BV134" s="596">
        <f t="shared" si="181"/>
        <v>0</v>
      </c>
      <c r="BW134" s="278"/>
      <c r="BX134" s="275">
        <f t="shared" si="126"/>
        <v>0</v>
      </c>
      <c r="BY134" s="275">
        <f t="shared" si="127"/>
        <v>0</v>
      </c>
      <c r="CA134" s="199">
        <f>'Detailed Budget'!$AD$96</f>
        <v>71050111380.677719</v>
      </c>
      <c r="CB134" s="275">
        <f t="shared" si="112"/>
        <v>135987612.35067996</v>
      </c>
      <c r="CE134" s="199">
        <f>'Detailed Budget'!$AD$175</f>
        <v>4330586076.5988197</v>
      </c>
      <c r="CF134" s="275">
        <f t="shared" si="182"/>
        <v>15807613.971972648</v>
      </c>
      <c r="CG134" s="199">
        <f>'Detailed Budget'!$AD$176</f>
        <v>20662817754.37001</v>
      </c>
      <c r="CH134" s="275">
        <f t="shared" si="183"/>
        <v>75423937.57224746</v>
      </c>
      <c r="CI134" s="275">
        <f t="shared" si="122"/>
        <v>91231551.544220105</v>
      </c>
      <c r="CJ134" s="275">
        <f>'Detailed Budget'!$AD$178</f>
        <v>46025131033.061455</v>
      </c>
      <c r="CK134" s="275">
        <f t="shared" si="184"/>
        <v>113805815.07389741</v>
      </c>
      <c r="CL134" s="275">
        <f t="shared" si="121"/>
        <v>205037366.61811751</v>
      </c>
      <c r="CM134" s="278">
        <f>'Detailed Budget'!$AD$189</f>
        <v>77498869683.252869</v>
      </c>
      <c r="CN134" s="275">
        <f t="shared" si="113"/>
        <v>0</v>
      </c>
      <c r="CO134" s="140">
        <f>'Detailed Budget'!$AD$191</f>
        <v>2684962805.4134097</v>
      </c>
      <c r="CP134" s="616">
        <f t="shared" si="114"/>
        <v>0</v>
      </c>
      <c r="CQ134" s="616">
        <f t="shared" si="115"/>
        <v>0</v>
      </c>
      <c r="CR134" s="199">
        <f>'Detailed Budget'!$AD$195</f>
        <v>18734176418</v>
      </c>
      <c r="CS134" s="275">
        <f t="shared" si="185"/>
        <v>21323440.138916891</v>
      </c>
      <c r="CW134" s="278"/>
      <c r="DH134" s="140">
        <f>'Detailed Budget'!$AD$163</f>
        <v>4928560000</v>
      </c>
      <c r="DI134" s="616">
        <f t="shared" si="166"/>
        <v>8960000</v>
      </c>
    </row>
    <row r="135" spans="1:113" outlineLevel="1">
      <c r="A135" s="214" t="s">
        <v>454</v>
      </c>
      <c r="B135" s="215" t="s">
        <v>455</v>
      </c>
      <c r="C135" s="216" t="s">
        <v>234</v>
      </c>
      <c r="D135" s="217" t="s">
        <v>234</v>
      </c>
      <c r="E135" s="216"/>
      <c r="F135" s="216"/>
      <c r="G135" s="216"/>
      <c r="H135" s="216" t="s">
        <v>234</v>
      </c>
      <c r="I135" s="217" t="s">
        <v>234</v>
      </c>
      <c r="J135" s="217"/>
      <c r="K135" s="216" t="s">
        <v>234</v>
      </c>
      <c r="L135" s="216"/>
      <c r="M135" s="217"/>
      <c r="N135" s="216"/>
      <c r="O135" s="217"/>
      <c r="P135" s="216"/>
      <c r="Q135" s="217"/>
      <c r="R135" s="217" t="s">
        <v>234</v>
      </c>
      <c r="S135" s="217"/>
      <c r="T135" s="217"/>
      <c r="U135" s="218">
        <f t="shared" si="176"/>
        <v>6</v>
      </c>
      <c r="V135" s="867" t="s">
        <v>238</v>
      </c>
      <c r="W135" s="219">
        <v>179550</v>
      </c>
      <c r="X135" s="220">
        <v>2.94</v>
      </c>
      <c r="Y135" s="221">
        <f t="shared" si="128"/>
        <v>1.0294000000000001</v>
      </c>
      <c r="Z135" s="199">
        <v>19</v>
      </c>
      <c r="AA135" s="221">
        <f t="shared" si="170"/>
        <v>1.7341997303889829</v>
      </c>
      <c r="AB135" s="199">
        <f t="shared" si="168"/>
        <v>311375.56159134186</v>
      </c>
      <c r="AC135">
        <v>17.100000000000001</v>
      </c>
      <c r="AD135" s="199">
        <f t="shared" si="169"/>
        <v>53245.221032119458</v>
      </c>
      <c r="AE135" s="199">
        <f t="shared" si="131"/>
        <v>50582.959980513486</v>
      </c>
      <c r="AF135" s="199">
        <f t="shared" si="120"/>
        <v>50582.959980513486</v>
      </c>
      <c r="AG135" s="614">
        <f t="shared" si="117"/>
        <v>2.3387340061437642E-3</v>
      </c>
      <c r="AH135" s="199">
        <f t="shared" si="186"/>
        <v>15568.778079567093</v>
      </c>
      <c r="AI135" s="252">
        <f t="shared" si="187"/>
        <v>1.2060896488211886E-3</v>
      </c>
      <c r="AJ135" s="199">
        <f t="shared" ref="AJ135:AJ197" si="188">AD135+AH135</f>
        <v>68813.999111686557</v>
      </c>
      <c r="AK135" s="199">
        <f t="shared" si="129"/>
        <v>12455.022463653675</v>
      </c>
      <c r="AL135" s="199">
        <f t="shared" si="130"/>
        <v>12455.022463653675</v>
      </c>
      <c r="AM135" s="199">
        <f t="shared" ref="AM135:AM198" si="189">AK135+AL135</f>
        <v>24910.04492730735</v>
      </c>
      <c r="AN135" s="645">
        <f t="shared" ref="AN135:AN198" si="190">AM135/20653560</f>
        <v>1.2060896488211886E-3</v>
      </c>
      <c r="AO135" s="199">
        <v>14</v>
      </c>
      <c r="AP135" s="250">
        <f t="shared" ref="AP135:AP198" si="191">AO135/8801</f>
        <v>1.5907283263265539E-3</v>
      </c>
      <c r="AQ135" s="199">
        <v>14</v>
      </c>
      <c r="AU135" s="199">
        <v>0</v>
      </c>
      <c r="AW135" s="250">
        <f t="shared" ref="AW135:AW198" si="192">AV135/34743979</f>
        <v>0</v>
      </c>
      <c r="AX135" s="199">
        <v>1</v>
      </c>
      <c r="AY135" s="199">
        <f t="shared" si="177"/>
        <v>23029.66367841791</v>
      </c>
      <c r="AZ135" s="199">
        <f t="shared" ref="AZ135:AZ197" si="193">AX135*AY135</f>
        <v>23029.66367841791</v>
      </c>
      <c r="BA135" s="252">
        <f t="shared" ref="BA135:BA198" si="194">AZ135/12721596</f>
        <v>1.8102810117864071E-3</v>
      </c>
      <c r="BB135" s="284">
        <v>1</v>
      </c>
      <c r="BC135" s="199">
        <f t="shared" si="178"/>
        <v>38336.559143126011</v>
      </c>
      <c r="BD135" s="270">
        <f t="shared" si="118"/>
        <v>3.4524790910506944E-3</v>
      </c>
      <c r="BE135" s="199">
        <f t="shared" si="179"/>
        <v>163995.28077892793</v>
      </c>
      <c r="BF135" s="251">
        <f t="shared" si="119"/>
        <v>3.4524791677712726E-3</v>
      </c>
      <c r="BG135" s="204">
        <f t="shared" si="125"/>
        <v>202331.83992205394</v>
      </c>
      <c r="BH135" s="636">
        <v>0</v>
      </c>
      <c r="BI135" s="199">
        <f t="shared" ref="BI135:BI198" si="195">AK135*0.85*0.75*12</f>
        <v>95280.921846950601</v>
      </c>
      <c r="BJ135" s="199">
        <f t="shared" ref="BJ135:BJ198" si="196">AL135*0.85*0.75*2*12</f>
        <v>190561.8436939012</v>
      </c>
      <c r="BK135" s="199">
        <f t="shared" si="116"/>
        <v>285842.7655408518</v>
      </c>
      <c r="BL135" s="251">
        <f t="shared" ref="BL135:BL198" si="197">BK135/236999601</f>
        <v>1.2060896488211884E-3</v>
      </c>
      <c r="BM135" s="199">
        <f t="shared" si="180"/>
        <v>24929.878407607823</v>
      </c>
      <c r="BN135" s="251">
        <f t="shared" ref="BN135:BN198" si="198">BM135/23157202</f>
        <v>1.0765496802078172E-3</v>
      </c>
      <c r="BT135" s="199">
        <f>'Detailed Budget'!$AD$12</f>
        <v>194045122715</v>
      </c>
      <c r="BU135" s="199">
        <f>'Detailed Budget'!$AD$24</f>
        <v>194045122715</v>
      </c>
      <c r="BV135" s="596">
        <f t="shared" si="181"/>
        <v>0</v>
      </c>
      <c r="BW135" s="278"/>
      <c r="BX135" s="275">
        <f t="shared" si="126"/>
        <v>0</v>
      </c>
      <c r="BY135" s="275">
        <f t="shared" si="127"/>
        <v>0</v>
      </c>
      <c r="CA135" s="199">
        <f>'Detailed Budget'!$AD$96</f>
        <v>71050111380.677719</v>
      </c>
      <c r="CB135" s="275">
        <f t="shared" ref="CB135:CB198" si="199">BA135*CA135</f>
        <v>128620667.51775017</v>
      </c>
      <c r="CE135" s="199">
        <f>'Detailed Budget'!$AD$175</f>
        <v>4330586076.5988197</v>
      </c>
      <c r="CF135" s="275">
        <f t="shared" si="182"/>
        <v>14951257.881452685</v>
      </c>
      <c r="CG135" s="199">
        <f>'Detailed Budget'!$AD$176</f>
        <v>20662817754.37001</v>
      </c>
      <c r="CH135" s="275">
        <f t="shared" si="183"/>
        <v>71337947.844416857</v>
      </c>
      <c r="CI135" s="275">
        <f t="shared" si="122"/>
        <v>86289205.725869536</v>
      </c>
      <c r="CJ135" s="275">
        <f>'Detailed Budget'!$AD$178</f>
        <v>46025131033.061455</v>
      </c>
      <c r="CK135" s="275">
        <f t="shared" si="184"/>
        <v>107640539.08424351</v>
      </c>
      <c r="CL135" s="275">
        <f t="shared" si="121"/>
        <v>193929744.81011304</v>
      </c>
      <c r="CM135" s="278">
        <f>'Detailed Budget'!$AD$189</f>
        <v>77498869683.252869</v>
      </c>
      <c r="CN135" s="275">
        <f t="shared" ref="CN135:CN198" si="200">BH135*BL135*CM135</f>
        <v>0</v>
      </c>
      <c r="CO135" s="140">
        <f>'Detailed Budget'!$AD$191</f>
        <v>2684962805.4134097</v>
      </c>
      <c r="CP135" s="616">
        <f t="shared" ref="CP135:CP198" si="201">BH135*AN135*CO135</f>
        <v>0</v>
      </c>
      <c r="CQ135" s="616">
        <f t="shared" ref="CQ135:CQ198" si="202">CN135+CP135</f>
        <v>0</v>
      </c>
      <c r="CR135" s="199">
        <f>'Detailed Budget'!$AD$195</f>
        <v>18734176418</v>
      </c>
      <c r="CS135" s="275">
        <f t="shared" si="185"/>
        <v>20168271.63175473</v>
      </c>
      <c r="CW135" s="278"/>
      <c r="DH135" s="140">
        <f>'Detailed Budget'!$AD$163</f>
        <v>4928560000</v>
      </c>
      <c r="DI135" s="616">
        <f t="shared" si="166"/>
        <v>7840000.0000000009</v>
      </c>
    </row>
    <row r="136" spans="1:113" outlineLevel="1">
      <c r="A136" s="214" t="s">
        <v>456</v>
      </c>
      <c r="B136" s="215" t="s">
        <v>457</v>
      </c>
      <c r="C136" s="216" t="s">
        <v>234</v>
      </c>
      <c r="D136" s="217" t="s">
        <v>234</v>
      </c>
      <c r="E136" s="216"/>
      <c r="F136" s="216"/>
      <c r="G136" s="216"/>
      <c r="H136" s="216" t="s">
        <v>234</v>
      </c>
      <c r="I136" s="217" t="s">
        <v>234</v>
      </c>
      <c r="J136" s="217"/>
      <c r="K136" s="216" t="s">
        <v>234</v>
      </c>
      <c r="L136" s="216"/>
      <c r="M136" s="217"/>
      <c r="N136" s="216"/>
      <c r="O136" s="217"/>
      <c r="P136" s="216"/>
      <c r="Q136" s="217" t="s">
        <v>234</v>
      </c>
      <c r="R136" s="217"/>
      <c r="S136" s="217"/>
      <c r="T136" s="217"/>
      <c r="U136" s="218">
        <f t="shared" si="176"/>
        <v>6</v>
      </c>
      <c r="V136" s="867" t="s">
        <v>284</v>
      </c>
      <c r="W136" s="219">
        <v>88301</v>
      </c>
      <c r="X136" s="220">
        <v>2.94</v>
      </c>
      <c r="Y136" s="221">
        <f t="shared" si="128"/>
        <v>1.0294000000000001</v>
      </c>
      <c r="Z136" s="199">
        <v>19</v>
      </c>
      <c r="AA136" s="221">
        <f t="shared" si="170"/>
        <v>1.7341997303889829</v>
      </c>
      <c r="AB136" s="199">
        <f t="shared" si="168"/>
        <v>153131.57039307759</v>
      </c>
      <c r="AC136">
        <v>17.100000000000001</v>
      </c>
      <c r="AD136" s="199">
        <f t="shared" si="169"/>
        <v>26185.49853721627</v>
      </c>
      <c r="AE136" s="199">
        <f t="shared" si="131"/>
        <v>24876.223610355457</v>
      </c>
      <c r="AF136" s="199">
        <f t="shared" si="120"/>
        <v>24876.223610355457</v>
      </c>
      <c r="AG136" s="614">
        <f t="shared" si="117"/>
        <v>1.1501673710749127E-3</v>
      </c>
      <c r="AH136" s="199">
        <f t="shared" si="186"/>
        <v>7656.57851965388</v>
      </c>
      <c r="AI136" s="252">
        <f t="shared" si="187"/>
        <v>5.9314353706800224E-4</v>
      </c>
      <c r="AJ136" s="199">
        <f t="shared" si="188"/>
        <v>33842.077056870148</v>
      </c>
      <c r="AK136" s="199">
        <f t="shared" si="129"/>
        <v>6125.2628157231038</v>
      </c>
      <c r="AL136" s="199">
        <f t="shared" si="130"/>
        <v>6125.2628157231038</v>
      </c>
      <c r="AM136" s="199">
        <f t="shared" si="189"/>
        <v>12250.525631446208</v>
      </c>
      <c r="AN136" s="645">
        <f t="shared" si="190"/>
        <v>5.9314353706800224E-4</v>
      </c>
      <c r="AO136" s="199">
        <v>10</v>
      </c>
      <c r="AP136" s="250">
        <f t="shared" si="191"/>
        <v>1.1362345188046814E-3</v>
      </c>
      <c r="AQ136" s="199">
        <v>10</v>
      </c>
      <c r="AU136" s="199">
        <v>0</v>
      </c>
      <c r="AW136" s="250">
        <f t="shared" si="192"/>
        <v>0</v>
      </c>
      <c r="AX136" s="199">
        <v>1</v>
      </c>
      <c r="AY136" s="199">
        <f t="shared" si="177"/>
        <v>11325.77183218034</v>
      </c>
      <c r="AZ136" s="199">
        <f t="shared" si="193"/>
        <v>11325.77183218034</v>
      </c>
      <c r="BA136" s="252">
        <f t="shared" si="194"/>
        <v>8.9027916247146511E-4</v>
      </c>
      <c r="BB136" s="284">
        <v>1</v>
      </c>
      <c r="BC136" s="199">
        <f t="shared" si="178"/>
        <v>18853.558946795714</v>
      </c>
      <c r="BD136" s="270">
        <f t="shared" si="118"/>
        <v>1.6978967207956972E-3</v>
      </c>
      <c r="BE136" s="199">
        <f t="shared" si="179"/>
        <v>80651.33549462611</v>
      </c>
      <c r="BF136" s="251">
        <f t="shared" si="119"/>
        <v>1.6978967585261555E-3</v>
      </c>
      <c r="BG136" s="204">
        <f t="shared" si="125"/>
        <v>99504.894441421828</v>
      </c>
      <c r="BH136" s="636">
        <v>0</v>
      </c>
      <c r="BI136" s="199">
        <f t="shared" si="195"/>
        <v>46858.260540281743</v>
      </c>
      <c r="BJ136" s="199">
        <f t="shared" si="196"/>
        <v>93716.521080563485</v>
      </c>
      <c r="BK136" s="199">
        <f t="shared" ref="BK136:BK199" si="203">BI136+BJ136</f>
        <v>140574.78162084523</v>
      </c>
      <c r="BL136" s="251">
        <f t="shared" si="197"/>
        <v>5.9314353706800224E-4</v>
      </c>
      <c r="BM136" s="199">
        <f t="shared" si="180"/>
        <v>12260.279550376936</v>
      </c>
      <c r="BN136" s="251">
        <f t="shared" si="198"/>
        <v>5.2943699978852952E-4</v>
      </c>
      <c r="BT136" s="199">
        <f>'Detailed Budget'!$AD$12</f>
        <v>194045122715</v>
      </c>
      <c r="BU136" s="199">
        <f>'Detailed Budget'!$AD$24</f>
        <v>194045122715</v>
      </c>
      <c r="BV136" s="596">
        <f t="shared" si="181"/>
        <v>0</v>
      </c>
      <c r="BW136" s="278"/>
      <c r="BX136" s="275">
        <f t="shared" si="126"/>
        <v>0</v>
      </c>
      <c r="BY136" s="275">
        <f t="shared" si="127"/>
        <v>0</v>
      </c>
      <c r="CA136" s="199">
        <f>'Detailed Budget'!$AD$96</f>
        <v>71050111380.677719</v>
      </c>
      <c r="CB136" s="275">
        <f t="shared" si="199"/>
        <v>63254433.653494067</v>
      </c>
      <c r="CE136" s="199">
        <f>'Detailed Budget'!$AD$175</f>
        <v>4330586076.5988197</v>
      </c>
      <c r="CF136" s="275">
        <f t="shared" si="182"/>
        <v>7352887.8985806396</v>
      </c>
      <c r="CG136" s="199">
        <f>'Detailed Budget'!$AD$176</f>
        <v>20662817754.37001</v>
      </c>
      <c r="CH136" s="275">
        <f t="shared" si="183"/>
        <v>35083331.287161537</v>
      </c>
      <c r="CI136" s="275">
        <f t="shared" si="122"/>
        <v>42436219.185742177</v>
      </c>
      <c r="CJ136" s="275">
        <f>'Detailed Budget'!$AD$178</f>
        <v>46025131033.061455</v>
      </c>
      <c r="CK136" s="275">
        <f t="shared" si="184"/>
        <v>52936603.963674672</v>
      </c>
      <c r="CL136" s="275">
        <f t="shared" si="121"/>
        <v>95372823.149416849</v>
      </c>
      <c r="CM136" s="278">
        <f>'Detailed Budget'!$AD$189</f>
        <v>77498869683.252869</v>
      </c>
      <c r="CN136" s="275">
        <f t="shared" si="200"/>
        <v>0</v>
      </c>
      <c r="CO136" s="140">
        <f>'Detailed Budget'!$AD$191</f>
        <v>2684962805.4134097</v>
      </c>
      <c r="CP136" s="616">
        <f t="shared" si="201"/>
        <v>0</v>
      </c>
      <c r="CQ136" s="616">
        <f t="shared" si="202"/>
        <v>0</v>
      </c>
      <c r="CR136" s="199">
        <f>'Detailed Budget'!$AD$195</f>
        <v>18734176418</v>
      </c>
      <c r="CS136" s="275">
        <f t="shared" si="185"/>
        <v>9918566.1562549397</v>
      </c>
      <c r="CW136" s="278"/>
      <c r="DH136" s="140">
        <f>'Detailed Budget'!$AD$163</f>
        <v>4928560000</v>
      </c>
      <c r="DI136" s="616">
        <f t="shared" si="166"/>
        <v>5600000</v>
      </c>
    </row>
    <row r="137" spans="1:113" outlineLevel="1">
      <c r="A137" s="214" t="s">
        <v>458</v>
      </c>
      <c r="B137" s="215" t="s">
        <v>459</v>
      </c>
      <c r="C137" s="216" t="s">
        <v>234</v>
      </c>
      <c r="D137" s="217" t="s">
        <v>234</v>
      </c>
      <c r="E137" s="216"/>
      <c r="F137" s="216"/>
      <c r="G137" s="216"/>
      <c r="H137" s="216" t="s">
        <v>234</v>
      </c>
      <c r="I137" s="217" t="s">
        <v>234</v>
      </c>
      <c r="J137" s="217"/>
      <c r="K137" s="216" t="s">
        <v>234</v>
      </c>
      <c r="L137" s="216"/>
      <c r="M137" s="217"/>
      <c r="N137" s="216"/>
      <c r="O137" s="217"/>
      <c r="P137" s="216"/>
      <c r="Q137" s="217" t="s">
        <v>234</v>
      </c>
      <c r="R137" s="217"/>
      <c r="S137" s="217"/>
      <c r="T137" s="217"/>
      <c r="U137" s="218">
        <f t="shared" si="176"/>
        <v>6</v>
      </c>
      <c r="V137" s="867" t="s">
        <v>284</v>
      </c>
      <c r="W137" s="219">
        <v>437217</v>
      </c>
      <c r="X137" s="220">
        <v>2.94</v>
      </c>
      <c r="Y137" s="221">
        <f t="shared" si="128"/>
        <v>1.0294000000000001</v>
      </c>
      <c r="Z137" s="199">
        <v>19</v>
      </c>
      <c r="AA137" s="221">
        <f t="shared" si="170"/>
        <v>1.7341997303889829</v>
      </c>
      <c r="AB137" s="199">
        <f t="shared" si="168"/>
        <v>758221.60352147999</v>
      </c>
      <c r="AC137">
        <v>17.100000000000001</v>
      </c>
      <c r="AD137" s="199">
        <f t="shared" si="169"/>
        <v>129655.89420217309</v>
      </c>
      <c r="AE137" s="199">
        <f t="shared" si="131"/>
        <v>123173.09949206443</v>
      </c>
      <c r="AF137" s="199">
        <f t="shared" si="120"/>
        <v>123173.09949206443</v>
      </c>
      <c r="AG137" s="614">
        <f t="shared" ref="AG137:AG200" si="204">AE137/21628351</f>
        <v>5.6949833804742873E-3</v>
      </c>
      <c r="AH137" s="199">
        <f t="shared" si="186"/>
        <v>37911.080176074</v>
      </c>
      <c r="AI137" s="252">
        <f t="shared" si="187"/>
        <v>2.9369139403433789E-3</v>
      </c>
      <c r="AJ137" s="199">
        <f t="shared" si="188"/>
        <v>167566.97437824711</v>
      </c>
      <c r="AK137" s="199">
        <f t="shared" si="129"/>
        <v>30328.864140859201</v>
      </c>
      <c r="AL137" s="199">
        <f t="shared" si="130"/>
        <v>30328.864140859201</v>
      </c>
      <c r="AM137" s="199">
        <f t="shared" si="189"/>
        <v>60657.728281718402</v>
      </c>
      <c r="AN137" s="645">
        <f t="shared" si="190"/>
        <v>2.9369139403433793E-3</v>
      </c>
      <c r="AO137" s="199">
        <v>14</v>
      </c>
      <c r="AP137" s="250">
        <f t="shared" si="191"/>
        <v>1.5907283263265539E-3</v>
      </c>
      <c r="AQ137" s="199">
        <v>14</v>
      </c>
      <c r="AU137" s="199">
        <v>0</v>
      </c>
      <c r="AW137" s="250">
        <f t="shared" si="192"/>
        <v>0</v>
      </c>
      <c r="AX137" s="199">
        <v>1</v>
      </c>
      <c r="AY137" s="199">
        <f t="shared" si="177"/>
        <v>56078.866413182099</v>
      </c>
      <c r="AZ137" s="199">
        <f t="shared" si="193"/>
        <v>56078.866413182099</v>
      </c>
      <c r="BA137" s="252">
        <f t="shared" si="194"/>
        <v>4.4081628133122684E-3</v>
      </c>
      <c r="BB137" s="284">
        <v>1</v>
      </c>
      <c r="BC137" s="199">
        <f t="shared" si="178"/>
        <v>93352.243825564627</v>
      </c>
      <c r="BD137" s="270">
        <f t="shared" si="118"/>
        <v>8.4070317502195034E-3</v>
      </c>
      <c r="BE137" s="199">
        <f t="shared" si="179"/>
        <v>399340.15414269315</v>
      </c>
      <c r="BF137" s="251">
        <f t="shared" si="119"/>
        <v>8.4070319370395611E-3</v>
      </c>
      <c r="BG137" s="204">
        <f t="shared" si="125"/>
        <v>492692.39796825778</v>
      </c>
      <c r="BH137" s="636">
        <v>0</v>
      </c>
      <c r="BI137" s="199">
        <f t="shared" si="195"/>
        <v>232015.81067757288</v>
      </c>
      <c r="BJ137" s="199">
        <f t="shared" si="196"/>
        <v>464031.62135514576</v>
      </c>
      <c r="BK137" s="199">
        <f t="shared" si="203"/>
        <v>696047.43203271867</v>
      </c>
      <c r="BL137" s="251">
        <f t="shared" si="197"/>
        <v>2.9369139403433793E-3</v>
      </c>
      <c r="BM137" s="199">
        <f t="shared" si="180"/>
        <v>60706.024214642552</v>
      </c>
      <c r="BN137" s="251">
        <f t="shared" si="198"/>
        <v>2.6214749180251806E-3</v>
      </c>
      <c r="BT137" s="199">
        <f>'Detailed Budget'!$AD$12</f>
        <v>194045122715</v>
      </c>
      <c r="BU137" s="199">
        <f>'Detailed Budget'!$AD$24</f>
        <v>194045122715</v>
      </c>
      <c r="BV137" s="596">
        <f t="shared" si="181"/>
        <v>0</v>
      </c>
      <c r="BW137" s="278"/>
      <c r="BX137" s="275">
        <f t="shared" si="126"/>
        <v>0</v>
      </c>
      <c r="BY137" s="275">
        <f t="shared" si="127"/>
        <v>0</v>
      </c>
      <c r="CA137" s="199">
        <f>'Detailed Budget'!$AD$96</f>
        <v>71050111380.677719</v>
      </c>
      <c r="CB137" s="275">
        <f t="shared" si="199"/>
        <v>313200458.86999834</v>
      </c>
      <c r="CE137" s="199">
        <f>'Detailed Budget'!$AD$175</f>
        <v>4330586076.5988197</v>
      </c>
      <c r="CF137" s="275">
        <f t="shared" si="182"/>
        <v>36407374.643024787</v>
      </c>
      <c r="CG137" s="199">
        <f>'Detailed Budget'!$AD$176</f>
        <v>20662817754.37001</v>
      </c>
      <c r="CH137" s="275">
        <f t="shared" si="183"/>
        <v>173712968.77021673</v>
      </c>
      <c r="CI137" s="275">
        <f t="shared" si="122"/>
        <v>210120343.41324151</v>
      </c>
      <c r="CJ137" s="275">
        <f>'Detailed Budget'!$AD$178</f>
        <v>46025131033.061455</v>
      </c>
      <c r="CK137" s="275">
        <f t="shared" si="184"/>
        <v>262112356.31743634</v>
      </c>
      <c r="CL137" s="275">
        <f t="shared" si="121"/>
        <v>472232699.73067784</v>
      </c>
      <c r="CM137" s="278">
        <f>'Detailed Budget'!$AD$189</f>
        <v>77498869683.252869</v>
      </c>
      <c r="CN137" s="275">
        <f t="shared" si="200"/>
        <v>0</v>
      </c>
      <c r="CO137" s="140">
        <f>'Detailed Budget'!$AD$191</f>
        <v>2684962805.4134097</v>
      </c>
      <c r="CP137" s="616">
        <f t="shared" si="201"/>
        <v>0</v>
      </c>
      <c r="CQ137" s="616">
        <f t="shared" si="202"/>
        <v>0</v>
      </c>
      <c r="CR137" s="199">
        <f>'Detailed Budget'!$AD$195</f>
        <v>18734176418</v>
      </c>
      <c r="CS137" s="275">
        <f t="shared" si="185"/>
        <v>49111173.589645818</v>
      </c>
      <c r="CW137" s="278"/>
      <c r="DH137" s="140">
        <f>'Detailed Budget'!$AD$163</f>
        <v>4928560000</v>
      </c>
      <c r="DI137" s="616">
        <f t="shared" si="166"/>
        <v>7840000.0000000009</v>
      </c>
    </row>
    <row r="138" spans="1:113" outlineLevel="1">
      <c r="A138" s="214" t="s">
        <v>460</v>
      </c>
      <c r="B138" s="215" t="s">
        <v>461</v>
      </c>
      <c r="C138" s="216" t="s">
        <v>234</v>
      </c>
      <c r="D138" s="217" t="s">
        <v>234</v>
      </c>
      <c r="E138" s="216"/>
      <c r="F138" s="216"/>
      <c r="G138" s="216"/>
      <c r="H138" s="216" t="s">
        <v>234</v>
      </c>
      <c r="I138" s="217" t="s">
        <v>234</v>
      </c>
      <c r="J138" s="217"/>
      <c r="K138" s="216" t="s">
        <v>234</v>
      </c>
      <c r="L138" s="216"/>
      <c r="M138" s="217"/>
      <c r="N138" s="216"/>
      <c r="O138" s="217"/>
      <c r="P138" s="216"/>
      <c r="Q138" s="217" t="s">
        <v>234</v>
      </c>
      <c r="R138" s="217"/>
      <c r="S138" s="217"/>
      <c r="T138" s="217"/>
      <c r="U138" s="218">
        <f t="shared" si="176"/>
        <v>6</v>
      </c>
      <c r="V138" s="867" t="s">
        <v>284</v>
      </c>
      <c r="W138" s="219">
        <v>311392</v>
      </c>
      <c r="X138" s="220">
        <v>2.94</v>
      </c>
      <c r="Y138" s="221">
        <f t="shared" si="128"/>
        <v>1.0294000000000001</v>
      </c>
      <c r="Z138" s="199">
        <v>19</v>
      </c>
      <c r="AA138" s="221">
        <f t="shared" si="170"/>
        <v>1.7341997303889829</v>
      </c>
      <c r="AB138" s="199">
        <f t="shared" si="168"/>
        <v>540015.92244528618</v>
      </c>
      <c r="AC138">
        <v>17.100000000000001</v>
      </c>
      <c r="AD138" s="199">
        <f t="shared" si="169"/>
        <v>92342.722738143944</v>
      </c>
      <c r="AE138" s="199">
        <f t="shared" si="131"/>
        <v>87725.586601236748</v>
      </c>
      <c r="AF138" s="199">
        <f t="shared" si="120"/>
        <v>87725.586601236748</v>
      </c>
      <c r="AG138" s="614">
        <f t="shared" si="204"/>
        <v>4.0560460018998559E-3</v>
      </c>
      <c r="AH138" s="199">
        <f t="shared" si="186"/>
        <v>27000.79612226431</v>
      </c>
      <c r="AI138" s="252">
        <f t="shared" si="187"/>
        <v>2.0917107653897391E-3</v>
      </c>
      <c r="AJ138" s="199">
        <f t="shared" si="188"/>
        <v>119343.51886040825</v>
      </c>
      <c r="AK138" s="199">
        <f t="shared" si="129"/>
        <v>21600.636897811448</v>
      </c>
      <c r="AL138" s="199">
        <f t="shared" si="130"/>
        <v>21600.636897811448</v>
      </c>
      <c r="AM138" s="199">
        <f t="shared" si="189"/>
        <v>43201.273795622896</v>
      </c>
      <c r="AN138" s="645">
        <f t="shared" si="190"/>
        <v>2.0917107653897391E-3</v>
      </c>
      <c r="AO138" s="199">
        <v>12</v>
      </c>
      <c r="AP138" s="250">
        <f t="shared" si="191"/>
        <v>1.3634814225656176E-3</v>
      </c>
      <c r="AQ138" s="199">
        <v>12</v>
      </c>
      <c r="AU138" s="199">
        <v>0</v>
      </c>
      <c r="AW138" s="250">
        <f t="shared" si="192"/>
        <v>0</v>
      </c>
      <c r="AX138" s="199">
        <v>1</v>
      </c>
      <c r="AY138" s="199">
        <f t="shared" si="177"/>
        <v>39940.144985518855</v>
      </c>
      <c r="AZ138" s="199">
        <f t="shared" si="193"/>
        <v>39940.144985518855</v>
      </c>
      <c r="BA138" s="252">
        <f t="shared" si="194"/>
        <v>3.1395545799063934E-3</v>
      </c>
      <c r="BB138" s="284">
        <v>1</v>
      </c>
      <c r="BC138" s="199">
        <f t="shared" si="178"/>
        <v>66486.760371463635</v>
      </c>
      <c r="BD138" s="270">
        <f t="shared" si="118"/>
        <v>5.9876043949900187E-3</v>
      </c>
      <c r="BE138" s="199">
        <f t="shared" si="179"/>
        <v>284415.58603348333</v>
      </c>
      <c r="BF138" s="251">
        <f t="shared" si="119"/>
        <v>5.9876045280458498E-3</v>
      </c>
      <c r="BG138" s="204">
        <f t="shared" si="125"/>
        <v>350902.34640494699</v>
      </c>
      <c r="BH138" s="636">
        <v>0</v>
      </c>
      <c r="BI138" s="199">
        <f t="shared" si="195"/>
        <v>165244.87226825758</v>
      </c>
      <c r="BJ138" s="199">
        <f t="shared" si="196"/>
        <v>330489.74453651515</v>
      </c>
      <c r="BK138" s="199">
        <f t="shared" si="203"/>
        <v>495734.61680477276</v>
      </c>
      <c r="BL138" s="251">
        <f t="shared" si="197"/>
        <v>2.0917107653897391E-3</v>
      </c>
      <c r="BM138" s="199">
        <f t="shared" si="180"/>
        <v>43235.670827634727</v>
      </c>
      <c r="BN138" s="251">
        <f t="shared" si="198"/>
        <v>1.8670507269243808E-3</v>
      </c>
      <c r="BT138" s="199">
        <f>'Detailed Budget'!$AD$12</f>
        <v>194045122715</v>
      </c>
      <c r="BU138" s="199">
        <f>'Detailed Budget'!$AD$24</f>
        <v>194045122715</v>
      </c>
      <c r="BV138" s="596">
        <f t="shared" si="181"/>
        <v>0</v>
      </c>
      <c r="BW138" s="278"/>
      <c r="BX138" s="275">
        <f t="shared" si="126"/>
        <v>0</v>
      </c>
      <c r="BY138" s="275">
        <f t="shared" si="127"/>
        <v>0</v>
      </c>
      <c r="CA138" s="199">
        <f>'Detailed Budget'!$AD$96</f>
        <v>71050111380.677719</v>
      </c>
      <c r="CB138" s="275">
        <f t="shared" si="199"/>
        <v>223065702.5880661</v>
      </c>
      <c r="CE138" s="199">
        <f>'Detailed Budget'!$AD$175</f>
        <v>4330586076.5988197</v>
      </c>
      <c r="CF138" s="275">
        <f t="shared" si="182"/>
        <v>25929836.225125674</v>
      </c>
      <c r="CG138" s="199">
        <f>'Detailed Budget'!$AD$176</f>
        <v>20662817754.37001</v>
      </c>
      <c r="CH138" s="275">
        <f t="shared" si="183"/>
        <v>123720781.14825206</v>
      </c>
      <c r="CI138" s="275">
        <f t="shared" si="122"/>
        <v>149650617.37337774</v>
      </c>
      <c r="CJ138" s="275">
        <f>'Detailed Budget'!$AD$178</f>
        <v>46025131033.061455</v>
      </c>
      <c r="CK138" s="275">
        <f t="shared" si="184"/>
        <v>186680048.71356589</v>
      </c>
      <c r="CL138" s="275">
        <f t="shared" si="121"/>
        <v>336330666.08694363</v>
      </c>
      <c r="CM138" s="278">
        <f>'Detailed Budget'!$AD$189</f>
        <v>77498869683.252869</v>
      </c>
      <c r="CN138" s="275">
        <f t="shared" si="200"/>
        <v>0</v>
      </c>
      <c r="CO138" s="140">
        <f>'Detailed Budget'!$AD$191</f>
        <v>2684962805.4134097</v>
      </c>
      <c r="CP138" s="616">
        <f t="shared" si="201"/>
        <v>0</v>
      </c>
      <c r="CQ138" s="616">
        <f t="shared" si="202"/>
        <v>0</v>
      </c>
      <c r="CR138" s="199">
        <f>'Detailed Budget'!$AD$195</f>
        <v>18734176418</v>
      </c>
      <c r="CS138" s="275">
        <f t="shared" si="185"/>
        <v>34977657.699556492</v>
      </c>
      <c r="CW138" s="278"/>
      <c r="DH138" s="140">
        <f>'Detailed Budget'!$AD$163</f>
        <v>4928560000</v>
      </c>
      <c r="DI138" s="616">
        <f t="shared" si="166"/>
        <v>6720000</v>
      </c>
    </row>
    <row r="139" spans="1:113" outlineLevel="1">
      <c r="A139" s="214" t="s">
        <v>462</v>
      </c>
      <c r="B139" s="215" t="s">
        <v>463</v>
      </c>
      <c r="C139" s="216" t="s">
        <v>234</v>
      </c>
      <c r="D139" s="217" t="s">
        <v>234</v>
      </c>
      <c r="E139" s="216"/>
      <c r="F139" s="216"/>
      <c r="G139" s="216"/>
      <c r="H139" s="216" t="s">
        <v>234</v>
      </c>
      <c r="I139" s="217" t="s">
        <v>234</v>
      </c>
      <c r="J139" s="217"/>
      <c r="K139" s="216" t="s">
        <v>234</v>
      </c>
      <c r="L139" s="216"/>
      <c r="M139" s="217"/>
      <c r="N139" s="216"/>
      <c r="O139" s="217"/>
      <c r="P139" s="216"/>
      <c r="Q139" s="217"/>
      <c r="R139" s="217" t="s">
        <v>234</v>
      </c>
      <c r="S139" s="217"/>
      <c r="T139" s="217"/>
      <c r="U139" s="218">
        <f t="shared" si="176"/>
        <v>6</v>
      </c>
      <c r="V139" s="867" t="s">
        <v>238</v>
      </c>
      <c r="W139" s="219">
        <v>167619</v>
      </c>
      <c r="X139" s="220">
        <v>2.94</v>
      </c>
      <c r="Y139" s="221">
        <f t="shared" si="128"/>
        <v>1.0294000000000001</v>
      </c>
      <c r="Z139" s="199">
        <v>19</v>
      </c>
      <c r="AA139" s="221">
        <f t="shared" si="170"/>
        <v>1.7341997303889829</v>
      </c>
      <c r="AB139" s="199">
        <f t="shared" si="168"/>
        <v>290684.82460807095</v>
      </c>
      <c r="AC139">
        <v>17.100000000000001</v>
      </c>
      <c r="AD139" s="199">
        <f t="shared" si="169"/>
        <v>49707.105007980143</v>
      </c>
      <c r="AE139" s="199">
        <f t="shared" si="131"/>
        <v>47221.749757581136</v>
      </c>
      <c r="AF139" s="199">
        <f t="shared" si="120"/>
        <v>47221.749757581136</v>
      </c>
      <c r="AG139" s="614">
        <f t="shared" si="204"/>
        <v>2.1833264014247383E-3</v>
      </c>
      <c r="AH139" s="199">
        <f t="shared" si="186"/>
        <v>14534.241230403548</v>
      </c>
      <c r="AI139" s="252">
        <f t="shared" si="187"/>
        <v>1.1259456465929204E-3</v>
      </c>
      <c r="AJ139" s="199">
        <f t="shared" si="188"/>
        <v>64241.346238383689</v>
      </c>
      <c r="AK139" s="199">
        <f t="shared" si="129"/>
        <v>11627.392984322838</v>
      </c>
      <c r="AL139" s="199">
        <f t="shared" si="130"/>
        <v>11627.392984322838</v>
      </c>
      <c r="AM139" s="199">
        <f t="shared" si="189"/>
        <v>23254.785968645676</v>
      </c>
      <c r="AN139" s="645">
        <f t="shared" si="190"/>
        <v>1.1259456465929204E-3</v>
      </c>
      <c r="AO139" s="199">
        <v>14</v>
      </c>
      <c r="AP139" s="250">
        <f t="shared" si="191"/>
        <v>1.5907283263265539E-3</v>
      </c>
      <c r="AQ139" s="199">
        <v>14</v>
      </c>
      <c r="AU139" s="199">
        <v>0</v>
      </c>
      <c r="AW139" s="250">
        <f t="shared" si="192"/>
        <v>0</v>
      </c>
      <c r="AX139" s="199">
        <v>1</v>
      </c>
      <c r="AY139" s="199">
        <f t="shared" si="177"/>
        <v>21499.355032652369</v>
      </c>
      <c r="AZ139" s="199">
        <f t="shared" si="193"/>
        <v>21499.355032652369</v>
      </c>
      <c r="BA139" s="252">
        <f t="shared" si="194"/>
        <v>1.6899888215796484E-3</v>
      </c>
      <c r="BB139" s="284">
        <v>1</v>
      </c>
      <c r="BC139" s="199">
        <f t="shared" si="178"/>
        <v>35789.115605745705</v>
      </c>
      <c r="BD139" s="270">
        <f t="shared" si="118"/>
        <v>3.2230637302301675E-3</v>
      </c>
      <c r="BE139" s="199">
        <f t="shared" si="179"/>
        <v>153097.88342457885</v>
      </c>
      <c r="BF139" s="251">
        <f t="shared" si="119"/>
        <v>3.2230638018527053E-3</v>
      </c>
      <c r="BG139" s="204">
        <f t="shared" si="125"/>
        <v>188886.99903032454</v>
      </c>
      <c r="BH139" s="636">
        <v>0</v>
      </c>
      <c r="BI139" s="199">
        <f t="shared" si="195"/>
        <v>88949.556330069696</v>
      </c>
      <c r="BJ139" s="199">
        <f t="shared" si="196"/>
        <v>177899.11266013939</v>
      </c>
      <c r="BK139" s="199">
        <f t="shared" si="203"/>
        <v>266848.66899020912</v>
      </c>
      <c r="BL139" s="251">
        <f t="shared" si="197"/>
        <v>1.1259456465929202E-3</v>
      </c>
      <c r="BM139" s="199">
        <f t="shared" si="180"/>
        <v>23273.301524950246</v>
      </c>
      <c r="BN139" s="251">
        <f t="shared" si="198"/>
        <v>1.005013538550566E-3</v>
      </c>
      <c r="BT139" s="199">
        <f>'Detailed Budget'!$AD$12</f>
        <v>194045122715</v>
      </c>
      <c r="BU139" s="199">
        <f>'Detailed Budget'!$AD$24</f>
        <v>194045122715</v>
      </c>
      <c r="BV139" s="596">
        <f t="shared" si="181"/>
        <v>0</v>
      </c>
      <c r="BW139" s="278"/>
      <c r="BX139" s="275">
        <f t="shared" si="126"/>
        <v>0</v>
      </c>
      <c r="BY139" s="275">
        <f t="shared" si="127"/>
        <v>0</v>
      </c>
      <c r="CA139" s="199">
        <f>'Detailed Budget'!$AD$96</f>
        <v>71050111380.677719</v>
      </c>
      <c r="CB139" s="275">
        <f t="shared" si="199"/>
        <v>120073894.0053343</v>
      </c>
      <c r="CE139" s="199">
        <f>'Detailed Budget'!$AD$175</f>
        <v>4330586076.5988197</v>
      </c>
      <c r="CF139" s="275">
        <f t="shared" si="182"/>
        <v>13957754.914125418</v>
      </c>
      <c r="CG139" s="199">
        <f>'Detailed Budget'!$AD$176</f>
        <v>20662817754.37001</v>
      </c>
      <c r="CH139" s="275">
        <f t="shared" si="183"/>
        <v>66597579.948389381</v>
      </c>
      <c r="CI139" s="275">
        <f t="shared" si="122"/>
        <v>80555334.862514794</v>
      </c>
      <c r="CJ139" s="275">
        <f>'Detailed Budget'!$AD$178</f>
        <v>46025131033.061455</v>
      </c>
      <c r="CK139" s="275">
        <f t="shared" si="184"/>
        <v>100487883.71351612</v>
      </c>
      <c r="CL139" s="275">
        <f t="shared" si="121"/>
        <v>181043218.57603091</v>
      </c>
      <c r="CM139" s="278">
        <f>'Detailed Budget'!$AD$189</f>
        <v>77498869683.252869</v>
      </c>
      <c r="CN139" s="275">
        <f t="shared" si="200"/>
        <v>0</v>
      </c>
      <c r="CO139" s="140">
        <f>'Detailed Budget'!$AD$191</f>
        <v>2684962805.4134097</v>
      </c>
      <c r="CP139" s="616">
        <f t="shared" si="201"/>
        <v>0</v>
      </c>
      <c r="CQ139" s="616">
        <f t="shared" si="202"/>
        <v>0</v>
      </c>
      <c r="CR139" s="199">
        <f>'Detailed Budget'!$AD$195</f>
        <v>18734176418</v>
      </c>
      <c r="CS139" s="275">
        <f t="shared" si="185"/>
        <v>18828100.933684748</v>
      </c>
      <c r="CW139" s="278"/>
      <c r="DH139" s="140">
        <f>'Detailed Budget'!$AD$163</f>
        <v>4928560000</v>
      </c>
      <c r="DI139" s="616">
        <f t="shared" si="166"/>
        <v>7840000.0000000009</v>
      </c>
    </row>
    <row r="140" spans="1:113" outlineLevel="1">
      <c r="A140" s="214" t="s">
        <v>464</v>
      </c>
      <c r="B140" s="215" t="s">
        <v>465</v>
      </c>
      <c r="C140" s="216" t="s">
        <v>234</v>
      </c>
      <c r="D140" s="217" t="s">
        <v>234</v>
      </c>
      <c r="E140" s="216"/>
      <c r="F140" s="216"/>
      <c r="G140" s="216"/>
      <c r="H140" s="216" t="s">
        <v>234</v>
      </c>
      <c r="I140" s="217" t="s">
        <v>234</v>
      </c>
      <c r="J140" s="217"/>
      <c r="K140" s="216" t="s">
        <v>234</v>
      </c>
      <c r="L140" s="216"/>
      <c r="M140" s="217"/>
      <c r="N140" s="216"/>
      <c r="O140" s="217"/>
      <c r="P140" s="216"/>
      <c r="Q140" s="217"/>
      <c r="R140" s="217" t="s">
        <v>234</v>
      </c>
      <c r="S140" s="217"/>
      <c r="T140" s="217"/>
      <c r="U140" s="218">
        <f t="shared" si="176"/>
        <v>6</v>
      </c>
      <c r="V140" s="867" t="s">
        <v>238</v>
      </c>
      <c r="W140" s="219">
        <v>124268</v>
      </c>
      <c r="X140" s="220">
        <v>2.94</v>
      </c>
      <c r="Y140" s="221">
        <f t="shared" si="128"/>
        <v>1.0294000000000001</v>
      </c>
      <c r="Z140" s="199">
        <v>19</v>
      </c>
      <c r="AA140" s="221">
        <f t="shared" si="170"/>
        <v>1.7341997303889829</v>
      </c>
      <c r="AB140" s="199">
        <f t="shared" si="168"/>
        <v>215505.53209597812</v>
      </c>
      <c r="AC140">
        <v>17.100000000000001</v>
      </c>
      <c r="AD140" s="199">
        <f t="shared" si="169"/>
        <v>36851.445988412263</v>
      </c>
      <c r="AE140" s="199">
        <f t="shared" si="131"/>
        <v>35008.873688991647</v>
      </c>
      <c r="AF140" s="199">
        <f t="shared" ref="AF140:AF203" si="205">AE140*BB140</f>
        <v>35008.873688991647</v>
      </c>
      <c r="AG140" s="614">
        <f t="shared" si="204"/>
        <v>1.618656627543711E-3</v>
      </c>
      <c r="AH140" s="199">
        <f t="shared" si="186"/>
        <v>10775.276604798906</v>
      </c>
      <c r="AI140" s="252">
        <f t="shared" si="187"/>
        <v>8.3474435243504025E-4</v>
      </c>
      <c r="AJ140" s="199">
        <f t="shared" si="188"/>
        <v>47626.722593211169</v>
      </c>
      <c r="AK140" s="199">
        <f t="shared" si="129"/>
        <v>8620.2212838391242</v>
      </c>
      <c r="AL140" s="199">
        <f t="shared" si="130"/>
        <v>8620.2212838391242</v>
      </c>
      <c r="AM140" s="199">
        <f t="shared" si="189"/>
        <v>17240.442567678248</v>
      </c>
      <c r="AN140" s="645">
        <f t="shared" si="190"/>
        <v>8.3474435243504014E-4</v>
      </c>
      <c r="AO140" s="199">
        <v>10</v>
      </c>
      <c r="AP140" s="250">
        <f t="shared" si="191"/>
        <v>1.1362345188046814E-3</v>
      </c>
      <c r="AQ140" s="199">
        <v>10</v>
      </c>
      <c r="AU140" s="199">
        <v>0</v>
      </c>
      <c r="AW140" s="250">
        <f t="shared" si="192"/>
        <v>0</v>
      </c>
      <c r="AX140" s="199">
        <v>1</v>
      </c>
      <c r="AY140" s="199">
        <f t="shared" si="177"/>
        <v>15939.015572206279</v>
      </c>
      <c r="AZ140" s="199">
        <f t="shared" si="193"/>
        <v>15939.015572206279</v>
      </c>
      <c r="BA140" s="252">
        <f t="shared" si="194"/>
        <v>1.2529100572134407E-3</v>
      </c>
      <c r="BB140" s="284">
        <v>1</v>
      </c>
      <c r="BC140" s="199">
        <f t="shared" si="178"/>
        <v>26533.041111656828</v>
      </c>
      <c r="BD140" s="270">
        <f t="shared" si="118"/>
        <v>2.3894885641141061E-3</v>
      </c>
      <c r="BE140" s="199">
        <f t="shared" si="179"/>
        <v>113502.45364430977</v>
      </c>
      <c r="BF140" s="251">
        <f t="shared" si="119"/>
        <v>2.3894886172130358E-3</v>
      </c>
      <c r="BG140" s="204">
        <f t="shared" si="125"/>
        <v>140035.49475596659</v>
      </c>
      <c r="BH140" s="636">
        <v>0</v>
      </c>
      <c r="BI140" s="199">
        <f t="shared" si="195"/>
        <v>65944.692821369303</v>
      </c>
      <c r="BJ140" s="199">
        <f t="shared" si="196"/>
        <v>131889.38564273861</v>
      </c>
      <c r="BK140" s="199">
        <f t="shared" si="203"/>
        <v>197834.07846410791</v>
      </c>
      <c r="BL140" s="251">
        <f t="shared" si="197"/>
        <v>8.3474435243504025E-4</v>
      </c>
      <c r="BM140" s="199">
        <f t="shared" si="180"/>
        <v>17254.169479012024</v>
      </c>
      <c r="BN140" s="251">
        <f t="shared" si="198"/>
        <v>7.4508869763333346E-4</v>
      </c>
      <c r="BT140" s="199">
        <f>'Detailed Budget'!$AD$12</f>
        <v>194045122715</v>
      </c>
      <c r="BU140" s="199">
        <f>'Detailed Budget'!$AD$24</f>
        <v>194045122715</v>
      </c>
      <c r="BV140" s="596">
        <f t="shared" si="181"/>
        <v>0</v>
      </c>
      <c r="BW140" s="278"/>
      <c r="BX140" s="275">
        <f t="shared" si="126"/>
        <v>0</v>
      </c>
      <c r="BY140" s="275">
        <f t="shared" si="127"/>
        <v>0</v>
      </c>
      <c r="CA140" s="199">
        <f>'Detailed Budget'!$AD$96</f>
        <v>71050111380.677719</v>
      </c>
      <c r="CB140" s="275">
        <f t="shared" si="199"/>
        <v>89019399.114986256</v>
      </c>
      <c r="CE140" s="199">
        <f>'Detailed Budget'!$AD$175</f>
        <v>4330586076.5988197</v>
      </c>
      <c r="CF140" s="275">
        <f t="shared" si="182"/>
        <v>10347885.905944655</v>
      </c>
      <c r="CG140" s="199">
        <f>'Detailed Budget'!$AD$176</f>
        <v>20662817754.37001</v>
      </c>
      <c r="CH140" s="275">
        <f t="shared" si="183"/>
        <v>49373567.82361456</v>
      </c>
      <c r="CI140" s="275">
        <f t="shared" si="122"/>
        <v>59721453.729559213</v>
      </c>
      <c r="CJ140" s="275">
        <f>'Detailed Budget'!$AD$178</f>
        <v>46025131033.061455</v>
      </c>
      <c r="CK140" s="275">
        <f t="shared" si="184"/>
        <v>74498883.380232647</v>
      </c>
      <c r="CL140" s="275">
        <f t="shared" ref="CL140:CL203" si="206">CI140+CK140</f>
        <v>134220337.10979187</v>
      </c>
      <c r="CM140" s="278">
        <f>'Detailed Budget'!$AD$189</f>
        <v>77498869683.252869</v>
      </c>
      <c r="CN140" s="275">
        <f t="shared" si="200"/>
        <v>0</v>
      </c>
      <c r="CO140" s="140">
        <f>'Detailed Budget'!$AD$191</f>
        <v>2684962805.4134097</v>
      </c>
      <c r="CP140" s="616">
        <f t="shared" si="201"/>
        <v>0</v>
      </c>
      <c r="CQ140" s="616">
        <f t="shared" si="202"/>
        <v>0</v>
      </c>
      <c r="CR140" s="199">
        <f>'Detailed Budget'!$AD$195</f>
        <v>18734176418</v>
      </c>
      <c r="CS140" s="275">
        <f t="shared" si="185"/>
        <v>13958623.108520728</v>
      </c>
      <c r="CW140" s="278"/>
      <c r="DH140" s="140">
        <f>'Detailed Budget'!$AD$163</f>
        <v>4928560000</v>
      </c>
      <c r="DI140" s="616">
        <f t="shared" si="166"/>
        <v>5600000</v>
      </c>
    </row>
    <row r="141" spans="1:113" outlineLevel="1">
      <c r="A141" s="214" t="s">
        <v>466</v>
      </c>
      <c r="B141" s="215" t="s">
        <v>467</v>
      </c>
      <c r="C141" s="216" t="s">
        <v>234</v>
      </c>
      <c r="D141" s="217" t="s">
        <v>234</v>
      </c>
      <c r="E141" s="216"/>
      <c r="F141" s="216"/>
      <c r="G141" s="216"/>
      <c r="H141" s="216" t="s">
        <v>234</v>
      </c>
      <c r="I141" s="217" t="s">
        <v>234</v>
      </c>
      <c r="J141" s="217"/>
      <c r="K141" s="216" t="s">
        <v>234</v>
      </c>
      <c r="L141" s="216"/>
      <c r="M141" s="217"/>
      <c r="N141" s="216"/>
      <c r="O141" s="217"/>
      <c r="P141" s="216"/>
      <c r="Q141" s="217"/>
      <c r="R141" s="217" t="s">
        <v>234</v>
      </c>
      <c r="S141" s="217"/>
      <c r="T141" s="217"/>
      <c r="U141" s="218">
        <f t="shared" si="176"/>
        <v>6</v>
      </c>
      <c r="V141" s="867" t="s">
        <v>238</v>
      </c>
      <c r="W141" s="219">
        <v>142316</v>
      </c>
      <c r="X141" s="220">
        <v>2.94</v>
      </c>
      <c r="Y141" s="221">
        <f t="shared" si="128"/>
        <v>1.0294000000000001</v>
      </c>
      <c r="Z141" s="199">
        <v>19</v>
      </c>
      <c r="AA141" s="221">
        <f t="shared" si="170"/>
        <v>1.7341997303889829</v>
      </c>
      <c r="AB141" s="199">
        <f t="shared" si="168"/>
        <v>246804.3688300385</v>
      </c>
      <c r="AC141">
        <v>17.100000000000001</v>
      </c>
      <c r="AD141" s="199">
        <f t="shared" si="169"/>
        <v>42203.547069936591</v>
      </c>
      <c r="AE141" s="199">
        <f t="shared" si="131"/>
        <v>40093.36971643976</v>
      </c>
      <c r="AF141" s="199">
        <f t="shared" si="205"/>
        <v>40093.36971643976</v>
      </c>
      <c r="AG141" s="614">
        <f t="shared" si="204"/>
        <v>1.8537414024971095E-3</v>
      </c>
      <c r="AH141" s="199">
        <f t="shared" si="186"/>
        <v>12340.218441501926</v>
      </c>
      <c r="AI141" s="252">
        <f t="shared" si="187"/>
        <v>9.5597802540593876E-4</v>
      </c>
      <c r="AJ141" s="199">
        <f t="shared" si="188"/>
        <v>54543.765511438512</v>
      </c>
      <c r="AK141" s="199">
        <f t="shared" si="129"/>
        <v>9872.1747532015397</v>
      </c>
      <c r="AL141" s="199">
        <f t="shared" si="130"/>
        <v>9872.1747532015397</v>
      </c>
      <c r="AM141" s="199">
        <f t="shared" si="189"/>
        <v>19744.349506403079</v>
      </c>
      <c r="AN141" s="645">
        <f t="shared" si="190"/>
        <v>9.5597802540593876E-4</v>
      </c>
      <c r="AO141" s="199">
        <v>14</v>
      </c>
      <c r="AP141" s="250">
        <f t="shared" si="191"/>
        <v>1.5907283263265539E-3</v>
      </c>
      <c r="AQ141" s="199">
        <v>14</v>
      </c>
      <c r="AU141" s="199">
        <v>0</v>
      </c>
      <c r="AW141" s="250">
        <f t="shared" si="192"/>
        <v>0</v>
      </c>
      <c r="AX141" s="199">
        <v>1</v>
      </c>
      <c r="AY141" s="199">
        <f t="shared" si="177"/>
        <v>18253.910420817174</v>
      </c>
      <c r="AZ141" s="199">
        <f t="shared" si="193"/>
        <v>18253.910420817174</v>
      </c>
      <c r="BA141" s="252">
        <f t="shared" si="194"/>
        <v>1.4348758143881612E-3</v>
      </c>
      <c r="BB141" s="284">
        <v>1</v>
      </c>
      <c r="BC141" s="199">
        <f t="shared" si="178"/>
        <v>30386.553890354346</v>
      </c>
      <c r="BD141" s="270">
        <f t="shared" ref="BD141:BD206" si="207">BC141/11104067</f>
        <v>2.7365247247116164E-3</v>
      </c>
      <c r="BE141" s="199">
        <f t="shared" si="179"/>
        <v>129986.92497540471</v>
      </c>
      <c r="BF141" s="251">
        <f t="shared" ref="BF141:BF206" si="208">BE141/47500730</f>
        <v>2.7365247855223426E-3</v>
      </c>
      <c r="BG141" s="204">
        <f t="shared" si="125"/>
        <v>160373.47886575904</v>
      </c>
      <c r="BH141" s="636">
        <v>0</v>
      </c>
      <c r="BI141" s="199">
        <f t="shared" si="195"/>
        <v>75522.136861991778</v>
      </c>
      <c r="BJ141" s="199">
        <f t="shared" si="196"/>
        <v>151044.27372398356</v>
      </c>
      <c r="BK141" s="199">
        <f t="shared" si="203"/>
        <v>226566.41058597533</v>
      </c>
      <c r="BL141" s="251">
        <f t="shared" si="197"/>
        <v>9.5597802540593865E-4</v>
      </c>
      <c r="BM141" s="199">
        <f t="shared" si="180"/>
        <v>19760.070038747508</v>
      </c>
      <c r="BN141" s="251">
        <f t="shared" si="198"/>
        <v>8.5330127701729722E-4</v>
      </c>
      <c r="BT141" s="199">
        <f>'Detailed Budget'!$AD$12</f>
        <v>194045122715</v>
      </c>
      <c r="BU141" s="199">
        <f>'Detailed Budget'!$AD$24</f>
        <v>194045122715</v>
      </c>
      <c r="BV141" s="596">
        <f t="shared" si="181"/>
        <v>0</v>
      </c>
      <c r="BW141" s="278"/>
      <c r="BX141" s="275">
        <f t="shared" si="126"/>
        <v>0</v>
      </c>
      <c r="BY141" s="275">
        <f t="shared" si="127"/>
        <v>0</v>
      </c>
      <c r="CA141" s="199">
        <f>'Detailed Budget'!$AD$96</f>
        <v>71050111380.677719</v>
      </c>
      <c r="CB141" s="275">
        <f t="shared" si="199"/>
        <v>101948086.42971951</v>
      </c>
      <c r="CE141" s="199">
        <f>'Detailed Budget'!$AD$175</f>
        <v>4330586076.5988197</v>
      </c>
      <c r="CF141" s="275">
        <f t="shared" si="182"/>
        <v>11850755.871104544</v>
      </c>
      <c r="CG141" s="199">
        <f>'Detailed Budget'!$AD$176</f>
        <v>20662817754.37001</v>
      </c>
      <c r="CH141" s="275">
        <f t="shared" si="183"/>
        <v>56544312.923564643</v>
      </c>
      <c r="CI141" s="275">
        <f t="shared" si="122"/>
        <v>68395068.794669181</v>
      </c>
      <c r="CJ141" s="275">
        <f>'Detailed Budget'!$AD$178</f>
        <v>46025131033.061455</v>
      </c>
      <c r="CK141" s="275">
        <f t="shared" si="184"/>
        <v>85318690.951340586</v>
      </c>
      <c r="CL141" s="275">
        <f t="shared" si="206"/>
        <v>153713759.74600977</v>
      </c>
      <c r="CM141" s="278">
        <f>'Detailed Budget'!$AD$189</f>
        <v>77498869683.252869</v>
      </c>
      <c r="CN141" s="275">
        <f t="shared" si="200"/>
        <v>0</v>
      </c>
      <c r="CO141" s="140">
        <f>'Detailed Budget'!$AD$191</f>
        <v>2684962805.4134097</v>
      </c>
      <c r="CP141" s="616">
        <f t="shared" si="201"/>
        <v>0</v>
      </c>
      <c r="CQ141" s="616">
        <f t="shared" si="202"/>
        <v>0</v>
      </c>
      <c r="CR141" s="199">
        <f>'Detailed Budget'!$AD$195</f>
        <v>18734176418</v>
      </c>
      <c r="CS141" s="275">
        <f t="shared" si="185"/>
        <v>15985896.661346735</v>
      </c>
      <c r="CW141" s="278"/>
      <c r="DH141" s="140">
        <f>'Detailed Budget'!$AD$163</f>
        <v>4928560000</v>
      </c>
      <c r="DI141" s="616">
        <f t="shared" si="166"/>
        <v>7840000.0000000009</v>
      </c>
    </row>
    <row r="142" spans="1:113" outlineLevel="1">
      <c r="A142" s="214" t="s">
        <v>468</v>
      </c>
      <c r="B142" s="215" t="s">
        <v>469</v>
      </c>
      <c r="C142" s="216" t="s">
        <v>234</v>
      </c>
      <c r="D142" s="217" t="s">
        <v>234</v>
      </c>
      <c r="E142" s="216"/>
      <c r="F142" s="216"/>
      <c r="G142" s="216"/>
      <c r="H142" s="216" t="s">
        <v>234</v>
      </c>
      <c r="I142" s="217" t="s">
        <v>234</v>
      </c>
      <c r="J142" s="217"/>
      <c r="K142" s="216" t="s">
        <v>234</v>
      </c>
      <c r="L142" s="216"/>
      <c r="M142" s="217"/>
      <c r="N142" s="216"/>
      <c r="O142" s="217"/>
      <c r="P142" s="216"/>
      <c r="Q142" s="217"/>
      <c r="R142" s="217" t="s">
        <v>234</v>
      </c>
      <c r="S142" s="217"/>
      <c r="T142" s="217"/>
      <c r="U142" s="218">
        <f t="shared" si="176"/>
        <v>6</v>
      </c>
      <c r="V142" s="867" t="s">
        <v>238</v>
      </c>
      <c r="W142" s="219">
        <v>105173</v>
      </c>
      <c r="X142" s="220">
        <v>2.94</v>
      </c>
      <c r="Y142" s="221">
        <f t="shared" si="128"/>
        <v>1.0294000000000001</v>
      </c>
      <c r="Z142" s="199">
        <v>19</v>
      </c>
      <c r="AA142" s="221">
        <f t="shared" si="170"/>
        <v>1.7341997303889829</v>
      </c>
      <c r="AB142" s="199">
        <f t="shared" si="168"/>
        <v>182390.9882442005</v>
      </c>
      <c r="AC142">
        <v>17.100000000000001</v>
      </c>
      <c r="AD142" s="199">
        <f t="shared" si="169"/>
        <v>31188.858989758286</v>
      </c>
      <c r="AE142" s="199">
        <f t="shared" si="131"/>
        <v>29629.416040270371</v>
      </c>
      <c r="AF142" s="199">
        <f t="shared" si="205"/>
        <v>29629.416040270371</v>
      </c>
      <c r="AG142" s="614">
        <f t="shared" si="204"/>
        <v>1.3699341221284217E-3</v>
      </c>
      <c r="AH142" s="199">
        <f t="shared" si="186"/>
        <v>9119.5494122100263</v>
      </c>
      <c r="AI142" s="252">
        <f t="shared" si="187"/>
        <v>7.06477675496914E-4</v>
      </c>
      <c r="AJ142" s="199">
        <f t="shared" si="188"/>
        <v>40308.408401968314</v>
      </c>
      <c r="AK142" s="199">
        <f t="shared" si="129"/>
        <v>7295.6395297680201</v>
      </c>
      <c r="AL142" s="199">
        <f t="shared" si="130"/>
        <v>7295.6395297680201</v>
      </c>
      <c r="AM142" s="199">
        <f t="shared" si="189"/>
        <v>14591.27905953604</v>
      </c>
      <c r="AN142" s="645">
        <f t="shared" si="190"/>
        <v>7.0647767549691389E-4</v>
      </c>
      <c r="AO142" s="199">
        <v>10</v>
      </c>
      <c r="AP142" s="250">
        <f t="shared" si="191"/>
        <v>1.1362345188046814E-3</v>
      </c>
      <c r="AQ142" s="199">
        <v>10</v>
      </c>
      <c r="AU142" s="199">
        <v>0</v>
      </c>
      <c r="AW142" s="250">
        <f t="shared" si="192"/>
        <v>0</v>
      </c>
      <c r="AX142" s="199">
        <v>1</v>
      </c>
      <c r="AY142" s="199">
        <f t="shared" si="177"/>
        <v>13489.829117517389</v>
      </c>
      <c r="AZ142" s="199">
        <f t="shared" si="193"/>
        <v>13489.829117517389</v>
      </c>
      <c r="BA142" s="252">
        <f t="shared" si="194"/>
        <v>1.0603881083409181E-3</v>
      </c>
      <c r="BB142" s="284">
        <v>1</v>
      </c>
      <c r="BC142" s="199">
        <f t="shared" si="178"/>
        <v>22455.978472625964</v>
      </c>
      <c r="BD142" s="270">
        <f t="shared" si="207"/>
        <v>2.0223201528436351E-3</v>
      </c>
      <c r="BE142" s="199">
        <f t="shared" si="179"/>
        <v>96061.685688455516</v>
      </c>
      <c r="BF142" s="251">
        <f t="shared" si="208"/>
        <v>2.0223201977833923E-3</v>
      </c>
      <c r="BG142" s="204">
        <f t="shared" si="125"/>
        <v>118517.66416108148</v>
      </c>
      <c r="BH142" s="636">
        <v>0</v>
      </c>
      <c r="BI142" s="199">
        <f t="shared" si="195"/>
        <v>55811.64240272536</v>
      </c>
      <c r="BJ142" s="199">
        <f t="shared" si="196"/>
        <v>111623.28480545072</v>
      </c>
      <c r="BK142" s="199">
        <f t="shared" si="203"/>
        <v>167434.92720817609</v>
      </c>
      <c r="BL142" s="251">
        <f t="shared" si="197"/>
        <v>7.06477675496914E-4</v>
      </c>
      <c r="BM142" s="199">
        <f t="shared" si="180"/>
        <v>14602.896695980719</v>
      </c>
      <c r="BN142" s="251">
        <f t="shared" si="198"/>
        <v>6.3059849354774034E-4</v>
      </c>
      <c r="BT142" s="199">
        <f>'Detailed Budget'!$AD$12</f>
        <v>194045122715</v>
      </c>
      <c r="BU142" s="199">
        <f>'Detailed Budget'!$AD$24</f>
        <v>194045122715</v>
      </c>
      <c r="BV142" s="596">
        <f t="shared" si="181"/>
        <v>0</v>
      </c>
      <c r="BW142" s="278"/>
      <c r="BX142" s="275">
        <f t="shared" si="126"/>
        <v>0</v>
      </c>
      <c r="BY142" s="275">
        <f t="shared" si="127"/>
        <v>0</v>
      </c>
      <c r="CA142" s="199">
        <f>'Detailed Budget'!$AD$96</f>
        <v>71050111380.677719</v>
      </c>
      <c r="CB142" s="275">
        <f t="shared" si="199"/>
        <v>75340693.204368383</v>
      </c>
      <c r="CE142" s="199">
        <f>'Detailed Budget'!$AD$175</f>
        <v>4330586076.5988197</v>
      </c>
      <c r="CF142" s="275">
        <f t="shared" si="182"/>
        <v>8757831.496329844</v>
      </c>
      <c r="CG142" s="199">
        <f>'Detailed Budget'!$AD$176</f>
        <v>20662817754.37001</v>
      </c>
      <c r="CH142" s="275">
        <f t="shared" si="183"/>
        <v>41786833.687779747</v>
      </c>
      <c r="CI142" s="275">
        <f t="shared" si="122"/>
        <v>50544665.184109591</v>
      </c>
      <c r="CJ142" s="275">
        <f>'Detailed Budget'!$AD$178</f>
        <v>46025131033.061455</v>
      </c>
      <c r="CK142" s="275">
        <f t="shared" si="184"/>
        <v>63051397.477622621</v>
      </c>
      <c r="CL142" s="275">
        <f t="shared" si="206"/>
        <v>113596062.66173221</v>
      </c>
      <c r="CM142" s="278">
        <f>'Detailed Budget'!$AD$189</f>
        <v>77498869683.252869</v>
      </c>
      <c r="CN142" s="275">
        <f t="shared" si="200"/>
        <v>0</v>
      </c>
      <c r="CO142" s="140">
        <f>'Detailed Budget'!$AD$191</f>
        <v>2684962805.4134097</v>
      </c>
      <c r="CP142" s="616">
        <f t="shared" si="201"/>
        <v>0</v>
      </c>
      <c r="CQ142" s="616">
        <f t="shared" si="202"/>
        <v>0</v>
      </c>
      <c r="CR142" s="199">
        <f>'Detailed Budget'!$AD$195</f>
        <v>18734176418</v>
      </c>
      <c r="CS142" s="275">
        <f t="shared" si="185"/>
        <v>11813743.427048402</v>
      </c>
      <c r="CW142" s="278"/>
      <c r="DH142" s="140">
        <f>'Detailed Budget'!$AD$163</f>
        <v>4928560000</v>
      </c>
      <c r="DI142" s="616">
        <f t="shared" si="166"/>
        <v>5600000</v>
      </c>
    </row>
    <row r="143" spans="1:113" outlineLevel="1">
      <c r="A143" s="214" t="s">
        <v>470</v>
      </c>
      <c r="B143" s="215" t="s">
        <v>471</v>
      </c>
      <c r="C143" s="216" t="s">
        <v>234</v>
      </c>
      <c r="D143" s="217" t="s">
        <v>234</v>
      </c>
      <c r="E143" s="216"/>
      <c r="F143" s="216"/>
      <c r="G143" s="216"/>
      <c r="H143" s="216" t="s">
        <v>234</v>
      </c>
      <c r="I143" s="217" t="s">
        <v>234</v>
      </c>
      <c r="J143" s="217"/>
      <c r="K143" s="216" t="s">
        <v>234</v>
      </c>
      <c r="L143" s="216"/>
      <c r="M143" s="217"/>
      <c r="N143" s="216"/>
      <c r="O143" s="217"/>
      <c r="P143" s="216"/>
      <c r="Q143" s="217"/>
      <c r="R143" s="217" t="s">
        <v>234</v>
      </c>
      <c r="S143" s="217"/>
      <c r="T143" s="217"/>
      <c r="U143" s="218">
        <f t="shared" si="176"/>
        <v>6</v>
      </c>
      <c r="V143" s="867" t="s">
        <v>238</v>
      </c>
      <c r="W143" s="219">
        <v>300520</v>
      </c>
      <c r="X143" s="220">
        <v>2.94</v>
      </c>
      <c r="Y143" s="221">
        <f t="shared" si="128"/>
        <v>1.0294000000000001</v>
      </c>
      <c r="Z143" s="199">
        <v>19</v>
      </c>
      <c r="AA143" s="221">
        <f t="shared" si="170"/>
        <v>1.7341997303889829</v>
      </c>
      <c r="AB143" s="199">
        <f t="shared" si="168"/>
        <v>521161.70297649712</v>
      </c>
      <c r="AC143">
        <v>17.100000000000001</v>
      </c>
      <c r="AD143" s="199">
        <f t="shared" si="169"/>
        <v>89118.651208981013</v>
      </c>
      <c r="AE143" s="199">
        <f t="shared" si="131"/>
        <v>84662.718648531954</v>
      </c>
      <c r="AF143" s="199">
        <f t="shared" si="205"/>
        <v>84662.718648531954</v>
      </c>
      <c r="AG143" s="614">
        <f t="shared" si="204"/>
        <v>3.9144324340090447E-3</v>
      </c>
      <c r="AH143" s="199">
        <f t="shared" si="186"/>
        <v>26058.085148824859</v>
      </c>
      <c r="AI143" s="252">
        <f t="shared" si="187"/>
        <v>2.0186803746240246E-3</v>
      </c>
      <c r="AJ143" s="199">
        <f t="shared" si="188"/>
        <v>115176.73635780587</v>
      </c>
      <c r="AK143" s="199">
        <f t="shared" si="129"/>
        <v>20846.468119059886</v>
      </c>
      <c r="AL143" s="199">
        <f t="shared" si="130"/>
        <v>20846.468119059886</v>
      </c>
      <c r="AM143" s="199">
        <f t="shared" si="189"/>
        <v>41692.936238119772</v>
      </c>
      <c r="AN143" s="645">
        <f t="shared" si="190"/>
        <v>2.0186803746240246E-3</v>
      </c>
      <c r="AO143" s="199">
        <v>16</v>
      </c>
      <c r="AP143" s="250">
        <f t="shared" si="191"/>
        <v>1.81797523008749E-3</v>
      </c>
      <c r="AQ143" s="199">
        <v>16</v>
      </c>
      <c r="AU143" s="199">
        <v>0</v>
      </c>
      <c r="AW143" s="250">
        <f t="shared" si="192"/>
        <v>0</v>
      </c>
      <c r="AX143" s="199">
        <v>1</v>
      </c>
      <c r="AY143" s="199">
        <f t="shared" si="177"/>
        <v>38545.667104640219</v>
      </c>
      <c r="AZ143" s="199">
        <f t="shared" si="193"/>
        <v>38545.667104640219</v>
      </c>
      <c r="BA143" s="252">
        <f t="shared" si="194"/>
        <v>3.0299395692678982E-3</v>
      </c>
      <c r="BB143" s="284">
        <v>1</v>
      </c>
      <c r="BC143" s="199">
        <f t="shared" si="178"/>
        <v>64165.428870466327</v>
      </c>
      <c r="BD143" s="270">
        <f t="shared" si="207"/>
        <v>5.7785520269705076E-3</v>
      </c>
      <c r="BE143" s="199">
        <f t="shared" si="179"/>
        <v>274485.44572366151</v>
      </c>
      <c r="BF143" s="251">
        <f t="shared" si="208"/>
        <v>5.7785521553808021E-3</v>
      </c>
      <c r="BG143" s="204">
        <f t="shared" si="125"/>
        <v>338650.87459412782</v>
      </c>
      <c r="BH143" s="636">
        <v>0</v>
      </c>
      <c r="BI143" s="199">
        <f t="shared" si="195"/>
        <v>159475.48111080815</v>
      </c>
      <c r="BJ143" s="199">
        <f t="shared" si="196"/>
        <v>318950.9622216163</v>
      </c>
      <c r="BK143" s="199">
        <f t="shared" si="203"/>
        <v>478426.44333242445</v>
      </c>
      <c r="BL143" s="251">
        <f t="shared" si="197"/>
        <v>2.0186803746240251E-3</v>
      </c>
      <c r="BM143" s="199">
        <f t="shared" si="180"/>
        <v>41726.132325560029</v>
      </c>
      <c r="BN143" s="251">
        <f t="shared" si="198"/>
        <v>1.8018641598220729E-3</v>
      </c>
      <c r="BT143" s="199">
        <f>'Detailed Budget'!$AD$12</f>
        <v>194045122715</v>
      </c>
      <c r="BU143" s="199">
        <f>'Detailed Budget'!$AD$24</f>
        <v>194045122715</v>
      </c>
      <c r="BV143" s="596">
        <f t="shared" si="181"/>
        <v>0</v>
      </c>
      <c r="BW143" s="278"/>
      <c r="BX143" s="275">
        <f t="shared" si="126"/>
        <v>0</v>
      </c>
      <c r="BY143" s="275">
        <f t="shared" si="127"/>
        <v>0</v>
      </c>
      <c r="CA143" s="199">
        <f>'Detailed Budget'!$AD$96</f>
        <v>71050111380.677719</v>
      </c>
      <c r="CB143" s="275">
        <f t="shared" si="199"/>
        <v>215277543.87320682</v>
      </c>
      <c r="CE143" s="199">
        <f>'Detailed Budget'!$AD$175</f>
        <v>4330586076.5988197</v>
      </c>
      <c r="CF143" s="275">
        <f t="shared" si="182"/>
        <v>25024516.950900368</v>
      </c>
      <c r="CG143" s="199">
        <f>'Detailed Budget'!$AD$176</f>
        <v>20662817754.37001</v>
      </c>
      <c r="CH143" s="275">
        <f t="shared" si="183"/>
        <v>119401170.07075553</v>
      </c>
      <c r="CI143" s="275">
        <f t="shared" si="122"/>
        <v>144425687.02165589</v>
      </c>
      <c r="CJ143" s="275">
        <f>'Detailed Budget'!$AD$178</f>
        <v>46025131033.061455</v>
      </c>
      <c r="CK143" s="275">
        <f t="shared" si="184"/>
        <v>180162265.69533196</v>
      </c>
      <c r="CL143" s="275">
        <f t="shared" si="206"/>
        <v>324587952.71698785</v>
      </c>
      <c r="CM143" s="278">
        <f>'Detailed Budget'!$AD$189</f>
        <v>77498869683.252869</v>
      </c>
      <c r="CN143" s="275">
        <f t="shared" si="200"/>
        <v>0</v>
      </c>
      <c r="CO143" s="140">
        <f>'Detailed Budget'!$AD$191</f>
        <v>2684962805.4134097</v>
      </c>
      <c r="CP143" s="616">
        <f t="shared" si="201"/>
        <v>0</v>
      </c>
      <c r="CQ143" s="616">
        <f t="shared" si="202"/>
        <v>0</v>
      </c>
      <c r="CR143" s="199">
        <f>'Detailed Budget'!$AD$195</f>
        <v>18734176418</v>
      </c>
      <c r="CS143" s="275">
        <f t="shared" si="185"/>
        <v>33756441.051378064</v>
      </c>
      <c r="CW143" s="278"/>
      <c r="DH143" s="140">
        <f>'Detailed Budget'!$AD$163</f>
        <v>4928560000</v>
      </c>
      <c r="DI143" s="616">
        <f t="shared" si="166"/>
        <v>8960000</v>
      </c>
    </row>
    <row r="144" spans="1:113" outlineLevel="1">
      <c r="A144" s="214" t="s">
        <v>472</v>
      </c>
      <c r="B144" s="215" t="s">
        <v>473</v>
      </c>
      <c r="C144" s="216" t="s">
        <v>234</v>
      </c>
      <c r="D144" s="217" t="s">
        <v>234</v>
      </c>
      <c r="E144" s="216"/>
      <c r="F144" s="216"/>
      <c r="G144" s="216"/>
      <c r="H144" s="216" t="s">
        <v>234</v>
      </c>
      <c r="I144" s="217" t="s">
        <v>234</v>
      </c>
      <c r="J144" s="217"/>
      <c r="K144" s="216" t="s">
        <v>234</v>
      </c>
      <c r="L144" s="216"/>
      <c r="M144" s="217"/>
      <c r="N144" s="216"/>
      <c r="O144" s="217"/>
      <c r="P144" s="216"/>
      <c r="Q144" s="217"/>
      <c r="R144" s="217" t="s">
        <v>234</v>
      </c>
      <c r="S144" s="217"/>
      <c r="T144" s="217"/>
      <c r="U144" s="218">
        <f t="shared" si="176"/>
        <v>6</v>
      </c>
      <c r="V144" s="867" t="s">
        <v>238</v>
      </c>
      <c r="W144" s="219">
        <v>96388</v>
      </c>
      <c r="X144" s="220">
        <v>2.94</v>
      </c>
      <c r="Y144" s="221">
        <f t="shared" si="128"/>
        <v>1.0294000000000001</v>
      </c>
      <c r="Z144" s="199">
        <v>19</v>
      </c>
      <c r="AA144" s="221">
        <f t="shared" si="170"/>
        <v>1.7341997303889829</v>
      </c>
      <c r="AB144" s="199">
        <f t="shared" si="168"/>
        <v>167156.04361273328</v>
      </c>
      <c r="AC144">
        <v>17.100000000000001</v>
      </c>
      <c r="AD144" s="199">
        <f t="shared" si="169"/>
        <v>28583.683457777392</v>
      </c>
      <c r="AE144" s="199">
        <f t="shared" si="131"/>
        <v>27154.499284888519</v>
      </c>
      <c r="AF144" s="199">
        <f t="shared" si="205"/>
        <v>27154.499284888519</v>
      </c>
      <c r="AG144" s="614">
        <f t="shared" si="204"/>
        <v>1.2555048364477034E-3</v>
      </c>
      <c r="AH144" s="199">
        <f t="shared" si="186"/>
        <v>8357.8021806366651</v>
      </c>
      <c r="AI144" s="252">
        <f t="shared" si="187"/>
        <v>6.4746627162671545E-4</v>
      </c>
      <c r="AJ144" s="199">
        <f t="shared" si="188"/>
        <v>36941.485638414058</v>
      </c>
      <c r="AK144" s="199">
        <f t="shared" si="129"/>
        <v>6686.2417445093315</v>
      </c>
      <c r="AL144" s="199">
        <f t="shared" si="130"/>
        <v>6686.2417445093315</v>
      </c>
      <c r="AM144" s="199">
        <f t="shared" si="189"/>
        <v>13372.483489018663</v>
      </c>
      <c r="AN144" s="645">
        <f t="shared" si="190"/>
        <v>6.4746627162671534E-4</v>
      </c>
      <c r="AO144" s="199">
        <v>10</v>
      </c>
      <c r="AP144" s="250">
        <f t="shared" si="191"/>
        <v>1.1362345188046814E-3</v>
      </c>
      <c r="AQ144" s="199">
        <v>10</v>
      </c>
      <c r="AU144" s="199">
        <v>0</v>
      </c>
      <c r="AW144" s="250">
        <f t="shared" si="192"/>
        <v>0</v>
      </c>
      <c r="AX144" s="199">
        <v>1</v>
      </c>
      <c r="AY144" s="199">
        <f t="shared" si="177"/>
        <v>12363.036606156202</v>
      </c>
      <c r="AZ144" s="199">
        <f t="shared" si="193"/>
        <v>12363.036606156202</v>
      </c>
      <c r="BA144" s="252">
        <f t="shared" si="194"/>
        <v>9.7181490484025761E-4</v>
      </c>
      <c r="BB144" s="284">
        <v>1</v>
      </c>
      <c r="BC144" s="199">
        <f t="shared" si="178"/>
        <v>20580.252089599722</v>
      </c>
      <c r="BD144" s="270">
        <f t="shared" si="207"/>
        <v>1.8533976865953458E-3</v>
      </c>
      <c r="BE144" s="199">
        <f t="shared" si="179"/>
        <v>88037.745049954363</v>
      </c>
      <c r="BF144" s="251">
        <f t="shared" si="208"/>
        <v>1.8533977277813282E-3</v>
      </c>
      <c r="BG144" s="204">
        <f t="shared" si="125"/>
        <v>108617.99713955409</v>
      </c>
      <c r="BH144" s="636">
        <v>0</v>
      </c>
      <c r="BI144" s="199">
        <f t="shared" si="195"/>
        <v>51149.749345496377</v>
      </c>
      <c r="BJ144" s="199">
        <f t="shared" si="196"/>
        <v>102299.49869099275</v>
      </c>
      <c r="BK144" s="199">
        <f t="shared" si="203"/>
        <v>153449.24803648912</v>
      </c>
      <c r="BL144" s="251">
        <f t="shared" si="197"/>
        <v>6.4746627162671523E-4</v>
      </c>
      <c r="BM144" s="199">
        <f t="shared" si="180"/>
        <v>13383.13071541355</v>
      </c>
      <c r="BN144" s="251">
        <f t="shared" si="198"/>
        <v>5.7792520510092503E-4</v>
      </c>
      <c r="BT144" s="199">
        <f>'Detailed Budget'!$AD$12</f>
        <v>194045122715</v>
      </c>
      <c r="BU144" s="199">
        <f>'Detailed Budget'!$AD$24</f>
        <v>194045122715</v>
      </c>
      <c r="BV144" s="596">
        <f t="shared" si="181"/>
        <v>0</v>
      </c>
      <c r="BW144" s="278"/>
      <c r="BX144" s="275">
        <f t="shared" si="126"/>
        <v>0</v>
      </c>
      <c r="BY144" s="275">
        <f t="shared" si="127"/>
        <v>0</v>
      </c>
      <c r="CA144" s="199">
        <f>'Detailed Budget'!$AD$96</f>
        <v>71050111380.677719</v>
      </c>
      <c r="CB144" s="275">
        <f t="shared" si="199"/>
        <v>69047557.230303019</v>
      </c>
      <c r="CE144" s="199">
        <f>'Detailed Budget'!$AD$175</f>
        <v>4330586076.5988197</v>
      </c>
      <c r="CF144" s="275">
        <f t="shared" si="182"/>
        <v>8026298.2159702675</v>
      </c>
      <c r="CG144" s="199">
        <f>'Detailed Budget'!$AD$176</f>
        <v>20662817754.37001</v>
      </c>
      <c r="CH144" s="275">
        <f t="shared" si="183"/>
        <v>38296419.475509062</v>
      </c>
      <c r="CI144" s="275">
        <f t="shared" si="122"/>
        <v>46322717.691479333</v>
      </c>
      <c r="CJ144" s="275">
        <f>'Detailed Budget'!$AD$178</f>
        <v>46025131033.061455</v>
      </c>
      <c r="CK144" s="275">
        <f t="shared" si="184"/>
        <v>57784774.610147938</v>
      </c>
      <c r="CL144" s="275">
        <f t="shared" si="206"/>
        <v>104107492.30162728</v>
      </c>
      <c r="CM144" s="278">
        <f>'Detailed Budget'!$AD$189</f>
        <v>77498869683.252869</v>
      </c>
      <c r="CN144" s="275">
        <f t="shared" si="200"/>
        <v>0</v>
      </c>
      <c r="CO144" s="140">
        <f>'Detailed Budget'!$AD$191</f>
        <v>2684962805.4134097</v>
      </c>
      <c r="CP144" s="616">
        <f t="shared" si="201"/>
        <v>0</v>
      </c>
      <c r="CQ144" s="616">
        <f t="shared" si="202"/>
        <v>0</v>
      </c>
      <c r="CR144" s="199">
        <f>'Detailed Budget'!$AD$195</f>
        <v>18734176418</v>
      </c>
      <c r="CS144" s="275">
        <f t="shared" si="185"/>
        <v>10826952.748769563</v>
      </c>
      <c r="CW144" s="278"/>
      <c r="DH144" s="140">
        <f>'Detailed Budget'!$AD$163</f>
        <v>4928560000</v>
      </c>
      <c r="DI144" s="616">
        <f t="shared" si="166"/>
        <v>5600000</v>
      </c>
    </row>
    <row r="145" spans="1:113" outlineLevel="1">
      <c r="A145" s="214" t="s">
        <v>474</v>
      </c>
      <c r="B145" s="215" t="s">
        <v>475</v>
      </c>
      <c r="C145" s="216" t="s">
        <v>234</v>
      </c>
      <c r="D145" s="217" t="s">
        <v>234</v>
      </c>
      <c r="E145" s="216"/>
      <c r="F145" s="216"/>
      <c r="G145" s="216"/>
      <c r="H145" s="216" t="s">
        <v>234</v>
      </c>
      <c r="I145" s="217" t="s">
        <v>234</v>
      </c>
      <c r="J145" s="217"/>
      <c r="K145" s="216" t="s">
        <v>234</v>
      </c>
      <c r="L145" s="216"/>
      <c r="M145" s="217"/>
      <c r="N145" s="216"/>
      <c r="O145" s="217"/>
      <c r="P145" s="216"/>
      <c r="Q145" s="217"/>
      <c r="R145" s="217" t="s">
        <v>234</v>
      </c>
      <c r="S145" s="217"/>
      <c r="T145" s="217"/>
      <c r="U145" s="218">
        <f t="shared" si="176"/>
        <v>6</v>
      </c>
      <c r="V145" s="867" t="s">
        <v>238</v>
      </c>
      <c r="W145" s="219">
        <v>190114</v>
      </c>
      <c r="X145" s="220">
        <v>2.94</v>
      </c>
      <c r="Y145" s="221">
        <f t="shared" si="128"/>
        <v>1.0294000000000001</v>
      </c>
      <c r="Z145" s="199">
        <v>19</v>
      </c>
      <c r="AA145" s="221">
        <f t="shared" si="170"/>
        <v>1.7341997303889829</v>
      </c>
      <c r="AB145" s="199">
        <f t="shared" si="168"/>
        <v>329695.64754317107</v>
      </c>
      <c r="AC145">
        <v>17.100000000000001</v>
      </c>
      <c r="AD145" s="199">
        <f t="shared" si="169"/>
        <v>56377.955729882262</v>
      </c>
      <c r="AE145" s="199">
        <f t="shared" si="131"/>
        <v>53559.057943388143</v>
      </c>
      <c r="AF145" s="199">
        <f t="shared" si="205"/>
        <v>53559.057943388143</v>
      </c>
      <c r="AG145" s="614">
        <f t="shared" si="204"/>
        <v>2.4763357106322224E-3</v>
      </c>
      <c r="AH145" s="199">
        <f t="shared" si="186"/>
        <v>16484.782377158554</v>
      </c>
      <c r="AI145" s="252">
        <f t="shared" si="187"/>
        <v>1.2770511138735252E-3</v>
      </c>
      <c r="AJ145" s="199">
        <f t="shared" si="188"/>
        <v>72862.738107040816</v>
      </c>
      <c r="AK145" s="199">
        <f t="shared" ref="AK145:AK208" si="209">AB145*0.04</f>
        <v>13187.825901726843</v>
      </c>
      <c r="AL145" s="199">
        <f t="shared" ref="AL145:AL208" si="210">AB145*0.04</f>
        <v>13187.825901726843</v>
      </c>
      <c r="AM145" s="199">
        <f t="shared" si="189"/>
        <v>26375.651803453686</v>
      </c>
      <c r="AN145" s="645">
        <f t="shared" si="190"/>
        <v>1.2770511138735252E-3</v>
      </c>
      <c r="AO145" s="199">
        <v>12</v>
      </c>
      <c r="AP145" s="250">
        <f t="shared" si="191"/>
        <v>1.3634814225656176E-3</v>
      </c>
      <c r="AQ145" s="199">
        <v>12</v>
      </c>
      <c r="AU145" s="199">
        <v>0</v>
      </c>
      <c r="AW145" s="250">
        <f t="shared" si="192"/>
        <v>0</v>
      </c>
      <c r="AX145" s="199">
        <v>1</v>
      </c>
      <c r="AY145" s="199">
        <f t="shared" si="177"/>
        <v>24384.636483201019</v>
      </c>
      <c r="AZ145" s="199">
        <f t="shared" si="193"/>
        <v>24384.636483201019</v>
      </c>
      <c r="BA145" s="252">
        <f t="shared" si="194"/>
        <v>1.9167906670830466E-3</v>
      </c>
      <c r="BB145" s="284">
        <v>1</v>
      </c>
      <c r="BC145" s="199">
        <f t="shared" si="178"/>
        <v>40592.128125515228</v>
      </c>
      <c r="BD145" s="270">
        <f t="shared" si="207"/>
        <v>3.6556090777834127E-3</v>
      </c>
      <c r="BE145" s="199">
        <f t="shared" si="179"/>
        <v>173644.10364803736</v>
      </c>
      <c r="BF145" s="251">
        <f t="shared" si="208"/>
        <v>3.6556091590179214E-3</v>
      </c>
      <c r="BG145" s="204">
        <f t="shared" si="125"/>
        <v>214236.2317735526</v>
      </c>
      <c r="BH145" s="636">
        <v>0</v>
      </c>
      <c r="BI145" s="199">
        <f t="shared" si="195"/>
        <v>100886.86814821036</v>
      </c>
      <c r="BJ145" s="199">
        <f t="shared" si="196"/>
        <v>201773.73629642071</v>
      </c>
      <c r="BK145" s="199">
        <f t="shared" si="203"/>
        <v>302660.60444463108</v>
      </c>
      <c r="BL145" s="251">
        <f t="shared" si="197"/>
        <v>1.2770511138735254E-3</v>
      </c>
      <c r="BM145" s="199">
        <f t="shared" si="180"/>
        <v>26396.652205981358</v>
      </c>
      <c r="BN145" s="251">
        <f t="shared" si="198"/>
        <v>1.1398895344084039E-3</v>
      </c>
      <c r="BT145" s="199">
        <f>'Detailed Budget'!$AD$12</f>
        <v>194045122715</v>
      </c>
      <c r="BU145" s="199">
        <f>'Detailed Budget'!$AD$24</f>
        <v>194045122715</v>
      </c>
      <c r="BV145" s="596">
        <f t="shared" si="181"/>
        <v>0</v>
      </c>
      <c r="BW145" s="278"/>
      <c r="BX145" s="275">
        <f t="shared" si="126"/>
        <v>0</v>
      </c>
      <c r="BY145" s="275">
        <f t="shared" si="127"/>
        <v>0</v>
      </c>
      <c r="CA145" s="199">
        <f>'Detailed Budget'!$AD$96</f>
        <v>71050111380.677719</v>
      </c>
      <c r="CB145" s="275">
        <f t="shared" si="199"/>
        <v>136188190.38969401</v>
      </c>
      <c r="CE145" s="199">
        <f>'Detailed Budget'!$AD$175</f>
        <v>4330586076.5988197</v>
      </c>
      <c r="CF145" s="275">
        <f t="shared" si="182"/>
        <v>15830929.773737099</v>
      </c>
      <c r="CG145" s="199">
        <f>'Detailed Budget'!$AD$176</f>
        <v>20662817754.37001</v>
      </c>
      <c r="CH145" s="275">
        <f t="shared" si="183"/>
        <v>75535185.833993122</v>
      </c>
      <c r="CI145" s="275">
        <f t="shared" si="122"/>
        <v>91366115.607730225</v>
      </c>
      <c r="CJ145" s="275">
        <f>'Detailed Budget'!$AD$178</f>
        <v>46025131033.061455</v>
      </c>
      <c r="CK145" s="275">
        <f t="shared" si="184"/>
        <v>113973675.5636974</v>
      </c>
      <c r="CL145" s="275">
        <f t="shared" si="206"/>
        <v>205339791.17142761</v>
      </c>
      <c r="CM145" s="278">
        <f>'Detailed Budget'!$AD$189</f>
        <v>77498869683.252869</v>
      </c>
      <c r="CN145" s="275">
        <f t="shared" si="200"/>
        <v>0</v>
      </c>
      <c r="CO145" s="140">
        <f>'Detailed Budget'!$AD$191</f>
        <v>2684962805.4134097</v>
      </c>
      <c r="CP145" s="616">
        <f t="shared" si="201"/>
        <v>0</v>
      </c>
      <c r="CQ145" s="616">
        <f t="shared" si="202"/>
        <v>0</v>
      </c>
      <c r="CR145" s="199">
        <f>'Detailed Budget'!$AD$195</f>
        <v>18734176418</v>
      </c>
      <c r="CS145" s="275">
        <f t="shared" si="185"/>
        <v>21354891.63463892</v>
      </c>
      <c r="CW145" s="278"/>
      <c r="DH145" s="140">
        <f>'Detailed Budget'!$AD$163</f>
        <v>4928560000</v>
      </c>
      <c r="DI145" s="616">
        <f t="shared" si="166"/>
        <v>6720000</v>
      </c>
    </row>
    <row r="146" spans="1:113" outlineLevel="1">
      <c r="A146" s="214" t="s">
        <v>476</v>
      </c>
      <c r="B146" s="215" t="s">
        <v>477</v>
      </c>
      <c r="C146" s="216" t="s">
        <v>234</v>
      </c>
      <c r="D146" s="217" t="s">
        <v>234</v>
      </c>
      <c r="E146" s="216"/>
      <c r="F146" s="216"/>
      <c r="G146" s="216"/>
      <c r="H146" s="216" t="s">
        <v>234</v>
      </c>
      <c r="I146" s="217" t="s">
        <v>234</v>
      </c>
      <c r="J146" s="217"/>
      <c r="K146" s="216" t="s">
        <v>234</v>
      </c>
      <c r="L146" s="216"/>
      <c r="M146" s="217"/>
      <c r="N146" s="216"/>
      <c r="O146" s="217"/>
      <c r="P146" s="216"/>
      <c r="Q146" s="217"/>
      <c r="R146" s="217" t="s">
        <v>234</v>
      </c>
      <c r="S146" s="217"/>
      <c r="T146" s="217"/>
      <c r="U146" s="218">
        <f t="shared" si="176"/>
        <v>6</v>
      </c>
      <c r="V146" s="867" t="s">
        <v>238</v>
      </c>
      <c r="W146" s="219">
        <v>197276</v>
      </c>
      <c r="X146" s="220">
        <v>2.94</v>
      </c>
      <c r="Y146" s="221">
        <f t="shared" si="128"/>
        <v>1.0294000000000001</v>
      </c>
      <c r="Z146" s="199">
        <v>19</v>
      </c>
      <c r="AA146" s="221">
        <f t="shared" si="170"/>
        <v>1.7341997303889829</v>
      </c>
      <c r="AB146" s="199">
        <f t="shared" si="168"/>
        <v>342115.98601221701</v>
      </c>
      <c r="AC146">
        <v>17.100000000000001</v>
      </c>
      <c r="AD146" s="199">
        <f t="shared" si="169"/>
        <v>58501.833608089117</v>
      </c>
      <c r="AE146" s="199">
        <f t="shared" si="131"/>
        <v>55576.741927684656</v>
      </c>
      <c r="AF146" s="199">
        <f t="shared" si="205"/>
        <v>55576.741927684656</v>
      </c>
      <c r="AG146" s="614">
        <f t="shared" si="204"/>
        <v>2.5696245602674314E-3</v>
      </c>
      <c r="AH146" s="199">
        <f t="shared" si="186"/>
        <v>17105.799300610852</v>
      </c>
      <c r="AI146" s="252">
        <f t="shared" si="187"/>
        <v>1.325160354000829E-3</v>
      </c>
      <c r="AJ146" s="199">
        <f t="shared" si="188"/>
        <v>75607.632908699976</v>
      </c>
      <c r="AK146" s="199">
        <f t="shared" si="209"/>
        <v>13684.639440488681</v>
      </c>
      <c r="AL146" s="199">
        <f t="shared" si="210"/>
        <v>13684.639440488681</v>
      </c>
      <c r="AM146" s="199">
        <f t="shared" si="189"/>
        <v>27369.278880977363</v>
      </c>
      <c r="AN146" s="645">
        <f t="shared" si="190"/>
        <v>1.325160354000829E-3</v>
      </c>
      <c r="AO146" s="199">
        <v>11</v>
      </c>
      <c r="AP146" s="250">
        <f t="shared" si="191"/>
        <v>1.2498579706851495E-3</v>
      </c>
      <c r="AQ146" s="199">
        <v>11</v>
      </c>
      <c r="AU146" s="199">
        <v>0</v>
      </c>
      <c r="AW146" s="250">
        <f t="shared" si="192"/>
        <v>0</v>
      </c>
      <c r="AX146" s="199">
        <v>1</v>
      </c>
      <c r="AY146" s="199">
        <f t="shared" si="177"/>
        <v>25303.257765656213</v>
      </c>
      <c r="AZ146" s="199">
        <f t="shared" si="193"/>
        <v>25303.257765656213</v>
      </c>
      <c r="BA146" s="252">
        <f t="shared" si="194"/>
        <v>1.9890002611037336E-3</v>
      </c>
      <c r="BB146" s="284">
        <v>1</v>
      </c>
      <c r="BC146" s="199">
        <f t="shared" si="178"/>
        <v>42121.320197824163</v>
      </c>
      <c r="BD146" s="270">
        <f t="shared" si="207"/>
        <v>3.793323671212013E-3</v>
      </c>
      <c r="BE146" s="199">
        <f t="shared" si="179"/>
        <v>180185.6475129145</v>
      </c>
      <c r="BF146" s="251">
        <f t="shared" si="208"/>
        <v>3.7933237555067994E-3</v>
      </c>
      <c r="BG146" s="204">
        <f t="shared" si="125"/>
        <v>222306.96771073865</v>
      </c>
      <c r="BH146" s="636">
        <v>0</v>
      </c>
      <c r="BI146" s="199">
        <f t="shared" si="195"/>
        <v>104687.49171973841</v>
      </c>
      <c r="BJ146" s="199">
        <f t="shared" si="196"/>
        <v>209374.98343947681</v>
      </c>
      <c r="BK146" s="199">
        <f t="shared" si="203"/>
        <v>314062.47515921522</v>
      </c>
      <c r="BL146" s="251">
        <f t="shared" si="197"/>
        <v>1.325160354000829E-3</v>
      </c>
      <c r="BM146" s="199">
        <f t="shared" si="180"/>
        <v>27391.070413473914</v>
      </c>
      <c r="BN146" s="251">
        <f t="shared" si="198"/>
        <v>1.1828316051945272E-3</v>
      </c>
      <c r="BT146" s="199">
        <f>'Detailed Budget'!$AD$12</f>
        <v>194045122715</v>
      </c>
      <c r="BU146" s="199">
        <f>'Detailed Budget'!$AD$24</f>
        <v>194045122715</v>
      </c>
      <c r="BV146" s="596">
        <f t="shared" si="181"/>
        <v>0</v>
      </c>
      <c r="BW146" s="278"/>
      <c r="BX146" s="275">
        <f t="shared" si="126"/>
        <v>0</v>
      </c>
      <c r="BY146" s="275">
        <f t="shared" si="127"/>
        <v>0</v>
      </c>
      <c r="CA146" s="199">
        <f>'Detailed Budget'!$AD$96</f>
        <v>71050111380.677719</v>
      </c>
      <c r="CB146" s="275">
        <f t="shared" si="199"/>
        <v>141318690.08761734</v>
      </c>
      <c r="CE146" s="199">
        <f>'Detailed Budget'!$AD$175</f>
        <v>4330586076.5988197</v>
      </c>
      <c r="CF146" s="275">
        <f t="shared" si="182"/>
        <v>16427314.674583463</v>
      </c>
      <c r="CG146" s="199">
        <f>'Detailed Budget'!$AD$176</f>
        <v>20662817754.37001</v>
      </c>
      <c r="CH146" s="275">
        <f t="shared" si="183"/>
        <v>78380757.44335942</v>
      </c>
      <c r="CI146" s="275">
        <f t="shared" si="122"/>
        <v>94808072.117942885</v>
      </c>
      <c r="CJ146" s="275">
        <f>'Detailed Budget'!$AD$178</f>
        <v>46025131033.061455</v>
      </c>
      <c r="CK146" s="275">
        <f t="shared" si="184"/>
        <v>118267307.09208144</v>
      </c>
      <c r="CL146" s="275">
        <f t="shared" si="206"/>
        <v>213075379.21002433</v>
      </c>
      <c r="CM146" s="278">
        <f>'Detailed Budget'!$AD$189</f>
        <v>77498869683.252869</v>
      </c>
      <c r="CN146" s="275">
        <f t="shared" si="200"/>
        <v>0</v>
      </c>
      <c r="CO146" s="140">
        <f>'Detailed Budget'!$AD$191</f>
        <v>2684962805.4134097</v>
      </c>
      <c r="CP146" s="616">
        <f t="shared" si="201"/>
        <v>0</v>
      </c>
      <c r="CQ146" s="616">
        <f t="shared" si="202"/>
        <v>0</v>
      </c>
      <c r="CR146" s="199">
        <f>'Detailed Budget'!$AD$195</f>
        <v>18734176418</v>
      </c>
      <c r="CS146" s="275">
        <f t="shared" si="185"/>
        <v>22159375.964500397</v>
      </c>
      <c r="CW146" s="278"/>
      <c r="DH146" s="140">
        <f>'Detailed Budget'!$AD$163</f>
        <v>4928560000</v>
      </c>
      <c r="DI146" s="616">
        <f t="shared" si="166"/>
        <v>6160000</v>
      </c>
    </row>
    <row r="147" spans="1:113" outlineLevel="1">
      <c r="A147" s="214" t="s">
        <v>478</v>
      </c>
      <c r="B147" s="215" t="s">
        <v>479</v>
      </c>
      <c r="C147" s="216" t="s">
        <v>234</v>
      </c>
      <c r="D147" s="217" t="s">
        <v>234</v>
      </c>
      <c r="E147" s="216"/>
      <c r="F147" s="216"/>
      <c r="G147" s="216"/>
      <c r="H147" s="216" t="s">
        <v>234</v>
      </c>
      <c r="I147" s="217" t="s">
        <v>234</v>
      </c>
      <c r="J147" s="217"/>
      <c r="K147" s="216" t="s">
        <v>234</v>
      </c>
      <c r="L147" s="216"/>
      <c r="M147" s="217"/>
      <c r="N147" s="216"/>
      <c r="O147" s="217"/>
      <c r="P147" s="216"/>
      <c r="Q147" s="217"/>
      <c r="R147" s="217" t="s">
        <v>234</v>
      </c>
      <c r="S147" s="217"/>
      <c r="T147" s="217"/>
      <c r="U147" s="218">
        <f t="shared" si="176"/>
        <v>6</v>
      </c>
      <c r="V147" s="867" t="s">
        <v>238</v>
      </c>
      <c r="W147" s="219">
        <v>131778</v>
      </c>
      <c r="X147" s="220">
        <v>2.94</v>
      </c>
      <c r="Y147" s="221">
        <f t="shared" si="128"/>
        <v>1.0294000000000001</v>
      </c>
      <c r="Z147" s="199">
        <v>19</v>
      </c>
      <c r="AA147" s="221">
        <f t="shared" si="170"/>
        <v>1.7341997303889829</v>
      </c>
      <c r="AB147" s="199">
        <f t="shared" si="168"/>
        <v>228529.37207119938</v>
      </c>
      <c r="AC147">
        <v>17.100000000000001</v>
      </c>
      <c r="AD147" s="199">
        <f t="shared" si="169"/>
        <v>39078.522624175093</v>
      </c>
      <c r="AE147" s="199">
        <f t="shared" si="131"/>
        <v>37124.596492966339</v>
      </c>
      <c r="AF147" s="199">
        <f t="shared" si="205"/>
        <v>37124.596492966339</v>
      </c>
      <c r="AG147" s="614">
        <f t="shared" si="204"/>
        <v>1.7164783618023557E-3</v>
      </c>
      <c r="AH147" s="199">
        <f t="shared" si="186"/>
        <v>11426.46860355997</v>
      </c>
      <c r="AI147" s="252">
        <f t="shared" si="187"/>
        <v>8.8519120992680935E-4</v>
      </c>
      <c r="AJ147" s="199">
        <f t="shared" si="188"/>
        <v>50504.991227735067</v>
      </c>
      <c r="AK147" s="199">
        <f t="shared" si="209"/>
        <v>9141.1748828479758</v>
      </c>
      <c r="AL147" s="199">
        <f t="shared" si="210"/>
        <v>9141.1748828479758</v>
      </c>
      <c r="AM147" s="199">
        <f t="shared" si="189"/>
        <v>18282.349765695952</v>
      </c>
      <c r="AN147" s="645">
        <f t="shared" si="190"/>
        <v>8.8519120992680935E-4</v>
      </c>
      <c r="AO147" s="199">
        <v>10</v>
      </c>
      <c r="AP147" s="250">
        <f t="shared" si="191"/>
        <v>1.1362345188046814E-3</v>
      </c>
      <c r="AQ147" s="199">
        <v>10</v>
      </c>
      <c r="AU147" s="199">
        <v>0</v>
      </c>
      <c r="AW147" s="250">
        <f t="shared" si="192"/>
        <v>0</v>
      </c>
      <c r="AX147" s="199">
        <v>1</v>
      </c>
      <c r="AY147" s="199">
        <f t="shared" si="177"/>
        <v>16902.272460120053</v>
      </c>
      <c r="AZ147" s="199">
        <f t="shared" si="193"/>
        <v>16902.272460120053</v>
      </c>
      <c r="BA147" s="252">
        <f t="shared" si="194"/>
        <v>1.3286282994775225E-3</v>
      </c>
      <c r="BB147" s="284">
        <v>1</v>
      </c>
      <c r="BC147" s="199">
        <f t="shared" si="178"/>
        <v>28136.536289406067</v>
      </c>
      <c r="BD147" s="270">
        <f t="shared" si="207"/>
        <v>2.5338946792563544E-3</v>
      </c>
      <c r="BE147" s="199">
        <f t="shared" si="179"/>
        <v>120361.84968245929</v>
      </c>
      <c r="BF147" s="251">
        <f t="shared" si="208"/>
        <v>2.5338947355642593E-3</v>
      </c>
      <c r="BG147" s="204">
        <f t="shared" si="125"/>
        <v>148498.38597186535</v>
      </c>
      <c r="BH147" s="636">
        <v>0</v>
      </c>
      <c r="BI147" s="199">
        <f t="shared" si="195"/>
        <v>69929.987853787025</v>
      </c>
      <c r="BJ147" s="199">
        <f t="shared" si="196"/>
        <v>139859.97570757405</v>
      </c>
      <c r="BK147" s="199">
        <f t="shared" si="203"/>
        <v>209789.96356136107</v>
      </c>
      <c r="BL147" s="251">
        <f t="shared" si="197"/>
        <v>8.8519120992680946E-4</v>
      </c>
      <c r="BM147" s="199">
        <f t="shared" si="180"/>
        <v>18296.906247829262</v>
      </c>
      <c r="BN147" s="251">
        <f t="shared" si="198"/>
        <v>7.9011731416555686E-4</v>
      </c>
      <c r="BT147" s="199">
        <f>'Detailed Budget'!$AD$12</f>
        <v>194045122715</v>
      </c>
      <c r="BU147" s="199">
        <f>'Detailed Budget'!$AD$24</f>
        <v>194045122715</v>
      </c>
      <c r="BV147" s="596">
        <f t="shared" si="181"/>
        <v>0</v>
      </c>
      <c r="BW147" s="278"/>
      <c r="BX147" s="275">
        <f t="shared" si="126"/>
        <v>0</v>
      </c>
      <c r="BY147" s="275">
        <f t="shared" si="127"/>
        <v>0</v>
      </c>
      <c r="CA147" s="199">
        <f>'Detailed Budget'!$AD$96</f>
        <v>71050111380.677719</v>
      </c>
      <c r="CB147" s="275">
        <f t="shared" si="199"/>
        <v>94399188.661398411</v>
      </c>
      <c r="CE147" s="199">
        <f>'Detailed Budget'!$AD$175</f>
        <v>4330586076.5988197</v>
      </c>
      <c r="CF147" s="275">
        <f t="shared" si="182"/>
        <v>10973249.017555401</v>
      </c>
      <c r="CG147" s="199">
        <f>'Detailed Budget'!$AD$176</f>
        <v>20662817754.37001</v>
      </c>
      <c r="CH147" s="275">
        <f t="shared" si="183"/>
        <v>52357405.12972188</v>
      </c>
      <c r="CI147" s="275">
        <f t="shared" si="122"/>
        <v>63330654.147277281</v>
      </c>
      <c r="CJ147" s="275">
        <f>'Detailed Budget'!$AD$178</f>
        <v>46025131033.061455</v>
      </c>
      <c r="CK147" s="275">
        <f t="shared" si="184"/>
        <v>79001141.517368093</v>
      </c>
      <c r="CL147" s="275">
        <f t="shared" si="206"/>
        <v>142331795.66464537</v>
      </c>
      <c r="CM147" s="278">
        <f>'Detailed Budget'!$AD$189</f>
        <v>77498869683.252869</v>
      </c>
      <c r="CN147" s="275">
        <f t="shared" si="200"/>
        <v>0</v>
      </c>
      <c r="CO147" s="140">
        <f>'Detailed Budget'!$AD$191</f>
        <v>2684962805.4134097</v>
      </c>
      <c r="CP147" s="616">
        <f t="shared" si="201"/>
        <v>0</v>
      </c>
      <c r="CQ147" s="616">
        <f t="shared" si="202"/>
        <v>0</v>
      </c>
      <c r="CR147" s="199">
        <f>'Detailed Budget'!$AD$195</f>
        <v>18734176418</v>
      </c>
      <c r="CS147" s="275">
        <f t="shared" si="185"/>
        <v>14802197.154493872</v>
      </c>
      <c r="CW147" s="278"/>
      <c r="DH147" s="140">
        <f>'Detailed Budget'!$AD$163</f>
        <v>4928560000</v>
      </c>
      <c r="DI147" s="616">
        <f t="shared" si="166"/>
        <v>5600000</v>
      </c>
    </row>
    <row r="148" spans="1:113" outlineLevel="1">
      <c r="A148" s="214" t="s">
        <v>480</v>
      </c>
      <c r="B148" s="215" t="s">
        <v>481</v>
      </c>
      <c r="C148" s="216" t="s">
        <v>234</v>
      </c>
      <c r="D148" s="217" t="s">
        <v>234</v>
      </c>
      <c r="E148" s="216"/>
      <c r="F148" s="216"/>
      <c r="G148" s="216"/>
      <c r="H148" s="216" t="s">
        <v>234</v>
      </c>
      <c r="I148" s="217" t="s">
        <v>234</v>
      </c>
      <c r="J148" s="217"/>
      <c r="K148" s="216" t="s">
        <v>234</v>
      </c>
      <c r="L148" s="216"/>
      <c r="M148" s="217"/>
      <c r="N148" s="216"/>
      <c r="O148" s="217"/>
      <c r="P148" s="216"/>
      <c r="Q148" s="217"/>
      <c r="R148" s="217" t="s">
        <v>234</v>
      </c>
      <c r="S148" s="217"/>
      <c r="T148" s="217"/>
      <c r="U148" s="218">
        <f t="shared" si="176"/>
        <v>6</v>
      </c>
      <c r="V148" s="867" t="s">
        <v>238</v>
      </c>
      <c r="W148" s="219">
        <v>205119</v>
      </c>
      <c r="X148" s="220">
        <v>2.94</v>
      </c>
      <c r="Y148" s="221">
        <f t="shared" si="128"/>
        <v>1.0294000000000001</v>
      </c>
      <c r="Z148" s="199">
        <v>19</v>
      </c>
      <c r="AA148" s="221">
        <f t="shared" si="170"/>
        <v>1.7341997303889829</v>
      </c>
      <c r="AB148" s="199">
        <f t="shared" si="168"/>
        <v>355717.31449765776</v>
      </c>
      <c r="AC148">
        <v>17.100000000000001</v>
      </c>
      <c r="AD148" s="199">
        <f t="shared" si="169"/>
        <v>60827.660779099482</v>
      </c>
      <c r="AE148" s="199">
        <f t="shared" si="131"/>
        <v>57786.277740144506</v>
      </c>
      <c r="AF148" s="199">
        <f t="shared" si="205"/>
        <v>57786.277740144506</v>
      </c>
      <c r="AG148" s="614">
        <f t="shared" si="204"/>
        <v>2.6717837961916053E-3</v>
      </c>
      <c r="AH148" s="199">
        <f t="shared" si="186"/>
        <v>17785.865724882889</v>
      </c>
      <c r="AI148" s="252">
        <f t="shared" si="187"/>
        <v>1.3778440694879055E-3</v>
      </c>
      <c r="AJ148" s="199">
        <f t="shared" si="188"/>
        <v>78613.526503982372</v>
      </c>
      <c r="AK148" s="199">
        <f t="shared" si="209"/>
        <v>14228.69257990631</v>
      </c>
      <c r="AL148" s="199">
        <f t="shared" si="210"/>
        <v>14228.69257990631</v>
      </c>
      <c r="AM148" s="199">
        <f t="shared" si="189"/>
        <v>28457.38515981262</v>
      </c>
      <c r="AN148" s="645">
        <f t="shared" si="190"/>
        <v>1.3778440694879053E-3</v>
      </c>
      <c r="AO148" s="199">
        <v>11</v>
      </c>
      <c r="AP148" s="250">
        <f t="shared" si="191"/>
        <v>1.2498579706851495E-3</v>
      </c>
      <c r="AQ148" s="199">
        <v>11</v>
      </c>
      <c r="AU148" s="199">
        <v>0</v>
      </c>
      <c r="AW148" s="250">
        <f t="shared" si="192"/>
        <v>0</v>
      </c>
      <c r="AX148" s="199">
        <v>1</v>
      </c>
      <c r="AY148" s="199">
        <f t="shared" si="177"/>
        <v>26309.226310517428</v>
      </c>
      <c r="AZ148" s="199">
        <f t="shared" si="193"/>
        <v>26309.226310517428</v>
      </c>
      <c r="BA148" s="252">
        <f t="shared" si="194"/>
        <v>2.0680759167731335E-3</v>
      </c>
      <c r="BB148" s="284">
        <v>1</v>
      </c>
      <c r="BC148" s="199">
        <f t="shared" si="178"/>
        <v>43795.915760951626</v>
      </c>
      <c r="BD148" s="270">
        <f t="shared" si="207"/>
        <v>3.9441328804078381E-3</v>
      </c>
      <c r="BE148" s="199">
        <f t="shared" si="179"/>
        <v>187349.19519962641</v>
      </c>
      <c r="BF148" s="251">
        <f t="shared" si="208"/>
        <v>3.9441329680538892E-3</v>
      </c>
      <c r="BG148" s="204">
        <f t="shared" si="125"/>
        <v>231145.11096057802</v>
      </c>
      <c r="BH148" s="636">
        <v>0</v>
      </c>
      <c r="BI148" s="199">
        <f t="shared" si="195"/>
        <v>108849.49823628327</v>
      </c>
      <c r="BJ148" s="199">
        <f t="shared" si="196"/>
        <v>217698.99647256653</v>
      </c>
      <c r="BK148" s="199">
        <f t="shared" si="203"/>
        <v>326548.49470884982</v>
      </c>
      <c r="BL148" s="251">
        <f t="shared" si="197"/>
        <v>1.3778440694879053E-3</v>
      </c>
      <c r="BM148" s="199">
        <f t="shared" si="180"/>
        <v>28480.04304700701</v>
      </c>
      <c r="BN148" s="251">
        <f t="shared" si="198"/>
        <v>1.2298568301562084E-3</v>
      </c>
      <c r="BT148" s="199">
        <f>'Detailed Budget'!$AD$12</f>
        <v>194045122715</v>
      </c>
      <c r="BU148" s="199">
        <f>'Detailed Budget'!$AD$24</f>
        <v>194045122715</v>
      </c>
      <c r="BV148" s="596">
        <f t="shared" si="181"/>
        <v>0</v>
      </c>
      <c r="BW148" s="278"/>
      <c r="BX148" s="275">
        <f t="shared" si="126"/>
        <v>0</v>
      </c>
      <c r="BY148" s="275">
        <f t="shared" si="127"/>
        <v>0</v>
      </c>
      <c r="CA148" s="199">
        <f>'Detailed Budget'!$AD$96</f>
        <v>71050111380.677719</v>
      </c>
      <c r="CB148" s="275">
        <f t="shared" si="199"/>
        <v>146937024.23042831</v>
      </c>
      <c r="CE148" s="199">
        <f>'Detailed Budget'!$AD$175</f>
        <v>4330586076.5988197</v>
      </c>
      <c r="CF148" s="275">
        <f t="shared" si="182"/>
        <v>17080406.936149783</v>
      </c>
      <c r="CG148" s="199">
        <f>'Detailed Budget'!$AD$176</f>
        <v>20662817754.37001</v>
      </c>
      <c r="CH148" s="275">
        <f t="shared" si="183"/>
        <v>81496900.717899993</v>
      </c>
      <c r="CI148" s="275">
        <f t="shared" si="122"/>
        <v>98577307.654049784</v>
      </c>
      <c r="CJ148" s="275">
        <f>'Detailed Budget'!$AD$178</f>
        <v>46025131033.061455</v>
      </c>
      <c r="CK148" s="275">
        <f t="shared" si="184"/>
        <v>122969199.311729</v>
      </c>
      <c r="CL148" s="275">
        <f t="shared" si="206"/>
        <v>221546506.96577877</v>
      </c>
      <c r="CM148" s="278">
        <f>'Detailed Budget'!$AD$189</f>
        <v>77498869683.252869</v>
      </c>
      <c r="CN148" s="275">
        <f t="shared" si="200"/>
        <v>0</v>
      </c>
      <c r="CO148" s="140">
        <f>'Detailed Budget'!$AD$191</f>
        <v>2684962805.4134097</v>
      </c>
      <c r="CP148" s="616">
        <f t="shared" si="201"/>
        <v>0</v>
      </c>
      <c r="CQ148" s="616">
        <f t="shared" si="202"/>
        <v>0</v>
      </c>
      <c r="CR148" s="199">
        <f>'Detailed Budget'!$AD$195</f>
        <v>18734176418</v>
      </c>
      <c r="CS148" s="275">
        <f t="shared" si="185"/>
        <v>23040354.825028669</v>
      </c>
      <c r="CW148" s="278"/>
      <c r="DH148" s="140">
        <f>'Detailed Budget'!$AD$163</f>
        <v>4928560000</v>
      </c>
      <c r="DI148" s="616">
        <f t="shared" si="166"/>
        <v>6160000</v>
      </c>
    </row>
    <row r="149" spans="1:113" outlineLevel="1">
      <c r="A149" s="214" t="s">
        <v>482</v>
      </c>
      <c r="B149" s="215" t="s">
        <v>483</v>
      </c>
      <c r="C149" s="216" t="s">
        <v>234</v>
      </c>
      <c r="D149" s="217" t="s">
        <v>234</v>
      </c>
      <c r="E149" s="216"/>
      <c r="F149" s="216"/>
      <c r="G149" s="216"/>
      <c r="H149" s="216" t="s">
        <v>234</v>
      </c>
      <c r="I149" s="217" t="s">
        <v>234</v>
      </c>
      <c r="J149" s="217"/>
      <c r="K149" s="216" t="s">
        <v>234</v>
      </c>
      <c r="L149" s="216"/>
      <c r="M149" s="217"/>
      <c r="N149" s="216"/>
      <c r="O149" s="217"/>
      <c r="P149" s="216"/>
      <c r="Q149" s="217"/>
      <c r="R149" s="217" t="s">
        <v>234</v>
      </c>
      <c r="S149" s="217"/>
      <c r="T149" s="217"/>
      <c r="U149" s="218">
        <f t="shared" si="176"/>
        <v>6</v>
      </c>
      <c r="V149" s="867" t="s">
        <v>238</v>
      </c>
      <c r="W149" s="219">
        <v>159861</v>
      </c>
      <c r="X149" s="220">
        <v>2.94</v>
      </c>
      <c r="Y149" s="221">
        <f t="shared" si="128"/>
        <v>1.0294000000000001</v>
      </c>
      <c r="Z149" s="199">
        <v>19</v>
      </c>
      <c r="AA149" s="221">
        <f t="shared" si="170"/>
        <v>1.7341997303889829</v>
      </c>
      <c r="AB149" s="199">
        <f t="shared" si="168"/>
        <v>277230.90309971321</v>
      </c>
      <c r="AC149">
        <v>17.100000000000001</v>
      </c>
      <c r="AD149" s="199">
        <f t="shared" si="169"/>
        <v>47406.484430050965</v>
      </c>
      <c r="AE149" s="199">
        <f t="shared" si="131"/>
        <v>45036.160208548412</v>
      </c>
      <c r="AF149" s="199">
        <f t="shared" si="205"/>
        <v>45036.160208548412</v>
      </c>
      <c r="AG149" s="614">
        <f t="shared" si="204"/>
        <v>2.0822743355953677E-3</v>
      </c>
      <c r="AH149" s="199">
        <f t="shared" si="186"/>
        <v>13861.545154985661</v>
      </c>
      <c r="AI149" s="252">
        <f t="shared" si="187"/>
        <v>1.0738329008644059E-3</v>
      </c>
      <c r="AJ149" s="199">
        <f t="shared" si="188"/>
        <v>61268.029585036624</v>
      </c>
      <c r="AK149" s="199">
        <f t="shared" si="209"/>
        <v>11089.236123988529</v>
      </c>
      <c r="AL149" s="199">
        <f t="shared" si="210"/>
        <v>11089.236123988529</v>
      </c>
      <c r="AM149" s="199">
        <f t="shared" si="189"/>
        <v>22178.472247977057</v>
      </c>
      <c r="AN149" s="645">
        <f t="shared" si="190"/>
        <v>1.0738329008644059E-3</v>
      </c>
      <c r="AO149" s="199">
        <v>12</v>
      </c>
      <c r="AP149" s="250">
        <f t="shared" si="191"/>
        <v>1.3634814225656176E-3</v>
      </c>
      <c r="AQ149" s="199">
        <v>12</v>
      </c>
      <c r="AU149" s="199">
        <v>0</v>
      </c>
      <c r="AW149" s="250">
        <f t="shared" si="192"/>
        <v>0</v>
      </c>
      <c r="AX149" s="199">
        <v>1</v>
      </c>
      <c r="AY149" s="199">
        <f t="shared" si="177"/>
        <v>20504.288862687645</v>
      </c>
      <c r="AZ149" s="199">
        <f t="shared" si="193"/>
        <v>20504.288862687645</v>
      </c>
      <c r="BA149" s="252">
        <f t="shared" si="194"/>
        <v>1.6117701633260202E-3</v>
      </c>
      <c r="BB149" s="284">
        <v>1</v>
      </c>
      <c r="BC149" s="199">
        <f t="shared" si="178"/>
        <v>34132.668789636693</v>
      </c>
      <c r="BD149" s="270">
        <f t="shared" si="207"/>
        <v>3.0738889444414099E-3</v>
      </c>
      <c r="BE149" s="199">
        <f t="shared" si="179"/>
        <v>146011.97204455698</v>
      </c>
      <c r="BF149" s="251">
        <f t="shared" si="208"/>
        <v>3.0738890127490039E-3</v>
      </c>
      <c r="BG149" s="204">
        <f t="shared" si="125"/>
        <v>180144.64083419368</v>
      </c>
      <c r="BH149" s="636">
        <v>0</v>
      </c>
      <c r="BI149" s="199">
        <f t="shared" si="195"/>
        <v>84832.656348512231</v>
      </c>
      <c r="BJ149" s="199">
        <f t="shared" si="196"/>
        <v>169665.31269702446</v>
      </c>
      <c r="BK149" s="199">
        <f t="shared" si="203"/>
        <v>254497.96904553671</v>
      </c>
      <c r="BL149" s="251">
        <f t="shared" si="197"/>
        <v>1.0738329008644057E-3</v>
      </c>
      <c r="BM149" s="199">
        <f t="shared" si="180"/>
        <v>22196.130838867135</v>
      </c>
      <c r="BN149" s="251">
        <f t="shared" si="198"/>
        <v>9.5849795838319051E-4</v>
      </c>
      <c r="BT149" s="199">
        <f>'Detailed Budget'!$AD$12</f>
        <v>194045122715</v>
      </c>
      <c r="BU149" s="199">
        <f>'Detailed Budget'!$AD$24</f>
        <v>194045122715</v>
      </c>
      <c r="BV149" s="596">
        <f t="shared" si="181"/>
        <v>0</v>
      </c>
      <c r="BW149" s="278"/>
      <c r="BX149" s="275">
        <f t="shared" si="126"/>
        <v>0</v>
      </c>
      <c r="BY149" s="275">
        <f t="shared" si="127"/>
        <v>0</v>
      </c>
      <c r="CA149" s="199">
        <f>'Detailed Budget'!$AD$96</f>
        <v>71050111380.677719</v>
      </c>
      <c r="CB149" s="275">
        <f t="shared" si="199"/>
        <v>114516449.62436685</v>
      </c>
      <c r="CE149" s="199">
        <f>'Detailed Budget'!$AD$175</f>
        <v>4330586076.5988197</v>
      </c>
      <c r="CF149" s="275">
        <f t="shared" si="182"/>
        <v>13311740.663809013</v>
      </c>
      <c r="CG149" s="199">
        <f>'Detailed Budget'!$AD$176</f>
        <v>20662817754.37001</v>
      </c>
      <c r="CH149" s="275">
        <f t="shared" si="183"/>
        <v>63515208.467593022</v>
      </c>
      <c r="CI149" s="275">
        <f t="shared" ref="CI149:CI217" si="211">CF149+CH149</f>
        <v>76826949.131402031</v>
      </c>
      <c r="CJ149" s="275">
        <f>'Detailed Budget'!$AD$178</f>
        <v>46025131033.061455</v>
      </c>
      <c r="CK149" s="275">
        <f t="shared" si="184"/>
        <v>95836949.142557785</v>
      </c>
      <c r="CL149" s="275">
        <f t="shared" si="206"/>
        <v>172663898.27395982</v>
      </c>
      <c r="CM149" s="278">
        <f>'Detailed Budget'!$AD$189</f>
        <v>77498869683.252869</v>
      </c>
      <c r="CN149" s="275">
        <f t="shared" si="200"/>
        <v>0</v>
      </c>
      <c r="CO149" s="140">
        <f>'Detailed Budget'!$AD$191</f>
        <v>2684962805.4134097</v>
      </c>
      <c r="CP149" s="616">
        <f t="shared" si="201"/>
        <v>0</v>
      </c>
      <c r="CQ149" s="616">
        <f t="shared" si="202"/>
        <v>0</v>
      </c>
      <c r="CR149" s="199">
        <f>'Detailed Budget'!$AD$195</f>
        <v>18734176418</v>
      </c>
      <c r="CS149" s="275">
        <f t="shared" si="185"/>
        <v>17956669.848643512</v>
      </c>
      <c r="CW149" s="278"/>
      <c r="DH149" s="140">
        <f>'Detailed Budget'!$AD$163</f>
        <v>4928560000</v>
      </c>
      <c r="DI149" s="616">
        <f t="shared" si="166"/>
        <v>6720000</v>
      </c>
    </row>
    <row r="150" spans="1:113">
      <c r="A150" s="224"/>
      <c r="B150" s="225"/>
      <c r="C150" s="226"/>
      <c r="D150" s="226"/>
      <c r="E150" s="226"/>
      <c r="F150" s="226"/>
      <c r="G150" s="226"/>
      <c r="H150" s="226"/>
      <c r="I150" s="226"/>
      <c r="J150" s="226"/>
      <c r="K150" s="226"/>
      <c r="L150" s="226"/>
      <c r="M150" s="226"/>
      <c r="N150" s="226"/>
      <c r="O150" s="226"/>
      <c r="P150" s="226"/>
      <c r="Q150" s="226"/>
      <c r="R150" s="226"/>
      <c r="S150" s="226"/>
      <c r="T150" s="226"/>
      <c r="U150" s="227"/>
      <c r="V150" s="867"/>
      <c r="X150" s="220"/>
      <c r="Y150" s="220"/>
      <c r="Z150" s="220"/>
      <c r="AA150" s="220"/>
      <c r="AG150" s="614">
        <f t="shared" si="204"/>
        <v>0</v>
      </c>
      <c r="AJ150" s="199"/>
      <c r="AK150" s="199">
        <f t="shared" si="209"/>
        <v>0</v>
      </c>
      <c r="AL150" s="199">
        <f t="shared" si="210"/>
        <v>0</v>
      </c>
      <c r="AM150" s="199">
        <f t="shared" si="189"/>
        <v>0</v>
      </c>
      <c r="AN150" s="645">
        <f t="shared" si="190"/>
        <v>0</v>
      </c>
      <c r="AP150" s="250"/>
      <c r="AW150" s="250">
        <f t="shared" si="192"/>
        <v>0</v>
      </c>
      <c r="AX150" s="199"/>
      <c r="BA150" s="252">
        <f t="shared" si="194"/>
        <v>0</v>
      </c>
      <c r="BB150" s="284"/>
      <c r="BD150" s="270">
        <f t="shared" si="207"/>
        <v>0</v>
      </c>
      <c r="BF150" s="251">
        <f t="shared" si="208"/>
        <v>0</v>
      </c>
      <c r="BI150" s="199">
        <f t="shared" si="195"/>
        <v>0</v>
      </c>
      <c r="BJ150" s="199">
        <f t="shared" si="196"/>
        <v>0</v>
      </c>
      <c r="BK150" s="199">
        <f t="shared" si="203"/>
        <v>0</v>
      </c>
      <c r="BL150" s="251">
        <f t="shared" si="197"/>
        <v>0</v>
      </c>
      <c r="BN150" s="251">
        <f t="shared" si="198"/>
        <v>0</v>
      </c>
      <c r="BT150" s="199">
        <f>'Detailed Budget'!$AD$12</f>
        <v>194045122715</v>
      </c>
      <c r="BU150" s="199">
        <f>'Detailed Budget'!$AD$24</f>
        <v>194045122715</v>
      </c>
      <c r="BV150" s="596">
        <f t="shared" si="181"/>
        <v>0</v>
      </c>
      <c r="BW150" s="278"/>
      <c r="BX150" s="275"/>
      <c r="BY150" s="275"/>
      <c r="CA150" s="199"/>
      <c r="CE150" s="199">
        <f>'Detailed Budget'!$AD$175</f>
        <v>4330586076.5988197</v>
      </c>
      <c r="CF150" s="275"/>
      <c r="CG150" s="199"/>
      <c r="CH150" s="275"/>
      <c r="CI150" s="275"/>
      <c r="CJ150" s="275"/>
      <c r="CK150" s="275"/>
      <c r="CL150" s="275"/>
      <c r="CM150" s="278">
        <f>'Detailed Budget'!$AD$189</f>
        <v>77498869683.252869</v>
      </c>
      <c r="CN150" s="275">
        <f t="shared" si="200"/>
        <v>0</v>
      </c>
      <c r="CO150" s="140">
        <f>'Detailed Budget'!$AD$191</f>
        <v>2684962805.4134097</v>
      </c>
      <c r="CP150" s="616">
        <f t="shared" si="201"/>
        <v>0</v>
      </c>
      <c r="CQ150" s="616">
        <f t="shared" si="202"/>
        <v>0</v>
      </c>
      <c r="CR150" s="199"/>
      <c r="CS150" s="275"/>
      <c r="CW150" s="278"/>
      <c r="DH150" s="140">
        <f>'Detailed Budget'!$AD$163</f>
        <v>4928560000</v>
      </c>
      <c r="DI150" s="616">
        <f t="shared" si="166"/>
        <v>0</v>
      </c>
    </row>
    <row r="151" spans="1:113" s="4" customFormat="1">
      <c r="A151" s="201">
        <v>2</v>
      </c>
      <c r="B151" s="202" t="s">
        <v>2358</v>
      </c>
      <c r="C151" s="200">
        <f t="shared" ref="C151:T151" si="212">C152+C176+C199+C229+C243+C263</f>
        <v>112</v>
      </c>
      <c r="D151" s="200">
        <f t="shared" si="212"/>
        <v>86</v>
      </c>
      <c r="E151" s="200">
        <f t="shared" si="212"/>
        <v>0</v>
      </c>
      <c r="F151" s="200">
        <f t="shared" si="212"/>
        <v>0</v>
      </c>
      <c r="G151" s="200">
        <f t="shared" si="212"/>
        <v>7</v>
      </c>
      <c r="H151" s="200">
        <f t="shared" si="212"/>
        <v>112</v>
      </c>
      <c r="I151" s="200">
        <f t="shared" si="212"/>
        <v>112</v>
      </c>
      <c r="J151" s="200">
        <f t="shared" si="212"/>
        <v>0</v>
      </c>
      <c r="K151" s="200">
        <f t="shared" si="212"/>
        <v>112</v>
      </c>
      <c r="L151" s="200">
        <f t="shared" si="212"/>
        <v>0</v>
      </c>
      <c r="M151" s="200">
        <f t="shared" si="212"/>
        <v>0</v>
      </c>
      <c r="N151" s="200">
        <f t="shared" si="212"/>
        <v>0</v>
      </c>
      <c r="O151" s="200">
        <f t="shared" si="212"/>
        <v>0</v>
      </c>
      <c r="P151" s="200">
        <f t="shared" si="212"/>
        <v>0</v>
      </c>
      <c r="Q151" s="200">
        <f t="shared" si="212"/>
        <v>2</v>
      </c>
      <c r="R151" s="200">
        <f t="shared" si="212"/>
        <v>110</v>
      </c>
      <c r="S151" s="200">
        <f t="shared" si="212"/>
        <v>4</v>
      </c>
      <c r="T151" s="200">
        <f t="shared" si="212"/>
        <v>0</v>
      </c>
      <c r="U151" s="203">
        <f>SUM(C151:T151)</f>
        <v>657</v>
      </c>
      <c r="V151" s="865"/>
      <c r="W151" s="204">
        <f>W152+W176+W199+W229+W243+W263</f>
        <v>18984299</v>
      </c>
      <c r="X151" s="205">
        <f>AVERAGE(X152,X176,X199,X229,X243,X263)</f>
        <v>3.2366666666666668</v>
      </c>
      <c r="Y151" s="212"/>
      <c r="Z151" s="210"/>
      <c r="AA151" s="212"/>
      <c r="AB151" s="204">
        <f>AB152+AB176+AB199+AB229+AB243+AB263</f>
        <v>34975514.178704381</v>
      </c>
      <c r="AC151" s="228">
        <v>19</v>
      </c>
      <c r="AD151" s="204">
        <f>AD152+AD176+AD199+AD229+AD243+AD263</f>
        <v>6669789.5420967024</v>
      </c>
      <c r="AE151" s="204">
        <f t="shared" si="131"/>
        <v>6336300.0649918672</v>
      </c>
      <c r="AF151" s="204">
        <f>AF152+AF176+AF199+AF229+AF243+AF263</f>
        <v>5182783.4389064861</v>
      </c>
      <c r="AG151" s="614">
        <f t="shared" si="204"/>
        <v>0.29296269812672576</v>
      </c>
      <c r="AH151" s="204">
        <f>AH152+AH176+AH199+AH229+AH243+AH263</f>
        <v>1748775.7089352191</v>
      </c>
      <c r="AI151" s="252">
        <f t="shared" si="187"/>
        <v>0.13547500451720432</v>
      </c>
      <c r="AJ151" s="204">
        <f>AJ152+AJ176+AJ199+AJ229+AJ243+AJ263</f>
        <v>8418565.2510319222</v>
      </c>
      <c r="AK151" s="199">
        <f t="shared" si="209"/>
        <v>1399020.5671481753</v>
      </c>
      <c r="AL151" s="199">
        <f t="shared" si="210"/>
        <v>1399020.5671481753</v>
      </c>
      <c r="AM151" s="199">
        <f t="shared" si="189"/>
        <v>2798041.1342963506</v>
      </c>
      <c r="AN151" s="645">
        <f t="shared" si="190"/>
        <v>0.13547500451720432</v>
      </c>
      <c r="AO151" s="204">
        <f t="shared" ref="AO151:AQ151" si="213">AO152+AO176+AO199+AO229+AO243+AO263</f>
        <v>1210</v>
      </c>
      <c r="AP151" s="250">
        <f t="shared" si="191"/>
        <v>0.13748437677536643</v>
      </c>
      <c r="AQ151" s="204">
        <f t="shared" si="213"/>
        <v>1210</v>
      </c>
      <c r="AR151" s="204"/>
      <c r="AS151" s="204"/>
      <c r="AT151" s="204"/>
      <c r="AU151" s="199"/>
      <c r="AV151" s="204">
        <f>AV152+AV176+AV199+AV229+AV243+AV263</f>
        <v>4691713</v>
      </c>
      <c r="AW151" s="250">
        <f t="shared" si="192"/>
        <v>0.13503672103877337</v>
      </c>
      <c r="AX151" s="199"/>
      <c r="AY151" s="204">
        <f>AY152+AY176+AY199+AY229+AY243+AY263</f>
        <v>2442312</v>
      </c>
      <c r="AZ151" s="204">
        <f>AZ152+AZ176+AZ199+AZ229+AZ243+AZ263</f>
        <v>1828135.9830511804</v>
      </c>
      <c r="BA151" s="252">
        <f t="shared" si="194"/>
        <v>0.14370335161179307</v>
      </c>
      <c r="BB151" s="284"/>
      <c r="BC151" s="204">
        <f>SUM(BC152,BC176,BC199,BC229,BC243,BC263)</f>
        <v>3928004.2905396526</v>
      </c>
      <c r="BD151" s="270">
        <f t="shared" si="207"/>
        <v>0.35374464964410363</v>
      </c>
      <c r="BE151" s="204">
        <f>SUM(BE152,BE176,BE199,BE229,BE243,BE263)</f>
        <v>16803129.465086292</v>
      </c>
      <c r="BF151" s="251">
        <f t="shared" si="208"/>
        <v>0.35374465750497502</v>
      </c>
      <c r="BG151" s="204">
        <f>SUM(BG152,BG176,BG199,BG229,BG243,BG263)</f>
        <v>20731133.755625945</v>
      </c>
      <c r="BH151"/>
      <c r="BI151" s="199">
        <f t="shared" si="195"/>
        <v>10702507.33868354</v>
      </c>
      <c r="BJ151" s="199">
        <f t="shared" si="196"/>
        <v>21405014.67736708</v>
      </c>
      <c r="BK151" s="199">
        <f t="shared" si="203"/>
        <v>32107522.016050622</v>
      </c>
      <c r="BL151" s="251">
        <f t="shared" si="197"/>
        <v>0.13547500451720432</v>
      </c>
      <c r="BM151" s="204">
        <f t="shared" ref="BM151" si="214">BM152+BM176+BM199+BM229+BM243+BM263</f>
        <v>3219128</v>
      </c>
      <c r="BN151" s="251">
        <f t="shared" si="198"/>
        <v>0.13901195835317237</v>
      </c>
      <c r="BT151" s="204">
        <f>'Detailed Budget'!$AD$12</f>
        <v>194045122715</v>
      </c>
      <c r="BU151" s="204">
        <f>'Detailed Budget'!$AD$24</f>
        <v>194045122715</v>
      </c>
      <c r="BV151" s="596">
        <f t="shared" si="181"/>
        <v>0.13503672103877337</v>
      </c>
      <c r="BW151" s="278"/>
      <c r="BX151" s="616">
        <f t="shared" ref="BX151:BX218" si="215">BT151*BV151</f>
        <v>26203217105</v>
      </c>
      <c r="BY151" s="616">
        <f t="shared" ref="BY151:BY218" si="216">BU151*BV151</f>
        <v>26203217105</v>
      </c>
      <c r="BZ151" s="613">
        <f>BX151+BY151</f>
        <v>52406434210</v>
      </c>
      <c r="CA151" s="204">
        <f>'Detailed Budget'!$AD$96</f>
        <v>71050111380.677719</v>
      </c>
      <c r="CB151" s="616">
        <f t="shared" si="199"/>
        <v>10210139137.79459</v>
      </c>
      <c r="CE151" s="204">
        <f>'Detailed Budget'!$AD$175</f>
        <v>4330586076.5988197</v>
      </c>
      <c r="CF151" s="616">
        <f t="shared" ref="CF151" si="217">CF152+CF176+CF199+CF229+CF243+CF263</f>
        <v>1531921654.4200828</v>
      </c>
      <c r="CG151" s="275">
        <f>'Detailed Budget'!$AD$176</f>
        <v>20662817754.37001</v>
      </c>
      <c r="CH151" s="616">
        <f t="shared" ref="CH151:CI151" si="218">CH152+CH176+CH199+CH229+CH243+CH263</f>
        <v>7309361389.607336</v>
      </c>
      <c r="CI151" s="616">
        <f t="shared" si="218"/>
        <v>8841283044.0274181</v>
      </c>
      <c r="CJ151" s="275">
        <f>'Detailed Budget'!$AD$178</f>
        <v>46025131033.061455</v>
      </c>
      <c r="CK151" s="616">
        <f t="shared" ref="CK151" si="219">CK152+CK176+CK199+CK229+CK243+CK263</f>
        <v>11028963183.168789</v>
      </c>
      <c r="CL151" s="275">
        <f t="shared" si="206"/>
        <v>19870246227.196205</v>
      </c>
      <c r="CM151" s="278">
        <f>'Detailed Budget'!$AD$189</f>
        <v>77498869683.252869</v>
      </c>
      <c r="CN151" s="275">
        <f t="shared" si="200"/>
        <v>0</v>
      </c>
      <c r="CO151" s="140">
        <f>'Detailed Budget'!$AD$191</f>
        <v>2684962805.4134097</v>
      </c>
      <c r="CP151" s="616">
        <f t="shared" si="201"/>
        <v>0</v>
      </c>
      <c r="CQ151" s="616">
        <f t="shared" si="202"/>
        <v>0</v>
      </c>
      <c r="CR151" s="204">
        <f>'Detailed Budget'!$AD$195</f>
        <v>18734176418</v>
      </c>
      <c r="CS151" s="275">
        <f>BN151*CR151</f>
        <v>2604274552</v>
      </c>
      <c r="CW151" s="278"/>
      <c r="DH151" s="140">
        <f>'Detailed Budget'!$AD$163</f>
        <v>4928560000</v>
      </c>
      <c r="DI151" s="616">
        <f t="shared" si="166"/>
        <v>677600000</v>
      </c>
    </row>
    <row r="152" spans="1:113" s="213" customFormat="1">
      <c r="A152" s="206">
        <v>2.1</v>
      </c>
      <c r="B152" s="207" t="s">
        <v>484</v>
      </c>
      <c r="C152" s="208">
        <f t="shared" ref="C152:T152" si="220">COUNTA(C154:C174)</f>
        <v>21</v>
      </c>
      <c r="D152" s="208">
        <f t="shared" si="220"/>
        <v>2</v>
      </c>
      <c r="E152" s="208">
        <f t="shared" si="220"/>
        <v>0</v>
      </c>
      <c r="F152" s="208">
        <f t="shared" si="220"/>
        <v>0</v>
      </c>
      <c r="G152" s="208">
        <f t="shared" si="220"/>
        <v>0</v>
      </c>
      <c r="H152" s="208">
        <f t="shared" si="220"/>
        <v>21</v>
      </c>
      <c r="I152" s="208">
        <f t="shared" si="220"/>
        <v>21</v>
      </c>
      <c r="J152" s="208">
        <f t="shared" si="220"/>
        <v>0</v>
      </c>
      <c r="K152" s="208">
        <f t="shared" si="220"/>
        <v>21</v>
      </c>
      <c r="L152" s="208">
        <f t="shared" si="220"/>
        <v>0</v>
      </c>
      <c r="M152" s="208">
        <f t="shared" si="220"/>
        <v>0</v>
      </c>
      <c r="N152" s="208">
        <f t="shared" si="220"/>
        <v>0</v>
      </c>
      <c r="O152" s="208">
        <f t="shared" si="220"/>
        <v>0</v>
      </c>
      <c r="P152" s="208">
        <f t="shared" si="220"/>
        <v>0</v>
      </c>
      <c r="Q152" s="208">
        <f t="shared" si="220"/>
        <v>0</v>
      </c>
      <c r="R152" s="208">
        <f t="shared" si="220"/>
        <v>21</v>
      </c>
      <c r="S152" s="208">
        <f t="shared" si="220"/>
        <v>0</v>
      </c>
      <c r="T152" s="208">
        <f t="shared" si="220"/>
        <v>0</v>
      </c>
      <c r="U152" s="209">
        <f>SUM(C152:T152)</f>
        <v>107</v>
      </c>
      <c r="V152" s="866"/>
      <c r="W152" s="210">
        <f>SUM(W154:W174)</f>
        <v>3178950</v>
      </c>
      <c r="X152" s="211">
        <v>2.89</v>
      </c>
      <c r="Y152" s="212">
        <f t="shared" ref="Y152:Y220" si="221">1+X152/100</f>
        <v>1.0288999999999999</v>
      </c>
      <c r="Z152" s="210">
        <v>19</v>
      </c>
      <c r="AA152" s="212">
        <f t="shared" ref="AA152:AA220" si="222">POWER(Y152,Z152)</f>
        <v>1.7182651319612778</v>
      </c>
      <c r="AB152" s="210">
        <f t="shared" ref="AB152:AB186" si="223">W152*AA152</f>
        <v>5462278.9412483042</v>
      </c>
      <c r="AC152" s="213">
        <v>17.600000000000001</v>
      </c>
      <c r="AD152" s="210">
        <f t="shared" ref="AD152:AD186" si="224">AB152*AC152/100</f>
        <v>961361.09365970164</v>
      </c>
      <c r="AE152" s="210">
        <f t="shared" ref="AE152:AE220" si="225">AD152*0.95</f>
        <v>913293.03897671646</v>
      </c>
      <c r="AF152" s="210">
        <f>SUM(AF154:AF174)</f>
        <v>63815.738803309614</v>
      </c>
      <c r="AG152" s="614">
        <f t="shared" si="204"/>
        <v>4.2226660690716386E-2</v>
      </c>
      <c r="AH152" s="210">
        <f>SUM(AH154:AH174)</f>
        <v>273113.94706241519</v>
      </c>
      <c r="AI152" s="252">
        <f t="shared" si="187"/>
        <v>2.115772367087632E-2</v>
      </c>
      <c r="AJ152" s="210">
        <f>SUM(AJ154:AJ174)</f>
        <v>1234475.0407221168</v>
      </c>
      <c r="AK152" s="199">
        <f t="shared" si="209"/>
        <v>218491.15764993217</v>
      </c>
      <c r="AL152" s="199">
        <f t="shared" si="210"/>
        <v>218491.15764993217</v>
      </c>
      <c r="AM152" s="199">
        <f t="shared" si="189"/>
        <v>436982.31529986433</v>
      </c>
      <c r="AN152" s="645">
        <f t="shared" si="190"/>
        <v>2.115772367087632E-2</v>
      </c>
      <c r="AO152" s="210">
        <f>SUM(AO154:AO174)</f>
        <v>226</v>
      </c>
      <c r="AP152" s="250">
        <f t="shared" si="191"/>
        <v>2.5678900124985797E-2</v>
      </c>
      <c r="AQ152" s="210">
        <f>SUM(AQ154:AQ174)</f>
        <v>226</v>
      </c>
      <c r="AR152" s="210"/>
      <c r="AS152" s="210"/>
      <c r="AT152" s="210"/>
      <c r="AU152" s="199"/>
      <c r="AV152" s="199"/>
      <c r="AW152" s="250">
        <f t="shared" si="192"/>
        <v>0</v>
      </c>
      <c r="AX152" s="199"/>
      <c r="AY152" s="210">
        <v>414857</v>
      </c>
      <c r="AZ152" s="210">
        <f>SUM(AZ154:AZ174)</f>
        <v>414857.01368505252</v>
      </c>
      <c r="BA152" s="252">
        <f t="shared" si="194"/>
        <v>3.2610453412060286E-2</v>
      </c>
      <c r="BB152" s="284"/>
      <c r="BC152" s="210">
        <f>SUM(BC154:BC174)</f>
        <v>48365.612566718868</v>
      </c>
      <c r="BD152" s="270">
        <f t="shared" si="207"/>
        <v>4.355666492891196E-3</v>
      </c>
      <c r="BE152" s="210">
        <f>SUM(BE154:BE174)</f>
        <v>206897.34264651962</v>
      </c>
      <c r="BF152" s="251">
        <f t="shared" si="208"/>
        <v>4.355666589682298E-3</v>
      </c>
      <c r="BG152" s="210">
        <f>SUM(BG154:BG174)</f>
        <v>255262.95521323849</v>
      </c>
      <c r="BH152"/>
      <c r="BI152" s="199">
        <f t="shared" si="195"/>
        <v>1671457.356021981</v>
      </c>
      <c r="BJ152" s="199">
        <f t="shared" si="196"/>
        <v>3342914.712043962</v>
      </c>
      <c r="BK152" s="199">
        <f t="shared" si="203"/>
        <v>5014372.0680659432</v>
      </c>
      <c r="BL152" s="251">
        <f t="shared" si="197"/>
        <v>2.115772367087632E-2</v>
      </c>
      <c r="BM152" s="210">
        <v>552744</v>
      </c>
      <c r="BN152" s="251">
        <f t="shared" si="198"/>
        <v>2.3869204923807289E-2</v>
      </c>
      <c r="BT152" s="210">
        <f>'Detailed Budget'!$AD$12</f>
        <v>194045122715</v>
      </c>
      <c r="BU152" s="210">
        <f>'Detailed Budget'!$AD$24</f>
        <v>194045122715</v>
      </c>
      <c r="BV152" s="596">
        <f t="shared" si="181"/>
        <v>0</v>
      </c>
      <c r="BW152" s="278"/>
      <c r="BX152" s="613">
        <f t="shared" si="215"/>
        <v>0</v>
      </c>
      <c r="BY152" s="613">
        <f t="shared" si="216"/>
        <v>0</v>
      </c>
      <c r="CA152" s="210">
        <f>'Detailed Budget'!$AD$96</f>
        <v>71050111380.677719</v>
      </c>
      <c r="CB152" s="613">
        <f t="shared" si="199"/>
        <v>2316976347.101285</v>
      </c>
      <c r="CE152" s="210">
        <f>'Detailed Budget'!$AD$175</f>
        <v>4330586076.5988197</v>
      </c>
      <c r="CF152" s="613">
        <f>SUM(CF154:CF174)</f>
        <v>18862588.668422628</v>
      </c>
      <c r="CG152" s="632">
        <f>'Detailed Budget'!$AD$176</f>
        <v>20662817754.37001</v>
      </c>
      <c r="CH152" s="613">
        <f>SUM(CH154:CH174)</f>
        <v>90000344.941403657</v>
      </c>
      <c r="CI152" s="613">
        <f>SUM(CI154:CI174)</f>
        <v>108862933.60982628</v>
      </c>
      <c r="CJ152" s="275">
        <f>'Detailed Budget'!$AD$178</f>
        <v>46025131033.061455</v>
      </c>
      <c r="CK152" s="613">
        <f>SUM(CK154:CK174)</f>
        <v>135799892.48343295</v>
      </c>
      <c r="CL152" s="613">
        <f>SUM(CL154:CL174)</f>
        <v>244662826.09325925</v>
      </c>
      <c r="CM152" s="278">
        <f>'Detailed Budget'!$AD$189</f>
        <v>77498869683.252869</v>
      </c>
      <c r="CN152" s="275">
        <f t="shared" si="200"/>
        <v>0</v>
      </c>
      <c r="CO152" s="140">
        <f>'Detailed Budget'!$AD$191</f>
        <v>2684962805.4134097</v>
      </c>
      <c r="CP152" s="616">
        <f t="shared" si="201"/>
        <v>0</v>
      </c>
      <c r="CQ152" s="616">
        <f t="shared" si="202"/>
        <v>0</v>
      </c>
      <c r="CR152" s="210">
        <f>'Detailed Budget'!$AD$195</f>
        <v>18734176418</v>
      </c>
      <c r="CS152" s="275">
        <f>BN152*CR152</f>
        <v>447169896</v>
      </c>
      <c r="CW152" s="278"/>
      <c r="DH152" s="140">
        <f>'Detailed Budget'!$AD$163</f>
        <v>4928560000</v>
      </c>
      <c r="DI152" s="616">
        <f t="shared" si="166"/>
        <v>126560000</v>
      </c>
    </row>
    <row r="153" spans="1:113" s="213" customFormat="1">
      <c r="A153" s="214" t="s">
        <v>2326</v>
      </c>
      <c r="B153" s="215" t="s">
        <v>2318</v>
      </c>
      <c r="C153" s="208"/>
      <c r="D153" s="208"/>
      <c r="E153" s="208"/>
      <c r="F153" s="208"/>
      <c r="G153" s="208"/>
      <c r="H153" s="208"/>
      <c r="I153" s="208"/>
      <c r="J153" s="208"/>
      <c r="K153" s="208"/>
      <c r="L153" s="208"/>
      <c r="M153" s="208"/>
      <c r="N153" s="208"/>
      <c r="O153" s="208"/>
      <c r="P153" s="208"/>
      <c r="Q153" s="208"/>
      <c r="R153" s="208"/>
      <c r="S153" s="208"/>
      <c r="T153" s="208"/>
      <c r="U153" s="209"/>
      <c r="V153" s="866"/>
      <c r="W153" s="210"/>
      <c r="X153" s="211"/>
      <c r="Y153" s="212"/>
      <c r="Z153" s="210"/>
      <c r="AA153" s="212"/>
      <c r="AB153" s="210"/>
      <c r="AD153" s="210"/>
      <c r="AE153" s="199"/>
      <c r="AF153" s="199"/>
      <c r="AG153" s="614">
        <f t="shared" si="204"/>
        <v>0</v>
      </c>
      <c r="AH153" s="210"/>
      <c r="AI153" s="252"/>
      <c r="AJ153" s="199"/>
      <c r="AK153" s="199">
        <f t="shared" si="209"/>
        <v>0</v>
      </c>
      <c r="AL153" s="199">
        <f t="shared" si="210"/>
        <v>0</v>
      </c>
      <c r="AM153" s="199">
        <f t="shared" si="189"/>
        <v>0</v>
      </c>
      <c r="AN153" s="645">
        <f t="shared" si="190"/>
        <v>0</v>
      </c>
      <c r="AO153" s="210"/>
      <c r="AP153" s="250"/>
      <c r="AQ153" s="210"/>
      <c r="AR153" s="210"/>
      <c r="AS153" s="210"/>
      <c r="AT153" s="210"/>
      <c r="AU153" s="199"/>
      <c r="AV153" s="199"/>
      <c r="AW153" s="250">
        <f t="shared" si="192"/>
        <v>0</v>
      </c>
      <c r="AX153" s="199"/>
      <c r="AY153" s="210"/>
      <c r="AZ153" s="199"/>
      <c r="BA153" s="252">
        <f t="shared" si="194"/>
        <v>0</v>
      </c>
      <c r="BB153" s="284"/>
      <c r="BC153" s="269"/>
      <c r="BD153" s="270">
        <f t="shared" si="207"/>
        <v>0</v>
      </c>
      <c r="BE153" s="269"/>
      <c r="BF153" s="251">
        <f t="shared" si="208"/>
        <v>0</v>
      </c>
      <c r="BG153" s="204"/>
      <c r="BH153"/>
      <c r="BI153" s="199">
        <f t="shared" si="195"/>
        <v>0</v>
      </c>
      <c r="BJ153" s="199">
        <f t="shared" si="196"/>
        <v>0</v>
      </c>
      <c r="BK153" s="199">
        <f t="shared" si="203"/>
        <v>0</v>
      </c>
      <c r="BL153" s="251">
        <f t="shared" si="197"/>
        <v>0</v>
      </c>
      <c r="BM153" s="210"/>
      <c r="BN153" s="251">
        <f t="shared" si="198"/>
        <v>0</v>
      </c>
      <c r="BT153" s="210"/>
      <c r="BU153" s="210">
        <f>'Detailed Budget'!$AD$24</f>
        <v>194045122715</v>
      </c>
      <c r="BV153" s="596"/>
      <c r="BW153" s="278"/>
      <c r="BX153" s="275"/>
      <c r="BY153" s="275"/>
      <c r="CA153" s="210">
        <f>'Detailed Budget'!$AD$96</f>
        <v>71050111380.677719</v>
      </c>
      <c r="CB153" s="275"/>
      <c r="CE153" s="210"/>
      <c r="CF153" s="275"/>
      <c r="CG153" s="240"/>
      <c r="CH153" s="275"/>
      <c r="CI153" s="275"/>
      <c r="CJ153" s="275"/>
      <c r="CK153" s="275"/>
      <c r="CL153" s="275"/>
      <c r="CM153" s="278">
        <f>'Detailed Budget'!$AD$189</f>
        <v>77498869683.252869</v>
      </c>
      <c r="CN153" s="275">
        <f t="shared" si="200"/>
        <v>0</v>
      </c>
      <c r="CO153" s="140">
        <f>'Detailed Budget'!$AD$191</f>
        <v>2684962805.4134097</v>
      </c>
      <c r="CP153" s="616">
        <f t="shared" si="201"/>
        <v>0</v>
      </c>
      <c r="CQ153" s="616">
        <f t="shared" si="202"/>
        <v>0</v>
      </c>
      <c r="CR153" s="210"/>
      <c r="CS153" s="275"/>
      <c r="CW153" s="278"/>
      <c r="DH153" s="140"/>
      <c r="DI153" s="616"/>
    </row>
    <row r="154" spans="1:113" outlineLevel="1">
      <c r="A154" s="214" t="s">
        <v>485</v>
      </c>
      <c r="B154" s="215" t="s">
        <v>486</v>
      </c>
      <c r="C154" s="216" t="s">
        <v>234</v>
      </c>
      <c r="D154" s="229"/>
      <c r="E154" s="216"/>
      <c r="F154" s="216"/>
      <c r="G154" s="216"/>
      <c r="H154" s="216" t="s">
        <v>234</v>
      </c>
      <c r="I154" s="217" t="s">
        <v>234</v>
      </c>
      <c r="J154" s="217"/>
      <c r="K154" s="216" t="s">
        <v>234</v>
      </c>
      <c r="L154" s="216"/>
      <c r="M154" s="217"/>
      <c r="N154" s="216"/>
      <c r="O154" s="217"/>
      <c r="P154" s="216"/>
      <c r="Q154" s="217"/>
      <c r="R154" s="217" t="s">
        <v>234</v>
      </c>
      <c r="S154" s="217"/>
      <c r="T154" s="217"/>
      <c r="U154" s="218">
        <f t="shared" ref="U154:U174" si="226">COUNTA(C154:T154)</f>
        <v>5</v>
      </c>
      <c r="V154" s="867" t="s">
        <v>487</v>
      </c>
      <c r="W154" s="219">
        <v>178407</v>
      </c>
      <c r="X154" s="220">
        <v>2.89</v>
      </c>
      <c r="Y154" s="221">
        <f t="shared" si="221"/>
        <v>1.0288999999999999</v>
      </c>
      <c r="Z154" s="199">
        <v>19</v>
      </c>
      <c r="AA154" s="221">
        <f t="shared" si="222"/>
        <v>1.7182651319612778</v>
      </c>
      <c r="AB154" s="199">
        <f t="shared" si="223"/>
        <v>306550.52739781572</v>
      </c>
      <c r="AC154">
        <v>17.600000000000001</v>
      </c>
      <c r="AD154" s="199">
        <f t="shared" si="224"/>
        <v>53952.892822015572</v>
      </c>
      <c r="AE154" s="199">
        <f t="shared" si="225"/>
        <v>51255.248180914794</v>
      </c>
      <c r="AF154" s="199">
        <f t="shared" si="205"/>
        <v>0</v>
      </c>
      <c r="AG154" s="614">
        <f t="shared" si="204"/>
        <v>2.3698176611298195E-3</v>
      </c>
      <c r="AH154" s="199">
        <f>AB154*0.05</f>
        <v>15327.526369890787</v>
      </c>
      <c r="AI154" s="252">
        <f t="shared" si="187"/>
        <v>1.1874002444046091E-3</v>
      </c>
      <c r="AJ154" s="199">
        <f t="shared" si="188"/>
        <v>69280.41919190636</v>
      </c>
      <c r="AK154" s="199">
        <f t="shared" si="209"/>
        <v>12262.021095912629</v>
      </c>
      <c r="AL154" s="199">
        <f t="shared" si="210"/>
        <v>12262.021095912629</v>
      </c>
      <c r="AM154" s="199">
        <f t="shared" si="189"/>
        <v>24524.042191825258</v>
      </c>
      <c r="AN154" s="645">
        <f t="shared" si="190"/>
        <v>1.1874002444046091E-3</v>
      </c>
      <c r="AO154" s="199">
        <v>10</v>
      </c>
      <c r="AP154" s="250">
        <f t="shared" si="191"/>
        <v>1.1362345188046814E-3</v>
      </c>
      <c r="AQ154" s="199">
        <v>10</v>
      </c>
      <c r="AU154" s="199">
        <v>0</v>
      </c>
      <c r="AW154" s="250">
        <f t="shared" si="192"/>
        <v>0</v>
      </c>
      <c r="AX154" s="199">
        <v>1</v>
      </c>
      <c r="AY154" s="199">
        <f t="shared" ref="AY154:AY174" si="227">AJ154/1234475*414857</f>
        <v>23282.340156501101</v>
      </c>
      <c r="AZ154" s="199">
        <f t="shared" si="193"/>
        <v>23282.340156501101</v>
      </c>
      <c r="BA154" s="252">
        <f t="shared" si="194"/>
        <v>1.8301430226601364E-3</v>
      </c>
      <c r="BB154" s="284">
        <v>0</v>
      </c>
      <c r="BC154" s="199">
        <f t="shared" ref="BC154:BC174" si="228">AD154*BB154*0.18*4</f>
        <v>0</v>
      </c>
      <c r="BD154" s="270">
        <f t="shared" si="207"/>
        <v>0</v>
      </c>
      <c r="BE154" s="199">
        <f t="shared" ref="BE154:BE174" si="229">AD154*BB154*0.77*4</f>
        <v>0</v>
      </c>
      <c r="BF154" s="251">
        <f t="shared" si="208"/>
        <v>0</v>
      </c>
      <c r="BG154" s="204">
        <f t="shared" ref="BG154:BG219" si="230">BC154+BE154</f>
        <v>0</v>
      </c>
      <c r="BH154" s="636">
        <v>0</v>
      </c>
      <c r="BI154" s="199">
        <f t="shared" si="195"/>
        <v>93804.461383731614</v>
      </c>
      <c r="BJ154" s="199">
        <f t="shared" si="196"/>
        <v>187608.92276746323</v>
      </c>
      <c r="BK154" s="199">
        <f t="shared" si="203"/>
        <v>281413.38415119483</v>
      </c>
      <c r="BL154" s="251">
        <f t="shared" si="197"/>
        <v>1.1874002444046091E-3</v>
      </c>
      <c r="BM154" s="199">
        <f t="shared" ref="BM154:BM174" si="231">AH154/273114*552744</f>
        <v>31020.73945604734</v>
      </c>
      <c r="BN154" s="251">
        <f t="shared" si="198"/>
        <v>1.3395720025263561E-3</v>
      </c>
      <c r="BT154" s="199">
        <f>'Detailed Budget'!$AD$12</f>
        <v>194045122715</v>
      </c>
      <c r="BU154" s="199">
        <f>'Detailed Budget'!$AD$24</f>
        <v>194045122715</v>
      </c>
      <c r="BV154" s="596">
        <f t="shared" ref="BV154:BV174" si="232">AV154/34743979</f>
        <v>0</v>
      </c>
      <c r="BW154" s="278"/>
      <c r="BX154" s="275">
        <f t="shared" si="215"/>
        <v>0</v>
      </c>
      <c r="BY154" s="275">
        <f t="shared" si="216"/>
        <v>0</v>
      </c>
      <c r="CA154" s="199">
        <f>'Detailed Budget'!$AD$96</f>
        <v>71050111380.677719</v>
      </c>
      <c r="CB154" s="275">
        <f t="shared" si="199"/>
        <v>130031865.60257287</v>
      </c>
      <c r="CE154" s="199">
        <f>'Detailed Budget'!$AD$175</f>
        <v>4330586076.5988197</v>
      </c>
      <c r="CF154" s="275">
        <f t="shared" ref="CF154:CF174" si="233">BB154*BD154*CE154</f>
        <v>0</v>
      </c>
      <c r="CG154" s="199">
        <f>'Detailed Budget'!$AD$176</f>
        <v>20662817754.37001</v>
      </c>
      <c r="CH154" s="275">
        <f t="shared" ref="CH154:CH174" si="234">BB154*BF154*CG154</f>
        <v>0</v>
      </c>
      <c r="CI154" s="275">
        <f t="shared" si="211"/>
        <v>0</v>
      </c>
      <c r="CJ154" s="275">
        <f>'Detailed Budget'!$AD$178</f>
        <v>46025131033.061455</v>
      </c>
      <c r="CK154" s="275">
        <f t="shared" ref="CK154:CK174" si="235">BB154*AG154*CJ154</f>
        <v>0</v>
      </c>
      <c r="CL154" s="275">
        <f t="shared" si="206"/>
        <v>0</v>
      </c>
      <c r="CM154" s="278">
        <f>'Detailed Budget'!$AD$189</f>
        <v>77498869683.252869</v>
      </c>
      <c r="CN154" s="275">
        <f t="shared" si="200"/>
        <v>0</v>
      </c>
      <c r="CO154" s="140">
        <f>'Detailed Budget'!$AD$191</f>
        <v>2684962805.4134097</v>
      </c>
      <c r="CP154" s="616">
        <f t="shared" si="201"/>
        <v>0</v>
      </c>
      <c r="CQ154" s="616">
        <f t="shared" si="202"/>
        <v>0</v>
      </c>
      <c r="CR154" s="199">
        <f>'Detailed Budget'!$AD$195</f>
        <v>18734176418</v>
      </c>
      <c r="CS154" s="275">
        <f t="shared" ref="CS154:CS174" si="236">BN154*CR154</f>
        <v>25095778.219942298</v>
      </c>
      <c r="CW154" s="278"/>
      <c r="DH154" s="140">
        <f>'Detailed Budget'!$AD$163</f>
        <v>4928560000</v>
      </c>
      <c r="DI154" s="616">
        <f t="shared" ref="DI154:DI176" si="237">AP154*DH154</f>
        <v>5600000</v>
      </c>
    </row>
    <row r="155" spans="1:113" outlineLevel="1">
      <c r="A155" s="214" t="s">
        <v>488</v>
      </c>
      <c r="B155" s="215" t="s">
        <v>489</v>
      </c>
      <c r="C155" s="216" t="s">
        <v>234</v>
      </c>
      <c r="D155" s="229"/>
      <c r="E155" s="216"/>
      <c r="F155" s="216"/>
      <c r="G155" s="216"/>
      <c r="H155" s="216" t="s">
        <v>234</v>
      </c>
      <c r="I155" s="217" t="s">
        <v>234</v>
      </c>
      <c r="J155" s="217"/>
      <c r="K155" s="216" t="s">
        <v>234</v>
      </c>
      <c r="L155" s="216"/>
      <c r="M155" s="217"/>
      <c r="N155" s="216"/>
      <c r="O155" s="217"/>
      <c r="P155" s="216"/>
      <c r="Q155" s="217"/>
      <c r="R155" s="217" t="s">
        <v>234</v>
      </c>
      <c r="S155" s="217"/>
      <c r="T155" s="217"/>
      <c r="U155" s="218">
        <f t="shared" si="226"/>
        <v>5</v>
      </c>
      <c r="V155" s="867" t="s">
        <v>487</v>
      </c>
      <c r="W155" s="219">
        <v>209460</v>
      </c>
      <c r="X155" s="220">
        <v>2.89</v>
      </c>
      <c r="Y155" s="221">
        <f t="shared" si="221"/>
        <v>1.0288999999999999</v>
      </c>
      <c r="Z155" s="199">
        <v>19</v>
      </c>
      <c r="AA155" s="221">
        <f t="shared" si="222"/>
        <v>1.7182651319612778</v>
      </c>
      <c r="AB155" s="199">
        <f t="shared" si="223"/>
        <v>359907.81454060925</v>
      </c>
      <c r="AC155">
        <v>17.600000000000001</v>
      </c>
      <c r="AD155" s="199">
        <f t="shared" si="224"/>
        <v>63343.775359147236</v>
      </c>
      <c r="AE155" s="199">
        <f t="shared" si="225"/>
        <v>60176.586591189873</v>
      </c>
      <c r="AF155" s="199">
        <f t="shared" si="205"/>
        <v>0</v>
      </c>
      <c r="AG155" s="614">
        <f t="shared" si="204"/>
        <v>2.7823011838114644E-3</v>
      </c>
      <c r="AH155" s="199">
        <f t="shared" ref="AH155:AH174" si="238">AB155*0.05</f>
        <v>17995.390727030463</v>
      </c>
      <c r="AI155" s="252">
        <f t="shared" si="187"/>
        <v>1.3940756539428912E-3</v>
      </c>
      <c r="AJ155" s="199">
        <f t="shared" si="188"/>
        <v>81339.166086177691</v>
      </c>
      <c r="AK155" s="199">
        <f t="shared" si="209"/>
        <v>14396.31258162437</v>
      </c>
      <c r="AL155" s="199">
        <f t="shared" si="210"/>
        <v>14396.31258162437</v>
      </c>
      <c r="AM155" s="199">
        <f t="shared" si="189"/>
        <v>28792.62516324874</v>
      </c>
      <c r="AN155" s="645">
        <f t="shared" si="190"/>
        <v>1.3940756539428912E-3</v>
      </c>
      <c r="AO155" s="199">
        <v>11</v>
      </c>
      <c r="AP155" s="250">
        <f t="shared" si="191"/>
        <v>1.2498579706851495E-3</v>
      </c>
      <c r="AQ155" s="199">
        <v>11</v>
      </c>
      <c r="AU155" s="199">
        <v>0</v>
      </c>
      <c r="AW155" s="250">
        <f t="shared" si="192"/>
        <v>0</v>
      </c>
      <c r="AX155" s="199">
        <v>1</v>
      </c>
      <c r="AY155" s="199">
        <f t="shared" si="227"/>
        <v>27334.796107667968</v>
      </c>
      <c r="AZ155" s="199">
        <f t="shared" si="193"/>
        <v>27334.796107667968</v>
      </c>
      <c r="BA155" s="252">
        <f t="shared" si="194"/>
        <v>2.1486923580711073E-3</v>
      </c>
      <c r="BB155" s="284">
        <v>0</v>
      </c>
      <c r="BC155" s="199">
        <f t="shared" si="228"/>
        <v>0</v>
      </c>
      <c r="BD155" s="270">
        <f t="shared" si="207"/>
        <v>0</v>
      </c>
      <c r="BE155" s="199">
        <f t="shared" si="229"/>
        <v>0</v>
      </c>
      <c r="BF155" s="251">
        <f t="shared" si="208"/>
        <v>0</v>
      </c>
      <c r="BG155" s="204">
        <f t="shared" si="230"/>
        <v>0</v>
      </c>
      <c r="BH155" s="636">
        <v>0</v>
      </c>
      <c r="BI155" s="199">
        <f t="shared" si="195"/>
        <v>110131.79124942643</v>
      </c>
      <c r="BJ155" s="199">
        <f t="shared" si="196"/>
        <v>220263.58249885286</v>
      </c>
      <c r="BK155" s="199">
        <f t="shared" si="203"/>
        <v>330395.37374827929</v>
      </c>
      <c r="BL155" s="251">
        <f t="shared" si="197"/>
        <v>1.3940756539428912E-3</v>
      </c>
      <c r="BM155" s="199">
        <f t="shared" si="231"/>
        <v>36420.118529338397</v>
      </c>
      <c r="BN155" s="251">
        <f t="shared" si="198"/>
        <v>1.5727339826866128E-3</v>
      </c>
      <c r="BT155" s="199">
        <f>'Detailed Budget'!$AD$12</f>
        <v>194045122715</v>
      </c>
      <c r="BU155" s="199">
        <f>'Detailed Budget'!$AD$24</f>
        <v>194045122715</v>
      </c>
      <c r="BV155" s="596">
        <f t="shared" si="232"/>
        <v>0</v>
      </c>
      <c r="BW155" s="278"/>
      <c r="BX155" s="275">
        <f t="shared" si="215"/>
        <v>0</v>
      </c>
      <c r="BY155" s="275">
        <f t="shared" si="216"/>
        <v>0</v>
      </c>
      <c r="CA155" s="199">
        <f>'Detailed Budget'!$AD$96</f>
        <v>71050111380.677719</v>
      </c>
      <c r="CB155" s="275">
        <f t="shared" si="199"/>
        <v>152664831.36376321</v>
      </c>
      <c r="CE155" s="199">
        <f>'Detailed Budget'!$AD$175</f>
        <v>4330586076.5988197</v>
      </c>
      <c r="CF155" s="275">
        <f t="shared" si="233"/>
        <v>0</v>
      </c>
      <c r="CG155" s="199">
        <f>'Detailed Budget'!$AD$176</f>
        <v>20662817754.37001</v>
      </c>
      <c r="CH155" s="275">
        <f t="shared" si="234"/>
        <v>0</v>
      </c>
      <c r="CI155" s="275">
        <f t="shared" si="211"/>
        <v>0</v>
      </c>
      <c r="CJ155" s="275">
        <f>'Detailed Budget'!$AD$178</f>
        <v>46025131033.061455</v>
      </c>
      <c r="CK155" s="275">
        <f t="shared" si="235"/>
        <v>0</v>
      </c>
      <c r="CL155" s="275">
        <f t="shared" si="206"/>
        <v>0</v>
      </c>
      <c r="CM155" s="278">
        <f>'Detailed Budget'!$AD$189</f>
        <v>77498869683.252869</v>
      </c>
      <c r="CN155" s="275">
        <f t="shared" si="200"/>
        <v>0</v>
      </c>
      <c r="CO155" s="140">
        <f>'Detailed Budget'!$AD$191</f>
        <v>2684962805.4134097</v>
      </c>
      <c r="CP155" s="616">
        <f t="shared" si="201"/>
        <v>0</v>
      </c>
      <c r="CQ155" s="616">
        <f t="shared" si="202"/>
        <v>0</v>
      </c>
      <c r="CR155" s="199">
        <f>'Detailed Budget'!$AD$195</f>
        <v>18734176418</v>
      </c>
      <c r="CS155" s="275">
        <f t="shared" si="236"/>
        <v>29463875.890234761</v>
      </c>
      <c r="CW155" s="278"/>
      <c r="DH155" s="140">
        <f>'Detailed Budget'!$AD$163</f>
        <v>4928560000</v>
      </c>
      <c r="DI155" s="616">
        <f t="shared" si="237"/>
        <v>6160000</v>
      </c>
    </row>
    <row r="156" spans="1:113" outlineLevel="1">
      <c r="A156" s="214" t="s">
        <v>490</v>
      </c>
      <c r="B156" s="215" t="s">
        <v>2311</v>
      </c>
      <c r="C156" s="216" t="s">
        <v>234</v>
      </c>
      <c r="D156" s="229" t="s">
        <v>234</v>
      </c>
      <c r="E156" s="216"/>
      <c r="F156" s="216"/>
      <c r="G156" s="216"/>
      <c r="H156" s="216" t="s">
        <v>234</v>
      </c>
      <c r="I156" s="217" t="s">
        <v>234</v>
      </c>
      <c r="J156" s="217"/>
      <c r="K156" s="216" t="s">
        <v>234</v>
      </c>
      <c r="L156" s="216"/>
      <c r="M156" s="217"/>
      <c r="N156" s="216"/>
      <c r="O156" s="217"/>
      <c r="P156" s="216"/>
      <c r="Q156" s="217"/>
      <c r="R156" s="217" t="s">
        <v>234</v>
      </c>
      <c r="S156" s="217"/>
      <c r="T156" s="217"/>
      <c r="U156" s="218">
        <f t="shared" si="226"/>
        <v>6</v>
      </c>
      <c r="V156" s="867" t="s">
        <v>238</v>
      </c>
      <c r="W156" s="219">
        <v>169948</v>
      </c>
      <c r="X156" s="220">
        <v>2.89</v>
      </c>
      <c r="Y156" s="221">
        <f t="shared" si="221"/>
        <v>1.0288999999999999</v>
      </c>
      <c r="Z156" s="199">
        <v>19</v>
      </c>
      <c r="AA156" s="221">
        <f t="shared" si="222"/>
        <v>1.7182651319612778</v>
      </c>
      <c r="AB156" s="199">
        <f t="shared" si="223"/>
        <v>292015.72264655522</v>
      </c>
      <c r="AC156">
        <v>17.600000000000001</v>
      </c>
      <c r="AD156" s="199">
        <f t="shared" si="224"/>
        <v>51394.767185793724</v>
      </c>
      <c r="AE156" s="199">
        <f t="shared" si="225"/>
        <v>48825.028826504036</v>
      </c>
      <c r="AF156" s="199">
        <f t="shared" si="205"/>
        <v>48825.028826504036</v>
      </c>
      <c r="AG156" s="614">
        <f t="shared" si="204"/>
        <v>2.2574549870447375E-3</v>
      </c>
      <c r="AH156" s="199">
        <f t="shared" si="238"/>
        <v>14600.786132327761</v>
      </c>
      <c r="AI156" s="252">
        <f t="shared" si="187"/>
        <v>1.1311007793196146E-3</v>
      </c>
      <c r="AJ156" s="199">
        <f t="shared" si="188"/>
        <v>65995.553318121485</v>
      </c>
      <c r="AK156" s="199">
        <f t="shared" si="209"/>
        <v>11680.62890586221</v>
      </c>
      <c r="AL156" s="199">
        <f t="shared" si="210"/>
        <v>11680.62890586221</v>
      </c>
      <c r="AM156" s="199">
        <f t="shared" si="189"/>
        <v>23361.257811724419</v>
      </c>
      <c r="AN156" s="645">
        <f t="shared" si="190"/>
        <v>1.1311007793196146E-3</v>
      </c>
      <c r="AO156" s="199">
        <v>10</v>
      </c>
      <c r="AP156" s="250">
        <f t="shared" si="191"/>
        <v>1.1362345188046814E-3</v>
      </c>
      <c r="AQ156" s="199">
        <v>10</v>
      </c>
      <c r="AU156" s="199">
        <v>0</v>
      </c>
      <c r="AW156" s="250">
        <f t="shared" si="192"/>
        <v>0</v>
      </c>
      <c r="AX156" s="199">
        <v>1</v>
      </c>
      <c r="AY156" s="199">
        <f t="shared" si="227"/>
        <v>22178.42990979641</v>
      </c>
      <c r="AZ156" s="199">
        <f t="shared" si="193"/>
        <v>22178.42990979641</v>
      </c>
      <c r="BA156" s="252">
        <f t="shared" si="194"/>
        <v>1.7433685136516212E-3</v>
      </c>
      <c r="BB156" s="284">
        <v>1</v>
      </c>
      <c r="BC156" s="199">
        <f t="shared" si="228"/>
        <v>37004.232373771483</v>
      </c>
      <c r="BD156" s="270">
        <f t="shared" si="207"/>
        <v>3.3324936146162916E-3</v>
      </c>
      <c r="BE156" s="199">
        <f t="shared" si="229"/>
        <v>158295.88293224468</v>
      </c>
      <c r="BF156" s="251">
        <f t="shared" si="208"/>
        <v>3.3324936886705674E-3</v>
      </c>
      <c r="BG156" s="204">
        <f t="shared" si="230"/>
        <v>195300.11530601617</v>
      </c>
      <c r="BH156" s="636">
        <v>0</v>
      </c>
      <c r="BI156" s="199">
        <f t="shared" si="195"/>
        <v>89356.811129845912</v>
      </c>
      <c r="BJ156" s="199">
        <f t="shared" si="196"/>
        <v>178713.62225969182</v>
      </c>
      <c r="BK156" s="199">
        <f t="shared" si="203"/>
        <v>268070.43338953773</v>
      </c>
      <c r="BL156" s="251">
        <f t="shared" si="197"/>
        <v>1.1311007793196146E-3</v>
      </c>
      <c r="BM156" s="199">
        <f t="shared" si="231"/>
        <v>29549.920289429967</v>
      </c>
      <c r="BN156" s="251">
        <f t="shared" si="198"/>
        <v>1.2760574567441251E-3</v>
      </c>
      <c r="BT156" s="199">
        <f>'Detailed Budget'!$AD$12</f>
        <v>194045122715</v>
      </c>
      <c r="BU156" s="199">
        <f>'Detailed Budget'!$AD$24</f>
        <v>194045122715</v>
      </c>
      <c r="BV156" s="596">
        <f t="shared" si="232"/>
        <v>0</v>
      </c>
      <c r="BW156" s="278"/>
      <c r="BX156" s="275">
        <f t="shared" si="215"/>
        <v>0</v>
      </c>
      <c r="BY156" s="275">
        <f t="shared" si="216"/>
        <v>0</v>
      </c>
      <c r="CA156" s="199">
        <f>'Detailed Budget'!$AD$96</f>
        <v>71050111380.677719</v>
      </c>
      <c r="CB156" s="275">
        <f t="shared" si="199"/>
        <v>123866527.07251425</v>
      </c>
      <c r="CE156" s="199">
        <f>'Detailed Budget'!$AD$175</f>
        <v>4330586076.5988197</v>
      </c>
      <c r="CF156" s="275">
        <f t="shared" si="233"/>
        <v>14431650.447811786</v>
      </c>
      <c r="CG156" s="199">
        <f>'Detailed Budget'!$AD$176</f>
        <v>20662817754.37001</v>
      </c>
      <c r="CH156" s="275">
        <f t="shared" si="234"/>
        <v>68858709.756588206</v>
      </c>
      <c r="CI156" s="275">
        <f t="shared" si="211"/>
        <v>83290360.204399988</v>
      </c>
      <c r="CJ156" s="275">
        <f>'Detailed Budget'!$AD$178</f>
        <v>46025131033.061455</v>
      </c>
      <c r="CK156" s="275">
        <f t="shared" si="235"/>
        <v>103899661.57997209</v>
      </c>
      <c r="CL156" s="275">
        <f t="shared" si="206"/>
        <v>187190021.78437209</v>
      </c>
      <c r="CM156" s="278">
        <f>'Detailed Budget'!$AD$189</f>
        <v>77498869683.252869</v>
      </c>
      <c r="CN156" s="275">
        <f t="shared" si="200"/>
        <v>0</v>
      </c>
      <c r="CO156" s="140">
        <f>'Detailed Budget'!$AD$191</f>
        <v>2684962805.4134097</v>
      </c>
      <c r="CP156" s="616">
        <f t="shared" si="201"/>
        <v>0</v>
      </c>
      <c r="CQ156" s="616">
        <f t="shared" si="202"/>
        <v>0</v>
      </c>
      <c r="CR156" s="199">
        <f>'Detailed Budget'!$AD$195</f>
        <v>18734176418</v>
      </c>
      <c r="CS156" s="275">
        <f t="shared" si="236"/>
        <v>23905885.514148843</v>
      </c>
      <c r="CW156" s="278"/>
      <c r="DH156" s="140">
        <f>'Detailed Budget'!$AD$163</f>
        <v>4928560000</v>
      </c>
      <c r="DI156" s="616">
        <f t="shared" si="237"/>
        <v>5600000</v>
      </c>
    </row>
    <row r="157" spans="1:113" outlineLevel="1">
      <c r="A157" s="214" t="s">
        <v>491</v>
      </c>
      <c r="B157" s="215" t="s">
        <v>2312</v>
      </c>
      <c r="C157" s="216" t="s">
        <v>234</v>
      </c>
      <c r="D157" s="229"/>
      <c r="E157" s="216"/>
      <c r="F157" s="216"/>
      <c r="G157" s="216"/>
      <c r="H157" s="216" t="s">
        <v>234</v>
      </c>
      <c r="I157" s="217" t="s">
        <v>234</v>
      </c>
      <c r="J157" s="217"/>
      <c r="K157" s="216" t="s">
        <v>234</v>
      </c>
      <c r="L157" s="216"/>
      <c r="M157" s="217"/>
      <c r="N157" s="216"/>
      <c r="O157" s="217"/>
      <c r="P157" s="216"/>
      <c r="Q157" s="217"/>
      <c r="R157" s="217" t="s">
        <v>234</v>
      </c>
      <c r="S157" s="217"/>
      <c r="T157" s="217"/>
      <c r="U157" s="218">
        <f t="shared" si="226"/>
        <v>5</v>
      </c>
      <c r="V157" s="867" t="s">
        <v>487</v>
      </c>
      <c r="W157" s="219">
        <v>129855</v>
      </c>
      <c r="X157" s="220">
        <v>2.89</v>
      </c>
      <c r="Y157" s="221">
        <f t="shared" si="221"/>
        <v>1.0288999999999999</v>
      </c>
      <c r="Z157" s="199">
        <v>19</v>
      </c>
      <c r="AA157" s="221">
        <f t="shared" si="222"/>
        <v>1.7182651319612778</v>
      </c>
      <c r="AB157" s="199">
        <f t="shared" si="223"/>
        <v>223125.31871083172</v>
      </c>
      <c r="AC157">
        <v>17.600000000000001</v>
      </c>
      <c r="AD157" s="199">
        <f t="shared" si="224"/>
        <v>39270.056093106388</v>
      </c>
      <c r="AE157" s="199">
        <f t="shared" si="225"/>
        <v>37306.553288451069</v>
      </c>
      <c r="AF157" s="199">
        <f t="shared" si="205"/>
        <v>0</v>
      </c>
      <c r="AG157" s="614">
        <f t="shared" si="204"/>
        <v>1.7248912452202698E-3</v>
      </c>
      <c r="AH157" s="199">
        <f t="shared" si="238"/>
        <v>11156.265935541587</v>
      </c>
      <c r="AI157" s="252">
        <f t="shared" si="187"/>
        <v>8.6425901863245564E-4</v>
      </c>
      <c r="AJ157" s="199">
        <f t="shared" si="188"/>
        <v>50426.322028647977</v>
      </c>
      <c r="AK157" s="199">
        <f t="shared" si="209"/>
        <v>8925.0127484332697</v>
      </c>
      <c r="AL157" s="199">
        <f t="shared" si="210"/>
        <v>8925.0127484332697</v>
      </c>
      <c r="AM157" s="199">
        <f t="shared" si="189"/>
        <v>17850.025496866539</v>
      </c>
      <c r="AN157" s="645">
        <f t="shared" si="190"/>
        <v>8.6425901863245564E-4</v>
      </c>
      <c r="AO157" s="199">
        <v>10</v>
      </c>
      <c r="AP157" s="250">
        <f t="shared" si="191"/>
        <v>1.1362345188046814E-3</v>
      </c>
      <c r="AQ157" s="199">
        <v>10</v>
      </c>
      <c r="AU157" s="199">
        <v>0</v>
      </c>
      <c r="AW157" s="250">
        <f t="shared" si="192"/>
        <v>0</v>
      </c>
      <c r="AX157" s="199">
        <v>1</v>
      </c>
      <c r="AY157" s="199">
        <f t="shared" si="227"/>
        <v>16946.242473795592</v>
      </c>
      <c r="AZ157" s="199">
        <f t="shared" si="193"/>
        <v>16946.242473795592</v>
      </c>
      <c r="BA157" s="252">
        <f t="shared" si="194"/>
        <v>1.3320846278875381E-3</v>
      </c>
      <c r="BB157" s="284">
        <v>0</v>
      </c>
      <c r="BC157" s="199">
        <f t="shared" si="228"/>
        <v>0</v>
      </c>
      <c r="BD157" s="270">
        <f t="shared" si="207"/>
        <v>0</v>
      </c>
      <c r="BE157" s="199">
        <f t="shared" si="229"/>
        <v>0</v>
      </c>
      <c r="BF157" s="251">
        <f t="shared" si="208"/>
        <v>0</v>
      </c>
      <c r="BG157" s="204">
        <f t="shared" si="230"/>
        <v>0</v>
      </c>
      <c r="BH157" s="636">
        <v>0</v>
      </c>
      <c r="BI157" s="199">
        <f t="shared" si="195"/>
        <v>68276.347525514502</v>
      </c>
      <c r="BJ157" s="199">
        <f t="shared" si="196"/>
        <v>136552.695051029</v>
      </c>
      <c r="BK157" s="199">
        <f t="shared" si="203"/>
        <v>204829.04257654352</v>
      </c>
      <c r="BL157" s="251">
        <f t="shared" si="197"/>
        <v>8.6425901863245553E-4</v>
      </c>
      <c r="BM157" s="199">
        <f t="shared" si="231"/>
        <v>22578.699950478553</v>
      </c>
      <c r="BN157" s="251">
        <f t="shared" si="198"/>
        <v>9.7501848239172218E-4</v>
      </c>
      <c r="BT157" s="199">
        <f>'Detailed Budget'!$AD$12</f>
        <v>194045122715</v>
      </c>
      <c r="BU157" s="199">
        <f>'Detailed Budget'!$AD$24</f>
        <v>194045122715</v>
      </c>
      <c r="BV157" s="596">
        <f t="shared" si="232"/>
        <v>0</v>
      </c>
      <c r="BW157" s="278"/>
      <c r="BX157" s="275">
        <f t="shared" si="215"/>
        <v>0</v>
      </c>
      <c r="BY157" s="275">
        <f t="shared" si="216"/>
        <v>0</v>
      </c>
      <c r="CA157" s="199">
        <f>'Detailed Budget'!$AD$96</f>
        <v>71050111380.677719</v>
      </c>
      <c r="CB157" s="275">
        <f t="shared" si="199"/>
        <v>94644761.179898217</v>
      </c>
      <c r="CE157" s="199">
        <f>'Detailed Budget'!$AD$175</f>
        <v>4330586076.5988197</v>
      </c>
      <c r="CF157" s="275">
        <f t="shared" si="233"/>
        <v>0</v>
      </c>
      <c r="CG157" s="199">
        <f>'Detailed Budget'!$AD$176</f>
        <v>20662817754.37001</v>
      </c>
      <c r="CH157" s="275">
        <f t="shared" si="234"/>
        <v>0</v>
      </c>
      <c r="CI157" s="275">
        <f t="shared" si="211"/>
        <v>0</v>
      </c>
      <c r="CJ157" s="275">
        <f>'Detailed Budget'!$AD$178</f>
        <v>46025131033.061455</v>
      </c>
      <c r="CK157" s="275">
        <f t="shared" si="235"/>
        <v>0</v>
      </c>
      <c r="CL157" s="275">
        <f t="shared" si="206"/>
        <v>0</v>
      </c>
      <c r="CM157" s="278">
        <f>'Detailed Budget'!$AD$189</f>
        <v>77498869683.252869</v>
      </c>
      <c r="CN157" s="275">
        <f t="shared" si="200"/>
        <v>0</v>
      </c>
      <c r="CO157" s="140">
        <f>'Detailed Budget'!$AD$191</f>
        <v>2684962805.4134097</v>
      </c>
      <c r="CP157" s="616">
        <f t="shared" si="201"/>
        <v>0</v>
      </c>
      <c r="CQ157" s="616">
        <f t="shared" si="202"/>
        <v>0</v>
      </c>
      <c r="CR157" s="199">
        <f>'Detailed Budget'!$AD$195</f>
        <v>18734176418</v>
      </c>
      <c r="CS157" s="275">
        <f t="shared" si="236"/>
        <v>18266168.259937149</v>
      </c>
      <c r="CW157" s="278"/>
      <c r="DH157" s="140">
        <f>'Detailed Budget'!$AD$163</f>
        <v>4928560000</v>
      </c>
      <c r="DI157" s="616">
        <f t="shared" si="237"/>
        <v>5600000</v>
      </c>
    </row>
    <row r="158" spans="1:113" outlineLevel="1">
      <c r="A158" s="214" t="s">
        <v>492</v>
      </c>
      <c r="B158" s="215" t="s">
        <v>493</v>
      </c>
      <c r="C158" s="216" t="s">
        <v>234</v>
      </c>
      <c r="D158" s="229"/>
      <c r="E158" s="216"/>
      <c r="F158" s="216"/>
      <c r="G158" s="216"/>
      <c r="H158" s="216" t="s">
        <v>234</v>
      </c>
      <c r="I158" s="217" t="s">
        <v>234</v>
      </c>
      <c r="J158" s="217"/>
      <c r="K158" s="216" t="s">
        <v>234</v>
      </c>
      <c r="L158" s="216"/>
      <c r="M158" s="217"/>
      <c r="N158" s="216"/>
      <c r="O158" s="217"/>
      <c r="P158" s="216"/>
      <c r="Q158" s="217"/>
      <c r="R158" s="217" t="s">
        <v>234</v>
      </c>
      <c r="S158" s="217"/>
      <c r="T158" s="217"/>
      <c r="U158" s="218">
        <f t="shared" si="226"/>
        <v>5</v>
      </c>
      <c r="V158" s="867" t="s">
        <v>487</v>
      </c>
      <c r="W158" s="219">
        <v>147787</v>
      </c>
      <c r="X158" s="220">
        <v>2.89</v>
      </c>
      <c r="Y158" s="221">
        <f t="shared" si="221"/>
        <v>1.0288999999999999</v>
      </c>
      <c r="Z158" s="199">
        <v>19</v>
      </c>
      <c r="AA158" s="221">
        <f t="shared" si="222"/>
        <v>1.7182651319612778</v>
      </c>
      <c r="AB158" s="199">
        <f t="shared" si="223"/>
        <v>253937.24905716136</v>
      </c>
      <c r="AC158">
        <v>17.600000000000001</v>
      </c>
      <c r="AD158" s="199">
        <f t="shared" si="224"/>
        <v>44692.955834060405</v>
      </c>
      <c r="AE158" s="199">
        <f t="shared" si="225"/>
        <v>42458.308042357385</v>
      </c>
      <c r="AF158" s="199">
        <f t="shared" si="205"/>
        <v>0</v>
      </c>
      <c r="AG158" s="614">
        <f t="shared" si="204"/>
        <v>1.9630857684137539E-3</v>
      </c>
      <c r="AH158" s="199">
        <f t="shared" si="238"/>
        <v>12696.862452858069</v>
      </c>
      <c r="AI158" s="252">
        <f t="shared" si="187"/>
        <v>9.8360669659724098E-4</v>
      </c>
      <c r="AJ158" s="199">
        <f t="shared" si="188"/>
        <v>57389.818286918475</v>
      </c>
      <c r="AK158" s="199">
        <f t="shared" si="209"/>
        <v>10157.489962286454</v>
      </c>
      <c r="AL158" s="199">
        <f t="shared" si="210"/>
        <v>10157.489962286454</v>
      </c>
      <c r="AM158" s="199">
        <f t="shared" si="189"/>
        <v>20314.979924572908</v>
      </c>
      <c r="AN158" s="645">
        <f t="shared" si="190"/>
        <v>9.8360669659724076E-4</v>
      </c>
      <c r="AO158" s="199">
        <v>10</v>
      </c>
      <c r="AP158" s="250">
        <f t="shared" si="191"/>
        <v>1.1362345188046814E-3</v>
      </c>
      <c r="AQ158" s="199">
        <v>10</v>
      </c>
      <c r="AU158" s="199">
        <v>0</v>
      </c>
      <c r="AW158" s="250">
        <f t="shared" si="192"/>
        <v>0</v>
      </c>
      <c r="AX158" s="199">
        <v>1</v>
      </c>
      <c r="AY158" s="199">
        <f t="shared" si="227"/>
        <v>19286.391255437444</v>
      </c>
      <c r="AZ158" s="199">
        <f t="shared" si="193"/>
        <v>19286.391255437444</v>
      </c>
      <c r="BA158" s="252">
        <f t="shared" si="194"/>
        <v>1.5160355080791313E-3</v>
      </c>
      <c r="BB158" s="284">
        <v>0</v>
      </c>
      <c r="BC158" s="199">
        <f t="shared" si="228"/>
        <v>0</v>
      </c>
      <c r="BD158" s="270">
        <f t="shared" si="207"/>
        <v>0</v>
      </c>
      <c r="BE158" s="199">
        <f t="shared" si="229"/>
        <v>0</v>
      </c>
      <c r="BF158" s="251">
        <f t="shared" si="208"/>
        <v>0</v>
      </c>
      <c r="BG158" s="204">
        <f t="shared" si="230"/>
        <v>0</v>
      </c>
      <c r="BH158" s="636">
        <v>0</v>
      </c>
      <c r="BI158" s="199">
        <f t="shared" si="195"/>
        <v>77704.798211491376</v>
      </c>
      <c r="BJ158" s="199">
        <f t="shared" si="196"/>
        <v>155409.59642298275</v>
      </c>
      <c r="BK158" s="199">
        <f t="shared" si="203"/>
        <v>233114.39463447413</v>
      </c>
      <c r="BL158" s="251">
        <f t="shared" si="197"/>
        <v>9.8360669659724076E-4</v>
      </c>
      <c r="BM158" s="199">
        <f t="shared" si="231"/>
        <v>25696.648797361468</v>
      </c>
      <c r="BN158" s="251">
        <f t="shared" si="198"/>
        <v>1.10966121025163E-3</v>
      </c>
      <c r="BT158" s="199">
        <f>'Detailed Budget'!$AD$12</f>
        <v>194045122715</v>
      </c>
      <c r="BU158" s="199">
        <f>'Detailed Budget'!$AD$24</f>
        <v>194045122715</v>
      </c>
      <c r="BV158" s="596">
        <f t="shared" si="232"/>
        <v>0</v>
      </c>
      <c r="BW158" s="278"/>
      <c r="BX158" s="275">
        <f t="shared" si="215"/>
        <v>0</v>
      </c>
      <c r="BY158" s="275">
        <f t="shared" si="216"/>
        <v>0</v>
      </c>
      <c r="CA158" s="199">
        <f>'Detailed Budget'!$AD$96</f>
        <v>71050111380.677719</v>
      </c>
      <c r="CB158" s="275">
        <f t="shared" si="199"/>
        <v>107714491.70608461</v>
      </c>
      <c r="CE158" s="199">
        <f>'Detailed Budget'!$AD$175</f>
        <v>4330586076.5988197</v>
      </c>
      <c r="CF158" s="275">
        <f t="shared" si="233"/>
        <v>0</v>
      </c>
      <c r="CG158" s="199">
        <f>'Detailed Budget'!$AD$176</f>
        <v>20662817754.37001</v>
      </c>
      <c r="CH158" s="275">
        <f t="shared" si="234"/>
        <v>0</v>
      </c>
      <c r="CI158" s="275">
        <f t="shared" si="211"/>
        <v>0</v>
      </c>
      <c r="CJ158" s="275">
        <f>'Detailed Budget'!$AD$178</f>
        <v>46025131033.061455</v>
      </c>
      <c r="CK158" s="275">
        <f t="shared" si="235"/>
        <v>0</v>
      </c>
      <c r="CL158" s="275">
        <f t="shared" si="206"/>
        <v>0</v>
      </c>
      <c r="CM158" s="278">
        <f>'Detailed Budget'!$AD$189</f>
        <v>77498869683.252869</v>
      </c>
      <c r="CN158" s="275">
        <f t="shared" si="200"/>
        <v>0</v>
      </c>
      <c r="CO158" s="140">
        <f>'Detailed Budget'!$AD$191</f>
        <v>2684962805.4134097</v>
      </c>
      <c r="CP158" s="616">
        <f t="shared" si="201"/>
        <v>0</v>
      </c>
      <c r="CQ158" s="616">
        <f t="shared" si="202"/>
        <v>0</v>
      </c>
      <c r="CR158" s="199">
        <f>'Detailed Budget'!$AD$195</f>
        <v>18734176418</v>
      </c>
      <c r="CS158" s="275">
        <f t="shared" si="236"/>
        <v>20788588.877065428</v>
      </c>
      <c r="CW158" s="278"/>
      <c r="DH158" s="140">
        <f>'Detailed Budget'!$AD$163</f>
        <v>4928560000</v>
      </c>
      <c r="DI158" s="616">
        <f t="shared" si="237"/>
        <v>5600000</v>
      </c>
    </row>
    <row r="159" spans="1:113" outlineLevel="1">
      <c r="A159" s="214" t="s">
        <v>494</v>
      </c>
      <c r="B159" s="215" t="s">
        <v>495</v>
      </c>
      <c r="C159" s="216" t="s">
        <v>234</v>
      </c>
      <c r="D159" s="229"/>
      <c r="E159" s="216"/>
      <c r="F159" s="216"/>
      <c r="G159" s="216"/>
      <c r="H159" s="216" t="s">
        <v>234</v>
      </c>
      <c r="I159" s="217" t="s">
        <v>234</v>
      </c>
      <c r="J159" s="217"/>
      <c r="K159" s="216" t="s">
        <v>234</v>
      </c>
      <c r="L159" s="216"/>
      <c r="M159" s="217"/>
      <c r="N159" s="216"/>
      <c r="O159" s="217"/>
      <c r="P159" s="216"/>
      <c r="Q159" s="217"/>
      <c r="R159" s="217" t="s">
        <v>234</v>
      </c>
      <c r="S159" s="217"/>
      <c r="T159" s="217"/>
      <c r="U159" s="218">
        <f t="shared" si="226"/>
        <v>5</v>
      </c>
      <c r="V159" s="867" t="s">
        <v>487</v>
      </c>
      <c r="W159" s="219">
        <v>176505</v>
      </c>
      <c r="X159" s="220">
        <v>2.89</v>
      </c>
      <c r="Y159" s="221">
        <f t="shared" si="221"/>
        <v>1.0288999999999999</v>
      </c>
      <c r="Z159" s="199">
        <v>19</v>
      </c>
      <c r="AA159" s="221">
        <f t="shared" si="222"/>
        <v>1.7182651319612778</v>
      </c>
      <c r="AB159" s="199">
        <f t="shared" si="223"/>
        <v>303282.38711682532</v>
      </c>
      <c r="AC159">
        <v>17.600000000000001</v>
      </c>
      <c r="AD159" s="199">
        <f t="shared" si="224"/>
        <v>53377.700132561258</v>
      </c>
      <c r="AE159" s="199">
        <f t="shared" si="225"/>
        <v>50708.815125933193</v>
      </c>
      <c r="AF159" s="199">
        <f t="shared" si="205"/>
        <v>0</v>
      </c>
      <c r="AG159" s="614">
        <f t="shared" si="204"/>
        <v>2.3445529955535304E-3</v>
      </c>
      <c r="AH159" s="199">
        <f t="shared" si="238"/>
        <v>15164.119355841267</v>
      </c>
      <c r="AI159" s="252">
        <f t="shared" si="187"/>
        <v>1.1747413506120023E-3</v>
      </c>
      <c r="AJ159" s="199">
        <f t="shared" si="188"/>
        <v>68541.819488402529</v>
      </c>
      <c r="AK159" s="199">
        <f t="shared" si="209"/>
        <v>12131.295484673014</v>
      </c>
      <c r="AL159" s="199">
        <f t="shared" si="210"/>
        <v>12131.295484673014</v>
      </c>
      <c r="AM159" s="199">
        <f t="shared" si="189"/>
        <v>24262.590969346027</v>
      </c>
      <c r="AN159" s="645">
        <f t="shared" si="190"/>
        <v>1.1747413506120023E-3</v>
      </c>
      <c r="AO159" s="199">
        <v>10</v>
      </c>
      <c r="AP159" s="250">
        <f t="shared" si="191"/>
        <v>1.1362345188046814E-3</v>
      </c>
      <c r="AQ159" s="199">
        <v>10</v>
      </c>
      <c r="AU159" s="199">
        <v>0</v>
      </c>
      <c r="AW159" s="250">
        <f t="shared" si="192"/>
        <v>0</v>
      </c>
      <c r="AX159" s="199">
        <v>1</v>
      </c>
      <c r="AY159" s="199">
        <f t="shared" si="227"/>
        <v>23034.126740112362</v>
      </c>
      <c r="AZ159" s="199">
        <f t="shared" si="193"/>
        <v>23034.126740112362</v>
      </c>
      <c r="BA159" s="252">
        <f t="shared" si="194"/>
        <v>1.810631837397789E-3</v>
      </c>
      <c r="BB159" s="284">
        <v>0</v>
      </c>
      <c r="BC159" s="199">
        <f t="shared" si="228"/>
        <v>0</v>
      </c>
      <c r="BD159" s="270">
        <f t="shared" si="207"/>
        <v>0</v>
      </c>
      <c r="BE159" s="199">
        <f t="shared" si="229"/>
        <v>0</v>
      </c>
      <c r="BF159" s="251">
        <f t="shared" si="208"/>
        <v>0</v>
      </c>
      <c r="BG159" s="204">
        <f t="shared" si="230"/>
        <v>0</v>
      </c>
      <c r="BH159" s="636">
        <v>0</v>
      </c>
      <c r="BI159" s="199">
        <f t="shared" si="195"/>
        <v>92804.410457748556</v>
      </c>
      <c r="BJ159" s="199">
        <f t="shared" si="196"/>
        <v>185608.82091549711</v>
      </c>
      <c r="BK159" s="199">
        <f t="shared" si="203"/>
        <v>278413.23137324565</v>
      </c>
      <c r="BL159" s="251">
        <f t="shared" si="197"/>
        <v>1.1747413506120023E-3</v>
      </c>
      <c r="BM159" s="199">
        <f t="shared" si="231"/>
        <v>30690.026835772333</v>
      </c>
      <c r="BN159" s="251">
        <f t="shared" si="198"/>
        <v>1.3252908030846012E-3</v>
      </c>
      <c r="BT159" s="199">
        <f>'Detailed Budget'!$AD$12</f>
        <v>194045122715</v>
      </c>
      <c r="BU159" s="199">
        <f>'Detailed Budget'!$AD$24</f>
        <v>194045122715</v>
      </c>
      <c r="BV159" s="596">
        <f t="shared" si="232"/>
        <v>0</v>
      </c>
      <c r="BW159" s="278"/>
      <c r="BX159" s="275">
        <f t="shared" si="215"/>
        <v>0</v>
      </c>
      <c r="BY159" s="275">
        <f t="shared" si="216"/>
        <v>0</v>
      </c>
      <c r="CA159" s="199">
        <f>'Detailed Budget'!$AD$96</f>
        <v>71050111380.677719</v>
      </c>
      <c r="CB159" s="275">
        <f t="shared" si="199"/>
        <v>128645593.71651405</v>
      </c>
      <c r="CE159" s="199">
        <f>'Detailed Budget'!$AD$175</f>
        <v>4330586076.5988197</v>
      </c>
      <c r="CF159" s="275">
        <f t="shared" si="233"/>
        <v>0</v>
      </c>
      <c r="CG159" s="199">
        <f>'Detailed Budget'!$AD$176</f>
        <v>20662817754.37001</v>
      </c>
      <c r="CH159" s="275">
        <f t="shared" si="234"/>
        <v>0</v>
      </c>
      <c r="CI159" s="275">
        <f t="shared" si="211"/>
        <v>0</v>
      </c>
      <c r="CJ159" s="275">
        <f>'Detailed Budget'!$AD$178</f>
        <v>46025131033.061455</v>
      </c>
      <c r="CK159" s="275">
        <f t="shared" si="235"/>
        <v>0</v>
      </c>
      <c r="CL159" s="275">
        <f t="shared" si="206"/>
        <v>0</v>
      </c>
      <c r="CM159" s="278">
        <f>'Detailed Budget'!$AD$189</f>
        <v>77498869683.252869</v>
      </c>
      <c r="CN159" s="275">
        <f t="shared" si="200"/>
        <v>0</v>
      </c>
      <c r="CO159" s="140">
        <f>'Detailed Budget'!$AD$191</f>
        <v>2684962805.4134097</v>
      </c>
      <c r="CP159" s="616">
        <f t="shared" si="201"/>
        <v>0</v>
      </c>
      <c r="CQ159" s="616">
        <f t="shared" si="202"/>
        <v>0</v>
      </c>
      <c r="CR159" s="199">
        <f>'Detailed Budget'!$AD$195</f>
        <v>18734176418</v>
      </c>
      <c r="CS159" s="275">
        <f t="shared" si="236"/>
        <v>24828231.710139818</v>
      </c>
      <c r="CW159" s="278"/>
      <c r="DH159" s="140">
        <f>'Detailed Budget'!$AD$163</f>
        <v>4928560000</v>
      </c>
      <c r="DI159" s="616">
        <f t="shared" si="237"/>
        <v>5600000</v>
      </c>
    </row>
    <row r="160" spans="1:113" outlineLevel="1">
      <c r="A160" s="214" t="s">
        <v>496</v>
      </c>
      <c r="B160" s="215" t="s">
        <v>497</v>
      </c>
      <c r="C160" s="216" t="s">
        <v>234</v>
      </c>
      <c r="D160" s="229"/>
      <c r="E160" s="216"/>
      <c r="F160" s="216"/>
      <c r="G160" s="216"/>
      <c r="H160" s="216" t="s">
        <v>234</v>
      </c>
      <c r="I160" s="217" t="s">
        <v>234</v>
      </c>
      <c r="J160" s="217"/>
      <c r="K160" s="216" t="s">
        <v>234</v>
      </c>
      <c r="L160" s="216"/>
      <c r="M160" s="217"/>
      <c r="N160" s="216"/>
      <c r="O160" s="217"/>
      <c r="P160" s="216"/>
      <c r="Q160" s="217"/>
      <c r="R160" s="217" t="s">
        <v>234</v>
      </c>
      <c r="S160" s="217"/>
      <c r="T160" s="217"/>
      <c r="U160" s="218">
        <f t="shared" si="226"/>
        <v>5</v>
      </c>
      <c r="V160" s="867" t="s">
        <v>487</v>
      </c>
      <c r="W160" s="219">
        <v>169183</v>
      </c>
      <c r="X160" s="220">
        <v>2.89</v>
      </c>
      <c r="Y160" s="221">
        <f t="shared" si="221"/>
        <v>1.0288999999999999</v>
      </c>
      <c r="Z160" s="199">
        <v>19</v>
      </c>
      <c r="AA160" s="221">
        <f t="shared" si="222"/>
        <v>1.7182651319612778</v>
      </c>
      <c r="AB160" s="199">
        <f t="shared" si="223"/>
        <v>290701.24982060486</v>
      </c>
      <c r="AC160">
        <v>17.600000000000001</v>
      </c>
      <c r="AD160" s="199">
        <f t="shared" si="224"/>
        <v>51163.41996842646</v>
      </c>
      <c r="AE160" s="199">
        <f t="shared" si="225"/>
        <v>48605.248970005137</v>
      </c>
      <c r="AF160" s="199">
        <f t="shared" si="205"/>
        <v>0</v>
      </c>
      <c r="AG160" s="614">
        <f t="shared" si="204"/>
        <v>2.2472933313318773E-3</v>
      </c>
      <c r="AH160" s="199">
        <f t="shared" si="238"/>
        <v>14535.062491030243</v>
      </c>
      <c r="AI160" s="252">
        <f t="shared" si="187"/>
        <v>1.1260092684093391E-3</v>
      </c>
      <c r="AJ160" s="199">
        <f t="shared" si="188"/>
        <v>65698.482459456704</v>
      </c>
      <c r="AK160" s="199">
        <f t="shared" si="209"/>
        <v>11628.049992824195</v>
      </c>
      <c r="AL160" s="199">
        <f t="shared" si="210"/>
        <v>11628.049992824195</v>
      </c>
      <c r="AM160" s="199">
        <f t="shared" si="189"/>
        <v>23256.09998564839</v>
      </c>
      <c r="AN160" s="645">
        <f t="shared" si="190"/>
        <v>1.1260092684093391E-3</v>
      </c>
      <c r="AO160" s="199">
        <v>12</v>
      </c>
      <c r="AP160" s="250">
        <f t="shared" si="191"/>
        <v>1.3634814225656176E-3</v>
      </c>
      <c r="AQ160" s="199">
        <v>12</v>
      </c>
      <c r="AU160" s="199">
        <v>0</v>
      </c>
      <c r="AW160" s="250">
        <f t="shared" si="192"/>
        <v>0</v>
      </c>
      <c r="AX160" s="199">
        <v>1</v>
      </c>
      <c r="AY160" s="199">
        <f t="shared" si="227"/>
        <v>22078.596437905046</v>
      </c>
      <c r="AZ160" s="199">
        <f t="shared" si="193"/>
        <v>22078.596437905046</v>
      </c>
      <c r="BA160" s="252">
        <f t="shared" si="194"/>
        <v>1.7355209549104566E-3</v>
      </c>
      <c r="BB160" s="284">
        <v>0</v>
      </c>
      <c r="BC160" s="199">
        <f t="shared" si="228"/>
        <v>0</v>
      </c>
      <c r="BD160" s="270">
        <f t="shared" si="207"/>
        <v>0</v>
      </c>
      <c r="BE160" s="199">
        <f t="shared" si="229"/>
        <v>0</v>
      </c>
      <c r="BF160" s="251">
        <f t="shared" si="208"/>
        <v>0</v>
      </c>
      <c r="BG160" s="204">
        <f t="shared" si="230"/>
        <v>0</v>
      </c>
      <c r="BH160" s="636">
        <v>0</v>
      </c>
      <c r="BI160" s="199">
        <f t="shared" si="195"/>
        <v>88954.582445105101</v>
      </c>
      <c r="BJ160" s="199">
        <f t="shared" si="196"/>
        <v>177909.1648902102</v>
      </c>
      <c r="BK160" s="199">
        <f t="shared" si="203"/>
        <v>266863.74733531533</v>
      </c>
      <c r="BL160" s="251">
        <f t="shared" si="197"/>
        <v>1.1260092684093393E-3</v>
      </c>
      <c r="BM160" s="199">
        <f t="shared" si="231"/>
        <v>29416.904961085922</v>
      </c>
      <c r="BN160" s="251">
        <f t="shared" si="198"/>
        <v>1.2703134411957853E-3</v>
      </c>
      <c r="BT160" s="199">
        <f>'Detailed Budget'!$AD$12</f>
        <v>194045122715</v>
      </c>
      <c r="BU160" s="199">
        <f>'Detailed Budget'!$AD$24</f>
        <v>194045122715</v>
      </c>
      <c r="BV160" s="596">
        <f t="shared" si="232"/>
        <v>0</v>
      </c>
      <c r="BW160" s="278"/>
      <c r="BX160" s="275">
        <f t="shared" si="215"/>
        <v>0</v>
      </c>
      <c r="BY160" s="275">
        <f t="shared" si="216"/>
        <v>0</v>
      </c>
      <c r="CA160" s="199">
        <f>'Detailed Budget'!$AD$96</f>
        <v>71050111380.677719</v>
      </c>
      <c r="CB160" s="275">
        <f t="shared" si="199"/>
        <v>123308957.1498881</v>
      </c>
      <c r="CE160" s="199">
        <f>'Detailed Budget'!$AD$175</f>
        <v>4330586076.5988197</v>
      </c>
      <c r="CF160" s="275">
        <f t="shared" si="233"/>
        <v>0</v>
      </c>
      <c r="CG160" s="199">
        <f>'Detailed Budget'!$AD$176</f>
        <v>20662817754.37001</v>
      </c>
      <c r="CH160" s="275">
        <f t="shared" si="234"/>
        <v>0</v>
      </c>
      <c r="CI160" s="275">
        <f t="shared" si="211"/>
        <v>0</v>
      </c>
      <c r="CJ160" s="275">
        <f>'Detailed Budget'!$AD$178</f>
        <v>46025131033.061455</v>
      </c>
      <c r="CK160" s="275">
        <f t="shared" si="235"/>
        <v>0</v>
      </c>
      <c r="CL160" s="275">
        <f t="shared" si="206"/>
        <v>0</v>
      </c>
      <c r="CM160" s="278">
        <f>'Detailed Budget'!$AD$189</f>
        <v>77498869683.252869</v>
      </c>
      <c r="CN160" s="275">
        <f t="shared" si="200"/>
        <v>0</v>
      </c>
      <c r="CO160" s="140">
        <f>'Detailed Budget'!$AD$191</f>
        <v>2684962805.4134097</v>
      </c>
      <c r="CP160" s="616">
        <f t="shared" si="201"/>
        <v>0</v>
      </c>
      <c r="CQ160" s="616">
        <f t="shared" si="202"/>
        <v>0</v>
      </c>
      <c r="CR160" s="199">
        <f>'Detailed Budget'!$AD$195</f>
        <v>18734176418</v>
      </c>
      <c r="CS160" s="275">
        <f t="shared" si="236"/>
        <v>23798276.11351851</v>
      </c>
      <c r="CW160" s="278"/>
      <c r="DH160" s="140">
        <f>'Detailed Budget'!$AD$163</f>
        <v>4928560000</v>
      </c>
      <c r="DI160" s="616">
        <f t="shared" si="237"/>
        <v>6720000</v>
      </c>
    </row>
    <row r="161" spans="1:113" outlineLevel="1">
      <c r="A161" s="214" t="s">
        <v>498</v>
      </c>
      <c r="B161" s="215" t="s">
        <v>499</v>
      </c>
      <c r="C161" s="216" t="s">
        <v>234</v>
      </c>
      <c r="D161" s="229"/>
      <c r="E161" s="216"/>
      <c r="F161" s="216"/>
      <c r="G161" s="216"/>
      <c r="H161" s="216" t="s">
        <v>234</v>
      </c>
      <c r="I161" s="217" t="s">
        <v>234</v>
      </c>
      <c r="J161" s="217"/>
      <c r="K161" s="216" t="s">
        <v>234</v>
      </c>
      <c r="L161" s="216"/>
      <c r="M161" s="217"/>
      <c r="N161" s="216"/>
      <c r="O161" s="217"/>
      <c r="P161" s="216"/>
      <c r="Q161" s="217"/>
      <c r="R161" s="217" t="s">
        <v>234</v>
      </c>
      <c r="S161" s="217"/>
      <c r="T161" s="217"/>
      <c r="U161" s="218">
        <f t="shared" si="226"/>
        <v>5</v>
      </c>
      <c r="V161" s="867" t="s">
        <v>487</v>
      </c>
      <c r="W161" s="219">
        <v>168445</v>
      </c>
      <c r="X161" s="220">
        <v>2.89</v>
      </c>
      <c r="Y161" s="221">
        <f t="shared" si="221"/>
        <v>1.0288999999999999</v>
      </c>
      <c r="Z161" s="199">
        <v>19</v>
      </c>
      <c r="AA161" s="221">
        <f t="shared" si="222"/>
        <v>1.7182651319612778</v>
      </c>
      <c r="AB161" s="199">
        <f t="shared" si="223"/>
        <v>289433.17015321745</v>
      </c>
      <c r="AC161">
        <v>17.600000000000001</v>
      </c>
      <c r="AD161" s="199">
        <f t="shared" si="224"/>
        <v>50940.23794696627</v>
      </c>
      <c r="AE161" s="199">
        <f t="shared" si="225"/>
        <v>48393.226049617952</v>
      </c>
      <c r="AF161" s="199">
        <f t="shared" si="205"/>
        <v>0</v>
      </c>
      <c r="AG161" s="614">
        <f t="shared" si="204"/>
        <v>2.2374903222912349E-3</v>
      </c>
      <c r="AH161" s="199">
        <f t="shared" si="238"/>
        <v>14471.658507660874</v>
      </c>
      <c r="AI161" s="252">
        <f t="shared" si="187"/>
        <v>1.1210974578841322E-3</v>
      </c>
      <c r="AJ161" s="199">
        <f t="shared" si="188"/>
        <v>65411.896454627145</v>
      </c>
      <c r="AK161" s="199">
        <f t="shared" si="209"/>
        <v>11577.326806128698</v>
      </c>
      <c r="AL161" s="199">
        <f t="shared" si="210"/>
        <v>11577.326806128698</v>
      </c>
      <c r="AM161" s="199">
        <f t="shared" si="189"/>
        <v>23154.653612257396</v>
      </c>
      <c r="AN161" s="645">
        <f t="shared" si="190"/>
        <v>1.1210974578841322E-3</v>
      </c>
      <c r="AO161" s="199">
        <v>11</v>
      </c>
      <c r="AP161" s="250">
        <f t="shared" si="191"/>
        <v>1.2498579706851495E-3</v>
      </c>
      <c r="AQ161" s="199">
        <v>11</v>
      </c>
      <c r="AU161" s="199">
        <v>0</v>
      </c>
      <c r="AW161" s="250">
        <f t="shared" si="192"/>
        <v>0</v>
      </c>
      <c r="AX161" s="199">
        <v>1</v>
      </c>
      <c r="AY161" s="199">
        <f t="shared" si="227"/>
        <v>21982.286500315724</v>
      </c>
      <c r="AZ161" s="199">
        <f t="shared" si="193"/>
        <v>21982.286500315724</v>
      </c>
      <c r="BA161" s="252">
        <f t="shared" si="194"/>
        <v>1.7279503688307446E-3</v>
      </c>
      <c r="BB161" s="284">
        <v>0</v>
      </c>
      <c r="BC161" s="199">
        <f t="shared" si="228"/>
        <v>0</v>
      </c>
      <c r="BD161" s="270">
        <f t="shared" si="207"/>
        <v>0</v>
      </c>
      <c r="BE161" s="199">
        <f t="shared" si="229"/>
        <v>0</v>
      </c>
      <c r="BF161" s="251">
        <f t="shared" si="208"/>
        <v>0</v>
      </c>
      <c r="BG161" s="204">
        <f t="shared" si="230"/>
        <v>0</v>
      </c>
      <c r="BH161" s="636">
        <v>0</v>
      </c>
      <c r="BI161" s="199">
        <f t="shared" si="195"/>
        <v>88566.550066884549</v>
      </c>
      <c r="BJ161" s="199">
        <f t="shared" si="196"/>
        <v>177133.1001337691</v>
      </c>
      <c r="BK161" s="199">
        <f t="shared" si="203"/>
        <v>265699.65020065365</v>
      </c>
      <c r="BL161" s="251">
        <f t="shared" si="197"/>
        <v>1.1210974578841322E-3</v>
      </c>
      <c r="BM161" s="199">
        <f t="shared" si="231"/>
        <v>29288.584291389318</v>
      </c>
      <c r="BN161" s="251">
        <f t="shared" si="198"/>
        <v>1.2647721556079752E-3</v>
      </c>
      <c r="BT161" s="199">
        <f>'Detailed Budget'!$AD$12</f>
        <v>194045122715</v>
      </c>
      <c r="BU161" s="199">
        <f>'Detailed Budget'!$AD$24</f>
        <v>194045122715</v>
      </c>
      <c r="BV161" s="596">
        <f t="shared" si="232"/>
        <v>0</v>
      </c>
      <c r="BW161" s="278"/>
      <c r="BX161" s="275">
        <f t="shared" si="215"/>
        <v>0</v>
      </c>
      <c r="BY161" s="275">
        <f t="shared" si="216"/>
        <v>0</v>
      </c>
      <c r="CA161" s="199">
        <f>'Detailed Budget'!$AD$96</f>
        <v>71050111380.677719</v>
      </c>
      <c r="CB161" s="275">
        <f t="shared" si="199"/>
        <v>122771066.16570754</v>
      </c>
      <c r="CE161" s="199">
        <f>'Detailed Budget'!$AD$175</f>
        <v>4330586076.5988197</v>
      </c>
      <c r="CF161" s="275">
        <f t="shared" si="233"/>
        <v>0</v>
      </c>
      <c r="CG161" s="199">
        <f>'Detailed Budget'!$AD$176</f>
        <v>20662817754.37001</v>
      </c>
      <c r="CH161" s="275">
        <f t="shared" si="234"/>
        <v>0</v>
      </c>
      <c r="CI161" s="275">
        <f t="shared" si="211"/>
        <v>0</v>
      </c>
      <c r="CJ161" s="275">
        <f>'Detailed Budget'!$AD$178</f>
        <v>46025131033.061455</v>
      </c>
      <c r="CK161" s="275">
        <f t="shared" si="235"/>
        <v>0</v>
      </c>
      <c r="CL161" s="275">
        <f t="shared" si="206"/>
        <v>0</v>
      </c>
      <c r="CM161" s="278">
        <f>'Detailed Budget'!$AD$189</f>
        <v>77498869683.252869</v>
      </c>
      <c r="CN161" s="275">
        <f t="shared" si="200"/>
        <v>0</v>
      </c>
      <c r="CO161" s="140">
        <f>'Detailed Budget'!$AD$191</f>
        <v>2684962805.4134097</v>
      </c>
      <c r="CP161" s="616">
        <f t="shared" si="201"/>
        <v>0</v>
      </c>
      <c r="CQ161" s="616">
        <f t="shared" si="202"/>
        <v>0</v>
      </c>
      <c r="CR161" s="199">
        <f>'Detailed Budget'!$AD$195</f>
        <v>18734176418</v>
      </c>
      <c r="CS161" s="275">
        <f t="shared" si="236"/>
        <v>23694464.691733956</v>
      </c>
      <c r="CW161" s="278"/>
      <c r="DH161" s="140">
        <f>'Detailed Budget'!$AD$163</f>
        <v>4928560000</v>
      </c>
      <c r="DI161" s="616">
        <f t="shared" si="237"/>
        <v>6160000</v>
      </c>
    </row>
    <row r="162" spans="1:113" outlineLevel="1">
      <c r="A162" s="214" t="s">
        <v>500</v>
      </c>
      <c r="B162" s="215" t="s">
        <v>501</v>
      </c>
      <c r="C162" s="216" t="s">
        <v>234</v>
      </c>
      <c r="D162" s="229"/>
      <c r="E162" s="216"/>
      <c r="F162" s="216"/>
      <c r="G162" s="216"/>
      <c r="H162" s="216" t="s">
        <v>234</v>
      </c>
      <c r="I162" s="217" t="s">
        <v>234</v>
      </c>
      <c r="J162" s="217"/>
      <c r="K162" s="216" t="s">
        <v>234</v>
      </c>
      <c r="L162" s="216"/>
      <c r="M162" s="217"/>
      <c r="N162" s="216"/>
      <c r="O162" s="217"/>
      <c r="P162" s="216"/>
      <c r="Q162" s="217"/>
      <c r="R162" s="217" t="s">
        <v>234</v>
      </c>
      <c r="S162" s="217"/>
      <c r="T162" s="217"/>
      <c r="U162" s="218">
        <f t="shared" si="226"/>
        <v>5</v>
      </c>
      <c r="V162" s="867" t="s">
        <v>487</v>
      </c>
      <c r="W162" s="219">
        <v>111254</v>
      </c>
      <c r="X162" s="220">
        <v>2.89</v>
      </c>
      <c r="Y162" s="221">
        <f t="shared" si="221"/>
        <v>1.0288999999999999</v>
      </c>
      <c r="Z162" s="199">
        <v>19</v>
      </c>
      <c r="AA162" s="221">
        <f t="shared" si="222"/>
        <v>1.7182651319612778</v>
      </c>
      <c r="AB162" s="199">
        <f t="shared" si="223"/>
        <v>191163.86899121999</v>
      </c>
      <c r="AC162">
        <v>17.600000000000001</v>
      </c>
      <c r="AD162" s="199">
        <f t="shared" si="224"/>
        <v>33644.840942454721</v>
      </c>
      <c r="AE162" s="199">
        <f t="shared" si="225"/>
        <v>31962.598895331983</v>
      </c>
      <c r="AF162" s="199">
        <f t="shared" si="205"/>
        <v>0</v>
      </c>
      <c r="AG162" s="614">
        <f t="shared" si="204"/>
        <v>1.4778102544818134E-3</v>
      </c>
      <c r="AH162" s="199">
        <f t="shared" si="238"/>
        <v>9558.1934495610003</v>
      </c>
      <c r="AI162" s="252">
        <f t="shared" si="187"/>
        <v>7.4045876445986069E-4</v>
      </c>
      <c r="AJ162" s="199">
        <f t="shared" si="188"/>
        <v>43203.034392015717</v>
      </c>
      <c r="AK162" s="199">
        <f t="shared" si="209"/>
        <v>7646.5547596487995</v>
      </c>
      <c r="AL162" s="199">
        <f t="shared" si="210"/>
        <v>7646.5547596487995</v>
      </c>
      <c r="AM162" s="199">
        <f t="shared" si="189"/>
        <v>15293.109519297599</v>
      </c>
      <c r="AN162" s="645">
        <f t="shared" si="190"/>
        <v>7.4045876445986058E-4</v>
      </c>
      <c r="AO162" s="199">
        <v>10</v>
      </c>
      <c r="AP162" s="250">
        <f t="shared" si="191"/>
        <v>1.1362345188046814E-3</v>
      </c>
      <c r="AQ162" s="199">
        <v>10</v>
      </c>
      <c r="AU162" s="199">
        <v>0</v>
      </c>
      <c r="AW162" s="250">
        <f t="shared" si="192"/>
        <v>0</v>
      </c>
      <c r="AX162" s="199">
        <v>1</v>
      </c>
      <c r="AY162" s="199">
        <f t="shared" si="227"/>
        <v>14518.788342225209</v>
      </c>
      <c r="AZ162" s="199">
        <f t="shared" si="193"/>
        <v>14518.788342225209</v>
      </c>
      <c r="BA162" s="252">
        <f t="shared" si="194"/>
        <v>1.1412709806399456E-3</v>
      </c>
      <c r="BB162" s="284">
        <v>0</v>
      </c>
      <c r="BC162" s="199">
        <f t="shared" si="228"/>
        <v>0</v>
      </c>
      <c r="BD162" s="270">
        <f t="shared" si="207"/>
        <v>0</v>
      </c>
      <c r="BE162" s="199">
        <f t="shared" si="229"/>
        <v>0</v>
      </c>
      <c r="BF162" s="251">
        <f t="shared" si="208"/>
        <v>0</v>
      </c>
      <c r="BG162" s="204">
        <f t="shared" si="230"/>
        <v>0</v>
      </c>
      <c r="BH162" s="636">
        <v>0</v>
      </c>
      <c r="BI162" s="199">
        <f t="shared" si="195"/>
        <v>58496.143911313309</v>
      </c>
      <c r="BJ162" s="199">
        <f t="shared" si="196"/>
        <v>116992.28782262662</v>
      </c>
      <c r="BK162" s="199">
        <f t="shared" si="203"/>
        <v>175488.43173393991</v>
      </c>
      <c r="BL162" s="251">
        <f t="shared" si="197"/>
        <v>7.4045876445986048E-4</v>
      </c>
      <c r="BM162" s="199">
        <f t="shared" si="231"/>
        <v>19344.427894886918</v>
      </c>
      <c r="BN162" s="251">
        <f t="shared" si="198"/>
        <v>8.3535255662091292E-4</v>
      </c>
      <c r="BT162" s="199">
        <f>'Detailed Budget'!$AD$12</f>
        <v>194045122715</v>
      </c>
      <c r="BU162" s="199">
        <f>'Detailed Budget'!$AD$24</f>
        <v>194045122715</v>
      </c>
      <c r="BV162" s="596">
        <f t="shared" si="232"/>
        <v>0</v>
      </c>
      <c r="BW162" s="278"/>
      <c r="BX162" s="275">
        <f t="shared" si="215"/>
        <v>0</v>
      </c>
      <c r="BY162" s="275">
        <f t="shared" si="216"/>
        <v>0</v>
      </c>
      <c r="CA162" s="199">
        <f>'Detailed Budget'!$AD$96</f>
        <v>71050111380.677719</v>
      </c>
      <c r="CB162" s="275">
        <f t="shared" si="199"/>
        <v>81087430.290003419</v>
      </c>
      <c r="CE162" s="199">
        <f>'Detailed Budget'!$AD$175</f>
        <v>4330586076.5988197</v>
      </c>
      <c r="CF162" s="275">
        <f t="shared" si="233"/>
        <v>0</v>
      </c>
      <c r="CG162" s="199">
        <f>'Detailed Budget'!$AD$176</f>
        <v>20662817754.37001</v>
      </c>
      <c r="CH162" s="275">
        <f t="shared" si="234"/>
        <v>0</v>
      </c>
      <c r="CI162" s="275">
        <f t="shared" si="211"/>
        <v>0</v>
      </c>
      <c r="CJ162" s="275">
        <f>'Detailed Budget'!$AD$178</f>
        <v>46025131033.061455</v>
      </c>
      <c r="CK162" s="275">
        <f t="shared" si="235"/>
        <v>0</v>
      </c>
      <c r="CL162" s="275">
        <f t="shared" si="206"/>
        <v>0</v>
      </c>
      <c r="CM162" s="278">
        <f>'Detailed Budget'!$AD$189</f>
        <v>77498869683.252869</v>
      </c>
      <c r="CN162" s="275">
        <f t="shared" si="200"/>
        <v>0</v>
      </c>
      <c r="CO162" s="140">
        <f>'Detailed Budget'!$AD$191</f>
        <v>2684962805.4134097</v>
      </c>
      <c r="CP162" s="616">
        <f t="shared" si="201"/>
        <v>0</v>
      </c>
      <c r="CQ162" s="616">
        <f t="shared" si="202"/>
        <v>0</v>
      </c>
      <c r="CR162" s="199">
        <f>'Detailed Budget'!$AD$195</f>
        <v>18734176418</v>
      </c>
      <c r="CS162" s="275">
        <f t="shared" si="236"/>
        <v>15649642.166963516</v>
      </c>
      <c r="CW162" s="278"/>
      <c r="DH162" s="140">
        <f>'Detailed Budget'!$AD$163</f>
        <v>4928560000</v>
      </c>
      <c r="DI162" s="616">
        <f t="shared" si="237"/>
        <v>5600000</v>
      </c>
    </row>
    <row r="163" spans="1:113" outlineLevel="1">
      <c r="A163" s="214" t="s">
        <v>502</v>
      </c>
      <c r="B163" s="215" t="s">
        <v>503</v>
      </c>
      <c r="C163" s="216" t="s">
        <v>234</v>
      </c>
      <c r="D163" s="229"/>
      <c r="E163" s="216"/>
      <c r="F163" s="216"/>
      <c r="G163" s="216"/>
      <c r="H163" s="216" t="s">
        <v>234</v>
      </c>
      <c r="I163" s="217" t="s">
        <v>234</v>
      </c>
      <c r="J163" s="217"/>
      <c r="K163" s="216" t="s">
        <v>234</v>
      </c>
      <c r="L163" s="216"/>
      <c r="M163" s="217"/>
      <c r="N163" s="216"/>
      <c r="O163" s="217"/>
      <c r="P163" s="216"/>
      <c r="Q163" s="217"/>
      <c r="R163" s="217" t="s">
        <v>234</v>
      </c>
      <c r="S163" s="217"/>
      <c r="T163" s="217"/>
      <c r="U163" s="218">
        <f t="shared" si="226"/>
        <v>5</v>
      </c>
      <c r="V163" s="867" t="s">
        <v>487</v>
      </c>
      <c r="W163" s="219">
        <v>135142</v>
      </c>
      <c r="X163" s="220">
        <v>2.89</v>
      </c>
      <c r="Y163" s="221">
        <f t="shared" si="221"/>
        <v>1.0288999999999999</v>
      </c>
      <c r="Z163" s="199">
        <v>19</v>
      </c>
      <c r="AA163" s="221">
        <f t="shared" si="222"/>
        <v>1.7182651319612778</v>
      </c>
      <c r="AB163" s="199">
        <f t="shared" si="223"/>
        <v>232209.786463511</v>
      </c>
      <c r="AC163">
        <v>17.600000000000001</v>
      </c>
      <c r="AD163" s="199">
        <f t="shared" si="224"/>
        <v>40868.922417577938</v>
      </c>
      <c r="AE163" s="199">
        <f t="shared" si="225"/>
        <v>38825.476296699038</v>
      </c>
      <c r="AF163" s="199">
        <f t="shared" si="205"/>
        <v>0</v>
      </c>
      <c r="AG163" s="614">
        <f t="shared" si="204"/>
        <v>1.7951195769247059E-3</v>
      </c>
      <c r="AH163" s="199">
        <f t="shared" si="238"/>
        <v>11610.48932317555</v>
      </c>
      <c r="AI163" s="252">
        <f t="shared" si="187"/>
        <v>8.9944701625680422E-4</v>
      </c>
      <c r="AJ163" s="199">
        <f t="shared" si="188"/>
        <v>52479.411740753487</v>
      </c>
      <c r="AK163" s="199">
        <f t="shared" si="209"/>
        <v>9288.39145854044</v>
      </c>
      <c r="AL163" s="199">
        <f t="shared" si="210"/>
        <v>9288.39145854044</v>
      </c>
      <c r="AM163" s="199">
        <f t="shared" si="189"/>
        <v>18576.78291708088</v>
      </c>
      <c r="AN163" s="645">
        <f t="shared" si="190"/>
        <v>8.9944701625680411E-4</v>
      </c>
      <c r="AO163" s="199">
        <v>10</v>
      </c>
      <c r="AP163" s="250">
        <f t="shared" si="191"/>
        <v>1.1362345188046814E-3</v>
      </c>
      <c r="AQ163" s="199">
        <v>10</v>
      </c>
      <c r="AU163" s="199">
        <v>0</v>
      </c>
      <c r="AW163" s="250">
        <f t="shared" si="192"/>
        <v>0</v>
      </c>
      <c r="AX163" s="199">
        <v>1</v>
      </c>
      <c r="AY163" s="199">
        <f t="shared" si="227"/>
        <v>17636.202690644823</v>
      </c>
      <c r="AZ163" s="199">
        <f t="shared" si="193"/>
        <v>17636.202690644823</v>
      </c>
      <c r="BA163" s="252">
        <f t="shared" si="194"/>
        <v>1.3863199782986994E-3</v>
      </c>
      <c r="BB163" s="284">
        <v>0</v>
      </c>
      <c r="BC163" s="199">
        <f t="shared" si="228"/>
        <v>0</v>
      </c>
      <c r="BD163" s="270">
        <f t="shared" si="207"/>
        <v>0</v>
      </c>
      <c r="BE163" s="199">
        <f t="shared" si="229"/>
        <v>0</v>
      </c>
      <c r="BF163" s="251">
        <f t="shared" si="208"/>
        <v>0</v>
      </c>
      <c r="BG163" s="204">
        <f t="shared" si="230"/>
        <v>0</v>
      </c>
      <c r="BH163" s="636">
        <v>0</v>
      </c>
      <c r="BI163" s="199">
        <f t="shared" si="195"/>
        <v>71056.194657834363</v>
      </c>
      <c r="BJ163" s="199">
        <f t="shared" si="196"/>
        <v>142112.38931566873</v>
      </c>
      <c r="BK163" s="199">
        <f t="shared" si="203"/>
        <v>213168.58397350309</v>
      </c>
      <c r="BL163" s="251">
        <f t="shared" si="197"/>
        <v>8.9944701625680411E-4</v>
      </c>
      <c r="BM163" s="199">
        <f t="shared" si="231"/>
        <v>23497.98366414518</v>
      </c>
      <c r="BN163" s="251">
        <f t="shared" si="198"/>
        <v>1.0147160120702484E-3</v>
      </c>
      <c r="BT163" s="199">
        <f>'Detailed Budget'!$AD$12</f>
        <v>194045122715</v>
      </c>
      <c r="BU163" s="199">
        <f>'Detailed Budget'!$AD$24</f>
        <v>194045122715</v>
      </c>
      <c r="BV163" s="596">
        <f t="shared" si="232"/>
        <v>0</v>
      </c>
      <c r="BW163" s="278"/>
      <c r="BX163" s="275">
        <f t="shared" si="215"/>
        <v>0</v>
      </c>
      <c r="BY163" s="275">
        <f t="shared" si="216"/>
        <v>0</v>
      </c>
      <c r="CA163" s="199">
        <f>'Detailed Budget'!$AD$96</f>
        <v>71050111380.677719</v>
      </c>
      <c r="CB163" s="275">
        <f t="shared" si="199"/>
        <v>98498188.867381319</v>
      </c>
      <c r="CE163" s="199">
        <f>'Detailed Budget'!$AD$175</f>
        <v>4330586076.5988197</v>
      </c>
      <c r="CF163" s="275">
        <f t="shared" si="233"/>
        <v>0</v>
      </c>
      <c r="CG163" s="199">
        <f>'Detailed Budget'!$AD$176</f>
        <v>20662817754.37001</v>
      </c>
      <c r="CH163" s="275">
        <f t="shared" si="234"/>
        <v>0</v>
      </c>
      <c r="CI163" s="275">
        <f t="shared" si="211"/>
        <v>0</v>
      </c>
      <c r="CJ163" s="275">
        <f>'Detailed Budget'!$AD$178</f>
        <v>46025131033.061455</v>
      </c>
      <c r="CK163" s="275">
        <f t="shared" si="235"/>
        <v>0</v>
      </c>
      <c r="CL163" s="275">
        <f t="shared" si="206"/>
        <v>0</v>
      </c>
      <c r="CM163" s="278">
        <f>'Detailed Budget'!$AD$189</f>
        <v>77498869683.252869</v>
      </c>
      <c r="CN163" s="275">
        <f t="shared" si="200"/>
        <v>0</v>
      </c>
      <c r="CO163" s="140">
        <f>'Detailed Budget'!$AD$191</f>
        <v>2684962805.4134097</v>
      </c>
      <c r="CP163" s="616">
        <f t="shared" si="201"/>
        <v>0</v>
      </c>
      <c r="CQ163" s="616">
        <f t="shared" si="202"/>
        <v>0</v>
      </c>
      <c r="CR163" s="199">
        <f>'Detailed Budget'!$AD$195</f>
        <v>18734176418</v>
      </c>
      <c r="CS163" s="275">
        <f t="shared" si="236"/>
        <v>19009868.78429345</v>
      </c>
      <c r="CW163" s="278"/>
      <c r="DH163" s="140">
        <f>'Detailed Budget'!$AD$163</f>
        <v>4928560000</v>
      </c>
      <c r="DI163" s="616">
        <f t="shared" si="237"/>
        <v>5600000</v>
      </c>
    </row>
    <row r="164" spans="1:113" outlineLevel="1">
      <c r="A164" s="214" t="s">
        <v>504</v>
      </c>
      <c r="B164" s="215" t="s">
        <v>505</v>
      </c>
      <c r="C164" s="216" t="s">
        <v>234</v>
      </c>
      <c r="D164" s="229"/>
      <c r="E164" s="216"/>
      <c r="F164" s="216"/>
      <c r="G164" s="216"/>
      <c r="H164" s="216" t="s">
        <v>234</v>
      </c>
      <c r="I164" s="217" t="s">
        <v>234</v>
      </c>
      <c r="J164" s="217"/>
      <c r="K164" s="216" t="s">
        <v>234</v>
      </c>
      <c r="L164" s="216"/>
      <c r="M164" s="217"/>
      <c r="N164" s="216"/>
      <c r="O164" s="217"/>
      <c r="P164" s="216"/>
      <c r="Q164" s="217"/>
      <c r="R164" s="217" t="s">
        <v>234</v>
      </c>
      <c r="S164" s="217"/>
      <c r="T164" s="217"/>
      <c r="U164" s="218">
        <f t="shared" si="226"/>
        <v>5</v>
      </c>
      <c r="V164" s="867" t="s">
        <v>487</v>
      </c>
      <c r="W164" s="219">
        <v>110175</v>
      </c>
      <c r="X164" s="220">
        <v>2.89</v>
      </c>
      <c r="Y164" s="221">
        <f t="shared" si="221"/>
        <v>1.0288999999999999</v>
      </c>
      <c r="Z164" s="199">
        <v>19</v>
      </c>
      <c r="AA164" s="221">
        <f t="shared" si="222"/>
        <v>1.7182651319612778</v>
      </c>
      <c r="AB164" s="199">
        <f t="shared" si="223"/>
        <v>189309.86091383378</v>
      </c>
      <c r="AC164">
        <v>17.600000000000001</v>
      </c>
      <c r="AD164" s="199">
        <f t="shared" si="224"/>
        <v>33318.535520834746</v>
      </c>
      <c r="AE164" s="199">
        <f t="shared" si="225"/>
        <v>31652.608744793008</v>
      </c>
      <c r="AF164" s="199">
        <f t="shared" si="205"/>
        <v>0</v>
      </c>
      <c r="AG164" s="614">
        <f t="shared" si="204"/>
        <v>1.4634776708031512E-3</v>
      </c>
      <c r="AH164" s="199">
        <f t="shared" si="238"/>
        <v>9465.49304569169</v>
      </c>
      <c r="AI164" s="252">
        <f t="shared" si="187"/>
        <v>7.3327740462693618E-4</v>
      </c>
      <c r="AJ164" s="199">
        <f t="shared" si="188"/>
        <v>42784.028566526438</v>
      </c>
      <c r="AK164" s="199">
        <f t="shared" si="209"/>
        <v>7572.3944365533516</v>
      </c>
      <c r="AL164" s="199">
        <f t="shared" si="210"/>
        <v>7572.3944365533516</v>
      </c>
      <c r="AM164" s="199">
        <f t="shared" si="189"/>
        <v>15144.788873106703</v>
      </c>
      <c r="AN164" s="645">
        <f t="shared" si="190"/>
        <v>7.3327740462693618E-4</v>
      </c>
      <c r="AO164" s="199">
        <v>10</v>
      </c>
      <c r="AP164" s="250">
        <f t="shared" si="191"/>
        <v>1.1362345188046814E-3</v>
      </c>
      <c r="AQ164" s="199">
        <v>10</v>
      </c>
      <c r="AU164" s="199">
        <v>0</v>
      </c>
      <c r="AW164" s="250">
        <f t="shared" si="192"/>
        <v>0</v>
      </c>
      <c r="AX164" s="199">
        <v>1</v>
      </c>
      <c r="AY164" s="199">
        <f t="shared" si="227"/>
        <v>14377.977471413726</v>
      </c>
      <c r="AZ164" s="199">
        <f t="shared" si="193"/>
        <v>14377.977471413726</v>
      </c>
      <c r="BA164" s="252">
        <f t="shared" si="194"/>
        <v>1.1302023324285511E-3</v>
      </c>
      <c r="BB164" s="284">
        <v>0</v>
      </c>
      <c r="BC164" s="199">
        <f t="shared" si="228"/>
        <v>0</v>
      </c>
      <c r="BD164" s="270">
        <f t="shared" si="207"/>
        <v>0</v>
      </c>
      <c r="BE164" s="199">
        <f t="shared" si="229"/>
        <v>0</v>
      </c>
      <c r="BF164" s="251">
        <f t="shared" si="208"/>
        <v>0</v>
      </c>
      <c r="BG164" s="204">
        <f t="shared" si="230"/>
        <v>0</v>
      </c>
      <c r="BH164" s="636">
        <v>0</v>
      </c>
      <c r="BI164" s="199">
        <f t="shared" si="195"/>
        <v>57928.817439633145</v>
      </c>
      <c r="BJ164" s="199">
        <f t="shared" si="196"/>
        <v>115857.63487926629</v>
      </c>
      <c r="BK164" s="199">
        <f t="shared" si="203"/>
        <v>173786.45231889945</v>
      </c>
      <c r="BL164" s="251">
        <f t="shared" si="197"/>
        <v>7.3327740462693629E-4</v>
      </c>
      <c r="BM164" s="199">
        <f t="shared" si="231"/>
        <v>19156.815425235643</v>
      </c>
      <c r="BN164" s="251">
        <f t="shared" si="198"/>
        <v>8.2725086671678403E-4</v>
      </c>
      <c r="BT164" s="199">
        <f>'Detailed Budget'!$AD$12</f>
        <v>194045122715</v>
      </c>
      <c r="BU164" s="199">
        <f>'Detailed Budget'!$AD$24</f>
        <v>194045122715</v>
      </c>
      <c r="BV164" s="596">
        <f t="shared" si="232"/>
        <v>0</v>
      </c>
      <c r="BW164" s="278"/>
      <c r="BX164" s="275">
        <f t="shared" si="215"/>
        <v>0</v>
      </c>
      <c r="BY164" s="275">
        <f t="shared" si="216"/>
        <v>0</v>
      </c>
      <c r="CA164" s="199">
        <f>'Detailed Budget'!$AD$96</f>
        <v>71050111380.677719</v>
      </c>
      <c r="CB164" s="275">
        <f t="shared" si="199"/>
        <v>80301001.601750299</v>
      </c>
      <c r="CE164" s="199">
        <f>'Detailed Budget'!$AD$175</f>
        <v>4330586076.5988197</v>
      </c>
      <c r="CF164" s="275">
        <f t="shared" si="233"/>
        <v>0</v>
      </c>
      <c r="CG164" s="199">
        <f>'Detailed Budget'!$AD$176</f>
        <v>20662817754.37001</v>
      </c>
      <c r="CH164" s="275">
        <f t="shared" si="234"/>
        <v>0</v>
      </c>
      <c r="CI164" s="275">
        <f t="shared" si="211"/>
        <v>0</v>
      </c>
      <c r="CJ164" s="275">
        <f>'Detailed Budget'!$AD$178</f>
        <v>46025131033.061455</v>
      </c>
      <c r="CK164" s="275">
        <f t="shared" si="235"/>
        <v>0</v>
      </c>
      <c r="CL164" s="275">
        <f t="shared" si="206"/>
        <v>0</v>
      </c>
      <c r="CM164" s="278">
        <f>'Detailed Budget'!$AD$189</f>
        <v>77498869683.252869</v>
      </c>
      <c r="CN164" s="275">
        <f t="shared" si="200"/>
        <v>0</v>
      </c>
      <c r="CO164" s="140">
        <f>'Detailed Budget'!$AD$191</f>
        <v>2684962805.4134097</v>
      </c>
      <c r="CP164" s="616">
        <f t="shared" si="201"/>
        <v>0</v>
      </c>
      <c r="CQ164" s="616">
        <f t="shared" si="202"/>
        <v>0</v>
      </c>
      <c r="CR164" s="199">
        <f>'Detailed Budget'!$AD$195</f>
        <v>18734176418</v>
      </c>
      <c r="CS164" s="275">
        <f t="shared" si="236"/>
        <v>15497863.679015636</v>
      </c>
      <c r="CW164" s="278"/>
      <c r="DH164" s="140">
        <f>'Detailed Budget'!$AD$163</f>
        <v>4928560000</v>
      </c>
      <c r="DI164" s="616">
        <f t="shared" si="237"/>
        <v>5600000</v>
      </c>
    </row>
    <row r="165" spans="1:113" outlineLevel="1">
      <c r="A165" s="214" t="s">
        <v>506</v>
      </c>
      <c r="B165" s="215" t="s">
        <v>507</v>
      </c>
      <c r="C165" s="216" t="s">
        <v>234</v>
      </c>
      <c r="D165" s="229"/>
      <c r="E165" s="216"/>
      <c r="F165" s="216"/>
      <c r="G165" s="216"/>
      <c r="H165" s="216" t="s">
        <v>234</v>
      </c>
      <c r="I165" s="217" t="s">
        <v>234</v>
      </c>
      <c r="J165" s="217"/>
      <c r="K165" s="216" t="s">
        <v>234</v>
      </c>
      <c r="L165" s="216"/>
      <c r="M165" s="217"/>
      <c r="N165" s="216"/>
      <c r="O165" s="217"/>
      <c r="P165" s="216"/>
      <c r="Q165" s="217"/>
      <c r="R165" s="217" t="s">
        <v>234</v>
      </c>
      <c r="S165" s="217"/>
      <c r="T165" s="217"/>
      <c r="U165" s="218">
        <f t="shared" si="226"/>
        <v>5</v>
      </c>
      <c r="V165" s="867" t="s">
        <v>487</v>
      </c>
      <c r="W165" s="219">
        <v>152803</v>
      </c>
      <c r="X165" s="220">
        <v>2.89</v>
      </c>
      <c r="Y165" s="221">
        <f t="shared" si="221"/>
        <v>1.0288999999999999</v>
      </c>
      <c r="Z165" s="199">
        <v>19</v>
      </c>
      <c r="AA165" s="221">
        <f t="shared" si="222"/>
        <v>1.7182651319612778</v>
      </c>
      <c r="AB165" s="199">
        <f t="shared" si="223"/>
        <v>262556.06695907912</v>
      </c>
      <c r="AC165">
        <v>17.600000000000001</v>
      </c>
      <c r="AD165" s="199">
        <f t="shared" si="224"/>
        <v>46209.867784797934</v>
      </c>
      <c r="AE165" s="199">
        <f t="shared" si="225"/>
        <v>43899.374395558036</v>
      </c>
      <c r="AF165" s="199">
        <f t="shared" si="205"/>
        <v>0</v>
      </c>
      <c r="AG165" s="614">
        <f t="shared" si="204"/>
        <v>2.0297143501859221E-3</v>
      </c>
      <c r="AH165" s="199">
        <f t="shared" si="238"/>
        <v>13127.803347953957</v>
      </c>
      <c r="AI165" s="252">
        <f t="shared" si="187"/>
        <v>1.0169910348010866E-3</v>
      </c>
      <c r="AJ165" s="199">
        <f t="shared" si="188"/>
        <v>59337.671132751893</v>
      </c>
      <c r="AK165" s="199">
        <f t="shared" si="209"/>
        <v>10502.242678363165</v>
      </c>
      <c r="AL165" s="199">
        <f t="shared" si="210"/>
        <v>10502.242678363165</v>
      </c>
      <c r="AM165" s="199">
        <f t="shared" si="189"/>
        <v>21004.485356726331</v>
      </c>
      <c r="AN165" s="645">
        <f t="shared" si="190"/>
        <v>1.0169910348010866E-3</v>
      </c>
      <c r="AO165" s="199">
        <v>12</v>
      </c>
      <c r="AP165" s="250">
        <f t="shared" si="191"/>
        <v>1.3634814225656176E-3</v>
      </c>
      <c r="AQ165" s="199">
        <v>12</v>
      </c>
      <c r="AU165" s="199">
        <v>0</v>
      </c>
      <c r="AW165" s="250">
        <f t="shared" si="192"/>
        <v>0</v>
      </c>
      <c r="AX165" s="199">
        <v>1</v>
      </c>
      <c r="AY165" s="199">
        <f t="shared" si="227"/>
        <v>19940.985627995749</v>
      </c>
      <c r="AZ165" s="199">
        <f t="shared" si="193"/>
        <v>19940.985627995749</v>
      </c>
      <c r="BA165" s="252">
        <f t="shared" si="194"/>
        <v>1.5674908736290438E-3</v>
      </c>
      <c r="BB165" s="284">
        <v>0</v>
      </c>
      <c r="BC165" s="199">
        <f t="shared" si="228"/>
        <v>0</v>
      </c>
      <c r="BD165" s="270">
        <f t="shared" si="207"/>
        <v>0</v>
      </c>
      <c r="BE165" s="199">
        <f t="shared" si="229"/>
        <v>0</v>
      </c>
      <c r="BF165" s="251">
        <f t="shared" si="208"/>
        <v>0</v>
      </c>
      <c r="BG165" s="204">
        <f t="shared" si="230"/>
        <v>0</v>
      </c>
      <c r="BH165" s="636">
        <v>0</v>
      </c>
      <c r="BI165" s="199">
        <f t="shared" si="195"/>
        <v>80342.156489478206</v>
      </c>
      <c r="BJ165" s="199">
        <f t="shared" si="196"/>
        <v>160684.31297895641</v>
      </c>
      <c r="BK165" s="199">
        <f t="shared" si="203"/>
        <v>241026.46946843463</v>
      </c>
      <c r="BL165" s="251">
        <f t="shared" si="197"/>
        <v>1.0169910348010866E-3</v>
      </c>
      <c r="BM165" s="199">
        <f t="shared" si="231"/>
        <v>26568.812048307529</v>
      </c>
      <c r="BN165" s="251">
        <f t="shared" si="198"/>
        <v>1.1473239318078034E-3</v>
      </c>
      <c r="BT165" s="199">
        <f>'Detailed Budget'!$AD$12</f>
        <v>194045122715</v>
      </c>
      <c r="BU165" s="199">
        <f>'Detailed Budget'!$AD$24</f>
        <v>194045122715</v>
      </c>
      <c r="BV165" s="596">
        <f t="shared" si="232"/>
        <v>0</v>
      </c>
      <c r="BW165" s="278"/>
      <c r="BX165" s="275">
        <f t="shared" si="215"/>
        <v>0</v>
      </c>
      <c r="BY165" s="275">
        <f t="shared" si="216"/>
        <v>0</v>
      </c>
      <c r="CA165" s="199">
        <f>'Detailed Budget'!$AD$96</f>
        <v>71050111380.677719</v>
      </c>
      <c r="CB165" s="275">
        <f t="shared" si="199"/>
        <v>111370401.15953939</v>
      </c>
      <c r="CE165" s="199">
        <f>'Detailed Budget'!$AD$175</f>
        <v>4330586076.5988197</v>
      </c>
      <c r="CF165" s="275">
        <f t="shared" si="233"/>
        <v>0</v>
      </c>
      <c r="CG165" s="199">
        <f>'Detailed Budget'!$AD$176</f>
        <v>20662817754.37001</v>
      </c>
      <c r="CH165" s="275">
        <f t="shared" si="234"/>
        <v>0</v>
      </c>
      <c r="CI165" s="275">
        <f t="shared" si="211"/>
        <v>0</v>
      </c>
      <c r="CJ165" s="275">
        <f>'Detailed Budget'!$AD$178</f>
        <v>46025131033.061455</v>
      </c>
      <c r="CK165" s="275">
        <f t="shared" si="235"/>
        <v>0</v>
      </c>
      <c r="CL165" s="275">
        <f t="shared" si="206"/>
        <v>0</v>
      </c>
      <c r="CM165" s="278">
        <f>'Detailed Budget'!$AD$189</f>
        <v>77498869683.252869</v>
      </c>
      <c r="CN165" s="275">
        <f t="shared" si="200"/>
        <v>0</v>
      </c>
      <c r="CO165" s="140">
        <f>'Detailed Budget'!$AD$191</f>
        <v>2684962805.4134097</v>
      </c>
      <c r="CP165" s="616">
        <f t="shared" si="201"/>
        <v>0</v>
      </c>
      <c r="CQ165" s="616">
        <f t="shared" si="202"/>
        <v>0</v>
      </c>
      <c r="CR165" s="199">
        <f>'Detailed Budget'!$AD$195</f>
        <v>18734176418</v>
      </c>
      <c r="CS165" s="275">
        <f t="shared" si="236"/>
        <v>21494168.947080791</v>
      </c>
      <c r="CW165" s="278"/>
      <c r="DH165" s="140">
        <f>'Detailed Budget'!$AD$163</f>
        <v>4928560000</v>
      </c>
      <c r="DI165" s="616">
        <f t="shared" si="237"/>
        <v>6720000</v>
      </c>
    </row>
    <row r="166" spans="1:113" outlineLevel="1">
      <c r="A166" s="214" t="s">
        <v>508</v>
      </c>
      <c r="B166" s="215" t="s">
        <v>509</v>
      </c>
      <c r="C166" s="216" t="s">
        <v>234</v>
      </c>
      <c r="D166" s="229"/>
      <c r="E166" s="216"/>
      <c r="F166" s="216"/>
      <c r="G166" s="216"/>
      <c r="H166" s="216" t="s">
        <v>234</v>
      </c>
      <c r="I166" s="217" t="s">
        <v>234</v>
      </c>
      <c r="J166" s="217"/>
      <c r="K166" s="216" t="s">
        <v>234</v>
      </c>
      <c r="L166" s="216"/>
      <c r="M166" s="217"/>
      <c r="N166" s="216"/>
      <c r="O166" s="217"/>
      <c r="P166" s="216"/>
      <c r="Q166" s="217"/>
      <c r="R166" s="217" t="s">
        <v>234</v>
      </c>
      <c r="S166" s="217"/>
      <c r="T166" s="217"/>
      <c r="U166" s="218">
        <f t="shared" si="226"/>
        <v>5</v>
      </c>
      <c r="V166" s="867" t="s">
        <v>487</v>
      </c>
      <c r="W166" s="219">
        <v>155238</v>
      </c>
      <c r="X166" s="220">
        <v>2.89</v>
      </c>
      <c r="Y166" s="221">
        <f t="shared" si="221"/>
        <v>1.0288999999999999</v>
      </c>
      <c r="Z166" s="199">
        <v>19</v>
      </c>
      <c r="AA166" s="221">
        <f t="shared" si="222"/>
        <v>1.7182651319612778</v>
      </c>
      <c r="AB166" s="199">
        <f t="shared" si="223"/>
        <v>266740.04255540483</v>
      </c>
      <c r="AC166">
        <v>17.600000000000001</v>
      </c>
      <c r="AD166" s="199">
        <f t="shared" si="224"/>
        <v>46946.247489751251</v>
      </c>
      <c r="AE166" s="199">
        <f t="shared" si="225"/>
        <v>44598.935115263688</v>
      </c>
      <c r="AF166" s="199">
        <f t="shared" si="205"/>
        <v>0</v>
      </c>
      <c r="AG166" s="614">
        <f t="shared" si="204"/>
        <v>2.0620589667360071E-3</v>
      </c>
      <c r="AH166" s="199">
        <f t="shared" si="238"/>
        <v>13337.002127770242</v>
      </c>
      <c r="AI166" s="252">
        <f t="shared" si="187"/>
        <v>1.0331973473063428E-3</v>
      </c>
      <c r="AJ166" s="199">
        <f t="shared" si="188"/>
        <v>60283.249617521491</v>
      </c>
      <c r="AK166" s="199">
        <f t="shared" si="209"/>
        <v>10669.601702216194</v>
      </c>
      <c r="AL166" s="199">
        <f t="shared" si="210"/>
        <v>10669.601702216194</v>
      </c>
      <c r="AM166" s="199">
        <f t="shared" si="189"/>
        <v>21339.203404432388</v>
      </c>
      <c r="AN166" s="645">
        <f t="shared" si="190"/>
        <v>1.0331973473063428E-3</v>
      </c>
      <c r="AO166" s="199">
        <v>16</v>
      </c>
      <c r="AP166" s="250">
        <f t="shared" si="191"/>
        <v>1.81797523008749E-3</v>
      </c>
      <c r="AQ166" s="199">
        <v>16</v>
      </c>
      <c r="AU166" s="199">
        <v>0</v>
      </c>
      <c r="AW166" s="250">
        <f t="shared" si="192"/>
        <v>0</v>
      </c>
      <c r="AX166" s="199">
        <v>1</v>
      </c>
      <c r="AY166" s="199">
        <f t="shared" si="227"/>
        <v>20258.756221532323</v>
      </c>
      <c r="AZ166" s="199">
        <f t="shared" si="193"/>
        <v>20258.756221532323</v>
      </c>
      <c r="BA166" s="252">
        <f t="shared" si="194"/>
        <v>1.5924697043934049E-3</v>
      </c>
      <c r="BB166" s="284">
        <v>0</v>
      </c>
      <c r="BC166" s="199">
        <f t="shared" si="228"/>
        <v>0</v>
      </c>
      <c r="BD166" s="270">
        <f t="shared" si="207"/>
        <v>0</v>
      </c>
      <c r="BE166" s="199">
        <f t="shared" si="229"/>
        <v>0</v>
      </c>
      <c r="BF166" s="251">
        <f t="shared" si="208"/>
        <v>0</v>
      </c>
      <c r="BG166" s="204">
        <f t="shared" si="230"/>
        <v>0</v>
      </c>
      <c r="BH166" s="636">
        <v>0</v>
      </c>
      <c r="BI166" s="199">
        <f t="shared" si="195"/>
        <v>81622.453021953886</v>
      </c>
      <c r="BJ166" s="199">
        <f t="shared" si="196"/>
        <v>163244.90604390777</v>
      </c>
      <c r="BK166" s="199">
        <f t="shared" si="203"/>
        <v>244867.35906586167</v>
      </c>
      <c r="BL166" s="251">
        <f t="shared" si="197"/>
        <v>1.0331973473063428E-3</v>
      </c>
      <c r="BM166" s="199">
        <f t="shared" si="231"/>
        <v>26992.200707807853</v>
      </c>
      <c r="BN166" s="251">
        <f t="shared" si="198"/>
        <v>1.1656071708407542E-3</v>
      </c>
      <c r="BT166" s="199">
        <f>'Detailed Budget'!$AD$12</f>
        <v>194045122715</v>
      </c>
      <c r="BU166" s="199">
        <f>'Detailed Budget'!$AD$24</f>
        <v>194045122715</v>
      </c>
      <c r="BV166" s="596">
        <f t="shared" si="232"/>
        <v>0</v>
      </c>
      <c r="BW166" s="278"/>
      <c r="BX166" s="275">
        <f t="shared" si="215"/>
        <v>0</v>
      </c>
      <c r="BY166" s="275">
        <f t="shared" si="216"/>
        <v>0</v>
      </c>
      <c r="CA166" s="199">
        <f>'Detailed Budget'!$AD$96</f>
        <v>71050111380.677719</v>
      </c>
      <c r="CB166" s="275">
        <f t="shared" si="199"/>
        <v>113145149.86750634</v>
      </c>
      <c r="CE166" s="199">
        <f>'Detailed Budget'!$AD$175</f>
        <v>4330586076.5988197</v>
      </c>
      <c r="CF166" s="275">
        <f t="shared" si="233"/>
        <v>0</v>
      </c>
      <c r="CG166" s="199">
        <f>'Detailed Budget'!$AD$176</f>
        <v>20662817754.37001</v>
      </c>
      <c r="CH166" s="275">
        <f t="shared" si="234"/>
        <v>0</v>
      </c>
      <c r="CI166" s="275">
        <f t="shared" si="211"/>
        <v>0</v>
      </c>
      <c r="CJ166" s="275">
        <f>'Detailed Budget'!$AD$178</f>
        <v>46025131033.061455</v>
      </c>
      <c r="CK166" s="275">
        <f t="shared" si="235"/>
        <v>0</v>
      </c>
      <c r="CL166" s="275">
        <f t="shared" si="206"/>
        <v>0</v>
      </c>
      <c r="CM166" s="278">
        <f>'Detailed Budget'!$AD$189</f>
        <v>77498869683.252869</v>
      </c>
      <c r="CN166" s="275">
        <f t="shared" si="200"/>
        <v>0</v>
      </c>
      <c r="CO166" s="140">
        <f>'Detailed Budget'!$AD$191</f>
        <v>2684962805.4134097</v>
      </c>
      <c r="CP166" s="616">
        <f t="shared" si="201"/>
        <v>0</v>
      </c>
      <c r="CQ166" s="616">
        <f t="shared" si="202"/>
        <v>0</v>
      </c>
      <c r="CR166" s="199">
        <f>'Detailed Budget'!$AD$195</f>
        <v>18734176418</v>
      </c>
      <c r="CS166" s="275">
        <f t="shared" si="236"/>
        <v>21836690.372616556</v>
      </c>
      <c r="CW166" s="278"/>
      <c r="DH166" s="140">
        <f>'Detailed Budget'!$AD$163</f>
        <v>4928560000</v>
      </c>
      <c r="DI166" s="616">
        <f t="shared" si="237"/>
        <v>8960000</v>
      </c>
    </row>
    <row r="167" spans="1:113" outlineLevel="1">
      <c r="A167" s="214" t="s">
        <v>510</v>
      </c>
      <c r="B167" s="215" t="s">
        <v>511</v>
      </c>
      <c r="C167" s="216" t="s">
        <v>234</v>
      </c>
      <c r="D167" s="229"/>
      <c r="E167" s="216"/>
      <c r="F167" s="216"/>
      <c r="G167" s="216"/>
      <c r="H167" s="216" t="s">
        <v>234</v>
      </c>
      <c r="I167" s="217" t="s">
        <v>234</v>
      </c>
      <c r="J167" s="217"/>
      <c r="K167" s="216" t="s">
        <v>234</v>
      </c>
      <c r="L167" s="216"/>
      <c r="M167" s="217"/>
      <c r="N167" s="216"/>
      <c r="O167" s="217"/>
      <c r="P167" s="216"/>
      <c r="Q167" s="217"/>
      <c r="R167" s="217" t="s">
        <v>234</v>
      </c>
      <c r="S167" s="217"/>
      <c r="T167" s="217"/>
      <c r="U167" s="218">
        <f t="shared" si="226"/>
        <v>5</v>
      </c>
      <c r="V167" s="867" t="s">
        <v>487</v>
      </c>
      <c r="W167" s="219">
        <v>151515</v>
      </c>
      <c r="X167" s="220">
        <v>2.89</v>
      </c>
      <c r="Y167" s="221">
        <f t="shared" si="221"/>
        <v>1.0288999999999999</v>
      </c>
      <c r="Z167" s="199">
        <v>19</v>
      </c>
      <c r="AA167" s="221">
        <f t="shared" si="222"/>
        <v>1.7182651319612778</v>
      </c>
      <c r="AB167" s="199">
        <f t="shared" si="223"/>
        <v>260342.94146911302</v>
      </c>
      <c r="AC167">
        <v>17.600000000000001</v>
      </c>
      <c r="AD167" s="199">
        <f t="shared" si="224"/>
        <v>45820.357698563894</v>
      </c>
      <c r="AE167" s="199">
        <f t="shared" si="225"/>
        <v>43529.339813635699</v>
      </c>
      <c r="AF167" s="199">
        <f t="shared" si="205"/>
        <v>0</v>
      </c>
      <c r="AG167" s="614">
        <f t="shared" si="204"/>
        <v>2.012605575600086E-3</v>
      </c>
      <c r="AH167" s="199">
        <f t="shared" si="238"/>
        <v>13017.147073455651</v>
      </c>
      <c r="AI167" s="252">
        <f t="shared" si="187"/>
        <v>1.0084186608763353E-3</v>
      </c>
      <c r="AJ167" s="199">
        <f t="shared" si="188"/>
        <v>58837.504772019543</v>
      </c>
      <c r="AK167" s="199">
        <f t="shared" si="209"/>
        <v>10413.717658764521</v>
      </c>
      <c r="AL167" s="199">
        <f t="shared" si="210"/>
        <v>10413.717658764521</v>
      </c>
      <c r="AM167" s="199">
        <f t="shared" si="189"/>
        <v>20827.435317529042</v>
      </c>
      <c r="AN167" s="645">
        <f t="shared" si="190"/>
        <v>1.0084186608763353E-3</v>
      </c>
      <c r="AO167" s="199">
        <v>11</v>
      </c>
      <c r="AP167" s="250">
        <f t="shared" si="191"/>
        <v>1.2498579706851495E-3</v>
      </c>
      <c r="AQ167" s="199">
        <v>11</v>
      </c>
      <c r="AU167" s="199">
        <v>0</v>
      </c>
      <c r="AW167" s="250">
        <f t="shared" si="192"/>
        <v>0</v>
      </c>
      <c r="AX167" s="199">
        <v>1</v>
      </c>
      <c r="AY167" s="199">
        <f t="shared" si="227"/>
        <v>19772.899991660997</v>
      </c>
      <c r="AZ167" s="199">
        <f t="shared" si="193"/>
        <v>19772.899991660997</v>
      </c>
      <c r="BA167" s="252">
        <f t="shared" si="194"/>
        <v>1.5542782518530691E-3</v>
      </c>
      <c r="BB167" s="284">
        <v>0</v>
      </c>
      <c r="BC167" s="199">
        <f t="shared" si="228"/>
        <v>0</v>
      </c>
      <c r="BD167" s="270">
        <f t="shared" si="207"/>
        <v>0</v>
      </c>
      <c r="BE167" s="199">
        <f t="shared" si="229"/>
        <v>0</v>
      </c>
      <c r="BF167" s="251">
        <f t="shared" si="208"/>
        <v>0</v>
      </c>
      <c r="BG167" s="204">
        <f t="shared" si="230"/>
        <v>0</v>
      </c>
      <c r="BH167" s="636">
        <v>0</v>
      </c>
      <c r="BI167" s="199">
        <f t="shared" si="195"/>
        <v>79664.940089548589</v>
      </c>
      <c r="BJ167" s="199">
        <f t="shared" si="196"/>
        <v>159329.88017909718</v>
      </c>
      <c r="BK167" s="199">
        <f t="shared" si="203"/>
        <v>238994.82026864577</v>
      </c>
      <c r="BL167" s="251">
        <f t="shared" si="197"/>
        <v>1.0084186608763353E-3</v>
      </c>
      <c r="BM167" s="199">
        <f t="shared" si="231"/>
        <v>26344.859443200166</v>
      </c>
      <c r="BN167" s="251">
        <f t="shared" si="198"/>
        <v>1.1376529618388339E-3</v>
      </c>
      <c r="BT167" s="199">
        <f>'Detailed Budget'!$AD$12</f>
        <v>194045122715</v>
      </c>
      <c r="BU167" s="199">
        <f>'Detailed Budget'!$AD$24</f>
        <v>194045122715</v>
      </c>
      <c r="BV167" s="596">
        <f t="shared" si="232"/>
        <v>0</v>
      </c>
      <c r="BW167" s="278"/>
      <c r="BX167" s="275">
        <f t="shared" si="215"/>
        <v>0</v>
      </c>
      <c r="BY167" s="275">
        <f t="shared" si="216"/>
        <v>0</v>
      </c>
      <c r="CA167" s="199">
        <f>'Detailed Budget'!$AD$96</f>
        <v>71050111380.677719</v>
      </c>
      <c r="CB167" s="275">
        <f t="shared" si="199"/>
        <v>110431642.91072561</v>
      </c>
      <c r="CE167" s="199">
        <f>'Detailed Budget'!$AD$175</f>
        <v>4330586076.5988197</v>
      </c>
      <c r="CF167" s="275">
        <f t="shared" si="233"/>
        <v>0</v>
      </c>
      <c r="CG167" s="199">
        <f>'Detailed Budget'!$AD$176</f>
        <v>20662817754.37001</v>
      </c>
      <c r="CH167" s="275">
        <f t="shared" si="234"/>
        <v>0</v>
      </c>
      <c r="CI167" s="275">
        <f t="shared" si="211"/>
        <v>0</v>
      </c>
      <c r="CJ167" s="275">
        <f>'Detailed Budget'!$AD$178</f>
        <v>46025131033.061455</v>
      </c>
      <c r="CK167" s="275">
        <f t="shared" si="235"/>
        <v>0</v>
      </c>
      <c r="CL167" s="275">
        <f t="shared" si="206"/>
        <v>0</v>
      </c>
      <c r="CM167" s="278">
        <f>'Detailed Budget'!$AD$189</f>
        <v>77498869683.252869</v>
      </c>
      <c r="CN167" s="275">
        <f t="shared" si="200"/>
        <v>0</v>
      </c>
      <c r="CO167" s="140">
        <f>'Detailed Budget'!$AD$191</f>
        <v>2684962805.4134097</v>
      </c>
      <c r="CP167" s="616">
        <f t="shared" si="201"/>
        <v>0</v>
      </c>
      <c r="CQ167" s="616">
        <f t="shared" si="202"/>
        <v>0</v>
      </c>
      <c r="CR167" s="199">
        <f>'Detailed Budget'!$AD$195</f>
        <v>18734176418</v>
      </c>
      <c r="CS167" s="275">
        <f t="shared" si="236"/>
        <v>21312991.289548937</v>
      </c>
      <c r="CW167" s="278"/>
      <c r="DH167" s="140">
        <f>'Detailed Budget'!$AD$163</f>
        <v>4928560000</v>
      </c>
      <c r="DI167" s="616">
        <f t="shared" si="237"/>
        <v>6160000</v>
      </c>
    </row>
    <row r="168" spans="1:113" outlineLevel="1">
      <c r="A168" s="214" t="s">
        <v>512</v>
      </c>
      <c r="B168" s="215" t="s">
        <v>513</v>
      </c>
      <c r="C168" s="216" t="s">
        <v>234</v>
      </c>
      <c r="D168" s="229"/>
      <c r="E168" s="216"/>
      <c r="F168" s="216"/>
      <c r="G168" s="216"/>
      <c r="H168" s="216" t="s">
        <v>234</v>
      </c>
      <c r="I168" s="217" t="s">
        <v>234</v>
      </c>
      <c r="J168" s="217"/>
      <c r="K168" s="216" t="s">
        <v>234</v>
      </c>
      <c r="L168" s="216"/>
      <c r="M168" s="217"/>
      <c r="N168" s="216"/>
      <c r="O168" s="217"/>
      <c r="P168" s="216"/>
      <c r="Q168" s="217"/>
      <c r="R168" s="217" t="s">
        <v>234</v>
      </c>
      <c r="S168" s="217"/>
      <c r="T168" s="217"/>
      <c r="U168" s="218">
        <f t="shared" si="226"/>
        <v>5</v>
      </c>
      <c r="V168" s="867" t="s">
        <v>487</v>
      </c>
      <c r="W168" s="219">
        <v>129956</v>
      </c>
      <c r="X168" s="220">
        <v>2.89</v>
      </c>
      <c r="Y168" s="221">
        <f t="shared" si="221"/>
        <v>1.0288999999999999</v>
      </c>
      <c r="Z168" s="199">
        <v>19</v>
      </c>
      <c r="AA168" s="221">
        <f t="shared" si="222"/>
        <v>1.7182651319612778</v>
      </c>
      <c r="AB168" s="199">
        <f t="shared" si="223"/>
        <v>223298.86348915982</v>
      </c>
      <c r="AC168">
        <v>17.600000000000001</v>
      </c>
      <c r="AD168" s="199">
        <f t="shared" si="224"/>
        <v>39300.599974092132</v>
      </c>
      <c r="AE168" s="199">
        <f t="shared" si="225"/>
        <v>37335.569975387523</v>
      </c>
      <c r="AF168" s="199">
        <f t="shared" si="205"/>
        <v>0</v>
      </c>
      <c r="AG168" s="614">
        <f t="shared" si="204"/>
        <v>1.726232849438569E-3</v>
      </c>
      <c r="AH168" s="199">
        <f t="shared" si="238"/>
        <v>11164.943174457992</v>
      </c>
      <c r="AI168" s="252">
        <f t="shared" si="187"/>
        <v>8.6493123118400834E-4</v>
      </c>
      <c r="AJ168" s="199">
        <f t="shared" si="188"/>
        <v>50465.543148550125</v>
      </c>
      <c r="AK168" s="199">
        <f t="shared" si="209"/>
        <v>8931.9545395663936</v>
      </c>
      <c r="AL168" s="199">
        <f t="shared" si="210"/>
        <v>8931.9545395663936</v>
      </c>
      <c r="AM168" s="199">
        <f t="shared" si="189"/>
        <v>17863.909079132787</v>
      </c>
      <c r="AN168" s="645">
        <f t="shared" si="190"/>
        <v>8.6493123118400834E-4</v>
      </c>
      <c r="AO168" s="199">
        <v>10</v>
      </c>
      <c r="AP168" s="250">
        <f t="shared" si="191"/>
        <v>1.1362345188046814E-3</v>
      </c>
      <c r="AQ168" s="199">
        <v>10</v>
      </c>
      <c r="AU168" s="199">
        <v>0</v>
      </c>
      <c r="AW168" s="250">
        <f t="shared" si="192"/>
        <v>0</v>
      </c>
      <c r="AX168" s="199">
        <v>1</v>
      </c>
      <c r="AY168" s="199">
        <f t="shared" si="227"/>
        <v>16959.423102110661</v>
      </c>
      <c r="AZ168" s="199">
        <f t="shared" si="193"/>
        <v>16959.423102110661</v>
      </c>
      <c r="BA168" s="252">
        <f t="shared" si="194"/>
        <v>1.3331207108063061E-3</v>
      </c>
      <c r="BB168" s="284">
        <v>0</v>
      </c>
      <c r="BC168" s="199">
        <f t="shared" si="228"/>
        <v>0</v>
      </c>
      <c r="BD168" s="270">
        <f t="shared" si="207"/>
        <v>0</v>
      </c>
      <c r="BE168" s="199">
        <f t="shared" si="229"/>
        <v>0</v>
      </c>
      <c r="BF168" s="251">
        <f t="shared" si="208"/>
        <v>0</v>
      </c>
      <c r="BG168" s="204">
        <f t="shared" si="230"/>
        <v>0</v>
      </c>
      <c r="BH168" s="636">
        <v>0</v>
      </c>
      <c r="BI168" s="199">
        <f t="shared" si="195"/>
        <v>68329.452227682908</v>
      </c>
      <c r="BJ168" s="199">
        <f t="shared" si="196"/>
        <v>136658.90445536582</v>
      </c>
      <c r="BK168" s="199">
        <f t="shared" si="203"/>
        <v>204988.35668304871</v>
      </c>
      <c r="BL168" s="251">
        <f t="shared" si="197"/>
        <v>8.6493123118400823E-4</v>
      </c>
      <c r="BM168" s="199">
        <f t="shared" si="231"/>
        <v>22596.261451344893</v>
      </c>
      <c r="BN168" s="251">
        <f t="shared" si="198"/>
        <v>9.7577684261444429E-4</v>
      </c>
      <c r="BT168" s="199">
        <f>'Detailed Budget'!$AD$12</f>
        <v>194045122715</v>
      </c>
      <c r="BU168" s="199">
        <f>'Detailed Budget'!$AD$24</f>
        <v>194045122715</v>
      </c>
      <c r="BV168" s="596">
        <f t="shared" si="232"/>
        <v>0</v>
      </c>
      <c r="BW168" s="278"/>
      <c r="BX168" s="275">
        <f t="shared" si="215"/>
        <v>0</v>
      </c>
      <c r="BY168" s="275">
        <f t="shared" si="216"/>
        <v>0</v>
      </c>
      <c r="CA168" s="199">
        <f>'Detailed Budget'!$AD$96</f>
        <v>71050111380.677719</v>
      </c>
      <c r="CB168" s="275">
        <f t="shared" si="199"/>
        <v>94718374.986676306</v>
      </c>
      <c r="CE168" s="199">
        <f>'Detailed Budget'!$AD$175</f>
        <v>4330586076.5988197</v>
      </c>
      <c r="CF168" s="275">
        <f t="shared" si="233"/>
        <v>0</v>
      </c>
      <c r="CG168" s="199">
        <f>'Detailed Budget'!$AD$176</f>
        <v>20662817754.37001</v>
      </c>
      <c r="CH168" s="275">
        <f t="shared" si="234"/>
        <v>0</v>
      </c>
      <c r="CI168" s="275">
        <f t="shared" si="211"/>
        <v>0</v>
      </c>
      <c r="CJ168" s="275">
        <f>'Detailed Budget'!$AD$178</f>
        <v>46025131033.061455</v>
      </c>
      <c r="CK168" s="275">
        <f t="shared" si="235"/>
        <v>0</v>
      </c>
      <c r="CL168" s="275">
        <f t="shared" si="206"/>
        <v>0</v>
      </c>
      <c r="CM168" s="278">
        <f>'Detailed Budget'!$AD$189</f>
        <v>77498869683.252869</v>
      </c>
      <c r="CN168" s="275">
        <f t="shared" si="200"/>
        <v>0</v>
      </c>
      <c r="CO168" s="140">
        <f>'Detailed Budget'!$AD$191</f>
        <v>2684962805.4134097</v>
      </c>
      <c r="CP168" s="616">
        <f t="shared" si="201"/>
        <v>0</v>
      </c>
      <c r="CQ168" s="616">
        <f t="shared" si="202"/>
        <v>0</v>
      </c>
      <c r="CR168" s="199">
        <f>'Detailed Budget'!$AD$195</f>
        <v>18734176418</v>
      </c>
      <c r="CS168" s="275">
        <f t="shared" si="236"/>
        <v>18280375.514138021</v>
      </c>
      <c r="CW168" s="278"/>
      <c r="DH168" s="140">
        <f>'Detailed Budget'!$AD$163</f>
        <v>4928560000</v>
      </c>
      <c r="DI168" s="616">
        <f t="shared" si="237"/>
        <v>5600000</v>
      </c>
    </row>
    <row r="169" spans="1:113" outlineLevel="1">
      <c r="A169" s="214" t="s">
        <v>514</v>
      </c>
      <c r="B169" s="215" t="s">
        <v>515</v>
      </c>
      <c r="C169" s="216" t="s">
        <v>234</v>
      </c>
      <c r="D169" s="229"/>
      <c r="E169" s="216"/>
      <c r="F169" s="216"/>
      <c r="G169" s="216"/>
      <c r="H169" s="216" t="s">
        <v>234</v>
      </c>
      <c r="I169" s="217" t="s">
        <v>234</v>
      </c>
      <c r="J169" s="217"/>
      <c r="K169" s="216" t="s">
        <v>234</v>
      </c>
      <c r="L169" s="216"/>
      <c r="M169" s="217"/>
      <c r="N169" s="216"/>
      <c r="O169" s="217"/>
      <c r="P169" s="216"/>
      <c r="Q169" s="217"/>
      <c r="R169" s="217" t="s">
        <v>234</v>
      </c>
      <c r="S169" s="217"/>
      <c r="T169" s="217"/>
      <c r="U169" s="218">
        <f t="shared" si="226"/>
        <v>5</v>
      </c>
      <c r="V169" s="867" t="s">
        <v>487</v>
      </c>
      <c r="W169" s="219">
        <v>91549</v>
      </c>
      <c r="X169" s="220">
        <v>2.89</v>
      </c>
      <c r="Y169" s="221">
        <f t="shared" si="221"/>
        <v>1.0288999999999999</v>
      </c>
      <c r="Z169" s="199">
        <v>19</v>
      </c>
      <c r="AA169" s="221">
        <f t="shared" si="222"/>
        <v>1.7182651319612778</v>
      </c>
      <c r="AB169" s="199">
        <f t="shared" si="223"/>
        <v>157305.45456592302</v>
      </c>
      <c r="AC169">
        <v>17.600000000000001</v>
      </c>
      <c r="AD169" s="199">
        <f t="shared" si="224"/>
        <v>27685.760003602452</v>
      </c>
      <c r="AE169" s="199">
        <f t="shared" si="225"/>
        <v>26301.472003422328</v>
      </c>
      <c r="AF169" s="199">
        <f t="shared" si="205"/>
        <v>0</v>
      </c>
      <c r="AG169" s="614">
        <f t="shared" si="204"/>
        <v>1.2160645998126407E-3</v>
      </c>
      <c r="AH169" s="199">
        <f t="shared" si="238"/>
        <v>7865.2727282961514</v>
      </c>
      <c r="AI169" s="252">
        <f t="shared" si="187"/>
        <v>6.0931076120890738E-4</v>
      </c>
      <c r="AJ169" s="199">
        <f t="shared" si="188"/>
        <v>35551.032731898602</v>
      </c>
      <c r="AK169" s="199">
        <f t="shared" si="209"/>
        <v>6292.2181826369206</v>
      </c>
      <c r="AL169" s="199">
        <f t="shared" si="210"/>
        <v>6292.2181826369206</v>
      </c>
      <c r="AM169" s="199">
        <f t="shared" si="189"/>
        <v>12584.436365273841</v>
      </c>
      <c r="AN169" s="645">
        <f t="shared" si="190"/>
        <v>6.0931076120890738E-4</v>
      </c>
      <c r="AO169" s="199">
        <v>10</v>
      </c>
      <c r="AP169" s="250">
        <f t="shared" si="191"/>
        <v>1.1362345188046814E-3</v>
      </c>
      <c r="AQ169" s="199">
        <v>10</v>
      </c>
      <c r="AU169" s="199">
        <v>0</v>
      </c>
      <c r="AW169" s="250">
        <f t="shared" si="192"/>
        <v>0</v>
      </c>
      <c r="AX169" s="199">
        <v>1</v>
      </c>
      <c r="AY169" s="199">
        <f t="shared" si="227"/>
        <v>11947.260808082188</v>
      </c>
      <c r="AZ169" s="199">
        <f t="shared" si="193"/>
        <v>11947.260808082188</v>
      </c>
      <c r="BA169" s="252">
        <f t="shared" si="194"/>
        <v>9.3913222901294681E-4</v>
      </c>
      <c r="BB169" s="284">
        <v>0</v>
      </c>
      <c r="BC169" s="199">
        <f t="shared" si="228"/>
        <v>0</v>
      </c>
      <c r="BD169" s="270">
        <f t="shared" si="207"/>
        <v>0</v>
      </c>
      <c r="BE169" s="199">
        <f t="shared" si="229"/>
        <v>0</v>
      </c>
      <c r="BF169" s="251">
        <f t="shared" si="208"/>
        <v>0</v>
      </c>
      <c r="BG169" s="204">
        <f t="shared" si="230"/>
        <v>0</v>
      </c>
      <c r="BH169" s="636">
        <v>0</v>
      </c>
      <c r="BI169" s="199">
        <f t="shared" si="195"/>
        <v>48135.469097172434</v>
      </c>
      <c r="BJ169" s="199">
        <f t="shared" si="196"/>
        <v>96270.938194344868</v>
      </c>
      <c r="BK169" s="199">
        <f t="shared" si="203"/>
        <v>144406.4072915173</v>
      </c>
      <c r="BL169" s="251">
        <f t="shared" si="197"/>
        <v>6.0931076120890727E-4</v>
      </c>
      <c r="BM169" s="199">
        <f t="shared" si="231"/>
        <v>15918.196463488974</v>
      </c>
      <c r="BN169" s="251">
        <f t="shared" si="198"/>
        <v>6.8739722801955839E-4</v>
      </c>
      <c r="BT169" s="199">
        <f>'Detailed Budget'!$AD$12</f>
        <v>194045122715</v>
      </c>
      <c r="BU169" s="199">
        <f>'Detailed Budget'!$AD$24</f>
        <v>194045122715</v>
      </c>
      <c r="BV169" s="596">
        <f t="shared" si="232"/>
        <v>0</v>
      </c>
      <c r="BW169" s="278"/>
      <c r="BX169" s="275">
        <f t="shared" si="215"/>
        <v>0</v>
      </c>
      <c r="BY169" s="275">
        <f t="shared" si="216"/>
        <v>0</v>
      </c>
      <c r="CA169" s="199">
        <f>'Detailed Budget'!$AD$96</f>
        <v>71050111380.677719</v>
      </c>
      <c r="CB169" s="275">
        <f t="shared" si="199"/>
        <v>66725449.472554006</v>
      </c>
      <c r="CE169" s="199">
        <f>'Detailed Budget'!$AD$175</f>
        <v>4330586076.5988197</v>
      </c>
      <c r="CF169" s="275">
        <f t="shared" si="233"/>
        <v>0</v>
      </c>
      <c r="CG169" s="199">
        <f>'Detailed Budget'!$AD$176</f>
        <v>20662817754.37001</v>
      </c>
      <c r="CH169" s="275">
        <f t="shared" si="234"/>
        <v>0</v>
      </c>
      <c r="CI169" s="275">
        <f t="shared" si="211"/>
        <v>0</v>
      </c>
      <c r="CJ169" s="275">
        <f>'Detailed Budget'!$AD$178</f>
        <v>46025131033.061455</v>
      </c>
      <c r="CK169" s="275">
        <f t="shared" si="235"/>
        <v>0</v>
      </c>
      <c r="CL169" s="275">
        <f t="shared" si="206"/>
        <v>0</v>
      </c>
      <c r="CM169" s="278">
        <f>'Detailed Budget'!$AD$189</f>
        <v>77498869683.252869</v>
      </c>
      <c r="CN169" s="275">
        <f t="shared" si="200"/>
        <v>0</v>
      </c>
      <c r="CO169" s="140">
        <f>'Detailed Budget'!$AD$191</f>
        <v>2684962805.4134097</v>
      </c>
      <c r="CP169" s="616">
        <f t="shared" si="201"/>
        <v>0</v>
      </c>
      <c r="CQ169" s="616">
        <f t="shared" si="202"/>
        <v>0</v>
      </c>
      <c r="CR169" s="199">
        <f>'Detailed Budget'!$AD$195</f>
        <v>18734176418</v>
      </c>
      <c r="CS169" s="275">
        <f t="shared" si="236"/>
        <v>12877820.938962579</v>
      </c>
      <c r="CW169" s="278"/>
      <c r="DH169" s="140">
        <f>'Detailed Budget'!$AD$163</f>
        <v>4928560000</v>
      </c>
      <c r="DI169" s="616">
        <f t="shared" si="237"/>
        <v>5600000</v>
      </c>
    </row>
    <row r="170" spans="1:113" outlineLevel="1">
      <c r="A170" s="214" t="s">
        <v>516</v>
      </c>
      <c r="B170" s="215" t="s">
        <v>517</v>
      </c>
      <c r="C170" s="216" t="s">
        <v>234</v>
      </c>
      <c r="D170" s="229"/>
      <c r="E170" s="216"/>
      <c r="F170" s="216"/>
      <c r="G170" s="216"/>
      <c r="H170" s="216" t="s">
        <v>234</v>
      </c>
      <c r="I170" s="217" t="s">
        <v>234</v>
      </c>
      <c r="J170" s="217"/>
      <c r="K170" s="216" t="s">
        <v>234</v>
      </c>
      <c r="L170" s="216"/>
      <c r="M170" s="217"/>
      <c r="N170" s="216"/>
      <c r="O170" s="217"/>
      <c r="P170" s="216"/>
      <c r="Q170" s="217"/>
      <c r="R170" s="217" t="s">
        <v>234</v>
      </c>
      <c r="S170" s="217"/>
      <c r="T170" s="217"/>
      <c r="U170" s="218">
        <f t="shared" si="226"/>
        <v>5</v>
      </c>
      <c r="V170" s="867" t="s">
        <v>487</v>
      </c>
      <c r="W170" s="219">
        <v>148490</v>
      </c>
      <c r="X170" s="220">
        <v>2.89</v>
      </c>
      <c r="Y170" s="221">
        <f t="shared" si="221"/>
        <v>1.0288999999999999</v>
      </c>
      <c r="Z170" s="199">
        <v>19</v>
      </c>
      <c r="AA170" s="221">
        <f t="shared" si="222"/>
        <v>1.7182651319612778</v>
      </c>
      <c r="AB170" s="199">
        <f t="shared" si="223"/>
        <v>255145.18944493015</v>
      </c>
      <c r="AC170">
        <v>17.600000000000001</v>
      </c>
      <c r="AD170" s="199">
        <f t="shared" si="224"/>
        <v>44905.553342307714</v>
      </c>
      <c r="AE170" s="199">
        <f t="shared" si="225"/>
        <v>42660.27567519233</v>
      </c>
      <c r="AF170" s="199">
        <f t="shared" si="205"/>
        <v>0</v>
      </c>
      <c r="AG170" s="614">
        <f t="shared" si="204"/>
        <v>1.9724238651015204E-3</v>
      </c>
      <c r="AH170" s="199">
        <f t="shared" si="238"/>
        <v>12757.259472246507</v>
      </c>
      <c r="AI170" s="252">
        <f t="shared" si="187"/>
        <v>9.8828556217884036E-4</v>
      </c>
      <c r="AJ170" s="199">
        <f t="shared" si="188"/>
        <v>57662.812814554221</v>
      </c>
      <c r="AK170" s="199">
        <f t="shared" si="209"/>
        <v>10205.807577797206</v>
      </c>
      <c r="AL170" s="199">
        <f t="shared" si="210"/>
        <v>10205.807577797206</v>
      </c>
      <c r="AM170" s="199">
        <f t="shared" si="189"/>
        <v>20411.615155594412</v>
      </c>
      <c r="AN170" s="645">
        <f t="shared" si="190"/>
        <v>9.8828556217884058E-4</v>
      </c>
      <c r="AO170" s="199">
        <v>10</v>
      </c>
      <c r="AP170" s="250">
        <f t="shared" si="191"/>
        <v>1.1362345188046814E-3</v>
      </c>
      <c r="AQ170" s="199">
        <v>10</v>
      </c>
      <c r="AU170" s="199">
        <v>0</v>
      </c>
      <c r="AW170" s="250">
        <f t="shared" si="192"/>
        <v>0</v>
      </c>
      <c r="AX170" s="199">
        <v>1</v>
      </c>
      <c r="AY170" s="199">
        <f t="shared" si="227"/>
        <v>19378.133648561146</v>
      </c>
      <c r="AZ170" s="199">
        <f t="shared" si="193"/>
        <v>19378.133648561146</v>
      </c>
      <c r="BA170" s="252">
        <f t="shared" si="194"/>
        <v>1.5232470555236266E-3</v>
      </c>
      <c r="BB170" s="284">
        <v>0</v>
      </c>
      <c r="BC170" s="199">
        <f t="shared" si="228"/>
        <v>0</v>
      </c>
      <c r="BD170" s="270">
        <f t="shared" si="207"/>
        <v>0</v>
      </c>
      <c r="BE170" s="199">
        <f t="shared" si="229"/>
        <v>0</v>
      </c>
      <c r="BF170" s="251">
        <f t="shared" si="208"/>
        <v>0</v>
      </c>
      <c r="BG170" s="204">
        <f t="shared" si="230"/>
        <v>0</v>
      </c>
      <c r="BH170" s="636">
        <v>0</v>
      </c>
      <c r="BI170" s="199">
        <f t="shared" si="195"/>
        <v>78074.427970148623</v>
      </c>
      <c r="BJ170" s="199">
        <f t="shared" si="196"/>
        <v>156148.85594029725</v>
      </c>
      <c r="BK170" s="199">
        <f t="shared" si="203"/>
        <v>234223.28391044587</v>
      </c>
      <c r="BL170" s="251">
        <f t="shared" si="197"/>
        <v>9.8828556217884036E-4</v>
      </c>
      <c r="BM170" s="199">
        <f t="shared" si="231"/>
        <v>25818.883798441031</v>
      </c>
      <c r="BN170" s="251">
        <f t="shared" si="198"/>
        <v>1.1149396977424575E-3</v>
      </c>
      <c r="BT170" s="199">
        <f>'Detailed Budget'!$AD$12</f>
        <v>194045122715</v>
      </c>
      <c r="BU170" s="199">
        <f>'Detailed Budget'!$AD$24</f>
        <v>194045122715</v>
      </c>
      <c r="BV170" s="596">
        <f t="shared" si="232"/>
        <v>0</v>
      </c>
      <c r="BW170" s="278"/>
      <c r="BX170" s="275">
        <f t="shared" si="215"/>
        <v>0</v>
      </c>
      <c r="BY170" s="275">
        <f t="shared" si="216"/>
        <v>0</v>
      </c>
      <c r="CA170" s="199">
        <f>'Detailed Budget'!$AD$96</f>
        <v>71050111380.677719</v>
      </c>
      <c r="CB170" s="275">
        <f t="shared" si="199"/>
        <v>108226872.95524305</v>
      </c>
      <c r="CE170" s="199">
        <f>'Detailed Budget'!$AD$175</f>
        <v>4330586076.5988197</v>
      </c>
      <c r="CF170" s="275">
        <f t="shared" si="233"/>
        <v>0</v>
      </c>
      <c r="CG170" s="199">
        <f>'Detailed Budget'!$AD$176</f>
        <v>20662817754.37001</v>
      </c>
      <c r="CH170" s="275">
        <f t="shared" si="234"/>
        <v>0</v>
      </c>
      <c r="CI170" s="275">
        <f t="shared" si="211"/>
        <v>0</v>
      </c>
      <c r="CJ170" s="275">
        <f>'Detailed Budget'!$AD$178</f>
        <v>46025131033.061455</v>
      </c>
      <c r="CK170" s="275">
        <f t="shared" si="235"/>
        <v>0</v>
      </c>
      <c r="CL170" s="275">
        <f t="shared" si="206"/>
        <v>0</v>
      </c>
      <c r="CM170" s="278">
        <f>'Detailed Budget'!$AD$189</f>
        <v>77498869683.252869</v>
      </c>
      <c r="CN170" s="275">
        <f t="shared" si="200"/>
        <v>0</v>
      </c>
      <c r="CO170" s="140">
        <f>'Detailed Budget'!$AD$191</f>
        <v>2684962805.4134097</v>
      </c>
      <c r="CP170" s="616">
        <f t="shared" si="201"/>
        <v>0</v>
      </c>
      <c r="CQ170" s="616">
        <f t="shared" si="202"/>
        <v>0</v>
      </c>
      <c r="CR170" s="199">
        <f>'Detailed Budget'!$AD$195</f>
        <v>18734176418</v>
      </c>
      <c r="CS170" s="275">
        <f t="shared" si="236"/>
        <v>20887476.992938794</v>
      </c>
      <c r="CW170" s="278"/>
      <c r="DH170" s="140">
        <f>'Detailed Budget'!$AD$163</f>
        <v>4928560000</v>
      </c>
      <c r="DI170" s="616">
        <f t="shared" si="237"/>
        <v>5600000</v>
      </c>
    </row>
    <row r="171" spans="1:113" outlineLevel="1">
      <c r="A171" s="214" t="s">
        <v>518</v>
      </c>
      <c r="B171" s="215" t="s">
        <v>519</v>
      </c>
      <c r="C171" s="216" t="s">
        <v>234</v>
      </c>
      <c r="D171" s="229"/>
      <c r="E171" s="216"/>
      <c r="F171" s="216"/>
      <c r="G171" s="216"/>
      <c r="H171" s="216" t="s">
        <v>234</v>
      </c>
      <c r="I171" s="217" t="s">
        <v>234</v>
      </c>
      <c r="J171" s="217"/>
      <c r="K171" s="216" t="s">
        <v>234</v>
      </c>
      <c r="L171" s="216"/>
      <c r="M171" s="217"/>
      <c r="N171" s="216"/>
      <c r="O171" s="217"/>
      <c r="P171" s="216"/>
      <c r="Q171" s="217"/>
      <c r="R171" s="217" t="s">
        <v>234</v>
      </c>
      <c r="S171" s="217"/>
      <c r="T171" s="217"/>
      <c r="U171" s="218">
        <f t="shared" si="226"/>
        <v>5</v>
      </c>
      <c r="V171" s="867" t="s">
        <v>487</v>
      </c>
      <c r="W171" s="219">
        <v>195188</v>
      </c>
      <c r="X171" s="220">
        <v>2.89</v>
      </c>
      <c r="Y171" s="221">
        <f t="shared" si="221"/>
        <v>1.0288999999999999</v>
      </c>
      <c r="Z171" s="199">
        <v>19</v>
      </c>
      <c r="AA171" s="221">
        <f t="shared" si="222"/>
        <v>1.7182651319612778</v>
      </c>
      <c r="AB171" s="199">
        <f t="shared" si="223"/>
        <v>335384.73457725788</v>
      </c>
      <c r="AC171">
        <v>17.600000000000001</v>
      </c>
      <c r="AD171" s="199">
        <f t="shared" si="224"/>
        <v>59027.713285597398</v>
      </c>
      <c r="AE171" s="199">
        <f t="shared" si="225"/>
        <v>56076.327621317527</v>
      </c>
      <c r="AF171" s="199">
        <f t="shared" si="205"/>
        <v>0</v>
      </c>
      <c r="AG171" s="614">
        <f t="shared" si="204"/>
        <v>2.5927232095187252E-3</v>
      </c>
      <c r="AH171" s="199">
        <f t="shared" si="238"/>
        <v>16769.236728862896</v>
      </c>
      <c r="AI171" s="252">
        <f t="shared" si="187"/>
        <v>1.2990873615096202E-3</v>
      </c>
      <c r="AJ171" s="199">
        <f t="shared" si="188"/>
        <v>75796.950014460293</v>
      </c>
      <c r="AK171" s="199">
        <f t="shared" si="209"/>
        <v>13415.389383090316</v>
      </c>
      <c r="AL171" s="199">
        <f t="shared" si="210"/>
        <v>13415.389383090316</v>
      </c>
      <c r="AM171" s="199">
        <f t="shared" si="189"/>
        <v>26830.778766180632</v>
      </c>
      <c r="AN171" s="645">
        <f t="shared" si="190"/>
        <v>1.2990873615096202E-3</v>
      </c>
      <c r="AO171" s="199">
        <v>11</v>
      </c>
      <c r="AP171" s="250">
        <f t="shared" si="191"/>
        <v>1.2498579706851495E-3</v>
      </c>
      <c r="AQ171" s="199">
        <v>11</v>
      </c>
      <c r="AU171" s="199">
        <v>0</v>
      </c>
      <c r="AW171" s="250">
        <f t="shared" si="192"/>
        <v>0</v>
      </c>
      <c r="AX171" s="199">
        <v>1</v>
      </c>
      <c r="AY171" s="199">
        <f t="shared" si="227"/>
        <v>25472.281975859336</v>
      </c>
      <c r="AZ171" s="199">
        <f t="shared" si="193"/>
        <v>25472.281975859336</v>
      </c>
      <c r="BA171" s="252">
        <f t="shared" si="194"/>
        <v>2.0022866608764606E-3</v>
      </c>
      <c r="BB171" s="284">
        <v>0</v>
      </c>
      <c r="BC171" s="199">
        <f t="shared" si="228"/>
        <v>0</v>
      </c>
      <c r="BD171" s="270">
        <f t="shared" si="207"/>
        <v>0</v>
      </c>
      <c r="BE171" s="199">
        <f t="shared" si="229"/>
        <v>0</v>
      </c>
      <c r="BF171" s="251">
        <f t="shared" si="208"/>
        <v>0</v>
      </c>
      <c r="BG171" s="204">
        <f t="shared" si="230"/>
        <v>0</v>
      </c>
      <c r="BH171" s="636">
        <v>0</v>
      </c>
      <c r="BI171" s="199">
        <f t="shared" si="195"/>
        <v>102627.7287806409</v>
      </c>
      <c r="BJ171" s="199">
        <f t="shared" si="196"/>
        <v>205255.4575612818</v>
      </c>
      <c r="BK171" s="199">
        <f t="shared" si="203"/>
        <v>307883.18634192273</v>
      </c>
      <c r="BL171" s="251">
        <f t="shared" si="197"/>
        <v>1.2990873615096202E-3</v>
      </c>
      <c r="BM171" s="199">
        <f t="shared" si="231"/>
        <v>33938.556743552479</v>
      </c>
      <c r="BN171" s="251">
        <f t="shared" si="198"/>
        <v>1.465572427254056E-3</v>
      </c>
      <c r="BT171" s="199">
        <f>'Detailed Budget'!$AD$12</f>
        <v>194045122715</v>
      </c>
      <c r="BU171" s="199">
        <f>'Detailed Budget'!$AD$24</f>
        <v>194045122715</v>
      </c>
      <c r="BV171" s="596">
        <f t="shared" si="232"/>
        <v>0</v>
      </c>
      <c r="BW171" s="278"/>
      <c r="BX171" s="275">
        <f t="shared" si="215"/>
        <v>0</v>
      </c>
      <c r="BY171" s="275">
        <f t="shared" si="216"/>
        <v>0</v>
      </c>
      <c r="CA171" s="199">
        <f>'Detailed Budget'!$AD$96</f>
        <v>71050111380.677719</v>
      </c>
      <c r="CB171" s="275">
        <f t="shared" si="199"/>
        <v>142262690.27131781</v>
      </c>
      <c r="CE171" s="199">
        <f>'Detailed Budget'!$AD$175</f>
        <v>4330586076.5988197</v>
      </c>
      <c r="CF171" s="275">
        <f t="shared" si="233"/>
        <v>0</v>
      </c>
      <c r="CG171" s="199">
        <f>'Detailed Budget'!$AD$176</f>
        <v>20662817754.37001</v>
      </c>
      <c r="CH171" s="275">
        <f t="shared" si="234"/>
        <v>0</v>
      </c>
      <c r="CI171" s="275">
        <f t="shared" si="211"/>
        <v>0</v>
      </c>
      <c r="CJ171" s="275">
        <f>'Detailed Budget'!$AD$178</f>
        <v>46025131033.061455</v>
      </c>
      <c r="CK171" s="275">
        <f t="shared" si="235"/>
        <v>0</v>
      </c>
      <c r="CL171" s="275">
        <f t="shared" si="206"/>
        <v>0</v>
      </c>
      <c r="CM171" s="278">
        <f>'Detailed Budget'!$AD$189</f>
        <v>77498869683.252869</v>
      </c>
      <c r="CN171" s="275">
        <f t="shared" si="200"/>
        <v>0</v>
      </c>
      <c r="CO171" s="140">
        <f>'Detailed Budget'!$AD$191</f>
        <v>2684962805.4134097</v>
      </c>
      <c r="CP171" s="616">
        <f t="shared" si="201"/>
        <v>0</v>
      </c>
      <c r="CQ171" s="616">
        <f t="shared" si="202"/>
        <v>0</v>
      </c>
      <c r="CR171" s="199">
        <f>'Detailed Budget'!$AD$195</f>
        <v>18734176418</v>
      </c>
      <c r="CS171" s="275">
        <f t="shared" si="236"/>
        <v>27456292.405533955</v>
      </c>
      <c r="CW171" s="278"/>
      <c r="DH171" s="140">
        <f>'Detailed Budget'!$AD$163</f>
        <v>4928560000</v>
      </c>
      <c r="DI171" s="616">
        <f t="shared" si="237"/>
        <v>6160000</v>
      </c>
    </row>
    <row r="172" spans="1:113" outlineLevel="1">
      <c r="A172" s="214" t="s">
        <v>520</v>
      </c>
      <c r="B172" s="215" t="s">
        <v>521</v>
      </c>
      <c r="C172" s="216" t="s">
        <v>234</v>
      </c>
      <c r="D172" s="229" t="s">
        <v>234</v>
      </c>
      <c r="E172" s="216"/>
      <c r="F172" s="216"/>
      <c r="G172" s="216"/>
      <c r="H172" s="216" t="s">
        <v>234</v>
      </c>
      <c r="I172" s="217" t="s">
        <v>234</v>
      </c>
      <c r="J172" s="217"/>
      <c r="K172" s="216" t="s">
        <v>234</v>
      </c>
      <c r="L172" s="216"/>
      <c r="M172" s="217"/>
      <c r="N172" s="216"/>
      <c r="O172" s="217"/>
      <c r="P172" s="216"/>
      <c r="Q172" s="217"/>
      <c r="R172" s="217" t="s">
        <v>234</v>
      </c>
      <c r="S172" s="217"/>
      <c r="T172" s="217"/>
      <c r="U172" s="218">
        <f t="shared" si="226"/>
        <v>6</v>
      </c>
      <c r="V172" s="867" t="s">
        <v>238</v>
      </c>
      <c r="W172" s="219">
        <v>52179</v>
      </c>
      <c r="X172" s="220">
        <v>2.89</v>
      </c>
      <c r="Y172" s="221">
        <f t="shared" si="221"/>
        <v>1.0288999999999999</v>
      </c>
      <c r="Z172" s="199">
        <v>19</v>
      </c>
      <c r="AA172" s="221">
        <f t="shared" si="222"/>
        <v>1.7182651319612778</v>
      </c>
      <c r="AB172" s="199">
        <f t="shared" si="223"/>
        <v>89657.35632060752</v>
      </c>
      <c r="AC172">
        <v>17.600000000000001</v>
      </c>
      <c r="AD172" s="199">
        <f t="shared" si="224"/>
        <v>15779.694712426926</v>
      </c>
      <c r="AE172" s="199">
        <f t="shared" si="225"/>
        <v>14990.70997680558</v>
      </c>
      <c r="AF172" s="199">
        <f t="shared" si="205"/>
        <v>14990.70997680558</v>
      </c>
      <c r="AG172" s="614">
        <f t="shared" si="204"/>
        <v>6.9310461887758248E-4</v>
      </c>
      <c r="AH172" s="199">
        <f t="shared" si="238"/>
        <v>4482.8678160303762</v>
      </c>
      <c r="AI172" s="252">
        <f t="shared" si="187"/>
        <v>3.4728097749969506E-4</v>
      </c>
      <c r="AJ172" s="199">
        <f t="shared" si="188"/>
        <v>20262.562528457303</v>
      </c>
      <c r="AK172" s="199">
        <f t="shared" si="209"/>
        <v>3586.2942528243007</v>
      </c>
      <c r="AL172" s="199">
        <f t="shared" si="210"/>
        <v>3586.2942528243007</v>
      </c>
      <c r="AM172" s="199">
        <f t="shared" si="189"/>
        <v>7172.5885056486013</v>
      </c>
      <c r="AN172" s="645">
        <f t="shared" si="190"/>
        <v>3.4728097749969501E-4</v>
      </c>
      <c r="AO172" s="199">
        <v>10</v>
      </c>
      <c r="AP172" s="250">
        <f t="shared" si="191"/>
        <v>1.1362345188046814E-3</v>
      </c>
      <c r="AQ172" s="199">
        <v>10</v>
      </c>
      <c r="AU172" s="199">
        <v>0</v>
      </c>
      <c r="AW172" s="250">
        <f t="shared" si="192"/>
        <v>0</v>
      </c>
      <c r="AX172" s="199">
        <v>1</v>
      </c>
      <c r="AY172" s="199">
        <f t="shared" si="227"/>
        <v>6809.4257906139946</v>
      </c>
      <c r="AZ172" s="199">
        <f t="shared" si="193"/>
        <v>6809.4257906139946</v>
      </c>
      <c r="BA172" s="252">
        <f t="shared" si="194"/>
        <v>5.3526505562776828E-4</v>
      </c>
      <c r="BB172" s="284">
        <v>1</v>
      </c>
      <c r="BC172" s="199">
        <f t="shared" si="228"/>
        <v>11361.380192947387</v>
      </c>
      <c r="BD172" s="270">
        <f t="shared" si="207"/>
        <v>1.0231728782749048E-3</v>
      </c>
      <c r="BE172" s="199">
        <f t="shared" si="229"/>
        <v>48601.459714274934</v>
      </c>
      <c r="BF172" s="251">
        <f t="shared" si="208"/>
        <v>1.0231729010117304E-3</v>
      </c>
      <c r="BG172" s="204">
        <f t="shared" si="230"/>
        <v>59962.839907222318</v>
      </c>
      <c r="BH172" s="636">
        <v>0</v>
      </c>
      <c r="BI172" s="199">
        <f t="shared" si="195"/>
        <v>27435.151034105904</v>
      </c>
      <c r="BJ172" s="199">
        <f t="shared" si="196"/>
        <v>54870.302068211808</v>
      </c>
      <c r="BK172" s="199">
        <f t="shared" si="203"/>
        <v>82305.453102317711</v>
      </c>
      <c r="BL172" s="251">
        <f t="shared" si="197"/>
        <v>3.4728097749969506E-4</v>
      </c>
      <c r="BM172" s="199">
        <f t="shared" si="231"/>
        <v>9072.6886505411458</v>
      </c>
      <c r="BN172" s="251">
        <f t="shared" si="198"/>
        <v>3.9178691149911575E-4</v>
      </c>
      <c r="BT172" s="199">
        <f>'Detailed Budget'!$AD$12</f>
        <v>194045122715</v>
      </c>
      <c r="BU172" s="199">
        <f>'Detailed Budget'!$AD$24</f>
        <v>194045122715</v>
      </c>
      <c r="BV172" s="596">
        <f t="shared" si="232"/>
        <v>0</v>
      </c>
      <c r="BW172" s="278"/>
      <c r="BX172" s="275">
        <f t="shared" si="215"/>
        <v>0</v>
      </c>
      <c r="BY172" s="275">
        <f t="shared" si="216"/>
        <v>0</v>
      </c>
      <c r="CA172" s="199">
        <f>'Detailed Budget'!$AD$96</f>
        <v>71050111380.677719</v>
      </c>
      <c r="CB172" s="275">
        <f t="shared" si="199"/>
        <v>38030641.820537589</v>
      </c>
      <c r="CE172" s="199">
        <f>'Detailed Budget'!$AD$175</f>
        <v>4330586076.5988197</v>
      </c>
      <c r="CF172" s="275">
        <f t="shared" si="233"/>
        <v>4430938.2206108412</v>
      </c>
      <c r="CG172" s="199">
        <f>'Detailed Budget'!$AD$176</f>
        <v>20662817754.37001</v>
      </c>
      <c r="CH172" s="275">
        <f t="shared" si="234"/>
        <v>21141635.184815452</v>
      </c>
      <c r="CI172" s="275">
        <f t="shared" si="211"/>
        <v>25572573.405426294</v>
      </c>
      <c r="CJ172" s="275">
        <f>'Detailed Budget'!$AD$178</f>
        <v>46025131033.061455</v>
      </c>
      <c r="CK172" s="275">
        <f t="shared" si="235"/>
        <v>31900230.903460853</v>
      </c>
      <c r="CL172" s="275">
        <f t="shared" si="206"/>
        <v>57472804.308887146</v>
      </c>
      <c r="CM172" s="278">
        <f>'Detailed Budget'!$AD$189</f>
        <v>77498869683.252869</v>
      </c>
      <c r="CN172" s="275">
        <f t="shared" si="200"/>
        <v>0</v>
      </c>
      <c r="CO172" s="140">
        <f>'Detailed Budget'!$AD$191</f>
        <v>2684962805.4134097</v>
      </c>
      <c r="CP172" s="616">
        <f t="shared" si="201"/>
        <v>0</v>
      </c>
      <c r="CQ172" s="616">
        <f t="shared" si="202"/>
        <v>0</v>
      </c>
      <c r="CR172" s="199">
        <f>'Detailed Budget'!$AD$195</f>
        <v>18734176418</v>
      </c>
      <c r="CS172" s="275">
        <f t="shared" si="236"/>
        <v>7339805.1182877868</v>
      </c>
      <c r="CW172" s="278"/>
      <c r="DH172" s="140">
        <f>'Detailed Budget'!$AD$163</f>
        <v>4928560000</v>
      </c>
      <c r="DI172" s="616">
        <f t="shared" si="237"/>
        <v>5600000</v>
      </c>
    </row>
    <row r="173" spans="1:113" outlineLevel="1">
      <c r="A173" s="214" t="s">
        <v>522</v>
      </c>
      <c r="B173" s="215" t="s">
        <v>523</v>
      </c>
      <c r="C173" s="216" t="s">
        <v>234</v>
      </c>
      <c r="D173" s="229"/>
      <c r="E173" s="216"/>
      <c r="F173" s="216"/>
      <c r="G173" s="216"/>
      <c r="H173" s="216" t="s">
        <v>234</v>
      </c>
      <c r="I173" s="217" t="s">
        <v>234</v>
      </c>
      <c r="J173" s="217"/>
      <c r="K173" s="216" t="s">
        <v>234</v>
      </c>
      <c r="L173" s="216"/>
      <c r="M173" s="217"/>
      <c r="N173" s="216"/>
      <c r="O173" s="217"/>
      <c r="P173" s="216"/>
      <c r="Q173" s="217"/>
      <c r="R173" s="217" t="s">
        <v>234</v>
      </c>
      <c r="S173" s="217"/>
      <c r="T173" s="217"/>
      <c r="U173" s="218">
        <f t="shared" si="226"/>
        <v>5</v>
      </c>
      <c r="V173" s="867" t="s">
        <v>487</v>
      </c>
      <c r="W173" s="219">
        <v>199674</v>
      </c>
      <c r="X173" s="220">
        <v>2.89</v>
      </c>
      <c r="Y173" s="221">
        <f t="shared" si="221"/>
        <v>1.0288999999999999</v>
      </c>
      <c r="Z173" s="199">
        <v>19</v>
      </c>
      <c r="AA173" s="221">
        <f t="shared" si="222"/>
        <v>1.7182651319612778</v>
      </c>
      <c r="AB173" s="199">
        <f t="shared" si="223"/>
        <v>343092.87195923622</v>
      </c>
      <c r="AC173">
        <v>17.600000000000001</v>
      </c>
      <c r="AD173" s="199">
        <f t="shared" si="224"/>
        <v>60384.345464825587</v>
      </c>
      <c r="AE173" s="199">
        <f t="shared" si="225"/>
        <v>57365.128191584306</v>
      </c>
      <c r="AF173" s="199">
        <f t="shared" si="205"/>
        <v>0</v>
      </c>
      <c r="AG173" s="614">
        <f t="shared" si="204"/>
        <v>2.6523116899473428E-3</v>
      </c>
      <c r="AH173" s="199">
        <f t="shared" si="238"/>
        <v>17154.643597961811</v>
      </c>
      <c r="AI173" s="252">
        <f t="shared" si="187"/>
        <v>1.3289442477102686E-3</v>
      </c>
      <c r="AJ173" s="199">
        <f t="shared" si="188"/>
        <v>77538.989062787397</v>
      </c>
      <c r="AK173" s="199">
        <f t="shared" si="209"/>
        <v>13723.714878369448</v>
      </c>
      <c r="AL173" s="199">
        <f t="shared" si="210"/>
        <v>13723.714878369448</v>
      </c>
      <c r="AM173" s="199">
        <f t="shared" si="189"/>
        <v>27447.429756738897</v>
      </c>
      <c r="AN173" s="645">
        <f t="shared" si="190"/>
        <v>1.3289442477102686E-3</v>
      </c>
      <c r="AO173" s="199">
        <v>11</v>
      </c>
      <c r="AP173" s="250">
        <f t="shared" si="191"/>
        <v>1.2498579706851495E-3</v>
      </c>
      <c r="AQ173" s="199">
        <v>11</v>
      </c>
      <c r="AU173" s="199">
        <v>0</v>
      </c>
      <c r="AW173" s="250">
        <f t="shared" si="192"/>
        <v>0</v>
      </c>
      <c r="AX173" s="199">
        <v>1</v>
      </c>
      <c r="AY173" s="199">
        <f t="shared" si="227"/>
        <v>26057.710675081144</v>
      </c>
      <c r="AZ173" s="199">
        <f t="shared" si="193"/>
        <v>26057.710675081144</v>
      </c>
      <c r="BA173" s="252">
        <f t="shared" si="194"/>
        <v>2.0483051556645206E-3</v>
      </c>
      <c r="BB173" s="284">
        <v>0</v>
      </c>
      <c r="BC173" s="199">
        <f t="shared" si="228"/>
        <v>0</v>
      </c>
      <c r="BD173" s="270">
        <f t="shared" si="207"/>
        <v>0</v>
      </c>
      <c r="BE173" s="199">
        <f t="shared" si="229"/>
        <v>0</v>
      </c>
      <c r="BF173" s="251">
        <f t="shared" si="208"/>
        <v>0</v>
      </c>
      <c r="BG173" s="204">
        <f t="shared" si="230"/>
        <v>0</v>
      </c>
      <c r="BH173" s="636">
        <v>0</v>
      </c>
      <c r="BI173" s="199">
        <f t="shared" si="195"/>
        <v>104986.41881952627</v>
      </c>
      <c r="BJ173" s="199">
        <f t="shared" si="196"/>
        <v>209972.83763905254</v>
      </c>
      <c r="BK173" s="199">
        <f t="shared" si="203"/>
        <v>314959.25645857881</v>
      </c>
      <c r="BL173" s="251">
        <f t="shared" si="197"/>
        <v>1.3289442477102686E-3</v>
      </c>
      <c r="BM173" s="199">
        <f t="shared" si="231"/>
        <v>34718.565584011812</v>
      </c>
      <c r="BN173" s="251">
        <f t="shared" si="198"/>
        <v>1.4992556347702029E-3</v>
      </c>
      <c r="BT173" s="199">
        <f>'Detailed Budget'!$AD$12</f>
        <v>194045122715</v>
      </c>
      <c r="BU173" s="199">
        <f>'Detailed Budget'!$AD$24</f>
        <v>194045122715</v>
      </c>
      <c r="BV173" s="596">
        <f t="shared" si="232"/>
        <v>0</v>
      </c>
      <c r="BW173" s="278"/>
      <c r="BX173" s="275">
        <f t="shared" si="215"/>
        <v>0</v>
      </c>
      <c r="BY173" s="275">
        <f t="shared" si="216"/>
        <v>0</v>
      </c>
      <c r="CA173" s="199">
        <f>'Detailed Budget'!$AD$96</f>
        <v>71050111380.677719</v>
      </c>
      <c r="CB173" s="275">
        <f t="shared" si="199"/>
        <v>145532309.45158061</v>
      </c>
      <c r="CE173" s="199">
        <f>'Detailed Budget'!$AD$175</f>
        <v>4330586076.5988197</v>
      </c>
      <c r="CF173" s="275">
        <f t="shared" si="233"/>
        <v>0</v>
      </c>
      <c r="CG173" s="199">
        <f>'Detailed Budget'!$AD$176</f>
        <v>20662817754.37001</v>
      </c>
      <c r="CH173" s="275">
        <f t="shared" si="234"/>
        <v>0</v>
      </c>
      <c r="CI173" s="275">
        <f t="shared" si="211"/>
        <v>0</v>
      </c>
      <c r="CJ173" s="275">
        <f>'Detailed Budget'!$AD$178</f>
        <v>46025131033.061455</v>
      </c>
      <c r="CK173" s="275">
        <f t="shared" si="235"/>
        <v>0</v>
      </c>
      <c r="CL173" s="275">
        <f t="shared" si="206"/>
        <v>0</v>
      </c>
      <c r="CM173" s="278">
        <f>'Detailed Budget'!$AD$189</f>
        <v>77498869683.252869</v>
      </c>
      <c r="CN173" s="275">
        <f t="shared" si="200"/>
        <v>0</v>
      </c>
      <c r="CO173" s="140">
        <f>'Detailed Budget'!$AD$191</f>
        <v>2684962805.4134097</v>
      </c>
      <c r="CP173" s="616">
        <f t="shared" si="201"/>
        <v>0</v>
      </c>
      <c r="CQ173" s="616">
        <f t="shared" si="202"/>
        <v>0</v>
      </c>
      <c r="CR173" s="199">
        <f>'Detailed Budget'!$AD$195</f>
        <v>18734176418</v>
      </c>
      <c r="CS173" s="275">
        <f t="shared" si="236"/>
        <v>28087319.557465557</v>
      </c>
      <c r="CW173" s="278"/>
      <c r="DH173" s="140">
        <f>'Detailed Budget'!$AD$163</f>
        <v>4928560000</v>
      </c>
      <c r="DI173" s="616">
        <f t="shared" si="237"/>
        <v>6160000</v>
      </c>
    </row>
    <row r="174" spans="1:113" outlineLevel="1">
      <c r="A174" s="214" t="s">
        <v>524</v>
      </c>
      <c r="B174" s="215" t="s">
        <v>525</v>
      </c>
      <c r="C174" s="216" t="s">
        <v>234</v>
      </c>
      <c r="D174" s="229"/>
      <c r="E174" s="216"/>
      <c r="F174" s="216"/>
      <c r="G174" s="216"/>
      <c r="H174" s="216" t="s">
        <v>234</v>
      </c>
      <c r="I174" s="217" t="s">
        <v>234</v>
      </c>
      <c r="J174" s="217"/>
      <c r="K174" s="216" t="s">
        <v>234</v>
      </c>
      <c r="L174" s="216"/>
      <c r="M174" s="217"/>
      <c r="N174" s="216"/>
      <c r="O174" s="217"/>
      <c r="P174" s="216"/>
      <c r="Q174" s="217"/>
      <c r="R174" s="217" t="s">
        <v>234</v>
      </c>
      <c r="S174" s="217"/>
      <c r="T174" s="217"/>
      <c r="U174" s="218">
        <f t="shared" si="226"/>
        <v>5</v>
      </c>
      <c r="V174" s="867" t="s">
        <v>487</v>
      </c>
      <c r="W174" s="219">
        <v>196197</v>
      </c>
      <c r="X174" s="220">
        <v>2.89</v>
      </c>
      <c r="Y174" s="221">
        <f t="shared" si="221"/>
        <v>1.0288999999999999</v>
      </c>
      <c r="Z174" s="199">
        <v>19</v>
      </c>
      <c r="AA174" s="221">
        <f t="shared" si="222"/>
        <v>1.7182651319612778</v>
      </c>
      <c r="AB174" s="199">
        <f t="shared" si="223"/>
        <v>337118.46409540682</v>
      </c>
      <c r="AC174">
        <v>17.600000000000001</v>
      </c>
      <c r="AD174" s="199">
        <f t="shared" si="224"/>
        <v>59332.849680791609</v>
      </c>
      <c r="AE174" s="199">
        <f t="shared" si="225"/>
        <v>56366.207196752024</v>
      </c>
      <c r="AF174" s="199">
        <f t="shared" si="205"/>
        <v>0</v>
      </c>
      <c r="AG174" s="614">
        <f t="shared" si="204"/>
        <v>2.6061259684916349E-3</v>
      </c>
      <c r="AH174" s="199">
        <f t="shared" si="238"/>
        <v>16855.923204770341</v>
      </c>
      <c r="AI174" s="252">
        <f t="shared" si="187"/>
        <v>1.3058028314553299E-3</v>
      </c>
      <c r="AJ174" s="199">
        <f t="shared" si="188"/>
        <v>76188.77288556195</v>
      </c>
      <c r="AK174" s="199">
        <f t="shared" si="209"/>
        <v>13484.738563816272</v>
      </c>
      <c r="AL174" s="199">
        <f t="shared" si="210"/>
        <v>13484.738563816272</v>
      </c>
      <c r="AM174" s="199">
        <f t="shared" si="189"/>
        <v>26969.477127632545</v>
      </c>
      <c r="AN174" s="645">
        <f t="shared" si="190"/>
        <v>1.3058028314553299E-3</v>
      </c>
      <c r="AO174" s="199">
        <v>11</v>
      </c>
      <c r="AP174" s="250">
        <f t="shared" si="191"/>
        <v>1.2498579706851495E-3</v>
      </c>
      <c r="AQ174" s="199">
        <v>11</v>
      </c>
      <c r="AU174" s="199">
        <v>0</v>
      </c>
      <c r="AW174" s="250">
        <f t="shared" si="192"/>
        <v>0</v>
      </c>
      <c r="AX174" s="199">
        <v>1</v>
      </c>
      <c r="AY174" s="199">
        <f t="shared" si="227"/>
        <v>25603.957757739587</v>
      </c>
      <c r="AZ174" s="199">
        <f t="shared" si="193"/>
        <v>25603.957757739587</v>
      </c>
      <c r="BA174" s="252">
        <f t="shared" si="194"/>
        <v>2.0126372318174219E-3</v>
      </c>
      <c r="BB174" s="284">
        <v>0</v>
      </c>
      <c r="BC174" s="199">
        <f t="shared" si="228"/>
        <v>0</v>
      </c>
      <c r="BD174" s="270">
        <f t="shared" si="207"/>
        <v>0</v>
      </c>
      <c r="BE174" s="199">
        <f t="shared" si="229"/>
        <v>0</v>
      </c>
      <c r="BF174" s="251">
        <f t="shared" si="208"/>
        <v>0</v>
      </c>
      <c r="BG174" s="204">
        <f t="shared" si="230"/>
        <v>0</v>
      </c>
      <c r="BH174" s="636">
        <v>0</v>
      </c>
      <c r="BI174" s="199">
        <f t="shared" si="195"/>
        <v>103158.2500131945</v>
      </c>
      <c r="BJ174" s="199">
        <f t="shared" si="196"/>
        <v>206316.500026389</v>
      </c>
      <c r="BK174" s="199">
        <f t="shared" si="203"/>
        <v>309474.75003958348</v>
      </c>
      <c r="BL174" s="251">
        <f t="shared" si="197"/>
        <v>1.3058028314553302E-3</v>
      </c>
      <c r="BM174" s="199">
        <f t="shared" si="231"/>
        <v>34113.997875969661</v>
      </c>
      <c r="BN174" s="251">
        <f t="shared" si="198"/>
        <v>1.4731485209642193E-3</v>
      </c>
      <c r="BT174" s="199">
        <f>'Detailed Budget'!$AD$12</f>
        <v>194045122715</v>
      </c>
      <c r="BU174" s="199">
        <f>'Detailed Budget'!$AD$24</f>
        <v>194045122715</v>
      </c>
      <c r="BV174" s="596">
        <f t="shared" si="232"/>
        <v>0</v>
      </c>
      <c r="BW174" s="278"/>
      <c r="BX174" s="275">
        <f t="shared" si="215"/>
        <v>0</v>
      </c>
      <c r="BY174" s="275">
        <f t="shared" si="216"/>
        <v>0</v>
      </c>
      <c r="CA174" s="199">
        <f>'Detailed Budget'!$AD$96</f>
        <v>71050111380.677719</v>
      </c>
      <c r="CB174" s="275">
        <f t="shared" si="199"/>
        <v>142998099.48952672</v>
      </c>
      <c r="CE174" s="199">
        <f>'Detailed Budget'!$AD$175</f>
        <v>4330586076.5988197</v>
      </c>
      <c r="CF174" s="275">
        <f t="shared" si="233"/>
        <v>0</v>
      </c>
      <c r="CG174" s="199">
        <f>'Detailed Budget'!$AD$176</f>
        <v>20662817754.37001</v>
      </c>
      <c r="CH174" s="275">
        <f t="shared" si="234"/>
        <v>0</v>
      </c>
      <c r="CI174" s="275">
        <f t="shared" si="211"/>
        <v>0</v>
      </c>
      <c r="CJ174" s="275">
        <f>'Detailed Budget'!$AD$178</f>
        <v>46025131033.061455</v>
      </c>
      <c r="CK174" s="275">
        <f t="shared" si="235"/>
        <v>0</v>
      </c>
      <c r="CL174" s="275">
        <f t="shared" si="206"/>
        <v>0</v>
      </c>
      <c r="CM174" s="278">
        <f>'Detailed Budget'!$AD$189</f>
        <v>77498869683.252869</v>
      </c>
      <c r="CN174" s="275">
        <f t="shared" si="200"/>
        <v>0</v>
      </c>
      <c r="CO174" s="140">
        <f>'Detailed Budget'!$AD$191</f>
        <v>2684962805.4134097</v>
      </c>
      <c r="CP174" s="616">
        <f t="shared" si="201"/>
        <v>0</v>
      </c>
      <c r="CQ174" s="616">
        <f t="shared" si="202"/>
        <v>0</v>
      </c>
      <c r="CR174" s="199">
        <f>'Detailed Budget'!$AD$195</f>
        <v>18734176418</v>
      </c>
      <c r="CS174" s="275">
        <f t="shared" si="236"/>
        <v>27598224.281659458</v>
      </c>
      <c r="CW174" s="278"/>
      <c r="DH174" s="140">
        <f>'Detailed Budget'!$AD$163</f>
        <v>4928560000</v>
      </c>
      <c r="DI174" s="616">
        <f t="shared" si="237"/>
        <v>6160000</v>
      </c>
    </row>
    <row r="175" spans="1:113" outlineLevel="1">
      <c r="A175" s="214"/>
      <c r="B175" s="215"/>
      <c r="C175" s="216"/>
      <c r="D175" s="229"/>
      <c r="E175" s="216"/>
      <c r="F175" s="216"/>
      <c r="G175" s="216"/>
      <c r="H175" s="216"/>
      <c r="I175" s="217"/>
      <c r="J175" s="217"/>
      <c r="K175" s="216"/>
      <c r="L175" s="216"/>
      <c r="M175" s="217"/>
      <c r="N175" s="216"/>
      <c r="O175" s="217"/>
      <c r="P175" s="216"/>
      <c r="Q175" s="217"/>
      <c r="R175" s="217"/>
      <c r="S175" s="217"/>
      <c r="T175" s="217"/>
      <c r="U175" s="218"/>
      <c r="V175" s="867"/>
      <c r="W175" s="219"/>
      <c r="X175" s="220"/>
      <c r="Y175" s="221"/>
      <c r="Z175" s="199"/>
      <c r="AA175" s="221"/>
      <c r="AF175" s="199">
        <f t="shared" si="205"/>
        <v>0</v>
      </c>
      <c r="AG175" s="614">
        <f t="shared" si="204"/>
        <v>0</v>
      </c>
      <c r="AJ175" s="199"/>
      <c r="AK175" s="199">
        <f t="shared" si="209"/>
        <v>0</v>
      </c>
      <c r="AL175" s="199">
        <f t="shared" si="210"/>
        <v>0</v>
      </c>
      <c r="AM175" s="199">
        <f t="shared" si="189"/>
        <v>0</v>
      </c>
      <c r="AN175" s="645">
        <f t="shared" si="190"/>
        <v>0</v>
      </c>
      <c r="AP175" s="250">
        <f t="shared" si="191"/>
        <v>0</v>
      </c>
      <c r="AW175" s="250">
        <f t="shared" si="192"/>
        <v>0</v>
      </c>
      <c r="AX175" s="199"/>
      <c r="BA175" s="252">
        <f t="shared" si="194"/>
        <v>0</v>
      </c>
      <c r="BB175" s="284"/>
      <c r="BD175" s="270"/>
      <c r="BF175" s="251"/>
      <c r="BG175" s="204"/>
      <c r="BH175" s="636"/>
      <c r="BI175" s="199">
        <f t="shared" si="195"/>
        <v>0</v>
      </c>
      <c r="BJ175" s="199">
        <f t="shared" si="196"/>
        <v>0</v>
      </c>
      <c r="BK175" s="199">
        <f t="shared" si="203"/>
        <v>0</v>
      </c>
      <c r="BL175" s="251">
        <f t="shared" si="197"/>
        <v>0</v>
      </c>
      <c r="BN175" s="251">
        <f t="shared" si="198"/>
        <v>0</v>
      </c>
      <c r="BT175" s="199"/>
      <c r="BU175" s="199"/>
      <c r="BV175" s="596"/>
      <c r="BW175" s="278"/>
      <c r="BX175" s="275"/>
      <c r="BY175" s="275"/>
      <c r="CA175" s="199">
        <f>'Detailed Budget'!$AD$96</f>
        <v>71050111380.677719</v>
      </c>
      <c r="CB175" s="275">
        <f t="shared" si="199"/>
        <v>0</v>
      </c>
      <c r="CE175" s="199"/>
      <c r="CF175" s="275"/>
      <c r="CG175" s="199"/>
      <c r="CH175" s="275"/>
      <c r="CI175" s="275"/>
      <c r="CJ175" s="275"/>
      <c r="CK175" s="275"/>
      <c r="CL175" s="275"/>
      <c r="CM175" s="278">
        <f>'Detailed Budget'!$AD$189</f>
        <v>77498869683.252869</v>
      </c>
      <c r="CN175" s="275">
        <f t="shared" si="200"/>
        <v>0</v>
      </c>
      <c r="CO175" s="140">
        <f>'Detailed Budget'!$AD$191</f>
        <v>2684962805.4134097</v>
      </c>
      <c r="CP175" s="616">
        <f t="shared" si="201"/>
        <v>0</v>
      </c>
      <c r="CQ175" s="616">
        <f t="shared" si="202"/>
        <v>0</v>
      </c>
      <c r="CR175" s="199"/>
      <c r="CS175" s="275"/>
      <c r="CW175" s="278"/>
      <c r="DH175" s="140">
        <f>'Detailed Budget'!$AD$163</f>
        <v>4928560000</v>
      </c>
      <c r="DI175" s="616">
        <f t="shared" si="237"/>
        <v>0</v>
      </c>
    </row>
    <row r="176" spans="1:113" s="213" customFormat="1">
      <c r="A176" s="206">
        <v>2.2000000000000002</v>
      </c>
      <c r="B176" s="207" t="s">
        <v>526</v>
      </c>
      <c r="C176" s="208">
        <f t="shared" ref="C176:T176" si="239">COUNTA(C178:C197)</f>
        <v>20</v>
      </c>
      <c r="D176" s="208">
        <f t="shared" si="239"/>
        <v>20</v>
      </c>
      <c r="E176" s="208">
        <f t="shared" si="239"/>
        <v>0</v>
      </c>
      <c r="F176" s="208">
        <f t="shared" si="239"/>
        <v>0</v>
      </c>
      <c r="G176" s="208">
        <f t="shared" si="239"/>
        <v>0</v>
      </c>
      <c r="H176" s="208">
        <f t="shared" si="239"/>
        <v>20</v>
      </c>
      <c r="I176" s="208">
        <f t="shared" si="239"/>
        <v>20</v>
      </c>
      <c r="J176" s="208">
        <f t="shared" si="239"/>
        <v>0</v>
      </c>
      <c r="K176" s="208">
        <f t="shared" si="239"/>
        <v>20</v>
      </c>
      <c r="L176" s="208">
        <f t="shared" si="239"/>
        <v>0</v>
      </c>
      <c r="M176" s="208">
        <f t="shared" si="239"/>
        <v>0</v>
      </c>
      <c r="N176" s="208">
        <f t="shared" si="239"/>
        <v>0</v>
      </c>
      <c r="O176" s="208">
        <f t="shared" si="239"/>
        <v>0</v>
      </c>
      <c r="P176" s="208">
        <f t="shared" si="239"/>
        <v>0</v>
      </c>
      <c r="Q176" s="208">
        <f t="shared" si="239"/>
        <v>1</v>
      </c>
      <c r="R176" s="208">
        <f t="shared" si="239"/>
        <v>19</v>
      </c>
      <c r="S176" s="208">
        <f t="shared" si="239"/>
        <v>2</v>
      </c>
      <c r="T176" s="208">
        <f t="shared" si="239"/>
        <v>0</v>
      </c>
      <c r="U176" s="209">
        <f>SUM(C176:T176)</f>
        <v>122</v>
      </c>
      <c r="V176" s="866"/>
      <c r="W176" s="210">
        <f>SUM(W178:W197)</f>
        <v>4653066</v>
      </c>
      <c r="X176" s="211">
        <v>3.39</v>
      </c>
      <c r="Y176" s="212">
        <f t="shared" si="221"/>
        <v>1.0339</v>
      </c>
      <c r="Z176" s="210">
        <v>19</v>
      </c>
      <c r="AA176" s="212">
        <f t="shared" si="222"/>
        <v>1.8840489025780363</v>
      </c>
      <c r="AB176" s="210">
        <f t="shared" si="223"/>
        <v>8766603.8909231722</v>
      </c>
      <c r="AC176" s="230">
        <v>20</v>
      </c>
      <c r="AD176" s="210">
        <f t="shared" si="224"/>
        <v>1753320.7781846344</v>
      </c>
      <c r="AE176" s="210">
        <f t="shared" si="225"/>
        <v>1665654.7392754026</v>
      </c>
      <c r="AF176" s="210">
        <f>SUM(AF178:AF197)</f>
        <v>1665654.7392754031</v>
      </c>
      <c r="AG176" s="614">
        <f t="shared" si="204"/>
        <v>7.7012562782775379E-2</v>
      </c>
      <c r="AH176" s="210">
        <f>SUM(AH178:AH197)</f>
        <v>438330.1945461586</v>
      </c>
      <c r="AI176" s="252">
        <f t="shared" si="187"/>
        <v>3.3956776036375994E-2</v>
      </c>
      <c r="AJ176" s="210">
        <f>SUM(AJ178:AJ197)</f>
        <v>2191650.9727307931</v>
      </c>
      <c r="AK176" s="199">
        <f t="shared" si="209"/>
        <v>350664.15563692688</v>
      </c>
      <c r="AL176" s="199">
        <f t="shared" si="210"/>
        <v>350664.15563692688</v>
      </c>
      <c r="AM176" s="199">
        <f t="shared" si="189"/>
        <v>701328.31127385376</v>
      </c>
      <c r="AN176" s="645">
        <f t="shared" si="190"/>
        <v>3.3956776036375994E-2</v>
      </c>
      <c r="AO176" s="210">
        <f>SUM(AO178:AO197)</f>
        <v>212</v>
      </c>
      <c r="AP176" s="250">
        <f t="shared" si="191"/>
        <v>2.4088171798659245E-2</v>
      </c>
      <c r="AQ176" s="210">
        <f>SUM(AQ178:AQ197)</f>
        <v>212</v>
      </c>
      <c r="AR176" s="210"/>
      <c r="AS176" s="210"/>
      <c r="AT176" s="210"/>
      <c r="AU176" s="199"/>
      <c r="AV176" s="199"/>
      <c r="AW176" s="250">
        <f t="shared" si="192"/>
        <v>0</v>
      </c>
      <c r="AX176" s="199"/>
      <c r="AY176" s="210">
        <v>663102</v>
      </c>
      <c r="AZ176" s="210">
        <f>SUM(AZ178:AZ197)</f>
        <v>663101.99174947769</v>
      </c>
      <c r="BA176" s="252">
        <f t="shared" si="194"/>
        <v>5.2124119626930275E-2</v>
      </c>
      <c r="BB176" s="284"/>
      <c r="BC176" s="210">
        <f>SUM(BC178:BC197)</f>
        <v>1262390.9602929368</v>
      </c>
      <c r="BD176" s="270">
        <f t="shared" si="207"/>
        <v>0.11368726073905505</v>
      </c>
      <c r="BE176" s="210">
        <f>SUM(BE178:BE197)</f>
        <v>5400227.9968086742</v>
      </c>
      <c r="BF176" s="251">
        <f t="shared" si="208"/>
        <v>0.1136872632653998</v>
      </c>
      <c r="BG176" s="210">
        <f>SUM(BG178:BG197)</f>
        <v>6662618.9571016124</v>
      </c>
      <c r="BH176"/>
      <c r="BI176" s="199">
        <f t="shared" si="195"/>
        <v>2682580.7906224905</v>
      </c>
      <c r="BJ176" s="199">
        <f t="shared" si="196"/>
        <v>5365161.5812449809</v>
      </c>
      <c r="BK176" s="199">
        <f t="shared" si="203"/>
        <v>8047742.3718674714</v>
      </c>
      <c r="BL176" s="251">
        <f t="shared" si="197"/>
        <v>3.3956776036375994E-2</v>
      </c>
      <c r="BM176" s="210">
        <v>609621</v>
      </c>
      <c r="BN176" s="251">
        <f t="shared" si="198"/>
        <v>2.6325330668186941E-2</v>
      </c>
      <c r="BT176" s="210">
        <f>'Detailed Budget'!$AD$12</f>
        <v>194045122715</v>
      </c>
      <c r="BU176" s="210">
        <f>'Detailed Budget'!$AD$24</f>
        <v>194045122715</v>
      </c>
      <c r="BV176" s="596">
        <f>AV176/34743979</f>
        <v>0</v>
      </c>
      <c r="BW176" s="278"/>
      <c r="BX176" s="613">
        <f t="shared" si="215"/>
        <v>0</v>
      </c>
      <c r="BY176" s="613">
        <f t="shared" si="216"/>
        <v>0</v>
      </c>
      <c r="CA176" s="210">
        <f>'Detailed Budget'!$AD$96</f>
        <v>71050111380.677719</v>
      </c>
      <c r="CB176" s="613">
        <f t="shared" si="199"/>
        <v>3703424505.1131654</v>
      </c>
      <c r="CE176" s="210">
        <f>'Detailed Budget'!$AD$175</f>
        <v>4330586076.5988197</v>
      </c>
      <c r="CF176" s="613">
        <f>SUM(CF178:CF197)</f>
        <v>492332468.4432115</v>
      </c>
      <c r="CG176" s="632">
        <f>'Detailed Budget'!$AD$176</f>
        <v>20662817754.37001</v>
      </c>
      <c r="CH176" s="613">
        <f>SUM(CH178:CH197)</f>
        <v>2349099201.8460402</v>
      </c>
      <c r="CI176" s="613">
        <f>SUM(CI178:CI197)</f>
        <v>2841431670.2892518</v>
      </c>
      <c r="CJ176" s="275">
        <f>'Detailed Budget'!$AD$178</f>
        <v>46025131033.061455</v>
      </c>
      <c r="CK176" s="613">
        <f t="shared" ref="CK176:CL176" si="240">SUM(CK178:CK197)</f>
        <v>3544513293.2691088</v>
      </c>
      <c r="CL176" s="613">
        <f t="shared" si="240"/>
        <v>6385944963.5583611</v>
      </c>
      <c r="CM176" s="278">
        <f>'Detailed Budget'!$AD$189</f>
        <v>77498869683.252869</v>
      </c>
      <c r="CN176" s="275">
        <f t="shared" si="200"/>
        <v>0</v>
      </c>
      <c r="CO176" s="140">
        <f>'Detailed Budget'!$AD$191</f>
        <v>2684962805.4134097</v>
      </c>
      <c r="CP176" s="616">
        <f t="shared" si="201"/>
        <v>0</v>
      </c>
      <c r="CQ176" s="616">
        <f t="shared" si="202"/>
        <v>0</v>
      </c>
      <c r="CR176" s="210">
        <f>'Detailed Budget'!$AD$195</f>
        <v>18734176418</v>
      </c>
      <c r="CS176" s="275">
        <f>BN176*CR176</f>
        <v>493183388.99999994</v>
      </c>
      <c r="CW176" s="278"/>
      <c r="DH176" s="140">
        <f>'Detailed Budget'!$AD$163</f>
        <v>4928560000</v>
      </c>
      <c r="DI176" s="616">
        <f t="shared" si="237"/>
        <v>118720000.00000001</v>
      </c>
    </row>
    <row r="177" spans="1:113" s="213" customFormat="1">
      <c r="A177" s="214" t="s">
        <v>2327</v>
      </c>
      <c r="B177" s="215" t="s">
        <v>2318</v>
      </c>
      <c r="C177" s="208"/>
      <c r="D177" s="208"/>
      <c r="E177" s="208"/>
      <c r="F177" s="208"/>
      <c r="G177" s="208"/>
      <c r="H177" s="208"/>
      <c r="I177" s="208"/>
      <c r="J177" s="208"/>
      <c r="K177" s="208"/>
      <c r="L177" s="208"/>
      <c r="M177" s="208"/>
      <c r="N177" s="208"/>
      <c r="O177" s="208"/>
      <c r="P177" s="208"/>
      <c r="Q177" s="208"/>
      <c r="R177" s="208"/>
      <c r="S177" s="208"/>
      <c r="T177" s="208"/>
      <c r="U177" s="209"/>
      <c r="V177" s="866"/>
      <c r="W177" s="210"/>
      <c r="X177" s="211"/>
      <c r="Y177" s="212"/>
      <c r="Z177" s="210"/>
      <c r="AA177" s="212"/>
      <c r="AB177" s="210"/>
      <c r="AC177" s="230"/>
      <c r="AD177" s="210"/>
      <c r="AE177" s="199"/>
      <c r="AF177" s="199"/>
      <c r="AG177" s="614">
        <f t="shared" si="204"/>
        <v>0</v>
      </c>
      <c r="AH177" s="210"/>
      <c r="AI177" s="252"/>
      <c r="AJ177" s="199"/>
      <c r="AK177" s="199">
        <f t="shared" si="209"/>
        <v>0</v>
      </c>
      <c r="AL177" s="199">
        <f t="shared" si="210"/>
        <v>0</v>
      </c>
      <c r="AM177" s="199">
        <f t="shared" si="189"/>
        <v>0</v>
      </c>
      <c r="AN177" s="645">
        <f t="shared" si="190"/>
        <v>0</v>
      </c>
      <c r="AO177" s="210"/>
      <c r="AP177" s="250"/>
      <c r="AQ177" s="210"/>
      <c r="AR177" s="210"/>
      <c r="AS177" s="210"/>
      <c r="AT177" s="210"/>
      <c r="AU177" s="199"/>
      <c r="AV177" s="199"/>
      <c r="AW177" s="250">
        <f t="shared" si="192"/>
        <v>0</v>
      </c>
      <c r="AX177" s="199"/>
      <c r="AY177" s="210"/>
      <c r="AZ177" s="199"/>
      <c r="BA177" s="252">
        <f t="shared" si="194"/>
        <v>0</v>
      </c>
      <c r="BB177" s="284"/>
      <c r="BC177" s="269"/>
      <c r="BD177" s="270">
        <f t="shared" si="207"/>
        <v>0</v>
      </c>
      <c r="BE177" s="269"/>
      <c r="BF177" s="251">
        <f t="shared" si="208"/>
        <v>0</v>
      </c>
      <c r="BG177" s="204"/>
      <c r="BH177"/>
      <c r="BI177" s="199">
        <f t="shared" si="195"/>
        <v>0</v>
      </c>
      <c r="BJ177" s="199">
        <f t="shared" si="196"/>
        <v>0</v>
      </c>
      <c r="BK177" s="199">
        <f t="shared" si="203"/>
        <v>0</v>
      </c>
      <c r="BL177" s="251">
        <f t="shared" si="197"/>
        <v>0</v>
      </c>
      <c r="BM177" s="210"/>
      <c r="BN177" s="251">
        <f t="shared" si="198"/>
        <v>0</v>
      </c>
      <c r="BT177" s="210"/>
      <c r="BU177" s="210">
        <f>'Detailed Budget'!$AD$24</f>
        <v>194045122715</v>
      </c>
      <c r="BV177" s="596"/>
      <c r="BW177" s="278"/>
      <c r="BX177" s="275"/>
      <c r="BY177" s="275"/>
      <c r="CA177" s="210">
        <f>'Detailed Budget'!$AD$96</f>
        <v>71050111380.677719</v>
      </c>
      <c r="CB177" s="275"/>
      <c r="CE177" s="210"/>
      <c r="CF177" s="275"/>
      <c r="CG177" s="240"/>
      <c r="CH177" s="275"/>
      <c r="CI177" s="275"/>
      <c r="CJ177" s="275"/>
      <c r="CK177" s="275"/>
      <c r="CL177" s="275"/>
      <c r="CM177" s="278">
        <f>'Detailed Budget'!$AD$189</f>
        <v>77498869683.252869</v>
      </c>
      <c r="CN177" s="275">
        <f t="shared" si="200"/>
        <v>0</v>
      </c>
      <c r="CO177" s="140">
        <f>'Detailed Budget'!$AD$191</f>
        <v>2684962805.4134097</v>
      </c>
      <c r="CP177" s="616">
        <f t="shared" si="201"/>
        <v>0</v>
      </c>
      <c r="CQ177" s="616">
        <f t="shared" si="202"/>
        <v>0</v>
      </c>
      <c r="CR177" s="210"/>
      <c r="CS177" s="275"/>
      <c r="CW177" s="278"/>
      <c r="DH177" s="140"/>
      <c r="DI177" s="616"/>
    </row>
    <row r="178" spans="1:113" outlineLevel="1">
      <c r="A178" s="214" t="s">
        <v>527</v>
      </c>
      <c r="B178" s="215" t="s">
        <v>528</v>
      </c>
      <c r="C178" s="216" t="s">
        <v>234</v>
      </c>
      <c r="D178" s="229" t="s">
        <v>234</v>
      </c>
      <c r="E178" s="216"/>
      <c r="F178" s="216"/>
      <c r="G178" s="216"/>
      <c r="H178" s="216" t="s">
        <v>234</v>
      </c>
      <c r="I178" s="217" t="s">
        <v>234</v>
      </c>
      <c r="J178" s="217"/>
      <c r="K178" s="216" t="s">
        <v>234</v>
      </c>
      <c r="L178" s="216"/>
      <c r="M178" s="217"/>
      <c r="N178" s="216"/>
      <c r="O178" s="217"/>
      <c r="P178" s="216"/>
      <c r="Q178" s="217"/>
      <c r="R178" s="217" t="s">
        <v>234</v>
      </c>
      <c r="S178" s="217"/>
      <c r="T178" s="217"/>
      <c r="U178" s="218">
        <f t="shared" ref="U178:U197" si="241">COUNTA(C178:T178)</f>
        <v>6</v>
      </c>
      <c r="V178" s="867" t="s">
        <v>238</v>
      </c>
      <c r="W178" s="219">
        <v>328284</v>
      </c>
      <c r="X178" s="220">
        <v>3.39</v>
      </c>
      <c r="Y178" s="221">
        <f t="shared" si="221"/>
        <v>1.0339</v>
      </c>
      <c r="Z178" s="199">
        <v>19</v>
      </c>
      <c r="AA178" s="221">
        <f t="shared" si="222"/>
        <v>1.8840489025780363</v>
      </c>
      <c r="AB178" s="199">
        <f t="shared" si="223"/>
        <v>618503.109933928</v>
      </c>
      <c r="AC178" s="231">
        <v>20</v>
      </c>
      <c r="AD178" s="199">
        <f t="shared" si="224"/>
        <v>123700.62198678561</v>
      </c>
      <c r="AE178" s="199">
        <f t="shared" si="225"/>
        <v>117515.59088744632</v>
      </c>
      <c r="AF178" s="199">
        <f t="shared" si="205"/>
        <v>117515.59088744632</v>
      </c>
      <c r="AG178" s="614">
        <f t="shared" si="204"/>
        <v>5.433405019524897E-3</v>
      </c>
      <c r="AH178" s="199">
        <f>AB178*0.05</f>
        <v>30925.155496696403</v>
      </c>
      <c r="AI178" s="252">
        <f t="shared" si="187"/>
        <v>2.3957249401417597E-3</v>
      </c>
      <c r="AJ178" s="199">
        <f t="shared" si="188"/>
        <v>154625.77748348203</v>
      </c>
      <c r="AK178" s="199">
        <f t="shared" si="209"/>
        <v>24740.124397357122</v>
      </c>
      <c r="AL178" s="199">
        <f t="shared" si="210"/>
        <v>24740.124397357122</v>
      </c>
      <c r="AM178" s="199">
        <f t="shared" si="189"/>
        <v>49480.248794714244</v>
      </c>
      <c r="AN178" s="645">
        <f t="shared" si="190"/>
        <v>2.3957249401417597E-3</v>
      </c>
      <c r="AO178" s="199">
        <v>11</v>
      </c>
      <c r="AP178" s="250">
        <f t="shared" si="191"/>
        <v>1.2498579706851495E-3</v>
      </c>
      <c r="AQ178" s="199">
        <v>11</v>
      </c>
      <c r="AU178" s="199">
        <v>0</v>
      </c>
      <c r="AW178" s="250">
        <f t="shared" si="192"/>
        <v>0</v>
      </c>
      <c r="AX178" s="199">
        <v>1</v>
      </c>
      <c r="AY178" s="199">
        <f t="shared" ref="AY178:AY197" si="242">AJ178/2191651*663102</f>
        <v>46783.298207995664</v>
      </c>
      <c r="AZ178" s="199">
        <f t="shared" si="193"/>
        <v>46783.298207995664</v>
      </c>
      <c r="BA178" s="252">
        <f t="shared" si="194"/>
        <v>3.6774708305463925E-3</v>
      </c>
      <c r="BB178" s="284">
        <v>1</v>
      </c>
      <c r="BC178" s="199">
        <f t="shared" ref="BC178:BC197" si="243">AD178*BB178*0.18*4</f>
        <v>89064.447830485631</v>
      </c>
      <c r="BD178" s="270">
        <f t="shared" si="207"/>
        <v>8.0208853054007725E-3</v>
      </c>
      <c r="BE178" s="199">
        <f t="shared" ref="BE178:BE197" si="244">AD178*BB178*0.77*4</f>
        <v>380997.91571929969</v>
      </c>
      <c r="BF178" s="251">
        <f t="shared" si="208"/>
        <v>8.0208854836399286E-3</v>
      </c>
      <c r="BG178" s="204">
        <f t="shared" si="230"/>
        <v>470062.36354978534</v>
      </c>
      <c r="BH178" s="636">
        <v>0</v>
      </c>
      <c r="BI178" s="199">
        <f t="shared" si="195"/>
        <v>189261.951639782</v>
      </c>
      <c r="BJ178" s="199">
        <f t="shared" si="196"/>
        <v>378523.90327956399</v>
      </c>
      <c r="BK178" s="199">
        <f t="shared" si="203"/>
        <v>567785.85491934605</v>
      </c>
      <c r="BL178" s="251">
        <f t="shared" si="197"/>
        <v>2.3957249401417601E-3</v>
      </c>
      <c r="BM178" s="199">
        <f t="shared" ref="BM178:BM197" si="245">AH178/438330*609621</f>
        <v>43010.116166020023</v>
      </c>
      <c r="BN178" s="251">
        <f t="shared" si="198"/>
        <v>1.8573105751731156E-3</v>
      </c>
      <c r="BT178" s="199">
        <f>'Detailed Budget'!$AD$12</f>
        <v>194045122715</v>
      </c>
      <c r="BU178" s="199">
        <f>'Detailed Budget'!$AD$24</f>
        <v>194045122715</v>
      </c>
      <c r="BV178" s="596">
        <f t="shared" ref="BV178:BV197" si="246">AV178/34743979</f>
        <v>0</v>
      </c>
      <c r="BW178" s="278"/>
      <c r="BX178" s="275">
        <f t="shared" si="215"/>
        <v>0</v>
      </c>
      <c r="BY178" s="275">
        <f t="shared" si="216"/>
        <v>0</v>
      </c>
      <c r="CA178" s="199">
        <f>'Detailed Budget'!$AD$96</f>
        <v>71050111380.677719</v>
      </c>
      <c r="CB178" s="275">
        <f t="shared" si="199"/>
        <v>261284712.10951459</v>
      </c>
      <c r="CE178" s="199">
        <f>'Detailed Budget'!$AD$175</f>
        <v>4330586076.5988197</v>
      </c>
      <c r="CF178" s="275">
        <f t="shared" ref="CF178:CF197" si="247">BB178*BD178*CE178</f>
        <v>34735134.225564659</v>
      </c>
      <c r="CG178" s="199">
        <f>'Detailed Budget'!$AD$176</f>
        <v>20662817754.37001</v>
      </c>
      <c r="CH178" s="275">
        <f t="shared" ref="CH178:CH197" si="248">BB178*BF178*CG178</f>
        <v>165734094.9771238</v>
      </c>
      <c r="CI178" s="275">
        <f t="shared" si="211"/>
        <v>200469229.20268846</v>
      </c>
      <c r="CJ178" s="275">
        <f>'Detailed Budget'!$AD$178</f>
        <v>46025131033.061455</v>
      </c>
      <c r="CK178" s="275">
        <f t="shared" ref="CK178:CK197" si="249">BB178*AG178*CJ178</f>
        <v>250073177.9793272</v>
      </c>
      <c r="CL178" s="275">
        <f t="shared" si="206"/>
        <v>450542407.18201566</v>
      </c>
      <c r="CM178" s="278">
        <f>'Detailed Budget'!$AD$189</f>
        <v>77498869683.252869</v>
      </c>
      <c r="CN178" s="275">
        <f t="shared" si="200"/>
        <v>0</v>
      </c>
      <c r="CO178" s="140">
        <f>'Detailed Budget'!$AD$191</f>
        <v>2684962805.4134097</v>
      </c>
      <c r="CP178" s="616">
        <f t="shared" si="201"/>
        <v>0</v>
      </c>
      <c r="CQ178" s="616">
        <f t="shared" si="202"/>
        <v>0</v>
      </c>
      <c r="CR178" s="199">
        <f>'Detailed Budget'!$AD$195</f>
        <v>18734176418</v>
      </c>
      <c r="CS178" s="275">
        <f t="shared" ref="CS178:CS197" si="250">BN178*CR178</f>
        <v>34795183.978310198</v>
      </c>
      <c r="CW178" s="278"/>
      <c r="DH178" s="140">
        <f>'Detailed Budget'!$AD$163</f>
        <v>4928560000</v>
      </c>
      <c r="DI178" s="616">
        <f t="shared" ref="DI178:DI199" si="251">AP178*DH178</f>
        <v>6160000</v>
      </c>
    </row>
    <row r="179" spans="1:113" outlineLevel="1">
      <c r="A179" s="214" t="s">
        <v>529</v>
      </c>
      <c r="B179" s="215" t="s">
        <v>526</v>
      </c>
      <c r="C179" s="216" t="s">
        <v>234</v>
      </c>
      <c r="D179" s="229" t="s">
        <v>234</v>
      </c>
      <c r="E179" s="216"/>
      <c r="F179" s="216"/>
      <c r="G179" s="216"/>
      <c r="H179" s="216" t="s">
        <v>234</v>
      </c>
      <c r="I179" s="217" t="s">
        <v>234</v>
      </c>
      <c r="J179" s="217"/>
      <c r="K179" s="216" t="s">
        <v>234</v>
      </c>
      <c r="L179" s="216"/>
      <c r="M179" s="217"/>
      <c r="N179" s="216"/>
      <c r="O179" s="217"/>
      <c r="P179" s="216"/>
      <c r="Q179" s="217" t="s">
        <v>234</v>
      </c>
      <c r="R179" s="217"/>
      <c r="S179" s="217"/>
      <c r="T179" s="217"/>
      <c r="U179" s="218">
        <f t="shared" si="241"/>
        <v>6</v>
      </c>
      <c r="V179" s="867" t="s">
        <v>284</v>
      </c>
      <c r="W179" s="219">
        <v>493730</v>
      </c>
      <c r="X179" s="220">
        <v>3.39</v>
      </c>
      <c r="Y179" s="221">
        <f t="shared" si="221"/>
        <v>1.0339</v>
      </c>
      <c r="Z179" s="199">
        <v>19</v>
      </c>
      <c r="AA179" s="221">
        <f t="shared" si="222"/>
        <v>1.8840489025780363</v>
      </c>
      <c r="AB179" s="199">
        <f t="shared" si="223"/>
        <v>930211.4646698538</v>
      </c>
      <c r="AC179" s="231">
        <v>20</v>
      </c>
      <c r="AD179" s="199">
        <f t="shared" si="224"/>
        <v>186042.29293397078</v>
      </c>
      <c r="AE179" s="199">
        <f t="shared" si="225"/>
        <v>176740.17828727223</v>
      </c>
      <c r="AF179" s="199">
        <f t="shared" si="205"/>
        <v>176740.17828727223</v>
      </c>
      <c r="AG179" s="614">
        <f t="shared" si="204"/>
        <v>8.1716899400824505E-3</v>
      </c>
      <c r="AH179" s="199">
        <f t="shared" ref="AH179:AH197" si="252">AB179*0.05</f>
        <v>46510.573233492694</v>
      </c>
      <c r="AI179" s="252">
        <f t="shared" si="187"/>
        <v>3.6031036379969511E-3</v>
      </c>
      <c r="AJ179" s="199">
        <f t="shared" si="188"/>
        <v>232552.86616746348</v>
      </c>
      <c r="AK179" s="199">
        <f t="shared" si="209"/>
        <v>37208.45858679415</v>
      </c>
      <c r="AL179" s="199">
        <f t="shared" si="210"/>
        <v>37208.45858679415</v>
      </c>
      <c r="AM179" s="199">
        <f t="shared" si="189"/>
        <v>74416.917173588299</v>
      </c>
      <c r="AN179" s="645">
        <f t="shared" si="190"/>
        <v>3.6031036379969507E-3</v>
      </c>
      <c r="AO179" s="199">
        <v>12</v>
      </c>
      <c r="AP179" s="250">
        <f t="shared" si="191"/>
        <v>1.3634814225656176E-3</v>
      </c>
      <c r="AQ179" s="199">
        <v>12</v>
      </c>
      <c r="AU179" s="199">
        <v>0</v>
      </c>
      <c r="AW179" s="250">
        <f t="shared" si="192"/>
        <v>0</v>
      </c>
      <c r="AX179" s="199">
        <v>1</v>
      </c>
      <c r="AY179" s="199">
        <f t="shared" si="242"/>
        <v>70360.778546117683</v>
      </c>
      <c r="AZ179" s="199">
        <f t="shared" si="193"/>
        <v>70360.778546117683</v>
      </c>
      <c r="BA179" s="252">
        <f t="shared" si="194"/>
        <v>5.5308137867385258E-3</v>
      </c>
      <c r="BB179" s="284">
        <v>1</v>
      </c>
      <c r="BC179" s="199">
        <f t="shared" si="243"/>
        <v>133950.45091245897</v>
      </c>
      <c r="BD179" s="270">
        <f t="shared" si="207"/>
        <v>1.206318828159619E-2</v>
      </c>
      <c r="BE179" s="199">
        <f t="shared" si="244"/>
        <v>573010.26223662996</v>
      </c>
      <c r="BF179" s="251">
        <f t="shared" si="208"/>
        <v>1.206318854966292E-2</v>
      </c>
      <c r="BG179" s="204">
        <f t="shared" si="230"/>
        <v>706960.7131490889</v>
      </c>
      <c r="BH179" s="636">
        <v>0</v>
      </c>
      <c r="BI179" s="199">
        <f t="shared" si="195"/>
        <v>284644.70818897523</v>
      </c>
      <c r="BJ179" s="199">
        <f t="shared" si="196"/>
        <v>569289.41637795046</v>
      </c>
      <c r="BK179" s="199">
        <f t="shared" si="203"/>
        <v>853934.12456692569</v>
      </c>
      <c r="BL179" s="251">
        <f t="shared" si="197"/>
        <v>3.6031036379969503E-3</v>
      </c>
      <c r="BM179" s="199">
        <f t="shared" si="245"/>
        <v>64686.01776099069</v>
      </c>
      <c r="BN179" s="251">
        <f t="shared" si="198"/>
        <v>2.7933434169201739E-3</v>
      </c>
      <c r="BT179" s="199">
        <f>'Detailed Budget'!$AD$12</f>
        <v>194045122715</v>
      </c>
      <c r="BU179" s="199">
        <f>'Detailed Budget'!$AD$24</f>
        <v>194045122715</v>
      </c>
      <c r="BV179" s="596">
        <f t="shared" si="246"/>
        <v>0</v>
      </c>
      <c r="BW179" s="278"/>
      <c r="BX179" s="275">
        <f t="shared" si="215"/>
        <v>0</v>
      </c>
      <c r="BY179" s="275">
        <f t="shared" si="216"/>
        <v>0</v>
      </c>
      <c r="CA179" s="199">
        <f>'Detailed Budget'!$AD$96</f>
        <v>71050111380.677719</v>
      </c>
      <c r="CB179" s="275">
        <f t="shared" si="199"/>
        <v>392964935.57356018</v>
      </c>
      <c r="CE179" s="199">
        <f>'Detailed Budget'!$AD$175</f>
        <v>4330586076.5988197</v>
      </c>
      <c r="CF179" s="275">
        <f t="shared" si="247"/>
        <v>52240675.211670503</v>
      </c>
      <c r="CG179" s="199">
        <f>'Detailed Budget'!$AD$176</f>
        <v>20662817754.37001</v>
      </c>
      <c r="CH179" s="275">
        <f t="shared" si="248"/>
        <v>249259466.538288</v>
      </c>
      <c r="CI179" s="275">
        <f t="shared" si="211"/>
        <v>301500141.74995852</v>
      </c>
      <c r="CJ179" s="275">
        <f>'Detailed Budget'!$AD$178</f>
        <v>46025131033.061455</v>
      </c>
      <c r="CK179" s="275">
        <f t="shared" si="249"/>
        <v>376103100.25384492</v>
      </c>
      <c r="CL179" s="275">
        <f t="shared" si="206"/>
        <v>677603242.00380349</v>
      </c>
      <c r="CM179" s="278">
        <f>'Detailed Budget'!$AD$189</f>
        <v>77498869683.252869</v>
      </c>
      <c r="CN179" s="275">
        <f t="shared" si="200"/>
        <v>0</v>
      </c>
      <c r="CO179" s="140">
        <f>'Detailed Budget'!$AD$191</f>
        <v>2684962805.4134097</v>
      </c>
      <c r="CP179" s="616">
        <f t="shared" si="201"/>
        <v>0</v>
      </c>
      <c r="CQ179" s="616">
        <f t="shared" si="202"/>
        <v>0</v>
      </c>
      <c r="CR179" s="199">
        <f>'Detailed Budget'!$AD$195</f>
        <v>18734176418</v>
      </c>
      <c r="CS179" s="275">
        <f t="shared" si="250"/>
        <v>52330988.368641466</v>
      </c>
      <c r="CW179" s="278"/>
      <c r="DH179" s="140">
        <f>'Detailed Budget'!$AD$163</f>
        <v>4928560000</v>
      </c>
      <c r="DI179" s="616">
        <f t="shared" si="251"/>
        <v>6720000</v>
      </c>
    </row>
    <row r="180" spans="1:113" outlineLevel="1">
      <c r="A180" s="214" t="s">
        <v>530</v>
      </c>
      <c r="B180" s="215" t="s">
        <v>531</v>
      </c>
      <c r="C180" s="216" t="s">
        <v>234</v>
      </c>
      <c r="D180" s="229" t="s">
        <v>234</v>
      </c>
      <c r="E180" s="216"/>
      <c r="F180" s="216"/>
      <c r="G180" s="216"/>
      <c r="H180" s="216" t="s">
        <v>234</v>
      </c>
      <c r="I180" s="217" t="s">
        <v>234</v>
      </c>
      <c r="J180" s="217"/>
      <c r="K180" s="216" t="s">
        <v>234</v>
      </c>
      <c r="L180" s="216"/>
      <c r="M180" s="217"/>
      <c r="N180" s="216"/>
      <c r="O180" s="217"/>
      <c r="P180" s="216"/>
      <c r="Q180" s="217"/>
      <c r="R180" s="217" t="s">
        <v>234</v>
      </c>
      <c r="S180" s="217"/>
      <c r="T180" s="217"/>
      <c r="U180" s="218">
        <f t="shared" si="241"/>
        <v>6</v>
      </c>
      <c r="V180" s="867" t="s">
        <v>238</v>
      </c>
      <c r="W180" s="219">
        <v>83809</v>
      </c>
      <c r="X180" s="220">
        <v>3.39</v>
      </c>
      <c r="Y180" s="221">
        <f t="shared" si="221"/>
        <v>1.0339</v>
      </c>
      <c r="Z180" s="199">
        <v>19</v>
      </c>
      <c r="AA180" s="221">
        <f t="shared" si="222"/>
        <v>1.8840489025780363</v>
      </c>
      <c r="AB180" s="199">
        <f t="shared" si="223"/>
        <v>157900.25447616263</v>
      </c>
      <c r="AC180" s="231">
        <v>20</v>
      </c>
      <c r="AD180" s="199">
        <f t="shared" si="224"/>
        <v>31580.050895232525</v>
      </c>
      <c r="AE180" s="199">
        <f t="shared" si="225"/>
        <v>30001.048350470897</v>
      </c>
      <c r="AF180" s="199">
        <f t="shared" si="205"/>
        <v>30001.048350470897</v>
      </c>
      <c r="AG180" s="614">
        <f t="shared" si="204"/>
        <v>1.3871167686556824E-3</v>
      </c>
      <c r="AH180" s="199">
        <f t="shared" si="252"/>
        <v>7895.0127238081323</v>
      </c>
      <c r="AI180" s="252">
        <f t="shared" si="187"/>
        <v>6.116146736007261E-4</v>
      </c>
      <c r="AJ180" s="199">
        <f t="shared" si="188"/>
        <v>39475.063619040659</v>
      </c>
      <c r="AK180" s="199">
        <f t="shared" si="209"/>
        <v>6316.0101790465051</v>
      </c>
      <c r="AL180" s="199">
        <f t="shared" si="210"/>
        <v>6316.0101790465051</v>
      </c>
      <c r="AM180" s="199">
        <f t="shared" si="189"/>
        <v>12632.02035809301</v>
      </c>
      <c r="AN180" s="645">
        <f t="shared" si="190"/>
        <v>6.11614673600726E-4</v>
      </c>
      <c r="AO180" s="199">
        <v>10</v>
      </c>
      <c r="AP180" s="250">
        <f t="shared" si="191"/>
        <v>1.1362345188046814E-3</v>
      </c>
      <c r="AQ180" s="199">
        <v>10</v>
      </c>
      <c r="AU180" s="199">
        <v>0</v>
      </c>
      <c r="AW180" s="250">
        <f t="shared" si="192"/>
        <v>0</v>
      </c>
      <c r="AX180" s="199">
        <v>1</v>
      </c>
      <c r="AY180" s="199">
        <f t="shared" si="242"/>
        <v>11943.504525087752</v>
      </c>
      <c r="AZ180" s="199">
        <f t="shared" si="193"/>
        <v>11943.504525087752</v>
      </c>
      <c r="BA180" s="252">
        <f t="shared" si="194"/>
        <v>9.3883696079389341E-4</v>
      </c>
      <c r="BB180" s="284">
        <v>1</v>
      </c>
      <c r="BC180" s="199">
        <f t="shared" si="243"/>
        <v>22737.636644567418</v>
      </c>
      <c r="BD180" s="270">
        <f t="shared" si="207"/>
        <v>2.0476854691679558E-3</v>
      </c>
      <c r="BE180" s="199">
        <f t="shared" si="244"/>
        <v>97266.556757316182</v>
      </c>
      <c r="BF180" s="251">
        <f t="shared" si="208"/>
        <v>2.0476855146713785E-3</v>
      </c>
      <c r="BG180" s="204">
        <f t="shared" si="230"/>
        <v>120004.1934018836</v>
      </c>
      <c r="BH180" s="636">
        <v>0</v>
      </c>
      <c r="BI180" s="199">
        <f t="shared" si="195"/>
        <v>48317.477869705763</v>
      </c>
      <c r="BJ180" s="199">
        <f t="shared" si="196"/>
        <v>96634.955739411525</v>
      </c>
      <c r="BK180" s="199">
        <f t="shared" si="203"/>
        <v>144952.43360911729</v>
      </c>
      <c r="BL180" s="251">
        <f t="shared" si="197"/>
        <v>6.11614673600726E-4</v>
      </c>
      <c r="BM180" s="199">
        <f t="shared" si="245"/>
        <v>10980.233047477101</v>
      </c>
      <c r="BN180" s="251">
        <f t="shared" si="198"/>
        <v>4.7416061091824048E-4</v>
      </c>
      <c r="BT180" s="199">
        <f>'Detailed Budget'!$AD$12</f>
        <v>194045122715</v>
      </c>
      <c r="BU180" s="199">
        <f>'Detailed Budget'!$AD$24</f>
        <v>194045122715</v>
      </c>
      <c r="BV180" s="596">
        <f t="shared" si="246"/>
        <v>0</v>
      </c>
      <c r="BW180" s="278"/>
      <c r="BX180" s="275">
        <f t="shared" si="215"/>
        <v>0</v>
      </c>
      <c r="BY180" s="275">
        <f t="shared" si="216"/>
        <v>0</v>
      </c>
      <c r="CA180" s="199">
        <f>'Detailed Budget'!$AD$96</f>
        <v>71050111380.677719</v>
      </c>
      <c r="CB180" s="275">
        <f t="shared" si="199"/>
        <v>66704470.632703088</v>
      </c>
      <c r="CE180" s="199">
        <f>'Detailed Budget'!$AD$175</f>
        <v>4330586076.5988197</v>
      </c>
      <c r="CF180" s="275">
        <f t="shared" si="247"/>
        <v>8867678.1820324715</v>
      </c>
      <c r="CG180" s="199">
        <f>'Detailed Budget'!$AD$176</f>
        <v>20662817754.37001</v>
      </c>
      <c r="CH180" s="275">
        <f t="shared" si="248"/>
        <v>42310952.607918054</v>
      </c>
      <c r="CI180" s="275">
        <f t="shared" si="211"/>
        <v>51178630.789950527</v>
      </c>
      <c r="CJ180" s="275">
        <f>'Detailed Budget'!$AD$178</f>
        <v>46025131033.061455</v>
      </c>
      <c r="CK180" s="275">
        <f t="shared" si="249"/>
        <v>63842231.035534576</v>
      </c>
      <c r="CL180" s="275">
        <f t="shared" si="206"/>
        <v>115020861.82548511</v>
      </c>
      <c r="CM180" s="278">
        <f>'Detailed Budget'!$AD$189</f>
        <v>77498869683.252869</v>
      </c>
      <c r="CN180" s="275">
        <f t="shared" si="200"/>
        <v>0</v>
      </c>
      <c r="CO180" s="140">
        <f>'Detailed Budget'!$AD$191</f>
        <v>2684962805.4134097</v>
      </c>
      <c r="CP180" s="616">
        <f t="shared" si="201"/>
        <v>0</v>
      </c>
      <c r="CQ180" s="616">
        <f t="shared" si="202"/>
        <v>0</v>
      </c>
      <c r="CR180" s="199">
        <f>'Detailed Budget'!$AD$195</f>
        <v>18734176418</v>
      </c>
      <c r="CS180" s="275">
        <f t="shared" si="250"/>
        <v>8883008.5354089737</v>
      </c>
      <c r="CW180" s="278"/>
      <c r="DH180" s="140">
        <f>'Detailed Budget'!$AD$163</f>
        <v>4928560000</v>
      </c>
      <c r="DI180" s="616">
        <f t="shared" si="251"/>
        <v>5600000</v>
      </c>
    </row>
    <row r="181" spans="1:113" outlineLevel="1">
      <c r="A181" s="214" t="s">
        <v>532</v>
      </c>
      <c r="B181" s="215" t="s">
        <v>533</v>
      </c>
      <c r="C181" s="216" t="s">
        <v>234</v>
      </c>
      <c r="D181" s="229" t="s">
        <v>234</v>
      </c>
      <c r="E181" s="216"/>
      <c r="F181" s="216"/>
      <c r="G181" s="216"/>
      <c r="H181" s="216" t="s">
        <v>234</v>
      </c>
      <c r="I181" s="217" t="s">
        <v>234</v>
      </c>
      <c r="J181" s="217"/>
      <c r="K181" s="216" t="s">
        <v>234</v>
      </c>
      <c r="L181" s="216"/>
      <c r="M181" s="217"/>
      <c r="N181" s="216"/>
      <c r="O181" s="217"/>
      <c r="P181" s="216"/>
      <c r="Q181" s="217"/>
      <c r="R181" s="217" t="s">
        <v>234</v>
      </c>
      <c r="S181" s="217"/>
      <c r="T181" s="217"/>
      <c r="U181" s="218">
        <f t="shared" si="241"/>
        <v>6</v>
      </c>
      <c r="V181" s="867" t="s">
        <v>238</v>
      </c>
      <c r="W181" s="219">
        <v>150212</v>
      </c>
      <c r="X181" s="220">
        <v>3.39</v>
      </c>
      <c r="Y181" s="221">
        <f t="shared" si="221"/>
        <v>1.0339</v>
      </c>
      <c r="Z181" s="199">
        <v>19</v>
      </c>
      <c r="AA181" s="221">
        <f t="shared" si="222"/>
        <v>1.8840489025780363</v>
      </c>
      <c r="AB181" s="199">
        <f t="shared" si="223"/>
        <v>283006.75375405198</v>
      </c>
      <c r="AC181" s="231">
        <v>20</v>
      </c>
      <c r="AD181" s="199">
        <f t="shared" si="224"/>
        <v>56601.350750810394</v>
      </c>
      <c r="AE181" s="199">
        <f t="shared" si="225"/>
        <v>53771.283213269875</v>
      </c>
      <c r="AF181" s="199">
        <f t="shared" si="205"/>
        <v>53771.283213269875</v>
      </c>
      <c r="AG181" s="614">
        <f t="shared" si="204"/>
        <v>2.4861480754251619E-3</v>
      </c>
      <c r="AH181" s="199">
        <f t="shared" si="252"/>
        <v>14150.3376877026</v>
      </c>
      <c r="AI181" s="252">
        <f t="shared" si="187"/>
        <v>1.0962052208105604E-3</v>
      </c>
      <c r="AJ181" s="199">
        <f t="shared" si="188"/>
        <v>70751.688438512996</v>
      </c>
      <c r="AK181" s="199">
        <f t="shared" si="209"/>
        <v>11320.27015016208</v>
      </c>
      <c r="AL181" s="199">
        <f t="shared" si="210"/>
        <v>11320.27015016208</v>
      </c>
      <c r="AM181" s="199">
        <f t="shared" si="189"/>
        <v>22640.540300324159</v>
      </c>
      <c r="AN181" s="645">
        <f t="shared" si="190"/>
        <v>1.0962052208105604E-3</v>
      </c>
      <c r="AO181" s="199">
        <v>10</v>
      </c>
      <c r="AP181" s="250">
        <f t="shared" si="191"/>
        <v>1.1362345188046814E-3</v>
      </c>
      <c r="AQ181" s="199">
        <v>10</v>
      </c>
      <c r="AU181" s="199">
        <v>0</v>
      </c>
      <c r="AW181" s="250">
        <f t="shared" si="192"/>
        <v>0</v>
      </c>
      <c r="AX181" s="199">
        <v>1</v>
      </c>
      <c r="AY181" s="199">
        <f t="shared" si="242"/>
        <v>21406.504095293843</v>
      </c>
      <c r="AZ181" s="199">
        <f t="shared" si="193"/>
        <v>21406.504095293843</v>
      </c>
      <c r="BA181" s="252">
        <f t="shared" si="194"/>
        <v>1.682690135364607E-3</v>
      </c>
      <c r="BB181" s="284">
        <v>1</v>
      </c>
      <c r="BC181" s="199">
        <f t="shared" si="243"/>
        <v>40752.972540583483</v>
      </c>
      <c r="BD181" s="270">
        <f t="shared" si="207"/>
        <v>3.6700942583094537E-3</v>
      </c>
      <c r="BE181" s="199">
        <f t="shared" si="244"/>
        <v>174332.16031249601</v>
      </c>
      <c r="BF181" s="251">
        <f t="shared" si="208"/>
        <v>3.6700943398658508E-3</v>
      </c>
      <c r="BG181" s="204">
        <f t="shared" si="230"/>
        <v>215085.1328530795</v>
      </c>
      <c r="BH181" s="636">
        <v>0</v>
      </c>
      <c r="BI181" s="199">
        <f t="shared" si="195"/>
        <v>86600.066648739914</v>
      </c>
      <c r="BJ181" s="199">
        <f t="shared" si="196"/>
        <v>173200.13329747983</v>
      </c>
      <c r="BK181" s="199">
        <f t="shared" si="203"/>
        <v>259800.19994621974</v>
      </c>
      <c r="BL181" s="251">
        <f t="shared" si="197"/>
        <v>1.0962052208105604E-3</v>
      </c>
      <c r="BM181" s="199">
        <f t="shared" si="245"/>
        <v>19680.019646191104</v>
      </c>
      <c r="BN181" s="251">
        <f t="shared" si="198"/>
        <v>8.4984445211434021E-4</v>
      </c>
      <c r="BT181" s="199">
        <f>'Detailed Budget'!$AD$12</f>
        <v>194045122715</v>
      </c>
      <c r="BU181" s="199">
        <f>'Detailed Budget'!$AD$24</f>
        <v>194045122715</v>
      </c>
      <c r="BV181" s="596">
        <f t="shared" si="246"/>
        <v>0</v>
      </c>
      <c r="BW181" s="278"/>
      <c r="BX181" s="275">
        <f t="shared" si="215"/>
        <v>0</v>
      </c>
      <c r="BY181" s="275">
        <f t="shared" si="216"/>
        <v>0</v>
      </c>
      <c r="CA181" s="199">
        <f>'Detailed Budget'!$AD$96</f>
        <v>71050111380.677719</v>
      </c>
      <c r="CB181" s="275">
        <f t="shared" si="199"/>
        <v>119555321.536823</v>
      </c>
      <c r="CE181" s="199">
        <f>'Detailed Budget'!$AD$175</f>
        <v>4330586076.5988197</v>
      </c>
      <c r="CF181" s="275">
        <f t="shared" si="247"/>
        <v>15893659.094840193</v>
      </c>
      <c r="CG181" s="199">
        <f>'Detailed Budget'!$AD$176</f>
        <v>20662817754.37001</v>
      </c>
      <c r="CH181" s="275">
        <f t="shared" si="248"/>
        <v>75834490.485992983</v>
      </c>
      <c r="CI181" s="275">
        <f t="shared" si="211"/>
        <v>91728149.580833182</v>
      </c>
      <c r="CJ181" s="275">
        <f>'Detailed Budget'!$AD$178</f>
        <v>46025131033.061455</v>
      </c>
      <c r="CK181" s="275">
        <f t="shared" si="249"/>
        <v>114425290.93903662</v>
      </c>
      <c r="CL181" s="275">
        <f t="shared" si="206"/>
        <v>206153440.5198698</v>
      </c>
      <c r="CM181" s="278">
        <f>'Detailed Budget'!$AD$189</f>
        <v>77498869683.252869</v>
      </c>
      <c r="CN181" s="275">
        <f t="shared" si="200"/>
        <v>0</v>
      </c>
      <c r="CO181" s="140">
        <f>'Detailed Budget'!$AD$191</f>
        <v>2684962805.4134097</v>
      </c>
      <c r="CP181" s="616">
        <f t="shared" si="201"/>
        <v>0</v>
      </c>
      <c r="CQ181" s="616">
        <f t="shared" si="202"/>
        <v>0</v>
      </c>
      <c r="CR181" s="199">
        <f>'Detailed Budget'!$AD$195</f>
        <v>18734176418</v>
      </c>
      <c r="CS181" s="275">
        <f t="shared" si="250"/>
        <v>15921135.893768603</v>
      </c>
      <c r="CW181" s="278"/>
      <c r="DH181" s="140">
        <f>'Detailed Budget'!$AD$163</f>
        <v>4928560000</v>
      </c>
      <c r="DI181" s="616">
        <f t="shared" si="251"/>
        <v>5600000</v>
      </c>
    </row>
    <row r="182" spans="1:113" outlineLevel="1">
      <c r="A182" s="214" t="s">
        <v>534</v>
      </c>
      <c r="B182" s="215" t="s">
        <v>535</v>
      </c>
      <c r="C182" s="216" t="s">
        <v>234</v>
      </c>
      <c r="D182" s="229" t="s">
        <v>234</v>
      </c>
      <c r="E182" s="216"/>
      <c r="F182" s="216"/>
      <c r="G182" s="216"/>
      <c r="H182" s="216" t="s">
        <v>234</v>
      </c>
      <c r="I182" s="217" t="s">
        <v>234</v>
      </c>
      <c r="J182" s="217"/>
      <c r="K182" s="216" t="s">
        <v>234</v>
      </c>
      <c r="L182" s="216"/>
      <c r="M182" s="217"/>
      <c r="N182" s="216"/>
      <c r="O182" s="217"/>
      <c r="P182" s="216"/>
      <c r="Q182" s="217"/>
      <c r="R182" s="217" t="s">
        <v>234</v>
      </c>
      <c r="S182" s="217"/>
      <c r="T182" s="217"/>
      <c r="U182" s="218">
        <f t="shared" si="241"/>
        <v>6</v>
      </c>
      <c r="V182" s="867" t="s">
        <v>238</v>
      </c>
      <c r="W182" s="219">
        <v>249946</v>
      </c>
      <c r="X182" s="220">
        <v>3.39</v>
      </c>
      <c r="Y182" s="221">
        <f t="shared" si="221"/>
        <v>1.0339</v>
      </c>
      <c r="Z182" s="199">
        <v>19</v>
      </c>
      <c r="AA182" s="221">
        <f t="shared" si="222"/>
        <v>1.8840489025780363</v>
      </c>
      <c r="AB182" s="199">
        <f t="shared" si="223"/>
        <v>470910.48700376984</v>
      </c>
      <c r="AC182" s="231">
        <v>20</v>
      </c>
      <c r="AD182" s="199">
        <f t="shared" si="224"/>
        <v>94182.097400753963</v>
      </c>
      <c r="AE182" s="199">
        <f t="shared" si="225"/>
        <v>89472.992530716263</v>
      </c>
      <c r="AF182" s="199">
        <f t="shared" si="205"/>
        <v>89472.992530716263</v>
      </c>
      <c r="AG182" s="614">
        <f t="shared" si="204"/>
        <v>4.1368383808232196E-3</v>
      </c>
      <c r="AH182" s="199">
        <f t="shared" si="252"/>
        <v>23545.524350188494</v>
      </c>
      <c r="AI182" s="252">
        <f t="shared" si="187"/>
        <v>1.8240360964551191E-3</v>
      </c>
      <c r="AJ182" s="199">
        <f t="shared" si="188"/>
        <v>117727.62175094246</v>
      </c>
      <c r="AK182" s="199">
        <f t="shared" si="209"/>
        <v>18836.419480150795</v>
      </c>
      <c r="AL182" s="199">
        <f t="shared" si="210"/>
        <v>18836.419480150795</v>
      </c>
      <c r="AM182" s="199">
        <f t="shared" si="189"/>
        <v>37672.838960301589</v>
      </c>
      <c r="AN182" s="645">
        <f t="shared" si="190"/>
        <v>1.8240360964551191E-3</v>
      </c>
      <c r="AO182" s="199">
        <v>11</v>
      </c>
      <c r="AP182" s="250">
        <f t="shared" si="191"/>
        <v>1.2498579706851495E-3</v>
      </c>
      <c r="AQ182" s="199">
        <v>11</v>
      </c>
      <c r="AU182" s="199">
        <v>0</v>
      </c>
      <c r="AW182" s="250">
        <f t="shared" si="192"/>
        <v>0</v>
      </c>
      <c r="AX182" s="199">
        <v>1</v>
      </c>
      <c r="AY182" s="199">
        <f t="shared" si="242"/>
        <v>35619.458316261778</v>
      </c>
      <c r="AZ182" s="199">
        <f t="shared" si="193"/>
        <v>35619.458316261778</v>
      </c>
      <c r="BA182" s="252">
        <f t="shared" si="194"/>
        <v>2.7999205694208321E-3</v>
      </c>
      <c r="BB182" s="284">
        <v>1</v>
      </c>
      <c r="BC182" s="199">
        <f t="shared" si="243"/>
        <v>67811.110128542845</v>
      </c>
      <c r="BD182" s="270">
        <f t="shared" si="207"/>
        <v>6.1068714848841283E-3</v>
      </c>
      <c r="BE182" s="199">
        <f t="shared" si="244"/>
        <v>290080.85999432224</v>
      </c>
      <c r="BF182" s="251">
        <f t="shared" si="208"/>
        <v>6.1068716205902995E-3</v>
      </c>
      <c r="BG182" s="204">
        <f t="shared" si="230"/>
        <v>357891.97012286505</v>
      </c>
      <c r="BH182" s="636">
        <v>0</v>
      </c>
      <c r="BI182" s="199">
        <f t="shared" si="195"/>
        <v>144098.60902315355</v>
      </c>
      <c r="BJ182" s="199">
        <f t="shared" si="196"/>
        <v>288197.2180463071</v>
      </c>
      <c r="BK182" s="199">
        <f t="shared" si="203"/>
        <v>432295.82706946065</v>
      </c>
      <c r="BL182" s="251">
        <f t="shared" si="197"/>
        <v>1.8240360964551186E-3</v>
      </c>
      <c r="BM182" s="199">
        <f t="shared" si="245"/>
        <v>32746.665981991333</v>
      </c>
      <c r="BN182" s="251">
        <f t="shared" si="198"/>
        <v>1.4141028774543373E-3</v>
      </c>
      <c r="BT182" s="199">
        <f>'Detailed Budget'!$AD$12</f>
        <v>194045122715</v>
      </c>
      <c r="BU182" s="199">
        <f>'Detailed Budget'!$AD$24</f>
        <v>194045122715</v>
      </c>
      <c r="BV182" s="596">
        <f t="shared" si="246"/>
        <v>0</v>
      </c>
      <c r="BW182" s="278"/>
      <c r="BX182" s="275">
        <f t="shared" si="215"/>
        <v>0</v>
      </c>
      <c r="BY182" s="275">
        <f t="shared" si="216"/>
        <v>0</v>
      </c>
      <c r="CA182" s="199">
        <f>'Detailed Budget'!$AD$96</f>
        <v>71050111380.677719</v>
      </c>
      <c r="CB182" s="275">
        <f t="shared" si="199"/>
        <v>198934668.3144007</v>
      </c>
      <c r="CE182" s="199">
        <f>'Detailed Budget'!$AD$175</f>
        <v>4330586076.5988197</v>
      </c>
      <c r="CF182" s="275">
        <f t="shared" si="247"/>
        <v>26446332.624017566</v>
      </c>
      <c r="CG182" s="199">
        <f>'Detailed Budget'!$AD$176</f>
        <v>20662817754.37001</v>
      </c>
      <c r="CH182" s="275">
        <f t="shared" si="248"/>
        <v>126185175.3455916</v>
      </c>
      <c r="CI182" s="275">
        <f t="shared" si="211"/>
        <v>152631507.96960917</v>
      </c>
      <c r="CJ182" s="275">
        <f>'Detailed Budget'!$AD$178</f>
        <v>46025131033.061455</v>
      </c>
      <c r="CK182" s="275">
        <f t="shared" si="249"/>
        <v>190398528.53998646</v>
      </c>
      <c r="CL182" s="275">
        <f t="shared" si="206"/>
        <v>343030036.50959563</v>
      </c>
      <c r="CM182" s="278">
        <f>'Detailed Budget'!$AD$189</f>
        <v>77498869683.252869</v>
      </c>
      <c r="CN182" s="275">
        <f t="shared" si="200"/>
        <v>0</v>
      </c>
      <c r="CO182" s="140">
        <f>'Detailed Budget'!$AD$191</f>
        <v>2684962805.4134097</v>
      </c>
      <c r="CP182" s="616">
        <f t="shared" si="201"/>
        <v>0</v>
      </c>
      <c r="CQ182" s="616">
        <f t="shared" si="202"/>
        <v>0</v>
      </c>
      <c r="CR182" s="199">
        <f>'Detailed Budget'!$AD$195</f>
        <v>18734176418</v>
      </c>
      <c r="CS182" s="275">
        <f t="shared" si="250"/>
        <v>26492052.779430989</v>
      </c>
      <c r="CW182" s="278"/>
      <c r="DH182" s="140">
        <f>'Detailed Budget'!$AD$163</f>
        <v>4928560000</v>
      </c>
      <c r="DI182" s="616">
        <f t="shared" si="251"/>
        <v>6160000</v>
      </c>
    </row>
    <row r="183" spans="1:113" outlineLevel="1">
      <c r="A183" s="214" t="s">
        <v>536</v>
      </c>
      <c r="B183" s="215" t="s">
        <v>537</v>
      </c>
      <c r="C183" s="216" t="s">
        <v>234</v>
      </c>
      <c r="D183" s="229" t="s">
        <v>234</v>
      </c>
      <c r="E183" s="216"/>
      <c r="F183" s="216"/>
      <c r="G183" s="216"/>
      <c r="H183" s="216" t="s">
        <v>234</v>
      </c>
      <c r="I183" s="217" t="s">
        <v>234</v>
      </c>
      <c r="J183" s="217"/>
      <c r="K183" s="216" t="s">
        <v>234</v>
      </c>
      <c r="L183" s="216"/>
      <c r="M183" s="217"/>
      <c r="N183" s="216"/>
      <c r="O183" s="217"/>
      <c r="P183" s="216"/>
      <c r="Q183" s="217"/>
      <c r="R183" s="217" t="s">
        <v>234</v>
      </c>
      <c r="S183" s="217"/>
      <c r="T183" s="217"/>
      <c r="U183" s="218">
        <f t="shared" si="241"/>
        <v>6</v>
      </c>
      <c r="V183" s="867" t="s">
        <v>238</v>
      </c>
      <c r="W183" s="219">
        <v>90114</v>
      </c>
      <c r="X183" s="220">
        <v>3.39</v>
      </c>
      <c r="Y183" s="221">
        <f t="shared" si="221"/>
        <v>1.0339</v>
      </c>
      <c r="Z183" s="199">
        <v>19</v>
      </c>
      <c r="AA183" s="221">
        <f t="shared" si="222"/>
        <v>1.8840489025780363</v>
      </c>
      <c r="AB183" s="199">
        <f t="shared" si="223"/>
        <v>169779.18280691715</v>
      </c>
      <c r="AC183" s="231">
        <v>20</v>
      </c>
      <c r="AD183" s="199">
        <f t="shared" si="224"/>
        <v>33955.836561383425</v>
      </c>
      <c r="AE183" s="199">
        <f t="shared" si="225"/>
        <v>32258.044733314251</v>
      </c>
      <c r="AF183" s="199">
        <f t="shared" si="205"/>
        <v>32258.044733314251</v>
      </c>
      <c r="AG183" s="614">
        <f t="shared" si="204"/>
        <v>1.4914703729985818E-3</v>
      </c>
      <c r="AH183" s="199">
        <f t="shared" si="252"/>
        <v>8488.959140345858</v>
      </c>
      <c r="AI183" s="252">
        <f t="shared" si="187"/>
        <v>6.576268025731822E-4</v>
      </c>
      <c r="AJ183" s="199">
        <f t="shared" si="188"/>
        <v>42444.795701729279</v>
      </c>
      <c r="AK183" s="199">
        <f t="shared" si="209"/>
        <v>6791.1673122766861</v>
      </c>
      <c r="AL183" s="199">
        <f t="shared" si="210"/>
        <v>6791.1673122766861</v>
      </c>
      <c r="AM183" s="199">
        <f t="shared" si="189"/>
        <v>13582.334624553372</v>
      </c>
      <c r="AN183" s="645">
        <f t="shared" si="190"/>
        <v>6.576268025731822E-4</v>
      </c>
      <c r="AO183" s="199">
        <v>10</v>
      </c>
      <c r="AP183" s="250">
        <f t="shared" si="191"/>
        <v>1.1362345188046814E-3</v>
      </c>
      <c r="AQ183" s="199">
        <v>10</v>
      </c>
      <c r="AU183" s="199">
        <v>0</v>
      </c>
      <c r="AW183" s="250">
        <f t="shared" si="192"/>
        <v>0</v>
      </c>
      <c r="AX183" s="199">
        <v>1</v>
      </c>
      <c r="AY183" s="199">
        <f t="shared" si="242"/>
        <v>12842.021343456639</v>
      </c>
      <c r="AZ183" s="199">
        <f t="shared" si="193"/>
        <v>12842.021343456639</v>
      </c>
      <c r="BA183" s="252">
        <f t="shared" si="194"/>
        <v>1.0094662134732654E-3</v>
      </c>
      <c r="BB183" s="284">
        <v>1</v>
      </c>
      <c r="BC183" s="199">
        <f t="shared" si="243"/>
        <v>24448.202324196063</v>
      </c>
      <c r="BD183" s="270">
        <f t="shared" si="207"/>
        <v>2.2017340425085747E-3</v>
      </c>
      <c r="BE183" s="199">
        <f t="shared" si="244"/>
        <v>104583.97660906095</v>
      </c>
      <c r="BF183" s="251">
        <f t="shared" si="208"/>
        <v>2.2017340914352464E-3</v>
      </c>
      <c r="BG183" s="204">
        <f t="shared" si="230"/>
        <v>129032.178933257</v>
      </c>
      <c r="BH183" s="636">
        <v>0</v>
      </c>
      <c r="BI183" s="199">
        <f t="shared" si="195"/>
        <v>51952.429938916648</v>
      </c>
      <c r="BJ183" s="199">
        <f t="shared" si="196"/>
        <v>103904.8598778333</v>
      </c>
      <c r="BK183" s="199">
        <f t="shared" si="203"/>
        <v>155857.28981674995</v>
      </c>
      <c r="BL183" s="251">
        <f t="shared" si="197"/>
        <v>6.576268025731822E-4</v>
      </c>
      <c r="BM183" s="199">
        <f t="shared" si="245"/>
        <v>11806.28239020095</v>
      </c>
      <c r="BN183" s="251">
        <f t="shared" si="198"/>
        <v>5.0983199050562975E-4</v>
      </c>
      <c r="BT183" s="199">
        <f>'Detailed Budget'!$AD$12</f>
        <v>194045122715</v>
      </c>
      <c r="BU183" s="199">
        <f>'Detailed Budget'!$AD$24</f>
        <v>194045122715</v>
      </c>
      <c r="BV183" s="596">
        <f t="shared" si="246"/>
        <v>0</v>
      </c>
      <c r="BW183" s="278"/>
      <c r="BX183" s="275">
        <f t="shared" si="215"/>
        <v>0</v>
      </c>
      <c r="BY183" s="275">
        <f t="shared" si="216"/>
        <v>0</v>
      </c>
      <c r="CA183" s="199">
        <f>'Detailed Budget'!$AD$96</f>
        <v>71050111380.677719</v>
      </c>
      <c r="CB183" s="275">
        <f t="shared" si="199"/>
        <v>71722686.902306497</v>
      </c>
      <c r="CE183" s="199">
        <f>'Detailed Budget'!$AD$175</f>
        <v>4330586076.5988197</v>
      </c>
      <c r="CF183" s="275">
        <f t="shared" si="247"/>
        <v>9534798.7888612673</v>
      </c>
      <c r="CG183" s="199">
        <f>'Detailed Budget'!$AD$176</f>
        <v>20662817754.37001</v>
      </c>
      <c r="CH183" s="275">
        <f t="shared" si="248"/>
        <v>45494030.274909936</v>
      </c>
      <c r="CI183" s="275">
        <f t="shared" si="211"/>
        <v>55028829.063771203</v>
      </c>
      <c r="CJ183" s="275">
        <f>'Detailed Budget'!$AD$178</f>
        <v>46025131033.061455</v>
      </c>
      <c r="CK183" s="275">
        <f t="shared" si="249"/>
        <v>68645119.349188775</v>
      </c>
      <c r="CL183" s="275">
        <f t="shared" si="206"/>
        <v>123673948.41295998</v>
      </c>
      <c r="CM183" s="278">
        <f>'Detailed Budget'!$AD$189</f>
        <v>77498869683.252869</v>
      </c>
      <c r="CN183" s="275">
        <f t="shared" si="200"/>
        <v>0</v>
      </c>
      <c r="CO183" s="140">
        <f>'Detailed Budget'!$AD$191</f>
        <v>2684962805.4134097</v>
      </c>
      <c r="CP183" s="616">
        <f t="shared" si="201"/>
        <v>0</v>
      </c>
      <c r="CQ183" s="616">
        <f t="shared" si="202"/>
        <v>0</v>
      </c>
      <c r="CR183" s="199">
        <f>'Detailed Budget'!$AD$195</f>
        <v>18734176418</v>
      </c>
      <c r="CS183" s="275">
        <f t="shared" si="250"/>
        <v>9551282.4536725692</v>
      </c>
      <c r="CW183" s="278"/>
      <c r="DH183" s="140">
        <f>'Detailed Budget'!$AD$163</f>
        <v>4928560000</v>
      </c>
      <c r="DI183" s="616">
        <f t="shared" si="251"/>
        <v>5600000</v>
      </c>
    </row>
    <row r="184" spans="1:113" outlineLevel="1">
      <c r="A184" s="214" t="s">
        <v>538</v>
      </c>
      <c r="B184" s="215" t="s">
        <v>539</v>
      </c>
      <c r="C184" s="216" t="s">
        <v>234</v>
      </c>
      <c r="D184" s="229" t="s">
        <v>234</v>
      </c>
      <c r="E184" s="216"/>
      <c r="F184" s="216"/>
      <c r="G184" s="216"/>
      <c r="H184" s="216" t="s">
        <v>234</v>
      </c>
      <c r="I184" s="217" t="s">
        <v>234</v>
      </c>
      <c r="J184" s="217"/>
      <c r="K184" s="216" t="s">
        <v>234</v>
      </c>
      <c r="L184" s="216"/>
      <c r="M184" s="217"/>
      <c r="N184" s="216"/>
      <c r="O184" s="217"/>
      <c r="P184" s="216"/>
      <c r="Q184" s="217"/>
      <c r="R184" s="217" t="s">
        <v>234</v>
      </c>
      <c r="S184" s="217"/>
      <c r="T184" s="217"/>
      <c r="U184" s="218">
        <f t="shared" si="241"/>
        <v>6</v>
      </c>
      <c r="V184" s="867" t="s">
        <v>238</v>
      </c>
      <c r="W184" s="219">
        <v>284411</v>
      </c>
      <c r="X184" s="220">
        <v>3.39</v>
      </c>
      <c r="Y184" s="221">
        <f t="shared" si="221"/>
        <v>1.0339</v>
      </c>
      <c r="Z184" s="199">
        <v>19</v>
      </c>
      <c r="AA184" s="221">
        <f t="shared" si="222"/>
        <v>1.8840489025780363</v>
      </c>
      <c r="AB184" s="199">
        <f t="shared" si="223"/>
        <v>535844.23243112187</v>
      </c>
      <c r="AC184" s="231">
        <v>20</v>
      </c>
      <c r="AD184" s="199">
        <f t="shared" si="224"/>
        <v>107168.84648622439</v>
      </c>
      <c r="AE184" s="199">
        <f t="shared" si="225"/>
        <v>101810.40416191316</v>
      </c>
      <c r="AF184" s="199">
        <f t="shared" si="205"/>
        <v>101810.40416191316</v>
      </c>
      <c r="AG184" s="614">
        <f t="shared" si="204"/>
        <v>4.7072661323978495E-3</v>
      </c>
      <c r="AH184" s="199">
        <f t="shared" si="252"/>
        <v>26792.211621556096</v>
      </c>
      <c r="AI184" s="252">
        <f t="shared" si="187"/>
        <v>2.0755520401562616E-3</v>
      </c>
      <c r="AJ184" s="199">
        <f t="shared" si="188"/>
        <v>133961.05810778047</v>
      </c>
      <c r="AK184" s="199">
        <f t="shared" si="209"/>
        <v>21433.769297244875</v>
      </c>
      <c r="AL184" s="199">
        <f t="shared" si="210"/>
        <v>21433.769297244875</v>
      </c>
      <c r="AM184" s="199">
        <f t="shared" si="189"/>
        <v>42867.53859448975</v>
      </c>
      <c r="AN184" s="645">
        <f t="shared" si="190"/>
        <v>2.0755520401562612E-3</v>
      </c>
      <c r="AO184" s="199">
        <v>11</v>
      </c>
      <c r="AP184" s="250">
        <f t="shared" si="191"/>
        <v>1.2498579706851495E-3</v>
      </c>
      <c r="AQ184" s="199">
        <v>11</v>
      </c>
      <c r="AU184" s="199">
        <v>0</v>
      </c>
      <c r="AW184" s="250">
        <f t="shared" si="192"/>
        <v>0</v>
      </c>
      <c r="AX184" s="199">
        <v>1</v>
      </c>
      <c r="AY184" s="199">
        <f t="shared" si="242"/>
        <v>40531.017736576418</v>
      </c>
      <c r="AZ184" s="199">
        <f t="shared" si="193"/>
        <v>40531.017736576418</v>
      </c>
      <c r="BA184" s="252">
        <f t="shared" si="194"/>
        <v>3.1860010124968923E-3</v>
      </c>
      <c r="BB184" s="284">
        <v>1</v>
      </c>
      <c r="BC184" s="199">
        <f t="shared" si="243"/>
        <v>77161.569470081551</v>
      </c>
      <c r="BD184" s="270">
        <f t="shared" si="207"/>
        <v>6.9489466760315434E-3</v>
      </c>
      <c r="BE184" s="199">
        <f t="shared" si="244"/>
        <v>330080.0471775711</v>
      </c>
      <c r="BF184" s="251">
        <f t="shared" si="208"/>
        <v>6.9489468304502078E-3</v>
      </c>
      <c r="BG184" s="204">
        <f t="shared" si="230"/>
        <v>407241.61664765264</v>
      </c>
      <c r="BH184" s="636">
        <v>0</v>
      </c>
      <c r="BI184" s="199">
        <f t="shared" si="195"/>
        <v>163968.33512392329</v>
      </c>
      <c r="BJ184" s="199">
        <f t="shared" si="196"/>
        <v>327936.67024784657</v>
      </c>
      <c r="BK184" s="199">
        <f t="shared" si="203"/>
        <v>491905.00537176989</v>
      </c>
      <c r="BL184" s="251">
        <f t="shared" si="197"/>
        <v>2.0755520401562612E-3</v>
      </c>
      <c r="BM184" s="199">
        <f t="shared" si="245"/>
        <v>37262.096687301004</v>
      </c>
      <c r="BN184" s="251">
        <f t="shared" si="198"/>
        <v>1.6090932180537615E-3</v>
      </c>
      <c r="BT184" s="199">
        <f>'Detailed Budget'!$AD$12</f>
        <v>194045122715</v>
      </c>
      <c r="BU184" s="199">
        <f>'Detailed Budget'!$AD$24</f>
        <v>194045122715</v>
      </c>
      <c r="BV184" s="596">
        <f t="shared" si="246"/>
        <v>0</v>
      </c>
      <c r="BW184" s="278"/>
      <c r="BX184" s="275">
        <f t="shared" si="215"/>
        <v>0</v>
      </c>
      <c r="BY184" s="275">
        <f t="shared" si="216"/>
        <v>0</v>
      </c>
      <c r="CA184" s="199">
        <f>'Detailed Budget'!$AD$96</f>
        <v>71050111380.677719</v>
      </c>
      <c r="CB184" s="275">
        <f t="shared" si="199"/>
        <v>226365726.79685619</v>
      </c>
      <c r="CE184" s="199">
        <f>'Detailed Budget'!$AD$175</f>
        <v>4330586076.5988197</v>
      </c>
      <c r="CF184" s="275">
        <f t="shared" si="247"/>
        <v>30093011.722249851</v>
      </c>
      <c r="CG184" s="199">
        <f>'Detailed Budget'!$AD$176</f>
        <v>20662817754.37001</v>
      </c>
      <c r="CH184" s="275">
        <f t="shared" si="248"/>
        <v>143584821.94239977</v>
      </c>
      <c r="CI184" s="275">
        <f t="shared" si="211"/>
        <v>173677833.66464961</v>
      </c>
      <c r="CJ184" s="275">
        <f>'Detailed Budget'!$AD$178</f>
        <v>46025131033.061455</v>
      </c>
      <c r="CK184" s="275">
        <f t="shared" si="249"/>
        <v>216652540.55110344</v>
      </c>
      <c r="CL184" s="275">
        <f t="shared" si="206"/>
        <v>390330374.21575308</v>
      </c>
      <c r="CM184" s="278">
        <f>'Detailed Budget'!$AD$189</f>
        <v>77498869683.252869</v>
      </c>
      <c r="CN184" s="275">
        <f t="shared" si="200"/>
        <v>0</v>
      </c>
      <c r="CO184" s="140">
        <f>'Detailed Budget'!$AD$191</f>
        <v>2684962805.4134097</v>
      </c>
      <c r="CP184" s="616">
        <f t="shared" si="201"/>
        <v>0</v>
      </c>
      <c r="CQ184" s="616">
        <f t="shared" si="202"/>
        <v>0</v>
      </c>
      <c r="CR184" s="199">
        <f>'Detailed Budget'!$AD$195</f>
        <v>18734176418</v>
      </c>
      <c r="CS184" s="275">
        <f t="shared" si="250"/>
        <v>30145036.220026512</v>
      </c>
      <c r="CW184" s="278"/>
      <c r="DH184" s="140">
        <f>'Detailed Budget'!$AD$163</f>
        <v>4928560000</v>
      </c>
      <c r="DI184" s="616">
        <f t="shared" si="251"/>
        <v>6160000</v>
      </c>
    </row>
    <row r="185" spans="1:113" outlineLevel="1">
      <c r="A185" s="214" t="s">
        <v>540</v>
      </c>
      <c r="B185" s="215" t="s">
        <v>541</v>
      </c>
      <c r="C185" s="216" t="s">
        <v>234</v>
      </c>
      <c r="D185" s="229" t="s">
        <v>234</v>
      </c>
      <c r="E185" s="216"/>
      <c r="F185" s="216"/>
      <c r="G185" s="216"/>
      <c r="H185" s="216" t="s">
        <v>234</v>
      </c>
      <c r="I185" s="217" t="s">
        <v>234</v>
      </c>
      <c r="J185" s="217"/>
      <c r="K185" s="216" t="s">
        <v>234</v>
      </c>
      <c r="L185" s="216"/>
      <c r="M185" s="217"/>
      <c r="N185" s="216"/>
      <c r="O185" s="217"/>
      <c r="P185" s="216"/>
      <c r="Q185" s="217"/>
      <c r="R185" s="217" t="s">
        <v>234</v>
      </c>
      <c r="S185" s="217" t="s">
        <v>234</v>
      </c>
      <c r="T185" s="217"/>
      <c r="U185" s="218">
        <f t="shared" si="241"/>
        <v>7</v>
      </c>
      <c r="V185" s="867" t="s">
        <v>418</v>
      </c>
      <c r="W185" s="219">
        <v>278471</v>
      </c>
      <c r="X185" s="220">
        <v>3.39</v>
      </c>
      <c r="Y185" s="221">
        <f t="shared" si="221"/>
        <v>1.0339</v>
      </c>
      <c r="Z185" s="199">
        <v>19</v>
      </c>
      <c r="AA185" s="221">
        <f t="shared" si="222"/>
        <v>1.8840489025780363</v>
      </c>
      <c r="AB185" s="199">
        <f t="shared" si="223"/>
        <v>524652.98194980831</v>
      </c>
      <c r="AC185" s="231">
        <v>20</v>
      </c>
      <c r="AD185" s="199">
        <f t="shared" si="224"/>
        <v>104930.59638996165</v>
      </c>
      <c r="AE185" s="199">
        <f t="shared" si="225"/>
        <v>99684.066570463561</v>
      </c>
      <c r="AF185" s="199">
        <f t="shared" si="205"/>
        <v>99684.066570463561</v>
      </c>
      <c r="AG185" s="614">
        <f t="shared" si="204"/>
        <v>4.6089536169661551E-3</v>
      </c>
      <c r="AH185" s="199">
        <f t="shared" si="252"/>
        <v>26232.649097490415</v>
      </c>
      <c r="AI185" s="252">
        <f t="shared" si="187"/>
        <v>2.032203579236929E-3</v>
      </c>
      <c r="AJ185" s="199">
        <f t="shared" si="188"/>
        <v>131163.24548745208</v>
      </c>
      <c r="AK185" s="199">
        <f t="shared" si="209"/>
        <v>20986.119277992333</v>
      </c>
      <c r="AL185" s="199">
        <f t="shared" si="210"/>
        <v>20986.119277992333</v>
      </c>
      <c r="AM185" s="199">
        <f t="shared" si="189"/>
        <v>41972.238555984666</v>
      </c>
      <c r="AN185" s="645">
        <f t="shared" si="190"/>
        <v>2.032203579236929E-3</v>
      </c>
      <c r="AO185" s="199">
        <v>11</v>
      </c>
      <c r="AP185" s="250">
        <f t="shared" si="191"/>
        <v>1.2498579706851495E-3</v>
      </c>
      <c r="AQ185" s="199">
        <v>11</v>
      </c>
      <c r="AU185" s="199">
        <v>0</v>
      </c>
      <c r="AW185" s="250">
        <f t="shared" si="192"/>
        <v>0</v>
      </c>
      <c r="AX185" s="199">
        <v>1</v>
      </c>
      <c r="AY185" s="199">
        <f t="shared" si="242"/>
        <v>39684.516562728488</v>
      </c>
      <c r="AZ185" s="199">
        <f t="shared" si="193"/>
        <v>39684.516562728488</v>
      </c>
      <c r="BA185" s="252">
        <f t="shared" si="194"/>
        <v>3.119460527022591E-3</v>
      </c>
      <c r="BB185" s="284">
        <v>1</v>
      </c>
      <c r="BC185" s="199">
        <f t="shared" si="243"/>
        <v>75550.029400772386</v>
      </c>
      <c r="BD185" s="270">
        <f t="shared" si="207"/>
        <v>6.8038160613379207E-3</v>
      </c>
      <c r="BE185" s="199">
        <f t="shared" si="244"/>
        <v>323186.23688108189</v>
      </c>
      <c r="BF185" s="251">
        <f t="shared" si="208"/>
        <v>6.8038162125315105E-3</v>
      </c>
      <c r="BG185" s="204">
        <f t="shared" si="230"/>
        <v>398736.26628185424</v>
      </c>
      <c r="BH185" s="636">
        <v>0</v>
      </c>
      <c r="BI185" s="199">
        <f t="shared" si="195"/>
        <v>160543.81247664135</v>
      </c>
      <c r="BJ185" s="199">
        <f t="shared" si="196"/>
        <v>321087.62495328271</v>
      </c>
      <c r="BK185" s="199">
        <f t="shared" si="203"/>
        <v>481631.43742992403</v>
      </c>
      <c r="BL185" s="251">
        <f t="shared" si="197"/>
        <v>2.032203579236929E-3</v>
      </c>
      <c r="BM185" s="199">
        <f t="shared" si="245"/>
        <v>36483.867806130555</v>
      </c>
      <c r="BN185" s="251">
        <f t="shared" si="198"/>
        <v>1.5754868747152853E-3</v>
      </c>
      <c r="BT185" s="199">
        <f>'Detailed Budget'!$AD$12</f>
        <v>194045122715</v>
      </c>
      <c r="BU185" s="199">
        <f>'Detailed Budget'!$AD$24</f>
        <v>194045122715</v>
      </c>
      <c r="BV185" s="596">
        <f t="shared" si="246"/>
        <v>0</v>
      </c>
      <c r="BW185" s="278"/>
      <c r="BX185" s="275">
        <f t="shared" si="215"/>
        <v>0</v>
      </c>
      <c r="BY185" s="275">
        <f t="shared" si="216"/>
        <v>0</v>
      </c>
      <c r="CA185" s="199">
        <f>'Detailed Budget'!$AD$96</f>
        <v>71050111380.677719</v>
      </c>
      <c r="CB185" s="275">
        <f t="shared" si="199"/>
        <v>221638017.89258271</v>
      </c>
      <c r="CE185" s="199">
        <f>'Detailed Budget'!$AD$175</f>
        <v>4330586076.5988197</v>
      </c>
      <c r="CF185" s="275">
        <f t="shared" si="247"/>
        <v>29464511.102969419</v>
      </c>
      <c r="CG185" s="199">
        <f>'Detailed Budget'!$AD$176</f>
        <v>20662817754.37001</v>
      </c>
      <c r="CH185" s="275">
        <f t="shared" si="248"/>
        <v>140586014.4337666</v>
      </c>
      <c r="CI185" s="275">
        <f t="shared" si="211"/>
        <v>170050525.53673601</v>
      </c>
      <c r="CJ185" s="275">
        <f>'Detailed Budget'!$AD$178</f>
        <v>46025131033.061455</v>
      </c>
      <c r="CK185" s="275">
        <f t="shared" si="249"/>
        <v>212127694.14616981</v>
      </c>
      <c r="CL185" s="275">
        <f t="shared" si="206"/>
        <v>382178219.68290579</v>
      </c>
      <c r="CM185" s="278">
        <f>'Detailed Budget'!$AD$189</f>
        <v>77498869683.252869</v>
      </c>
      <c r="CN185" s="275">
        <f t="shared" si="200"/>
        <v>0</v>
      </c>
      <c r="CO185" s="140">
        <f>'Detailed Budget'!$AD$191</f>
        <v>2684962805.4134097</v>
      </c>
      <c r="CP185" s="616">
        <f t="shared" si="201"/>
        <v>0</v>
      </c>
      <c r="CQ185" s="616">
        <f t="shared" si="202"/>
        <v>0</v>
      </c>
      <c r="CR185" s="199">
        <f>'Detailed Budget'!$AD$195</f>
        <v>18734176418</v>
      </c>
      <c r="CS185" s="275">
        <f t="shared" si="250"/>
        <v>29515449.055159617</v>
      </c>
      <c r="CW185" s="278"/>
      <c r="DH185" s="140">
        <f>'Detailed Budget'!$AD$163</f>
        <v>4928560000</v>
      </c>
      <c r="DI185" s="616">
        <f t="shared" si="251"/>
        <v>6160000</v>
      </c>
    </row>
    <row r="186" spans="1:113" outlineLevel="1">
      <c r="A186" s="214" t="s">
        <v>542</v>
      </c>
      <c r="B186" s="215" t="s">
        <v>543</v>
      </c>
      <c r="C186" s="216" t="s">
        <v>234</v>
      </c>
      <c r="D186" s="229" t="s">
        <v>234</v>
      </c>
      <c r="E186" s="216"/>
      <c r="F186" s="216"/>
      <c r="G186" s="216"/>
      <c r="H186" s="216" t="s">
        <v>234</v>
      </c>
      <c r="I186" s="217" t="s">
        <v>234</v>
      </c>
      <c r="J186" s="217"/>
      <c r="K186" s="216" t="s">
        <v>234</v>
      </c>
      <c r="L186" s="216"/>
      <c r="M186" s="217"/>
      <c r="N186" s="216"/>
      <c r="O186" s="217"/>
      <c r="P186" s="216"/>
      <c r="Q186" s="217"/>
      <c r="R186" s="217" t="s">
        <v>234</v>
      </c>
      <c r="S186" s="217"/>
      <c r="T186" s="217"/>
      <c r="U186" s="218">
        <f t="shared" si="241"/>
        <v>6</v>
      </c>
      <c r="V186" s="867" t="s">
        <v>238</v>
      </c>
      <c r="W186" s="219">
        <v>156022</v>
      </c>
      <c r="X186" s="220">
        <v>3.39</v>
      </c>
      <c r="Y186" s="221">
        <f t="shared" si="221"/>
        <v>1.0339</v>
      </c>
      <c r="Z186" s="199">
        <v>19</v>
      </c>
      <c r="AA186" s="221">
        <f t="shared" si="222"/>
        <v>1.8840489025780363</v>
      </c>
      <c r="AB186" s="199">
        <f t="shared" si="223"/>
        <v>293953.07787803037</v>
      </c>
      <c r="AC186" s="231">
        <v>20</v>
      </c>
      <c r="AD186" s="199">
        <f t="shared" si="224"/>
        <v>58790.615575606076</v>
      </c>
      <c r="AE186" s="199">
        <f t="shared" si="225"/>
        <v>55851.084796825773</v>
      </c>
      <c r="AF186" s="199">
        <f t="shared" si="205"/>
        <v>55851.084796825773</v>
      </c>
      <c r="AG186" s="614">
        <f t="shared" si="204"/>
        <v>2.582308970148754E-3</v>
      </c>
      <c r="AH186" s="199">
        <f t="shared" si="252"/>
        <v>14697.653893901519</v>
      </c>
      <c r="AI186" s="252">
        <f t="shared" si="187"/>
        <v>1.1386049780397389E-3</v>
      </c>
      <c r="AJ186" s="199">
        <f t="shared" si="188"/>
        <v>73488.269469507592</v>
      </c>
      <c r="AK186" s="199">
        <f t="shared" si="209"/>
        <v>11758.123115121214</v>
      </c>
      <c r="AL186" s="199">
        <f t="shared" si="210"/>
        <v>11758.123115121214</v>
      </c>
      <c r="AM186" s="199">
        <f t="shared" si="189"/>
        <v>23516.246230242428</v>
      </c>
      <c r="AN186" s="645">
        <f t="shared" si="190"/>
        <v>1.1386049780397389E-3</v>
      </c>
      <c r="AO186" s="199">
        <v>10</v>
      </c>
      <c r="AP186" s="250">
        <f t="shared" si="191"/>
        <v>1.1362345188046814E-3</v>
      </c>
      <c r="AQ186" s="199">
        <v>10</v>
      </c>
      <c r="AU186" s="199">
        <v>0</v>
      </c>
      <c r="AW186" s="250">
        <f t="shared" si="192"/>
        <v>0</v>
      </c>
      <c r="AX186" s="199">
        <v>1</v>
      </c>
      <c r="AY186" s="199">
        <f t="shared" si="242"/>
        <v>22234.479149175404</v>
      </c>
      <c r="AZ186" s="199">
        <f t="shared" si="193"/>
        <v>22234.479149175404</v>
      </c>
      <c r="BA186" s="252">
        <f t="shared" si="194"/>
        <v>1.7477743475877872E-3</v>
      </c>
      <c r="BB186" s="284">
        <v>1</v>
      </c>
      <c r="BC186" s="199">
        <f t="shared" si="243"/>
        <v>42329.24321443637</v>
      </c>
      <c r="BD186" s="270">
        <f t="shared" si="207"/>
        <v>3.8120486137589379E-3</v>
      </c>
      <c r="BE186" s="199">
        <f t="shared" si="244"/>
        <v>181075.09597286672</v>
      </c>
      <c r="BF186" s="251">
        <f t="shared" si="208"/>
        <v>3.8120486984698282E-3</v>
      </c>
      <c r="BG186" s="204">
        <f t="shared" si="230"/>
        <v>223404.33918730309</v>
      </c>
      <c r="BH186" s="636">
        <v>0</v>
      </c>
      <c r="BI186" s="199">
        <f t="shared" si="195"/>
        <v>89949.641830677298</v>
      </c>
      <c r="BJ186" s="199">
        <f t="shared" si="196"/>
        <v>179899.2836613546</v>
      </c>
      <c r="BK186" s="199">
        <f t="shared" si="203"/>
        <v>269848.92549203191</v>
      </c>
      <c r="BL186" s="251">
        <f t="shared" si="197"/>
        <v>1.1386049780397389E-3</v>
      </c>
      <c r="BM186" s="199">
        <f t="shared" si="245"/>
        <v>20441.216582150748</v>
      </c>
      <c r="BN186" s="251">
        <f t="shared" si="198"/>
        <v>8.8271530309018973E-4</v>
      </c>
      <c r="BT186" s="199">
        <f>'Detailed Budget'!$AD$12</f>
        <v>194045122715</v>
      </c>
      <c r="BU186" s="199">
        <f>'Detailed Budget'!$AD$24</f>
        <v>194045122715</v>
      </c>
      <c r="BV186" s="596">
        <f t="shared" si="246"/>
        <v>0</v>
      </c>
      <c r="BW186" s="278"/>
      <c r="BX186" s="275">
        <f t="shared" si="215"/>
        <v>0</v>
      </c>
      <c r="BY186" s="275">
        <f t="shared" si="216"/>
        <v>0</v>
      </c>
      <c r="CA186" s="199">
        <f>'Detailed Budget'!$AD$96</f>
        <v>71050111380.677719</v>
      </c>
      <c r="CB186" s="275">
        <f t="shared" si="199"/>
        <v>124179562.06440362</v>
      </c>
      <c r="CE186" s="199">
        <f>'Detailed Budget'!$AD$175</f>
        <v>4330586076.5988197</v>
      </c>
      <c r="CF186" s="275">
        <f t="shared" si="247"/>
        <v>16508404.650062289</v>
      </c>
      <c r="CG186" s="199">
        <f>'Detailed Budget'!$AD$176</f>
        <v>20662817754.37001</v>
      </c>
      <c r="CH186" s="275">
        <f t="shared" si="248"/>
        <v>78767667.527265459</v>
      </c>
      <c r="CI186" s="275">
        <f t="shared" si="211"/>
        <v>95276072.177327752</v>
      </c>
      <c r="CJ186" s="275">
        <f>'Detailed Budget'!$AD$178</f>
        <v>46025131033.061455</v>
      </c>
      <c r="CK186" s="275">
        <f t="shared" si="249"/>
        <v>118851108.71894638</v>
      </c>
      <c r="CL186" s="275">
        <f t="shared" si="206"/>
        <v>214127180.89627415</v>
      </c>
      <c r="CM186" s="278">
        <f>'Detailed Budget'!$AD$189</f>
        <v>77498869683.252869</v>
      </c>
      <c r="CN186" s="275">
        <f t="shared" si="200"/>
        <v>0</v>
      </c>
      <c r="CO186" s="140">
        <f>'Detailed Budget'!$AD$191</f>
        <v>2684962805.4134097</v>
      </c>
      <c r="CP186" s="616">
        <f t="shared" si="201"/>
        <v>0</v>
      </c>
      <c r="CQ186" s="616">
        <f t="shared" si="202"/>
        <v>0</v>
      </c>
      <c r="CR186" s="199">
        <f>'Detailed Budget'!$AD$195</f>
        <v>18734176418</v>
      </c>
      <c r="CS186" s="275">
        <f t="shared" si="250"/>
        <v>16536944.214959955</v>
      </c>
      <c r="CW186" s="278"/>
      <c r="DH186" s="140">
        <f>'Detailed Budget'!$AD$163</f>
        <v>4928560000</v>
      </c>
      <c r="DI186" s="616">
        <f t="shared" si="251"/>
        <v>5600000</v>
      </c>
    </row>
    <row r="187" spans="1:113" outlineLevel="1">
      <c r="A187" s="214" t="s">
        <v>544</v>
      </c>
      <c r="B187" s="215" t="s">
        <v>545</v>
      </c>
      <c r="C187" s="216" t="s">
        <v>234</v>
      </c>
      <c r="D187" s="229" t="s">
        <v>234</v>
      </c>
      <c r="E187" s="216"/>
      <c r="F187" s="216"/>
      <c r="G187" s="216"/>
      <c r="H187" s="216" t="s">
        <v>234</v>
      </c>
      <c r="I187" s="217" t="s">
        <v>234</v>
      </c>
      <c r="J187" s="217"/>
      <c r="K187" s="216" t="s">
        <v>234</v>
      </c>
      <c r="L187" s="216"/>
      <c r="M187" s="217"/>
      <c r="N187" s="216"/>
      <c r="O187" s="217"/>
      <c r="P187" s="216"/>
      <c r="Q187" s="217"/>
      <c r="R187" s="217" t="s">
        <v>234</v>
      </c>
      <c r="S187" s="217"/>
      <c r="T187" s="217"/>
      <c r="U187" s="218">
        <f t="shared" si="241"/>
        <v>6</v>
      </c>
      <c r="V187" s="867" t="s">
        <v>238</v>
      </c>
      <c r="W187" s="219">
        <v>228527</v>
      </c>
      <c r="X187" s="220">
        <v>3.39</v>
      </c>
      <c r="Y187" s="221">
        <f t="shared" si="221"/>
        <v>1.0339</v>
      </c>
      <c r="Z187" s="199">
        <v>19</v>
      </c>
      <c r="AA187" s="221">
        <f t="shared" si="222"/>
        <v>1.8840489025780363</v>
      </c>
      <c r="AB187" s="199">
        <f t="shared" ref="AB187:AB220" si="253">W187*AA187</f>
        <v>430556.04355945089</v>
      </c>
      <c r="AC187" s="231">
        <v>20</v>
      </c>
      <c r="AD187" s="199">
        <f t="shared" ref="AD187:AD220" si="254">AB187*AC187/100</f>
        <v>86111.208711890169</v>
      </c>
      <c r="AE187" s="199">
        <f t="shared" si="225"/>
        <v>81805.648276295658</v>
      </c>
      <c r="AF187" s="199">
        <f t="shared" si="205"/>
        <v>81805.648276295658</v>
      </c>
      <c r="AG187" s="614">
        <f t="shared" si="204"/>
        <v>3.78233404277079E-3</v>
      </c>
      <c r="AH187" s="199">
        <f t="shared" si="252"/>
        <v>21527.802177972546</v>
      </c>
      <c r="AI187" s="252">
        <f t="shared" si="187"/>
        <v>1.6677262169212509E-3</v>
      </c>
      <c r="AJ187" s="199">
        <f t="shared" si="188"/>
        <v>107639.01088986272</v>
      </c>
      <c r="AK187" s="199">
        <f t="shared" si="209"/>
        <v>17222.241742378035</v>
      </c>
      <c r="AL187" s="199">
        <f t="shared" si="210"/>
        <v>17222.241742378035</v>
      </c>
      <c r="AM187" s="199">
        <f t="shared" si="189"/>
        <v>34444.483484756071</v>
      </c>
      <c r="AN187" s="645">
        <f t="shared" si="190"/>
        <v>1.6677262169212509E-3</v>
      </c>
      <c r="AO187" s="199">
        <v>10</v>
      </c>
      <c r="AP187" s="250">
        <f t="shared" si="191"/>
        <v>1.1362345188046814E-3</v>
      </c>
      <c r="AQ187" s="199">
        <v>10</v>
      </c>
      <c r="AU187" s="199">
        <v>0</v>
      </c>
      <c r="AW187" s="250">
        <f t="shared" si="192"/>
        <v>0</v>
      </c>
      <c r="AX187" s="199">
        <v>1</v>
      </c>
      <c r="AY187" s="199">
        <f t="shared" si="242"/>
        <v>32567.066288879822</v>
      </c>
      <c r="AZ187" s="199">
        <f t="shared" si="193"/>
        <v>32567.066288879822</v>
      </c>
      <c r="BA187" s="252">
        <f t="shared" si="194"/>
        <v>2.5599827481457373E-3</v>
      </c>
      <c r="BB187" s="284">
        <v>1</v>
      </c>
      <c r="BC187" s="199">
        <f t="shared" si="243"/>
        <v>62000.070272560923</v>
      </c>
      <c r="BD187" s="270">
        <f t="shared" si="207"/>
        <v>5.5835461252675186E-3</v>
      </c>
      <c r="BE187" s="199">
        <f t="shared" si="244"/>
        <v>265222.5228326217</v>
      </c>
      <c r="BF187" s="251">
        <f t="shared" si="208"/>
        <v>5.583546249344414E-3</v>
      </c>
      <c r="BG187" s="204">
        <f t="shared" si="230"/>
        <v>327222.59310518263</v>
      </c>
      <c r="BH187" s="636">
        <v>0</v>
      </c>
      <c r="BI187" s="199">
        <f t="shared" si="195"/>
        <v>131750.14932919198</v>
      </c>
      <c r="BJ187" s="199">
        <f t="shared" si="196"/>
        <v>263500.29865838395</v>
      </c>
      <c r="BK187" s="199">
        <f t="shared" si="203"/>
        <v>395250.4479875759</v>
      </c>
      <c r="BL187" s="251">
        <f t="shared" si="197"/>
        <v>1.6677262169212509E-3</v>
      </c>
      <c r="BM187" s="199">
        <f t="shared" si="245"/>
        <v>29940.45648606712</v>
      </c>
      <c r="BN187" s="251">
        <f t="shared" si="198"/>
        <v>1.2929220242612696E-3</v>
      </c>
      <c r="BT187" s="199">
        <f>'Detailed Budget'!$AD$12</f>
        <v>194045122715</v>
      </c>
      <c r="BU187" s="199">
        <f>'Detailed Budget'!$AD$24</f>
        <v>194045122715</v>
      </c>
      <c r="BV187" s="596">
        <f t="shared" si="246"/>
        <v>0</v>
      </c>
      <c r="BW187" s="278"/>
      <c r="BX187" s="275">
        <f t="shared" si="215"/>
        <v>0</v>
      </c>
      <c r="BY187" s="275">
        <f t="shared" si="216"/>
        <v>0</v>
      </c>
      <c r="CA187" s="199">
        <f>'Detailed Budget'!$AD$96</f>
        <v>71050111380.677719</v>
      </c>
      <c r="CB187" s="275">
        <f t="shared" si="199"/>
        <v>181887059.38836807</v>
      </c>
      <c r="CE187" s="199">
        <f>'Detailed Budget'!$AD$175</f>
        <v>4330586076.5988197</v>
      </c>
      <c r="CF187" s="275">
        <f t="shared" si="247"/>
        <v>24180027.108130805</v>
      </c>
      <c r="CG187" s="199">
        <f>'Detailed Budget'!$AD$176</f>
        <v>20662817754.37001</v>
      </c>
      <c r="CH187" s="275">
        <f t="shared" si="248"/>
        <v>115371798.57329984</v>
      </c>
      <c r="CI187" s="275">
        <f t="shared" si="211"/>
        <v>139551825.68143064</v>
      </c>
      <c r="CJ187" s="275">
        <f>'Detailed Budget'!$AD$178</f>
        <v>46025131033.061455</v>
      </c>
      <c r="CK187" s="275">
        <f t="shared" si="249"/>
        <v>174082419.92933467</v>
      </c>
      <c r="CL187" s="275">
        <f t="shared" si="206"/>
        <v>313634245.61076534</v>
      </c>
      <c r="CM187" s="278">
        <f>'Detailed Budget'!$AD$189</f>
        <v>77498869683.252869</v>
      </c>
      <c r="CN187" s="275">
        <f t="shared" si="200"/>
        <v>0</v>
      </c>
      <c r="CO187" s="140">
        <f>'Detailed Budget'!$AD$191</f>
        <v>2684962805.4134097</v>
      </c>
      <c r="CP187" s="616">
        <f t="shared" si="201"/>
        <v>0</v>
      </c>
      <c r="CQ187" s="616">
        <f t="shared" si="202"/>
        <v>0</v>
      </c>
      <c r="CR187" s="199">
        <f>'Detailed Budget'!$AD$195</f>
        <v>18734176418</v>
      </c>
      <c r="CS187" s="275">
        <f t="shared" si="250"/>
        <v>24221829.297228299</v>
      </c>
      <c r="CW187" s="278"/>
      <c r="DH187" s="140">
        <f>'Detailed Budget'!$AD$163</f>
        <v>4928560000</v>
      </c>
      <c r="DI187" s="616">
        <f t="shared" si="251"/>
        <v>5600000</v>
      </c>
    </row>
    <row r="188" spans="1:113" outlineLevel="1">
      <c r="A188" s="214" t="s">
        <v>546</v>
      </c>
      <c r="B188" s="215" t="s">
        <v>547</v>
      </c>
      <c r="C188" s="216" t="s">
        <v>234</v>
      </c>
      <c r="D188" s="229" t="s">
        <v>234</v>
      </c>
      <c r="E188" s="216"/>
      <c r="F188" s="216"/>
      <c r="G188" s="216"/>
      <c r="H188" s="216" t="s">
        <v>234</v>
      </c>
      <c r="I188" s="217" t="s">
        <v>234</v>
      </c>
      <c r="J188" s="217"/>
      <c r="K188" s="216" t="s">
        <v>234</v>
      </c>
      <c r="L188" s="216"/>
      <c r="M188" s="217"/>
      <c r="N188" s="216"/>
      <c r="O188" s="217"/>
      <c r="P188" s="216"/>
      <c r="Q188" s="217"/>
      <c r="R188" s="217" t="s">
        <v>234</v>
      </c>
      <c r="S188" s="217"/>
      <c r="T188" s="217"/>
      <c r="U188" s="218">
        <f t="shared" si="241"/>
        <v>6</v>
      </c>
      <c r="V188" s="867" t="s">
        <v>238</v>
      </c>
      <c r="W188" s="219">
        <v>117482</v>
      </c>
      <c r="X188" s="220">
        <v>3.39</v>
      </c>
      <c r="Y188" s="221">
        <f t="shared" si="221"/>
        <v>1.0339</v>
      </c>
      <c r="Z188" s="199">
        <v>19</v>
      </c>
      <c r="AA188" s="221">
        <f t="shared" si="222"/>
        <v>1.8840489025780363</v>
      </c>
      <c r="AB188" s="199">
        <f t="shared" si="253"/>
        <v>221341.83317267286</v>
      </c>
      <c r="AC188" s="231">
        <v>20</v>
      </c>
      <c r="AD188" s="199">
        <f t="shared" si="254"/>
        <v>44268.36663453457</v>
      </c>
      <c r="AE188" s="199">
        <f t="shared" si="225"/>
        <v>42054.948302807839</v>
      </c>
      <c r="AF188" s="199">
        <f t="shared" si="205"/>
        <v>42054.948302807839</v>
      </c>
      <c r="AG188" s="614">
        <f t="shared" si="204"/>
        <v>1.9444361848394193E-3</v>
      </c>
      <c r="AH188" s="199">
        <f t="shared" si="252"/>
        <v>11067.091658633644</v>
      </c>
      <c r="AI188" s="252">
        <f t="shared" si="187"/>
        <v>8.5735082251262398E-4</v>
      </c>
      <c r="AJ188" s="199">
        <f t="shared" si="188"/>
        <v>55335.458293168216</v>
      </c>
      <c r="AK188" s="199">
        <f t="shared" si="209"/>
        <v>8853.6733269069155</v>
      </c>
      <c r="AL188" s="199">
        <f t="shared" si="210"/>
        <v>8853.6733269069155</v>
      </c>
      <c r="AM188" s="199">
        <f t="shared" si="189"/>
        <v>17707.346653813831</v>
      </c>
      <c r="AN188" s="645">
        <f t="shared" si="190"/>
        <v>8.5735082251262398E-4</v>
      </c>
      <c r="AO188" s="199">
        <v>10</v>
      </c>
      <c r="AP188" s="250">
        <f t="shared" si="191"/>
        <v>1.1362345188046814E-3</v>
      </c>
      <c r="AQ188" s="199">
        <v>10</v>
      </c>
      <c r="AU188" s="199">
        <v>0</v>
      </c>
      <c r="AW188" s="250">
        <f t="shared" si="192"/>
        <v>0</v>
      </c>
      <c r="AX188" s="199">
        <v>1</v>
      </c>
      <c r="AY188" s="199">
        <f t="shared" si="242"/>
        <v>16742.197122222668</v>
      </c>
      <c r="AZ188" s="199">
        <f t="shared" si="193"/>
        <v>16742.197122222668</v>
      </c>
      <c r="BA188" s="252">
        <f t="shared" si="194"/>
        <v>1.3160453391400473E-3</v>
      </c>
      <c r="BB188" s="284">
        <v>1</v>
      </c>
      <c r="BC188" s="199">
        <f t="shared" si="243"/>
        <v>31873.223976864891</v>
      </c>
      <c r="BD188" s="270">
        <f t="shared" si="207"/>
        <v>2.8704099116895541E-3</v>
      </c>
      <c r="BE188" s="199">
        <f t="shared" si="244"/>
        <v>136346.56923436647</v>
      </c>
      <c r="BF188" s="251">
        <f t="shared" si="208"/>
        <v>2.8704099754754604E-3</v>
      </c>
      <c r="BG188" s="204">
        <f t="shared" si="230"/>
        <v>168219.79321123136</v>
      </c>
      <c r="BH188" s="636">
        <v>0</v>
      </c>
      <c r="BI188" s="199">
        <f t="shared" si="195"/>
        <v>67730.600950837892</v>
      </c>
      <c r="BJ188" s="199">
        <f t="shared" si="196"/>
        <v>135461.20190167578</v>
      </c>
      <c r="BK188" s="199">
        <f t="shared" si="203"/>
        <v>203191.80285251368</v>
      </c>
      <c r="BL188" s="251">
        <f t="shared" si="197"/>
        <v>8.5735082251262387E-4</v>
      </c>
      <c r="BM188" s="199">
        <f t="shared" si="245"/>
        <v>15391.899901964047</v>
      </c>
      <c r="BN188" s="251">
        <f t="shared" si="198"/>
        <v>6.6467010573920148E-4</v>
      </c>
      <c r="BT188" s="199">
        <f>'Detailed Budget'!$AD$12</f>
        <v>194045122715</v>
      </c>
      <c r="BU188" s="199">
        <f>'Detailed Budget'!$AD$24</f>
        <v>194045122715</v>
      </c>
      <c r="BV188" s="596">
        <f t="shared" si="246"/>
        <v>0</v>
      </c>
      <c r="BW188" s="278"/>
      <c r="BX188" s="275">
        <f t="shared" si="215"/>
        <v>0</v>
      </c>
      <c r="BY188" s="275">
        <f t="shared" si="216"/>
        <v>0</v>
      </c>
      <c r="CA188" s="199">
        <f>'Detailed Budget'!$AD$96</f>
        <v>71050111380.677719</v>
      </c>
      <c r="CB188" s="275">
        <f t="shared" si="199"/>
        <v>93505167.927922145</v>
      </c>
      <c r="CE188" s="199">
        <f>'Detailed Budget'!$AD$175</f>
        <v>4330586076.5988197</v>
      </c>
      <c r="CF188" s="275">
        <f t="shared" si="247"/>
        <v>12430557.197694032</v>
      </c>
      <c r="CG188" s="199">
        <f>'Detailed Budget'!$AD$176</f>
        <v>20662817754.37001</v>
      </c>
      <c r="CH188" s="275">
        <f t="shared" si="248"/>
        <v>59310758.203575127</v>
      </c>
      <c r="CI188" s="275">
        <f t="shared" si="211"/>
        <v>71741315.401269153</v>
      </c>
      <c r="CJ188" s="275">
        <f>'Detailed Budget'!$AD$178</f>
        <v>46025131033.061455</v>
      </c>
      <c r="CK188" s="275">
        <f t="shared" si="249"/>
        <v>89492930.192660376</v>
      </c>
      <c r="CL188" s="275">
        <f t="shared" si="206"/>
        <v>161234245.59392953</v>
      </c>
      <c r="CM188" s="278">
        <f>'Detailed Budget'!$AD$189</f>
        <v>77498869683.252869</v>
      </c>
      <c r="CN188" s="275">
        <f t="shared" si="200"/>
        <v>0</v>
      </c>
      <c r="CO188" s="140">
        <f>'Detailed Budget'!$AD$191</f>
        <v>2684962805.4134097</v>
      </c>
      <c r="CP188" s="616">
        <f t="shared" si="201"/>
        <v>0</v>
      </c>
      <c r="CQ188" s="616">
        <f t="shared" si="202"/>
        <v>0</v>
      </c>
      <c r="CR188" s="199">
        <f>'Detailed Budget'!$AD$195</f>
        <v>18734176418</v>
      </c>
      <c r="CS188" s="275">
        <f t="shared" si="250"/>
        <v>12452047.020688916</v>
      </c>
      <c r="CW188" s="278"/>
      <c r="DH188" s="140">
        <f>'Detailed Budget'!$AD$163</f>
        <v>4928560000</v>
      </c>
      <c r="DI188" s="616">
        <f t="shared" si="251"/>
        <v>5600000</v>
      </c>
    </row>
    <row r="189" spans="1:113" outlineLevel="1">
      <c r="A189" s="214" t="s">
        <v>548</v>
      </c>
      <c r="B189" s="215" t="s">
        <v>549</v>
      </c>
      <c r="C189" s="216" t="s">
        <v>234</v>
      </c>
      <c r="D189" s="229" t="s">
        <v>234</v>
      </c>
      <c r="E189" s="216"/>
      <c r="F189" s="216"/>
      <c r="G189" s="216"/>
      <c r="H189" s="216" t="s">
        <v>234</v>
      </c>
      <c r="I189" s="217" t="s">
        <v>234</v>
      </c>
      <c r="J189" s="217"/>
      <c r="K189" s="216" t="s">
        <v>234</v>
      </c>
      <c r="L189" s="216"/>
      <c r="M189" s="217"/>
      <c r="N189" s="216"/>
      <c r="O189" s="217"/>
      <c r="P189" s="216"/>
      <c r="Q189" s="217"/>
      <c r="R189" s="217" t="s">
        <v>234</v>
      </c>
      <c r="S189" s="217"/>
      <c r="T189" s="217"/>
      <c r="U189" s="218">
        <f t="shared" si="241"/>
        <v>6</v>
      </c>
      <c r="V189" s="867" t="s">
        <v>238</v>
      </c>
      <c r="W189" s="219">
        <v>293020</v>
      </c>
      <c r="X189" s="220">
        <v>3.39</v>
      </c>
      <c r="Y189" s="221">
        <f t="shared" si="221"/>
        <v>1.0339</v>
      </c>
      <c r="Z189" s="199">
        <v>19</v>
      </c>
      <c r="AA189" s="221">
        <f t="shared" si="222"/>
        <v>1.8840489025780363</v>
      </c>
      <c r="AB189" s="199">
        <f t="shared" si="253"/>
        <v>552064.00943341618</v>
      </c>
      <c r="AC189" s="231">
        <v>20</v>
      </c>
      <c r="AD189" s="199">
        <f t="shared" si="254"/>
        <v>110412.80188668324</v>
      </c>
      <c r="AE189" s="199">
        <f t="shared" si="225"/>
        <v>104892.16179234907</v>
      </c>
      <c r="AF189" s="199">
        <f t="shared" si="205"/>
        <v>104892.16179234907</v>
      </c>
      <c r="AG189" s="614">
        <f t="shared" si="204"/>
        <v>4.8497530760597081E-3</v>
      </c>
      <c r="AH189" s="199">
        <f t="shared" si="252"/>
        <v>27603.200471670811</v>
      </c>
      <c r="AI189" s="252">
        <f t="shared" si="187"/>
        <v>2.1383781176065189E-3</v>
      </c>
      <c r="AJ189" s="199">
        <f t="shared" si="188"/>
        <v>138016.00235835405</v>
      </c>
      <c r="AK189" s="199">
        <f t="shared" si="209"/>
        <v>22082.560377336649</v>
      </c>
      <c r="AL189" s="199">
        <f t="shared" si="210"/>
        <v>22082.560377336649</v>
      </c>
      <c r="AM189" s="199">
        <f t="shared" si="189"/>
        <v>44165.120754673299</v>
      </c>
      <c r="AN189" s="645">
        <f t="shared" si="190"/>
        <v>2.1383781176065189E-3</v>
      </c>
      <c r="AO189" s="199">
        <v>11</v>
      </c>
      <c r="AP189" s="250">
        <f t="shared" si="191"/>
        <v>1.2498579706851495E-3</v>
      </c>
      <c r="AQ189" s="199">
        <v>11</v>
      </c>
      <c r="AU189" s="199">
        <v>0</v>
      </c>
      <c r="AW189" s="250">
        <f t="shared" si="192"/>
        <v>0</v>
      </c>
      <c r="AX189" s="199">
        <v>1</v>
      </c>
      <c r="AY189" s="199">
        <f t="shared" si="242"/>
        <v>41757.874404195412</v>
      </c>
      <c r="AZ189" s="199">
        <f t="shared" si="193"/>
        <v>41757.874404195412</v>
      </c>
      <c r="BA189" s="252">
        <f t="shared" si="194"/>
        <v>3.2824399080269026E-3</v>
      </c>
      <c r="BB189" s="284">
        <v>1</v>
      </c>
      <c r="BC189" s="199">
        <f t="shared" si="243"/>
        <v>79497.21735841193</v>
      </c>
      <c r="BD189" s="270">
        <f t="shared" si="207"/>
        <v>7.1592883362836274E-3</v>
      </c>
      <c r="BE189" s="199">
        <f t="shared" si="244"/>
        <v>340071.42981098441</v>
      </c>
      <c r="BF189" s="251">
        <f t="shared" si="208"/>
        <v>7.1592884953764801E-3</v>
      </c>
      <c r="BG189" s="204">
        <f t="shared" si="230"/>
        <v>419568.64716939634</v>
      </c>
      <c r="BH189" s="636">
        <v>0</v>
      </c>
      <c r="BI189" s="199">
        <f t="shared" si="195"/>
        <v>168931.58688662536</v>
      </c>
      <c r="BJ189" s="199">
        <f t="shared" si="196"/>
        <v>337863.17377325072</v>
      </c>
      <c r="BK189" s="199">
        <f t="shared" si="203"/>
        <v>506794.76065987605</v>
      </c>
      <c r="BL189" s="251">
        <f t="shared" si="197"/>
        <v>2.1383781176065189E-3</v>
      </c>
      <c r="BM189" s="199">
        <f t="shared" si="245"/>
        <v>38390.004505145509</v>
      </c>
      <c r="BN189" s="251">
        <f t="shared" si="198"/>
        <v>1.6577997853603173E-3</v>
      </c>
      <c r="BT189" s="199">
        <f>'Detailed Budget'!$AD$12</f>
        <v>194045122715</v>
      </c>
      <c r="BU189" s="199">
        <f>'Detailed Budget'!$AD$24</f>
        <v>194045122715</v>
      </c>
      <c r="BV189" s="596">
        <f t="shared" si="246"/>
        <v>0</v>
      </c>
      <c r="BW189" s="278"/>
      <c r="BX189" s="275">
        <f t="shared" si="215"/>
        <v>0</v>
      </c>
      <c r="BY189" s="275">
        <f t="shared" si="216"/>
        <v>0</v>
      </c>
      <c r="CA189" s="199">
        <f>'Detailed Budget'!$AD$96</f>
        <v>71050111380.677719</v>
      </c>
      <c r="CB189" s="275">
        <f t="shared" si="199"/>
        <v>233217721.06569296</v>
      </c>
      <c r="CE189" s="199">
        <f>'Detailed Budget'!$AD$175</f>
        <v>4330586076.5988197</v>
      </c>
      <c r="CF189" s="275">
        <f t="shared" si="247"/>
        <v>31003914.387466207</v>
      </c>
      <c r="CG189" s="199">
        <f>'Detailed Budget'!$AD$176</f>
        <v>20662817754.37001</v>
      </c>
      <c r="CH189" s="275">
        <f t="shared" si="248"/>
        <v>147931073.43092209</v>
      </c>
      <c r="CI189" s="275">
        <f t="shared" si="211"/>
        <v>178934987.81838828</v>
      </c>
      <c r="CJ189" s="275">
        <f>'Detailed Budget'!$AD$178</f>
        <v>46025131033.061455</v>
      </c>
      <c r="CK189" s="275">
        <f t="shared" si="249"/>
        <v>223210520.80364093</v>
      </c>
      <c r="CL189" s="275">
        <f t="shared" si="206"/>
        <v>402145508.62202919</v>
      </c>
      <c r="CM189" s="278">
        <f>'Detailed Budget'!$AD$189</f>
        <v>77498869683.252869</v>
      </c>
      <c r="CN189" s="275">
        <f t="shared" si="200"/>
        <v>0</v>
      </c>
      <c r="CO189" s="140">
        <f>'Detailed Budget'!$AD$191</f>
        <v>2684962805.4134097</v>
      </c>
      <c r="CP189" s="616">
        <f t="shared" si="201"/>
        <v>0</v>
      </c>
      <c r="CQ189" s="616">
        <f t="shared" si="202"/>
        <v>0</v>
      </c>
      <c r="CR189" s="199">
        <f>'Detailed Budget'!$AD$195</f>
        <v>18734176418</v>
      </c>
      <c r="CS189" s="275">
        <f t="shared" si="250"/>
        <v>31057513.644662719</v>
      </c>
      <c r="CW189" s="278"/>
      <c r="DH189" s="140">
        <f>'Detailed Budget'!$AD$163</f>
        <v>4928560000</v>
      </c>
      <c r="DI189" s="616">
        <f t="shared" si="251"/>
        <v>6160000</v>
      </c>
    </row>
    <row r="190" spans="1:113" outlineLevel="1">
      <c r="A190" s="214" t="s">
        <v>550</v>
      </c>
      <c r="B190" s="215" t="s">
        <v>551</v>
      </c>
      <c r="C190" s="216" t="s">
        <v>234</v>
      </c>
      <c r="D190" s="229" t="s">
        <v>234</v>
      </c>
      <c r="E190" s="216"/>
      <c r="F190" s="216"/>
      <c r="G190" s="216"/>
      <c r="H190" s="216" t="s">
        <v>234</v>
      </c>
      <c r="I190" s="217" t="s">
        <v>234</v>
      </c>
      <c r="J190" s="217"/>
      <c r="K190" s="216" t="s">
        <v>234</v>
      </c>
      <c r="L190" s="216"/>
      <c r="M190" s="217"/>
      <c r="N190" s="216"/>
      <c r="O190" s="217"/>
      <c r="P190" s="216"/>
      <c r="Q190" s="217"/>
      <c r="R190" s="217" t="s">
        <v>234</v>
      </c>
      <c r="S190" s="217"/>
      <c r="T190" s="217"/>
      <c r="U190" s="218">
        <f t="shared" si="241"/>
        <v>6</v>
      </c>
      <c r="V190" s="867" t="s">
        <v>238</v>
      </c>
      <c r="W190" s="219">
        <v>145636</v>
      </c>
      <c r="X190" s="220">
        <v>3.39</v>
      </c>
      <c r="Y190" s="221">
        <f t="shared" si="221"/>
        <v>1.0339</v>
      </c>
      <c r="Z190" s="199">
        <v>19</v>
      </c>
      <c r="AA190" s="221">
        <f t="shared" si="222"/>
        <v>1.8840489025780363</v>
      </c>
      <c r="AB190" s="199">
        <f t="shared" si="253"/>
        <v>274385.3459758549</v>
      </c>
      <c r="AC190" s="231">
        <v>20</v>
      </c>
      <c r="AD190" s="199">
        <f t="shared" si="254"/>
        <v>54877.069195170981</v>
      </c>
      <c r="AE190" s="199">
        <f t="shared" si="225"/>
        <v>52133.215735412428</v>
      </c>
      <c r="AF190" s="199">
        <f t="shared" si="205"/>
        <v>52133.215735412428</v>
      </c>
      <c r="AG190" s="614">
        <f t="shared" si="204"/>
        <v>2.4104110265000061E-3</v>
      </c>
      <c r="AH190" s="199">
        <f t="shared" si="252"/>
        <v>13719.267298792745</v>
      </c>
      <c r="AI190" s="252">
        <f t="shared" si="187"/>
        <v>1.062810850917149E-3</v>
      </c>
      <c r="AJ190" s="199">
        <f t="shared" si="188"/>
        <v>68596.336493963725</v>
      </c>
      <c r="AK190" s="199">
        <f t="shared" si="209"/>
        <v>10975.413839034196</v>
      </c>
      <c r="AL190" s="199">
        <f t="shared" si="210"/>
        <v>10975.413839034196</v>
      </c>
      <c r="AM190" s="199">
        <f t="shared" si="189"/>
        <v>21950.827678068392</v>
      </c>
      <c r="AN190" s="645">
        <f t="shared" si="190"/>
        <v>1.062810850917149E-3</v>
      </c>
      <c r="AO190" s="199">
        <v>10</v>
      </c>
      <c r="AP190" s="250">
        <f t="shared" si="191"/>
        <v>1.1362345188046814E-3</v>
      </c>
      <c r="AQ190" s="199">
        <v>10</v>
      </c>
      <c r="AU190" s="199">
        <v>0</v>
      </c>
      <c r="AW190" s="250">
        <f t="shared" si="192"/>
        <v>0</v>
      </c>
      <c r="AX190" s="199">
        <v>1</v>
      </c>
      <c r="AY190" s="199">
        <f t="shared" si="242"/>
        <v>20754.384672477656</v>
      </c>
      <c r="AZ190" s="199">
        <f t="shared" si="193"/>
        <v>20754.384672477656</v>
      </c>
      <c r="BA190" s="252">
        <f t="shared" si="194"/>
        <v>1.631429316925145E-3</v>
      </c>
      <c r="BB190" s="284">
        <v>1</v>
      </c>
      <c r="BC190" s="199">
        <f t="shared" si="243"/>
        <v>39511.489820523107</v>
      </c>
      <c r="BD190" s="270">
        <f t="shared" si="207"/>
        <v>3.5582899329158505E-3</v>
      </c>
      <c r="BE190" s="199">
        <f t="shared" si="244"/>
        <v>169021.37312112661</v>
      </c>
      <c r="BF190" s="251">
        <f t="shared" si="208"/>
        <v>3.5582900119877445E-3</v>
      </c>
      <c r="BG190" s="204">
        <f t="shared" si="230"/>
        <v>208532.86294164971</v>
      </c>
      <c r="BH190" s="636">
        <v>0</v>
      </c>
      <c r="BI190" s="199">
        <f t="shared" si="195"/>
        <v>83961.915868611584</v>
      </c>
      <c r="BJ190" s="199">
        <f t="shared" si="196"/>
        <v>167923.83173722317</v>
      </c>
      <c r="BK190" s="199">
        <f t="shared" si="203"/>
        <v>251885.74760583474</v>
      </c>
      <c r="BL190" s="251">
        <f t="shared" si="197"/>
        <v>1.0628108509171488E-3</v>
      </c>
      <c r="BM190" s="199">
        <f t="shared" si="245"/>
        <v>19080.495174770909</v>
      </c>
      <c r="BN190" s="251">
        <f t="shared" si="198"/>
        <v>8.2395512094988457E-4</v>
      </c>
      <c r="BT190" s="199">
        <f>'Detailed Budget'!$AD$12</f>
        <v>194045122715</v>
      </c>
      <c r="BU190" s="199">
        <f>'Detailed Budget'!$AD$24</f>
        <v>194045122715</v>
      </c>
      <c r="BV190" s="596">
        <f t="shared" si="246"/>
        <v>0</v>
      </c>
      <c r="BW190" s="278"/>
      <c r="BX190" s="275">
        <f t="shared" si="215"/>
        <v>0</v>
      </c>
      <c r="BY190" s="275">
        <f t="shared" si="216"/>
        <v>0</v>
      </c>
      <c r="CA190" s="199">
        <f>'Detailed Budget'!$AD$96</f>
        <v>71050111380.677719</v>
      </c>
      <c r="CB190" s="275">
        <f t="shared" si="199"/>
        <v>115913234.67723452</v>
      </c>
      <c r="CE190" s="199">
        <f>'Detailed Budget'!$AD$175</f>
        <v>4330586076.5988197</v>
      </c>
      <c r="CF190" s="275">
        <f t="shared" si="247"/>
        <v>15409480.839987131</v>
      </c>
      <c r="CG190" s="199">
        <f>'Detailed Budget'!$AD$176</f>
        <v>20662817754.37001</v>
      </c>
      <c r="CH190" s="275">
        <f t="shared" si="248"/>
        <v>73524298.034897849</v>
      </c>
      <c r="CI190" s="275">
        <f t="shared" si="211"/>
        <v>88933778.874884978</v>
      </c>
      <c r="CJ190" s="275">
        <f>'Detailed Budget'!$AD$178</f>
        <v>46025131033.061455</v>
      </c>
      <c r="CK190" s="275">
        <f t="shared" si="249"/>
        <v>110939483.33819894</v>
      </c>
      <c r="CL190" s="275">
        <f t="shared" si="206"/>
        <v>199873262.21308392</v>
      </c>
      <c r="CM190" s="278">
        <f>'Detailed Budget'!$AD$189</f>
        <v>77498869683.252869</v>
      </c>
      <c r="CN190" s="275">
        <f t="shared" si="200"/>
        <v>0</v>
      </c>
      <c r="CO190" s="140">
        <f>'Detailed Budget'!$AD$191</f>
        <v>2684962805.4134097</v>
      </c>
      <c r="CP190" s="616">
        <f t="shared" si="201"/>
        <v>0</v>
      </c>
      <c r="CQ190" s="616">
        <f t="shared" si="202"/>
        <v>0</v>
      </c>
      <c r="CR190" s="199">
        <f>'Detailed Budget'!$AD$195</f>
        <v>18734176418</v>
      </c>
      <c r="CS190" s="275">
        <f t="shared" si="250"/>
        <v>15436120.596389664</v>
      </c>
      <c r="CW190" s="278"/>
      <c r="DH190" s="140">
        <f>'Detailed Budget'!$AD$163</f>
        <v>4928560000</v>
      </c>
      <c r="DI190" s="616">
        <f t="shared" si="251"/>
        <v>5600000</v>
      </c>
    </row>
    <row r="191" spans="1:113" outlineLevel="1">
      <c r="A191" s="214" t="s">
        <v>552</v>
      </c>
      <c r="B191" s="215" t="s">
        <v>553</v>
      </c>
      <c r="C191" s="216" t="s">
        <v>234</v>
      </c>
      <c r="D191" s="229" t="s">
        <v>234</v>
      </c>
      <c r="E191" s="216"/>
      <c r="F191" s="216"/>
      <c r="G191" s="216"/>
      <c r="H191" s="216" t="s">
        <v>234</v>
      </c>
      <c r="I191" s="217" t="s">
        <v>234</v>
      </c>
      <c r="J191" s="217"/>
      <c r="K191" s="216" t="s">
        <v>234</v>
      </c>
      <c r="L191" s="216"/>
      <c r="M191" s="217"/>
      <c r="N191" s="216"/>
      <c r="O191" s="217"/>
      <c r="P191" s="216"/>
      <c r="Q191" s="217"/>
      <c r="R191" s="217" t="s">
        <v>234</v>
      </c>
      <c r="S191" s="217"/>
      <c r="T191" s="217"/>
      <c r="U191" s="218">
        <f t="shared" si="241"/>
        <v>6</v>
      </c>
      <c r="V191" s="867" t="s">
        <v>238</v>
      </c>
      <c r="W191" s="219">
        <v>261410</v>
      </c>
      <c r="X191" s="220">
        <v>3.39</v>
      </c>
      <c r="Y191" s="221">
        <f t="shared" si="221"/>
        <v>1.0339</v>
      </c>
      <c r="Z191" s="199">
        <v>19</v>
      </c>
      <c r="AA191" s="221">
        <f t="shared" si="222"/>
        <v>1.8840489025780363</v>
      </c>
      <c r="AB191" s="199">
        <f t="shared" si="253"/>
        <v>492509.22362292447</v>
      </c>
      <c r="AC191" s="231">
        <v>20</v>
      </c>
      <c r="AD191" s="199">
        <f t="shared" si="254"/>
        <v>98501.844724584895</v>
      </c>
      <c r="AE191" s="199">
        <f t="shared" si="225"/>
        <v>93576.752488355647</v>
      </c>
      <c r="AF191" s="199">
        <f t="shared" si="205"/>
        <v>93576.752488355647</v>
      </c>
      <c r="AG191" s="614">
        <f t="shared" si="204"/>
        <v>4.3265782254206823E-3</v>
      </c>
      <c r="AH191" s="199">
        <f t="shared" si="252"/>
        <v>24625.461181146224</v>
      </c>
      <c r="AI191" s="252">
        <f t="shared" si="187"/>
        <v>1.9076971664852916E-3</v>
      </c>
      <c r="AJ191" s="199">
        <f t="shared" si="188"/>
        <v>123127.30590573112</v>
      </c>
      <c r="AK191" s="199">
        <f t="shared" si="209"/>
        <v>19700.36894491698</v>
      </c>
      <c r="AL191" s="199">
        <f t="shared" si="210"/>
        <v>19700.36894491698</v>
      </c>
      <c r="AM191" s="199">
        <f t="shared" si="189"/>
        <v>39400.737889833959</v>
      </c>
      <c r="AN191" s="645">
        <f t="shared" si="190"/>
        <v>1.9076971664852916E-3</v>
      </c>
      <c r="AO191" s="199">
        <v>10</v>
      </c>
      <c r="AP191" s="250">
        <f t="shared" si="191"/>
        <v>1.1362345188046814E-3</v>
      </c>
      <c r="AQ191" s="199">
        <v>10</v>
      </c>
      <c r="AU191" s="199">
        <v>0</v>
      </c>
      <c r="AW191" s="250">
        <f t="shared" si="192"/>
        <v>0</v>
      </c>
      <c r="AX191" s="199">
        <v>1</v>
      </c>
      <c r="AY191" s="199">
        <f t="shared" si="242"/>
        <v>37253.177080065267</v>
      </c>
      <c r="AZ191" s="199">
        <f t="shared" si="193"/>
        <v>37253.177080065267</v>
      </c>
      <c r="BA191" s="252">
        <f t="shared" si="194"/>
        <v>2.928341465965848E-3</v>
      </c>
      <c r="BB191" s="284">
        <v>1</v>
      </c>
      <c r="BC191" s="199">
        <f t="shared" si="243"/>
        <v>70921.328201701122</v>
      </c>
      <c r="BD191" s="270">
        <f t="shared" si="207"/>
        <v>6.3869686846901343E-3</v>
      </c>
      <c r="BE191" s="199">
        <f t="shared" si="244"/>
        <v>303385.68175172148</v>
      </c>
      <c r="BF191" s="251">
        <f t="shared" si="208"/>
        <v>6.3869688266205904E-3</v>
      </c>
      <c r="BG191" s="204">
        <f t="shared" si="230"/>
        <v>374307.00995342259</v>
      </c>
      <c r="BH191" s="636">
        <v>0</v>
      </c>
      <c r="BI191" s="199">
        <f t="shared" si="195"/>
        <v>150707.82242861489</v>
      </c>
      <c r="BJ191" s="199">
        <f t="shared" si="196"/>
        <v>301415.64485722978</v>
      </c>
      <c r="BK191" s="199">
        <f t="shared" si="203"/>
        <v>452123.46728584467</v>
      </c>
      <c r="BL191" s="251">
        <f t="shared" si="197"/>
        <v>1.9076971664852916E-3</v>
      </c>
      <c r="BM191" s="199">
        <f t="shared" si="245"/>
        <v>34248.62151965766</v>
      </c>
      <c r="BN191" s="251">
        <f t="shared" si="198"/>
        <v>1.4789619885708842E-3</v>
      </c>
      <c r="BT191" s="199">
        <f>'Detailed Budget'!$AD$12</f>
        <v>194045122715</v>
      </c>
      <c r="BU191" s="199">
        <f>'Detailed Budget'!$AD$24</f>
        <v>194045122715</v>
      </c>
      <c r="BV191" s="596">
        <f t="shared" si="246"/>
        <v>0</v>
      </c>
      <c r="BW191" s="278"/>
      <c r="BX191" s="275">
        <f t="shared" si="215"/>
        <v>0</v>
      </c>
      <c r="BY191" s="275">
        <f t="shared" si="216"/>
        <v>0</v>
      </c>
      <c r="CA191" s="199">
        <f>'Detailed Budget'!$AD$96</f>
        <v>71050111380.677719</v>
      </c>
      <c r="CB191" s="275">
        <f t="shared" si="199"/>
        <v>208058987.31753057</v>
      </c>
      <c r="CE191" s="199">
        <f>'Detailed Budget'!$AD$175</f>
        <v>4330586076.5988197</v>
      </c>
      <c r="CF191" s="275">
        <f t="shared" si="247"/>
        <v>27659317.657591771</v>
      </c>
      <c r="CG191" s="199">
        <f>'Detailed Budget'!$AD$176</f>
        <v>20662817754.37001</v>
      </c>
      <c r="CH191" s="275">
        <f t="shared" si="248"/>
        <v>131972772.86730373</v>
      </c>
      <c r="CI191" s="275">
        <f t="shared" si="211"/>
        <v>159632090.52489549</v>
      </c>
      <c r="CJ191" s="275">
        <f>'Detailed Budget'!$AD$178</f>
        <v>46025131033.061455</v>
      </c>
      <c r="CK191" s="275">
        <f t="shared" si="249"/>
        <v>199131329.74977741</v>
      </c>
      <c r="CL191" s="275">
        <f t="shared" si="206"/>
        <v>358763420.27467287</v>
      </c>
      <c r="CM191" s="278">
        <f>'Detailed Budget'!$AD$189</f>
        <v>77498869683.252869</v>
      </c>
      <c r="CN191" s="275">
        <f t="shared" si="200"/>
        <v>0</v>
      </c>
      <c r="CO191" s="140">
        <f>'Detailed Budget'!$AD$191</f>
        <v>2684962805.4134097</v>
      </c>
      <c r="CP191" s="616">
        <f t="shared" si="201"/>
        <v>0</v>
      </c>
      <c r="CQ191" s="616">
        <f t="shared" si="202"/>
        <v>0</v>
      </c>
      <c r="CR191" s="199">
        <f>'Detailed Budget'!$AD$195</f>
        <v>18734176418</v>
      </c>
      <c r="CS191" s="275">
        <f t="shared" si="250"/>
        <v>27707134.809403043</v>
      </c>
      <c r="CW191" s="278"/>
      <c r="DH191" s="140">
        <f>'Detailed Budget'!$AD$163</f>
        <v>4928560000</v>
      </c>
      <c r="DI191" s="616">
        <f t="shared" si="251"/>
        <v>5600000</v>
      </c>
    </row>
    <row r="192" spans="1:113" outlineLevel="1">
      <c r="A192" s="214" t="s">
        <v>554</v>
      </c>
      <c r="B192" s="215" t="s">
        <v>555</v>
      </c>
      <c r="C192" s="216" t="s">
        <v>234</v>
      </c>
      <c r="D192" s="229" t="s">
        <v>234</v>
      </c>
      <c r="E192" s="216"/>
      <c r="F192" s="216"/>
      <c r="G192" s="216"/>
      <c r="H192" s="216" t="s">
        <v>234</v>
      </c>
      <c r="I192" s="217" t="s">
        <v>234</v>
      </c>
      <c r="J192" s="217"/>
      <c r="K192" s="216" t="s">
        <v>234</v>
      </c>
      <c r="L192" s="216"/>
      <c r="M192" s="217"/>
      <c r="N192" s="216"/>
      <c r="O192" s="217"/>
      <c r="P192" s="216"/>
      <c r="Q192" s="217"/>
      <c r="R192" s="217" t="s">
        <v>234</v>
      </c>
      <c r="S192" s="217"/>
      <c r="T192" s="217"/>
      <c r="U192" s="218">
        <f t="shared" si="241"/>
        <v>6</v>
      </c>
      <c r="V192" s="867" t="s">
        <v>238</v>
      </c>
      <c r="W192" s="219">
        <v>385997</v>
      </c>
      <c r="X192" s="220">
        <v>3.39</v>
      </c>
      <c r="Y192" s="221">
        <f t="shared" si="221"/>
        <v>1.0339</v>
      </c>
      <c r="Z192" s="199">
        <v>19</v>
      </c>
      <c r="AA192" s="221">
        <f t="shared" si="222"/>
        <v>1.8840489025780363</v>
      </c>
      <c r="AB192" s="199">
        <f t="shared" si="253"/>
        <v>727237.22424841428</v>
      </c>
      <c r="AC192" s="231">
        <v>20</v>
      </c>
      <c r="AD192" s="199">
        <f t="shared" si="254"/>
        <v>145447.44484968286</v>
      </c>
      <c r="AE192" s="199">
        <f t="shared" si="225"/>
        <v>138175.0726071987</v>
      </c>
      <c r="AF192" s="199">
        <f t="shared" si="205"/>
        <v>138175.0726071987</v>
      </c>
      <c r="AG192" s="614">
        <f t="shared" si="204"/>
        <v>6.3886087574220847E-3</v>
      </c>
      <c r="AH192" s="199">
        <f t="shared" si="252"/>
        <v>36361.861212420714</v>
      </c>
      <c r="AI192" s="252">
        <f t="shared" si="187"/>
        <v>2.8168982945251638E-3</v>
      </c>
      <c r="AJ192" s="199">
        <f t="shared" si="188"/>
        <v>181809.30606210357</v>
      </c>
      <c r="AK192" s="199">
        <f t="shared" si="209"/>
        <v>29089.48896993657</v>
      </c>
      <c r="AL192" s="199">
        <f t="shared" si="210"/>
        <v>29089.48896993657</v>
      </c>
      <c r="AM192" s="199">
        <f t="shared" si="189"/>
        <v>58178.977939873141</v>
      </c>
      <c r="AN192" s="645">
        <f t="shared" si="190"/>
        <v>2.8168982945251638E-3</v>
      </c>
      <c r="AO192" s="199">
        <v>11</v>
      </c>
      <c r="AP192" s="250">
        <f t="shared" si="191"/>
        <v>1.2498579706851495E-3</v>
      </c>
      <c r="AQ192" s="199">
        <v>11</v>
      </c>
      <c r="AU192" s="199">
        <v>0</v>
      </c>
      <c r="AW192" s="250">
        <f t="shared" si="192"/>
        <v>0</v>
      </c>
      <c r="AX192" s="199">
        <v>1</v>
      </c>
      <c r="AY192" s="199">
        <f t="shared" si="242"/>
        <v>55007.897912757559</v>
      </c>
      <c r="AZ192" s="199">
        <f t="shared" si="193"/>
        <v>55007.897912757559</v>
      </c>
      <c r="BA192" s="252">
        <f t="shared" si="194"/>
        <v>4.3239777393306277E-3</v>
      </c>
      <c r="BB192" s="284">
        <v>1</v>
      </c>
      <c r="BC192" s="199">
        <f t="shared" si="243"/>
        <v>104722.16029177165</v>
      </c>
      <c r="BD192" s="270">
        <f t="shared" si="207"/>
        <v>9.4309733804534539E-3</v>
      </c>
      <c r="BE192" s="199">
        <f t="shared" si="244"/>
        <v>447978.13013702322</v>
      </c>
      <c r="BF192" s="251">
        <f t="shared" si="208"/>
        <v>9.4309735900274215E-3</v>
      </c>
      <c r="BG192" s="204">
        <f t="shared" si="230"/>
        <v>552700.29042879492</v>
      </c>
      <c r="BH192" s="636">
        <v>0</v>
      </c>
      <c r="BI192" s="199">
        <f t="shared" si="195"/>
        <v>222534.59062001476</v>
      </c>
      <c r="BJ192" s="199">
        <f t="shared" si="196"/>
        <v>445069.18124002952</v>
      </c>
      <c r="BK192" s="199">
        <f t="shared" si="203"/>
        <v>667603.77186004422</v>
      </c>
      <c r="BL192" s="251">
        <f t="shared" si="197"/>
        <v>2.8168982945251633E-3</v>
      </c>
      <c r="BM192" s="199">
        <f t="shared" si="245"/>
        <v>50571.382734873565</v>
      </c>
      <c r="BN192" s="251">
        <f t="shared" si="198"/>
        <v>2.1838295807444078E-3</v>
      </c>
      <c r="BT192" s="199">
        <f>'Detailed Budget'!$AD$12</f>
        <v>194045122715</v>
      </c>
      <c r="BU192" s="199">
        <f>'Detailed Budget'!$AD$24</f>
        <v>194045122715</v>
      </c>
      <c r="BV192" s="596">
        <f t="shared" si="246"/>
        <v>0</v>
      </c>
      <c r="BW192" s="278"/>
      <c r="BX192" s="275">
        <f t="shared" si="215"/>
        <v>0</v>
      </c>
      <c r="BY192" s="275">
        <f t="shared" si="216"/>
        <v>0</v>
      </c>
      <c r="CA192" s="199">
        <f>'Detailed Budget'!$AD$96</f>
        <v>71050111380.677719</v>
      </c>
      <c r="CB192" s="275">
        <f t="shared" si="199"/>
        <v>307219099.98701215</v>
      </c>
      <c r="CE192" s="199">
        <f>'Detailed Budget'!$AD$175</f>
        <v>4330586076.5988197</v>
      </c>
      <c r="CF192" s="275">
        <f t="shared" si="247"/>
        <v>40841642.010165833</v>
      </c>
      <c r="CG192" s="199">
        <f>'Detailed Budget'!$AD$176</f>
        <v>20662817754.37001</v>
      </c>
      <c r="CH192" s="275">
        <f t="shared" si="248"/>
        <v>194870488.53701329</v>
      </c>
      <c r="CI192" s="275">
        <f t="shared" si="211"/>
        <v>235712130.54717913</v>
      </c>
      <c r="CJ192" s="275">
        <f>'Detailed Budget'!$AD$178</f>
        <v>46025131033.061455</v>
      </c>
      <c r="CK192" s="275">
        <f t="shared" si="249"/>
        <v>294036555.17931539</v>
      </c>
      <c r="CL192" s="275">
        <f t="shared" si="206"/>
        <v>529748685.72649455</v>
      </c>
      <c r="CM192" s="278">
        <f>'Detailed Budget'!$AD$189</f>
        <v>77498869683.252869</v>
      </c>
      <c r="CN192" s="275">
        <f t="shared" si="200"/>
        <v>0</v>
      </c>
      <c r="CO192" s="140">
        <f>'Detailed Budget'!$AD$191</f>
        <v>2684962805.4134097</v>
      </c>
      <c r="CP192" s="616">
        <f t="shared" si="201"/>
        <v>0</v>
      </c>
      <c r="CQ192" s="616">
        <f t="shared" si="202"/>
        <v>0</v>
      </c>
      <c r="CR192" s="199">
        <f>'Detailed Budget'!$AD$195</f>
        <v>18734176418</v>
      </c>
      <c r="CS192" s="275">
        <f t="shared" si="250"/>
        <v>40912248.632512711</v>
      </c>
      <c r="CW192" s="278"/>
      <c r="DH192" s="140">
        <f>'Detailed Budget'!$AD$163</f>
        <v>4928560000</v>
      </c>
      <c r="DI192" s="616">
        <f t="shared" si="251"/>
        <v>6160000</v>
      </c>
    </row>
    <row r="193" spans="1:113" outlineLevel="1">
      <c r="A193" s="214" t="s">
        <v>556</v>
      </c>
      <c r="B193" s="215" t="s">
        <v>557</v>
      </c>
      <c r="C193" s="216" t="s">
        <v>234</v>
      </c>
      <c r="D193" s="229" t="s">
        <v>234</v>
      </c>
      <c r="E193" s="216"/>
      <c r="F193" s="216"/>
      <c r="G193" s="216"/>
      <c r="H193" s="216" t="s">
        <v>234</v>
      </c>
      <c r="I193" s="217" t="s">
        <v>234</v>
      </c>
      <c r="J193" s="217"/>
      <c r="K193" s="216" t="s">
        <v>234</v>
      </c>
      <c r="L193" s="216"/>
      <c r="M193" s="217"/>
      <c r="N193" s="216"/>
      <c r="O193" s="217"/>
      <c r="P193" s="216"/>
      <c r="Q193" s="217"/>
      <c r="R193" s="217" t="s">
        <v>234</v>
      </c>
      <c r="S193" s="217"/>
      <c r="T193" s="217"/>
      <c r="U193" s="218">
        <f t="shared" si="241"/>
        <v>6</v>
      </c>
      <c r="V193" s="867" t="s">
        <v>238</v>
      </c>
      <c r="W193" s="219">
        <v>233999</v>
      </c>
      <c r="X193" s="220">
        <v>3.39</v>
      </c>
      <c r="Y193" s="221">
        <f t="shared" si="221"/>
        <v>1.0339</v>
      </c>
      <c r="Z193" s="199">
        <v>19</v>
      </c>
      <c r="AA193" s="221">
        <f t="shared" si="222"/>
        <v>1.8840489025780363</v>
      </c>
      <c r="AB193" s="199">
        <f t="shared" si="253"/>
        <v>440865.55915435788</v>
      </c>
      <c r="AC193" s="231">
        <v>20</v>
      </c>
      <c r="AD193" s="199">
        <f t="shared" si="254"/>
        <v>88173.111830871567</v>
      </c>
      <c r="AE193" s="199">
        <f t="shared" si="225"/>
        <v>83764.456239327978</v>
      </c>
      <c r="AF193" s="199">
        <f t="shared" si="205"/>
        <v>83764.456239327978</v>
      </c>
      <c r="AG193" s="614">
        <f t="shared" si="204"/>
        <v>3.8729007236533186E-3</v>
      </c>
      <c r="AH193" s="199">
        <f t="shared" si="252"/>
        <v>22043.277957717895</v>
      </c>
      <c r="AI193" s="252">
        <f t="shared" si="187"/>
        <v>1.7076593445560296E-3</v>
      </c>
      <c r="AJ193" s="199">
        <f t="shared" si="188"/>
        <v>110216.38978858947</v>
      </c>
      <c r="AK193" s="199">
        <f t="shared" si="209"/>
        <v>17634.622366174317</v>
      </c>
      <c r="AL193" s="199">
        <f t="shared" si="210"/>
        <v>17634.622366174317</v>
      </c>
      <c r="AM193" s="199">
        <f t="shared" si="189"/>
        <v>35269.244732348634</v>
      </c>
      <c r="AN193" s="645">
        <f t="shared" si="190"/>
        <v>1.7076593445560298E-3</v>
      </c>
      <c r="AO193" s="199">
        <v>11</v>
      </c>
      <c r="AP193" s="250">
        <f t="shared" si="191"/>
        <v>1.2498579706851495E-3</v>
      </c>
      <c r="AQ193" s="199">
        <v>11</v>
      </c>
      <c r="AU193" s="199">
        <v>0</v>
      </c>
      <c r="AW193" s="250">
        <f t="shared" si="192"/>
        <v>0</v>
      </c>
      <c r="AX193" s="199">
        <v>1</v>
      </c>
      <c r="AY193" s="199">
        <f t="shared" si="242"/>
        <v>33346.87343084882</v>
      </c>
      <c r="AZ193" s="199">
        <f t="shared" si="193"/>
        <v>33346.87343084882</v>
      </c>
      <c r="BA193" s="252">
        <f t="shared" si="194"/>
        <v>2.6212806499160027E-3</v>
      </c>
      <c r="BB193" s="284">
        <v>1</v>
      </c>
      <c r="BC193" s="199">
        <f t="shared" si="243"/>
        <v>63484.640518227527</v>
      </c>
      <c r="BD193" s="270">
        <f t="shared" si="207"/>
        <v>5.7172422066822477E-3</v>
      </c>
      <c r="BE193" s="199">
        <f t="shared" si="244"/>
        <v>271573.18443908443</v>
      </c>
      <c r="BF193" s="251">
        <f t="shared" si="208"/>
        <v>5.7172423337301225E-3</v>
      </c>
      <c r="BG193" s="204">
        <f t="shared" si="230"/>
        <v>335057.82495731197</v>
      </c>
      <c r="BH193" s="636">
        <v>0</v>
      </c>
      <c r="BI193" s="199">
        <f t="shared" si="195"/>
        <v>134904.86110123352</v>
      </c>
      <c r="BJ193" s="199">
        <f t="shared" si="196"/>
        <v>269809.72220246703</v>
      </c>
      <c r="BK193" s="199">
        <f t="shared" si="203"/>
        <v>404714.58330370055</v>
      </c>
      <c r="BL193" s="251">
        <f t="shared" si="197"/>
        <v>1.7076593445560296E-3</v>
      </c>
      <c r="BM193" s="199">
        <f t="shared" si="245"/>
        <v>30657.370364478684</v>
      </c>
      <c r="BN193" s="251">
        <f t="shared" si="198"/>
        <v>1.32388059509429E-3</v>
      </c>
      <c r="BT193" s="199">
        <f>'Detailed Budget'!$AD$12</f>
        <v>194045122715</v>
      </c>
      <c r="BU193" s="199">
        <f>'Detailed Budget'!$AD$24</f>
        <v>194045122715</v>
      </c>
      <c r="BV193" s="596">
        <f t="shared" si="246"/>
        <v>0</v>
      </c>
      <c r="BW193" s="278"/>
      <c r="BX193" s="275">
        <f t="shared" si="215"/>
        <v>0</v>
      </c>
      <c r="BY193" s="275">
        <f t="shared" si="216"/>
        <v>0</v>
      </c>
      <c r="CA193" s="199">
        <f>'Detailed Budget'!$AD$96</f>
        <v>71050111380.677719</v>
      </c>
      <c r="CB193" s="275">
        <f t="shared" si="199"/>
        <v>186242282.13654727</v>
      </c>
      <c r="CE193" s="199">
        <f>'Detailed Budget'!$AD$175</f>
        <v>4330586076.5988197</v>
      </c>
      <c r="CF193" s="275">
        <f t="shared" si="247"/>
        <v>24759009.496801253</v>
      </c>
      <c r="CG193" s="199">
        <f>'Detailed Budget'!$AD$176</f>
        <v>20662817754.37001</v>
      </c>
      <c r="CH193" s="275">
        <f t="shared" si="248"/>
        <v>118134336.39943461</v>
      </c>
      <c r="CI193" s="275">
        <f t="shared" si="211"/>
        <v>142893345.89623585</v>
      </c>
      <c r="CJ193" s="275">
        <f>'Detailed Budget'!$AD$178</f>
        <v>46025131033.061455</v>
      </c>
      <c r="CK193" s="275">
        <f t="shared" si="249"/>
        <v>178250763.28418252</v>
      </c>
      <c r="CL193" s="275">
        <f t="shared" si="206"/>
        <v>321144109.18041837</v>
      </c>
      <c r="CM193" s="278">
        <f>'Detailed Budget'!$AD$189</f>
        <v>77498869683.252869</v>
      </c>
      <c r="CN193" s="275">
        <f t="shared" si="200"/>
        <v>0</v>
      </c>
      <c r="CO193" s="140">
        <f>'Detailed Budget'!$AD$191</f>
        <v>2684962805.4134097</v>
      </c>
      <c r="CP193" s="616">
        <f t="shared" si="201"/>
        <v>0</v>
      </c>
      <c r="CQ193" s="616">
        <f t="shared" si="202"/>
        <v>0</v>
      </c>
      <c r="CR193" s="199">
        <f>'Detailed Budget'!$AD$195</f>
        <v>18734176418</v>
      </c>
      <c r="CS193" s="275">
        <f t="shared" si="250"/>
        <v>24801812.624863252</v>
      </c>
      <c r="CW193" s="278"/>
      <c r="DH193" s="140">
        <f>'Detailed Budget'!$AD$163</f>
        <v>4928560000</v>
      </c>
      <c r="DI193" s="616">
        <f t="shared" si="251"/>
        <v>6160000</v>
      </c>
    </row>
    <row r="194" spans="1:113" outlineLevel="1">
      <c r="A194" s="214" t="s">
        <v>558</v>
      </c>
      <c r="B194" s="215" t="s">
        <v>559</v>
      </c>
      <c r="C194" s="216" t="s">
        <v>234</v>
      </c>
      <c r="D194" s="229" t="s">
        <v>234</v>
      </c>
      <c r="E194" s="216"/>
      <c r="F194" s="216"/>
      <c r="G194" s="216"/>
      <c r="H194" s="216" t="s">
        <v>234</v>
      </c>
      <c r="I194" s="217" t="s">
        <v>234</v>
      </c>
      <c r="J194" s="217"/>
      <c r="K194" s="216" t="s">
        <v>234</v>
      </c>
      <c r="L194" s="216"/>
      <c r="M194" s="217"/>
      <c r="N194" s="216"/>
      <c r="O194" s="217"/>
      <c r="P194" s="216"/>
      <c r="Q194" s="217"/>
      <c r="R194" s="217" t="s">
        <v>234</v>
      </c>
      <c r="S194" s="217"/>
      <c r="T194" s="217"/>
      <c r="U194" s="218">
        <f t="shared" si="241"/>
        <v>6</v>
      </c>
      <c r="V194" s="867" t="s">
        <v>238</v>
      </c>
      <c r="W194" s="219">
        <v>221310</v>
      </c>
      <c r="X194" s="220">
        <v>3.39</v>
      </c>
      <c r="Y194" s="221">
        <f t="shared" si="221"/>
        <v>1.0339</v>
      </c>
      <c r="Z194" s="199">
        <v>19</v>
      </c>
      <c r="AA194" s="221">
        <f t="shared" si="222"/>
        <v>1.8840489025780363</v>
      </c>
      <c r="AB194" s="199">
        <f t="shared" si="253"/>
        <v>416958.86262954521</v>
      </c>
      <c r="AC194" s="231">
        <v>20</v>
      </c>
      <c r="AD194" s="199">
        <f t="shared" si="254"/>
        <v>83391.772525909037</v>
      </c>
      <c r="AE194" s="199">
        <f t="shared" si="225"/>
        <v>79222.183899613578</v>
      </c>
      <c r="AF194" s="199">
        <f t="shared" si="205"/>
        <v>79222.183899613578</v>
      </c>
      <c r="AG194" s="614">
        <f t="shared" si="204"/>
        <v>3.6628859916141353E-3</v>
      </c>
      <c r="AH194" s="199">
        <f t="shared" si="252"/>
        <v>20847.943131477263</v>
      </c>
      <c r="AI194" s="252">
        <f t="shared" si="187"/>
        <v>1.6150585666763319E-3</v>
      </c>
      <c r="AJ194" s="199">
        <f t="shared" si="188"/>
        <v>104239.7156573863</v>
      </c>
      <c r="AK194" s="199">
        <f t="shared" si="209"/>
        <v>16678.354505181807</v>
      </c>
      <c r="AL194" s="199">
        <f t="shared" si="210"/>
        <v>16678.354505181807</v>
      </c>
      <c r="AM194" s="199">
        <f t="shared" si="189"/>
        <v>33356.709010363615</v>
      </c>
      <c r="AN194" s="645">
        <f t="shared" si="190"/>
        <v>1.6150585666763317E-3</v>
      </c>
      <c r="AO194" s="199">
        <v>11</v>
      </c>
      <c r="AP194" s="250">
        <f t="shared" si="191"/>
        <v>1.2498579706851495E-3</v>
      </c>
      <c r="AQ194" s="199">
        <v>11</v>
      </c>
      <c r="AU194" s="199">
        <v>0</v>
      </c>
      <c r="AW194" s="250">
        <f t="shared" si="192"/>
        <v>0</v>
      </c>
      <c r="AX194" s="199">
        <v>1</v>
      </c>
      <c r="AY194" s="199">
        <f t="shared" si="242"/>
        <v>31538.5816135161</v>
      </c>
      <c r="AZ194" s="199">
        <f t="shared" si="193"/>
        <v>31538.5816135161</v>
      </c>
      <c r="BA194" s="252">
        <f t="shared" si="194"/>
        <v>2.4791371785046548E-3</v>
      </c>
      <c r="BB194" s="284">
        <v>1</v>
      </c>
      <c r="BC194" s="199">
        <f t="shared" si="243"/>
        <v>60042.076218654503</v>
      </c>
      <c r="BD194" s="270">
        <f t="shared" si="207"/>
        <v>5.4072148716911113E-3</v>
      </c>
      <c r="BE194" s="199">
        <f t="shared" si="244"/>
        <v>256846.65937979985</v>
      </c>
      <c r="BF194" s="251">
        <f t="shared" si="208"/>
        <v>5.407214991849596E-3</v>
      </c>
      <c r="BG194" s="204">
        <f t="shared" si="230"/>
        <v>316888.73559845437</v>
      </c>
      <c r="BH194" s="636">
        <v>0</v>
      </c>
      <c r="BI194" s="199">
        <f t="shared" si="195"/>
        <v>127589.41196464082</v>
      </c>
      <c r="BJ194" s="199">
        <f t="shared" si="196"/>
        <v>255178.82392928164</v>
      </c>
      <c r="BK194" s="199">
        <f t="shared" si="203"/>
        <v>382768.23589392245</v>
      </c>
      <c r="BL194" s="251">
        <f t="shared" si="197"/>
        <v>1.6150585666763315E-3</v>
      </c>
      <c r="BM194" s="199">
        <f t="shared" si="245"/>
        <v>28994.921496941348</v>
      </c>
      <c r="BN194" s="251">
        <f t="shared" si="198"/>
        <v>1.2520908828683771E-3</v>
      </c>
      <c r="BT194" s="199">
        <f>'Detailed Budget'!$AD$12</f>
        <v>194045122715</v>
      </c>
      <c r="BU194" s="199">
        <f>'Detailed Budget'!$AD$24</f>
        <v>194045122715</v>
      </c>
      <c r="BV194" s="596">
        <f t="shared" si="246"/>
        <v>0</v>
      </c>
      <c r="BW194" s="278"/>
      <c r="BX194" s="275">
        <f t="shared" si="215"/>
        <v>0</v>
      </c>
      <c r="BY194" s="275">
        <f t="shared" si="216"/>
        <v>0</v>
      </c>
      <c r="CA194" s="199">
        <f>'Detailed Budget'!$AD$96</f>
        <v>71050111380.677719</v>
      </c>
      <c r="CB194" s="275">
        <f t="shared" si="199"/>
        <v>176142972.66073483</v>
      </c>
      <c r="CE194" s="199">
        <f>'Detailed Budget'!$AD$175</f>
        <v>4330586076.5988197</v>
      </c>
      <c r="CF194" s="275">
        <f t="shared" si="247"/>
        <v>23416409.436523601</v>
      </c>
      <c r="CG194" s="199">
        <f>'Detailed Budget'!$AD$176</f>
        <v>20662817754.37001</v>
      </c>
      <c r="CH194" s="275">
        <f t="shared" si="248"/>
        <v>111728297.93528552</v>
      </c>
      <c r="CI194" s="275">
        <f t="shared" si="211"/>
        <v>135144707.37180912</v>
      </c>
      <c r="CJ194" s="275">
        <f>'Detailed Budget'!$AD$178</f>
        <v>46025131033.061455</v>
      </c>
      <c r="CK194" s="275">
        <f t="shared" si="249"/>
        <v>168584807.7232058</v>
      </c>
      <c r="CL194" s="275">
        <f t="shared" si="206"/>
        <v>303729515.09501493</v>
      </c>
      <c r="CM194" s="278">
        <f>'Detailed Budget'!$AD$189</f>
        <v>77498869683.252869</v>
      </c>
      <c r="CN194" s="275">
        <f t="shared" si="200"/>
        <v>0</v>
      </c>
      <c r="CO194" s="140">
        <f>'Detailed Budget'!$AD$191</f>
        <v>2684962805.4134097</v>
      </c>
      <c r="CP194" s="616">
        <f t="shared" si="201"/>
        <v>0</v>
      </c>
      <c r="CQ194" s="616">
        <f t="shared" si="202"/>
        <v>0</v>
      </c>
      <c r="CR194" s="199">
        <f>'Detailed Budget'!$AD$195</f>
        <v>18734176418</v>
      </c>
      <c r="CS194" s="275">
        <f t="shared" si="250"/>
        <v>23456891.491025552</v>
      </c>
      <c r="CW194" s="278"/>
      <c r="DH194" s="140">
        <f>'Detailed Budget'!$AD$163</f>
        <v>4928560000</v>
      </c>
      <c r="DI194" s="616">
        <f t="shared" si="251"/>
        <v>6160000</v>
      </c>
    </row>
    <row r="195" spans="1:113" outlineLevel="1">
      <c r="A195" s="214" t="s">
        <v>560</v>
      </c>
      <c r="B195" s="215" t="s">
        <v>561</v>
      </c>
      <c r="C195" s="216" t="s">
        <v>234</v>
      </c>
      <c r="D195" s="229" t="s">
        <v>234</v>
      </c>
      <c r="E195" s="216"/>
      <c r="F195" s="216"/>
      <c r="G195" s="216"/>
      <c r="H195" s="216" t="s">
        <v>234</v>
      </c>
      <c r="I195" s="217" t="s">
        <v>234</v>
      </c>
      <c r="J195" s="217"/>
      <c r="K195" s="216" t="s">
        <v>234</v>
      </c>
      <c r="L195" s="216"/>
      <c r="M195" s="217"/>
      <c r="N195" s="216"/>
      <c r="O195" s="217"/>
      <c r="P195" s="216"/>
      <c r="Q195" s="217"/>
      <c r="R195" s="217" t="s">
        <v>234</v>
      </c>
      <c r="S195" s="217"/>
      <c r="T195" s="217"/>
      <c r="U195" s="218">
        <f t="shared" si="241"/>
        <v>6</v>
      </c>
      <c r="V195" s="867" t="s">
        <v>238</v>
      </c>
      <c r="W195" s="219">
        <v>346000</v>
      </c>
      <c r="X195" s="220">
        <v>3.39</v>
      </c>
      <c r="Y195" s="221">
        <f t="shared" si="221"/>
        <v>1.0339</v>
      </c>
      <c r="Z195" s="199">
        <v>19</v>
      </c>
      <c r="AA195" s="221">
        <f t="shared" si="222"/>
        <v>1.8840489025780363</v>
      </c>
      <c r="AB195" s="199">
        <f t="shared" si="253"/>
        <v>651880.92029200052</v>
      </c>
      <c r="AC195" s="231">
        <v>20</v>
      </c>
      <c r="AD195" s="199">
        <f t="shared" si="254"/>
        <v>130376.18405840009</v>
      </c>
      <c r="AE195" s="199">
        <f t="shared" si="225"/>
        <v>123857.37485548008</v>
      </c>
      <c r="AF195" s="199">
        <f t="shared" si="205"/>
        <v>123857.37485548008</v>
      </c>
      <c r="AG195" s="614">
        <f t="shared" si="204"/>
        <v>5.7266212692534939E-3</v>
      </c>
      <c r="AH195" s="199">
        <f t="shared" si="252"/>
        <v>32594.046014600026</v>
      </c>
      <c r="AI195" s="252">
        <f t="shared" si="187"/>
        <v>2.5250113599476335E-3</v>
      </c>
      <c r="AJ195" s="199">
        <f t="shared" si="188"/>
        <v>162970.23007300013</v>
      </c>
      <c r="AK195" s="199">
        <f t="shared" si="209"/>
        <v>26075.236811680021</v>
      </c>
      <c r="AL195" s="199">
        <f t="shared" si="210"/>
        <v>26075.236811680021</v>
      </c>
      <c r="AM195" s="199">
        <f t="shared" si="189"/>
        <v>52150.473623360042</v>
      </c>
      <c r="AN195" s="645">
        <f t="shared" si="190"/>
        <v>2.5250113599476335E-3</v>
      </c>
      <c r="AO195" s="199">
        <v>11</v>
      </c>
      <c r="AP195" s="250">
        <f t="shared" si="191"/>
        <v>1.2498579706851495E-3</v>
      </c>
      <c r="AQ195" s="199">
        <v>11</v>
      </c>
      <c r="AU195" s="199">
        <v>0</v>
      </c>
      <c r="AW195" s="250">
        <f t="shared" si="192"/>
        <v>0</v>
      </c>
      <c r="AX195" s="199">
        <v>1</v>
      </c>
      <c r="AY195" s="199">
        <f t="shared" si="242"/>
        <v>49307.980833566355</v>
      </c>
      <c r="AZ195" s="199">
        <f t="shared" si="193"/>
        <v>49307.980833566355</v>
      </c>
      <c r="BA195" s="252">
        <f t="shared" si="194"/>
        <v>3.8759272683683995E-3</v>
      </c>
      <c r="BB195" s="284">
        <v>1</v>
      </c>
      <c r="BC195" s="199">
        <f t="shared" si="243"/>
        <v>93870.852522048066</v>
      </c>
      <c r="BD195" s="270">
        <f t="shared" si="207"/>
        <v>8.4537361420863252E-3</v>
      </c>
      <c r="BE195" s="199">
        <f t="shared" si="244"/>
        <v>401558.64689987228</v>
      </c>
      <c r="BF195" s="251">
        <f t="shared" si="208"/>
        <v>8.4537363299442402E-3</v>
      </c>
      <c r="BG195" s="204">
        <f t="shared" si="230"/>
        <v>495429.49942192034</v>
      </c>
      <c r="BH195" s="636">
        <v>0</v>
      </c>
      <c r="BI195" s="199">
        <f t="shared" si="195"/>
        <v>199475.56160935212</v>
      </c>
      <c r="BJ195" s="199">
        <f t="shared" si="196"/>
        <v>398951.12321870425</v>
      </c>
      <c r="BK195" s="199">
        <f t="shared" si="203"/>
        <v>598426.68482805637</v>
      </c>
      <c r="BL195" s="251">
        <f t="shared" si="197"/>
        <v>2.5250113599476331E-3</v>
      </c>
      <c r="BM195" s="199">
        <f t="shared" si="245"/>
        <v>45331.17725336273</v>
      </c>
      <c r="BN195" s="251">
        <f t="shared" si="198"/>
        <v>1.9575412112984433E-3</v>
      </c>
      <c r="BT195" s="199">
        <f>'Detailed Budget'!$AD$12</f>
        <v>194045122715</v>
      </c>
      <c r="BU195" s="199">
        <f>'Detailed Budget'!$AD$24</f>
        <v>194045122715</v>
      </c>
      <c r="BV195" s="596">
        <f t="shared" si="246"/>
        <v>0</v>
      </c>
      <c r="BW195" s="278"/>
      <c r="BX195" s="275">
        <f t="shared" si="215"/>
        <v>0</v>
      </c>
      <c r="BY195" s="275">
        <f t="shared" si="216"/>
        <v>0</v>
      </c>
      <c r="CA195" s="199">
        <f>'Detailed Budget'!$AD$96</f>
        <v>71050111380.677719</v>
      </c>
      <c r="CB195" s="275">
        <f t="shared" si="199"/>
        <v>275385064.12098074</v>
      </c>
      <c r="CE195" s="199">
        <f>'Detailed Budget'!$AD$175</f>
        <v>4330586076.5988197</v>
      </c>
      <c r="CF195" s="275">
        <f t="shared" si="247"/>
        <v>36609632.032159261</v>
      </c>
      <c r="CG195" s="199">
        <f>'Detailed Budget'!$AD$176</f>
        <v>20662817754.37001</v>
      </c>
      <c r="CH195" s="275">
        <f t="shared" si="248"/>
        <v>174678013.12913463</v>
      </c>
      <c r="CI195" s="275">
        <f t="shared" si="211"/>
        <v>211287645.16129389</v>
      </c>
      <c r="CJ195" s="275">
        <f>'Detailed Budget'!$AD$178</f>
        <v>46025131033.061455</v>
      </c>
      <c r="CK195" s="275">
        <f t="shared" si="249"/>
        <v>263568494.29410875</v>
      </c>
      <c r="CL195" s="275">
        <f t="shared" si="206"/>
        <v>474856139.45540261</v>
      </c>
      <c r="CM195" s="278">
        <f>'Detailed Budget'!$AD$189</f>
        <v>77498869683.252869</v>
      </c>
      <c r="CN195" s="275">
        <f t="shared" si="200"/>
        <v>0</v>
      </c>
      <c r="CO195" s="140">
        <f>'Detailed Budget'!$AD$191</f>
        <v>2684962805.4134097</v>
      </c>
      <c r="CP195" s="616">
        <f t="shared" si="201"/>
        <v>0</v>
      </c>
      <c r="CQ195" s="616">
        <f t="shared" si="202"/>
        <v>0</v>
      </c>
      <c r="CR195" s="199">
        <f>'Detailed Budget'!$AD$195</f>
        <v>18734176418</v>
      </c>
      <c r="CS195" s="275">
        <f t="shared" si="250"/>
        <v>36672922.397970453</v>
      </c>
      <c r="CW195" s="278"/>
      <c r="DH195" s="140">
        <f>'Detailed Budget'!$AD$163</f>
        <v>4928560000</v>
      </c>
      <c r="DI195" s="616">
        <f t="shared" si="251"/>
        <v>6160000</v>
      </c>
    </row>
    <row r="196" spans="1:113" outlineLevel="1">
      <c r="A196" s="214" t="s">
        <v>562</v>
      </c>
      <c r="B196" s="215" t="s">
        <v>563</v>
      </c>
      <c r="C196" s="216" t="s">
        <v>234</v>
      </c>
      <c r="D196" s="229" t="s">
        <v>234</v>
      </c>
      <c r="E196" s="216"/>
      <c r="F196" s="216"/>
      <c r="G196" s="216"/>
      <c r="H196" s="216" t="s">
        <v>234</v>
      </c>
      <c r="I196" s="217" t="s">
        <v>234</v>
      </c>
      <c r="J196" s="217"/>
      <c r="K196" s="216" t="s">
        <v>234</v>
      </c>
      <c r="L196" s="216"/>
      <c r="M196" s="217"/>
      <c r="N196" s="216"/>
      <c r="O196" s="217"/>
      <c r="P196" s="216"/>
      <c r="Q196" s="217"/>
      <c r="R196" s="217" t="s">
        <v>234</v>
      </c>
      <c r="S196" s="217" t="s">
        <v>234</v>
      </c>
      <c r="T196" s="217"/>
      <c r="U196" s="218">
        <f t="shared" si="241"/>
        <v>7</v>
      </c>
      <c r="V196" s="867" t="s">
        <v>418</v>
      </c>
      <c r="W196" s="219">
        <v>114983</v>
      </c>
      <c r="X196" s="220">
        <v>3.39</v>
      </c>
      <c r="Y196" s="221">
        <f t="shared" si="221"/>
        <v>1.0339</v>
      </c>
      <c r="Z196" s="199">
        <v>19</v>
      </c>
      <c r="AA196" s="221">
        <f t="shared" si="222"/>
        <v>1.8840489025780363</v>
      </c>
      <c r="AB196" s="199">
        <f t="shared" si="253"/>
        <v>216633.59496513035</v>
      </c>
      <c r="AC196" s="231">
        <v>20</v>
      </c>
      <c r="AD196" s="199">
        <f t="shared" si="254"/>
        <v>43326.718993026072</v>
      </c>
      <c r="AE196" s="199">
        <f t="shared" si="225"/>
        <v>41160.383043374764</v>
      </c>
      <c r="AF196" s="199">
        <f t="shared" si="205"/>
        <v>41160.383043374764</v>
      </c>
      <c r="AG196" s="614">
        <f t="shared" si="204"/>
        <v>1.9030754144583081E-3</v>
      </c>
      <c r="AH196" s="199">
        <f t="shared" si="252"/>
        <v>10831.679748256518</v>
      </c>
      <c r="AI196" s="252">
        <f t="shared" si="187"/>
        <v>8.3911381849959173E-4</v>
      </c>
      <c r="AJ196" s="199">
        <f t="shared" si="188"/>
        <v>54158.398741282588</v>
      </c>
      <c r="AK196" s="199">
        <f t="shared" si="209"/>
        <v>8665.343798605214</v>
      </c>
      <c r="AL196" s="199">
        <f t="shared" si="210"/>
        <v>8665.343798605214</v>
      </c>
      <c r="AM196" s="199">
        <f t="shared" si="189"/>
        <v>17330.687597210428</v>
      </c>
      <c r="AN196" s="645">
        <f t="shared" si="190"/>
        <v>8.3911381849959173E-4</v>
      </c>
      <c r="AO196" s="199">
        <v>10</v>
      </c>
      <c r="AP196" s="250">
        <f t="shared" si="191"/>
        <v>1.1362345188046814E-3</v>
      </c>
      <c r="AQ196" s="199">
        <v>10</v>
      </c>
      <c r="AU196" s="199">
        <v>0</v>
      </c>
      <c r="AW196" s="250">
        <f t="shared" si="192"/>
        <v>0</v>
      </c>
      <c r="AX196" s="199">
        <v>1</v>
      </c>
      <c r="AY196" s="199">
        <f t="shared" si="242"/>
        <v>16386.068093023008</v>
      </c>
      <c r="AZ196" s="199">
        <f t="shared" si="193"/>
        <v>16386.068093023008</v>
      </c>
      <c r="BA196" s="252">
        <f t="shared" si="194"/>
        <v>1.2880512864127274E-3</v>
      </c>
      <c r="BB196" s="284">
        <v>1</v>
      </c>
      <c r="BC196" s="199">
        <f t="shared" si="243"/>
        <v>31195.237674978769</v>
      </c>
      <c r="BD196" s="270">
        <f t="shared" si="207"/>
        <v>2.8093524359118845E-3</v>
      </c>
      <c r="BE196" s="199">
        <f t="shared" si="244"/>
        <v>133446.29449852029</v>
      </c>
      <c r="BF196" s="251">
        <f t="shared" si="208"/>
        <v>2.8093524983409789E-3</v>
      </c>
      <c r="BG196" s="204">
        <f t="shared" si="230"/>
        <v>164641.53217349906</v>
      </c>
      <c r="BH196" s="636">
        <v>0</v>
      </c>
      <c r="BI196" s="199">
        <f t="shared" si="195"/>
        <v>66289.88005932988</v>
      </c>
      <c r="BJ196" s="199">
        <f t="shared" si="196"/>
        <v>132579.76011865976</v>
      </c>
      <c r="BK196" s="199">
        <f t="shared" si="203"/>
        <v>198869.64017798964</v>
      </c>
      <c r="BL196" s="251">
        <f t="shared" si="197"/>
        <v>8.3911381849959162E-4</v>
      </c>
      <c r="BM196" s="199">
        <f t="shared" si="245"/>
        <v>15064.493509027187</v>
      </c>
      <c r="BN196" s="251">
        <f t="shared" si="198"/>
        <v>6.5053167947609505E-4</v>
      </c>
      <c r="BT196" s="199">
        <f>'Detailed Budget'!$AD$12</f>
        <v>194045122715</v>
      </c>
      <c r="BU196" s="199">
        <f>'Detailed Budget'!$AD$24</f>
        <v>194045122715</v>
      </c>
      <c r="BV196" s="596">
        <f t="shared" si="246"/>
        <v>0</v>
      </c>
      <c r="BW196" s="278"/>
      <c r="BX196" s="275">
        <f t="shared" si="215"/>
        <v>0</v>
      </c>
      <c r="BY196" s="275">
        <f t="shared" si="216"/>
        <v>0</v>
      </c>
      <c r="CA196" s="199">
        <f>'Detailed Budget'!$AD$96</f>
        <v>71050111380.677719</v>
      </c>
      <c r="CB196" s="275">
        <f t="shared" si="199"/>
        <v>91516187.363649502</v>
      </c>
      <c r="CE196" s="199">
        <f>'Detailed Budget'!$AD$175</f>
        <v>4330586076.5988197</v>
      </c>
      <c r="CF196" s="275">
        <f t="shared" si="247"/>
        <v>12166142.543218985</v>
      </c>
      <c r="CG196" s="199">
        <f>'Detailed Budget'!$AD$176</f>
        <v>20662817754.37001</v>
      </c>
      <c r="CH196" s="275">
        <f t="shared" si="248"/>
        <v>58049138.681003727</v>
      </c>
      <c r="CI196" s="275">
        <f t="shared" si="211"/>
        <v>70215281.22422272</v>
      </c>
      <c r="CJ196" s="275">
        <f>'Detailed Budget'!$AD$178</f>
        <v>46025131033.061455</v>
      </c>
      <c r="CK196" s="275">
        <f t="shared" si="249"/>
        <v>87589295.316241369</v>
      </c>
      <c r="CL196" s="275">
        <f t="shared" si="206"/>
        <v>157804576.5404641</v>
      </c>
      <c r="CM196" s="278">
        <f>'Detailed Budget'!$AD$189</f>
        <v>77498869683.252869</v>
      </c>
      <c r="CN196" s="275">
        <f t="shared" si="200"/>
        <v>0</v>
      </c>
      <c r="CO196" s="140">
        <f>'Detailed Budget'!$AD$191</f>
        <v>2684962805.4134097</v>
      </c>
      <c r="CP196" s="616">
        <f t="shared" si="201"/>
        <v>0</v>
      </c>
      <c r="CQ196" s="616">
        <f t="shared" si="202"/>
        <v>0</v>
      </c>
      <c r="CR196" s="199">
        <f>'Detailed Budget'!$AD$195</f>
        <v>18734176418</v>
      </c>
      <c r="CS196" s="275">
        <f t="shared" si="250"/>
        <v>12187175.248802995</v>
      </c>
      <c r="CW196" s="278"/>
      <c r="DH196" s="140">
        <f>'Detailed Budget'!$AD$163</f>
        <v>4928560000</v>
      </c>
      <c r="DI196" s="616">
        <f t="shared" si="251"/>
        <v>5600000</v>
      </c>
    </row>
    <row r="197" spans="1:113" outlineLevel="1">
      <c r="A197" s="214" t="s">
        <v>564</v>
      </c>
      <c r="B197" s="215" t="s">
        <v>565</v>
      </c>
      <c r="C197" s="216" t="s">
        <v>234</v>
      </c>
      <c r="D197" s="229" t="s">
        <v>234</v>
      </c>
      <c r="E197" s="216"/>
      <c r="F197" s="216"/>
      <c r="G197" s="216"/>
      <c r="H197" s="216" t="s">
        <v>234</v>
      </c>
      <c r="I197" s="217" t="s">
        <v>234</v>
      </c>
      <c r="J197" s="217"/>
      <c r="K197" s="216" t="s">
        <v>234</v>
      </c>
      <c r="L197" s="216"/>
      <c r="M197" s="217"/>
      <c r="N197" s="216"/>
      <c r="O197" s="217"/>
      <c r="P197" s="216"/>
      <c r="Q197" s="217"/>
      <c r="R197" s="217" t="s">
        <v>234</v>
      </c>
      <c r="S197" s="217"/>
      <c r="T197" s="217"/>
      <c r="U197" s="218">
        <f t="shared" si="241"/>
        <v>6</v>
      </c>
      <c r="V197" s="867" t="s">
        <v>238</v>
      </c>
      <c r="W197" s="219">
        <v>189703</v>
      </c>
      <c r="X197" s="220">
        <v>3.39</v>
      </c>
      <c r="Y197" s="221">
        <f t="shared" si="221"/>
        <v>1.0339</v>
      </c>
      <c r="Z197" s="199">
        <v>19</v>
      </c>
      <c r="AA197" s="221">
        <f t="shared" si="222"/>
        <v>1.8840489025780363</v>
      </c>
      <c r="AB197" s="199">
        <f t="shared" si="253"/>
        <v>357409.7289657612</v>
      </c>
      <c r="AC197" s="231">
        <v>20</v>
      </c>
      <c r="AD197" s="199">
        <f t="shared" si="254"/>
        <v>71481.945793152234</v>
      </c>
      <c r="AE197" s="199">
        <f t="shared" si="225"/>
        <v>67907.848503494621</v>
      </c>
      <c r="AF197" s="199">
        <f t="shared" si="205"/>
        <v>67907.848503494621</v>
      </c>
      <c r="AG197" s="614">
        <f t="shared" si="204"/>
        <v>3.139760793760681E-3</v>
      </c>
      <c r="AH197" s="199">
        <f t="shared" si="252"/>
        <v>17870.486448288062</v>
      </c>
      <c r="AI197" s="252">
        <f t="shared" si="187"/>
        <v>1.3843995087171848E-3</v>
      </c>
      <c r="AJ197" s="199">
        <f t="shared" si="188"/>
        <v>89352.4322414403</v>
      </c>
      <c r="AK197" s="199">
        <f t="shared" si="209"/>
        <v>14296.389158630449</v>
      </c>
      <c r="AL197" s="199">
        <f t="shared" si="210"/>
        <v>14296.389158630449</v>
      </c>
      <c r="AM197" s="199">
        <f t="shared" si="189"/>
        <v>28592.778317260898</v>
      </c>
      <c r="AN197" s="645">
        <f t="shared" si="190"/>
        <v>1.3843995087171848E-3</v>
      </c>
      <c r="AO197" s="199">
        <v>11</v>
      </c>
      <c r="AP197" s="250">
        <f t="shared" si="191"/>
        <v>1.2498579706851495E-3</v>
      </c>
      <c r="AQ197" s="199">
        <v>11</v>
      </c>
      <c r="AU197" s="199">
        <v>0</v>
      </c>
      <c r="AW197" s="250">
        <f t="shared" si="192"/>
        <v>0</v>
      </c>
      <c r="AX197" s="199">
        <v>1</v>
      </c>
      <c r="AY197" s="199">
        <f t="shared" si="242"/>
        <v>27034.311815231322</v>
      </c>
      <c r="AZ197" s="199">
        <f t="shared" si="193"/>
        <v>27034.311815231322</v>
      </c>
      <c r="BA197" s="252">
        <f t="shared" si="194"/>
        <v>2.125072342749394E-3</v>
      </c>
      <c r="BB197" s="284">
        <v>1</v>
      </c>
      <c r="BC197" s="199">
        <f t="shared" si="243"/>
        <v>51467.000971069603</v>
      </c>
      <c r="BD197" s="270">
        <f t="shared" si="207"/>
        <v>4.6349685183878662E-3</v>
      </c>
      <c r="BE197" s="199">
        <f t="shared" si="244"/>
        <v>220164.39304290889</v>
      </c>
      <c r="BF197" s="251">
        <f t="shared" si="208"/>
        <v>4.6349686213855851E-3</v>
      </c>
      <c r="BG197" s="204">
        <f t="shared" si="230"/>
        <v>271631.39401397848</v>
      </c>
      <c r="BH197" s="636">
        <v>0</v>
      </c>
      <c r="BI197" s="199">
        <f t="shared" si="195"/>
        <v>109367.37706352294</v>
      </c>
      <c r="BJ197" s="199">
        <f t="shared" si="196"/>
        <v>218734.75412704589</v>
      </c>
      <c r="BK197" s="199">
        <f t="shared" si="203"/>
        <v>328102.13119056885</v>
      </c>
      <c r="BL197" s="251">
        <f t="shared" si="197"/>
        <v>1.3843995087171848E-3</v>
      </c>
      <c r="BM197" s="199">
        <f t="shared" si="245"/>
        <v>24853.931556342974</v>
      </c>
      <c r="BN197" s="251">
        <f t="shared" si="198"/>
        <v>1.0732700589796199E-3</v>
      </c>
      <c r="BT197" s="199">
        <f>'Detailed Budget'!$AD$12</f>
        <v>194045122715</v>
      </c>
      <c r="BU197" s="199">
        <f>'Detailed Budget'!$AD$24</f>
        <v>194045122715</v>
      </c>
      <c r="BV197" s="596">
        <f t="shared" si="246"/>
        <v>0</v>
      </c>
      <c r="BW197" s="278"/>
      <c r="BX197" s="275">
        <f t="shared" si="215"/>
        <v>0</v>
      </c>
      <c r="BY197" s="275">
        <f t="shared" si="216"/>
        <v>0</v>
      </c>
      <c r="CA197" s="199">
        <f>'Detailed Budget'!$AD$96</f>
        <v>71050111380.677719</v>
      </c>
      <c r="CB197" s="275">
        <f t="shared" si="199"/>
        <v>150986626.64434218</v>
      </c>
      <c r="CE197" s="199">
        <f>'Detailed Budget'!$AD$175</f>
        <v>4330586076.5988197</v>
      </c>
      <c r="CF197" s="275">
        <f t="shared" si="247"/>
        <v>20072130.131204356</v>
      </c>
      <c r="CG197" s="199">
        <f>'Detailed Budget'!$AD$176</f>
        <v>20662817754.37001</v>
      </c>
      <c r="CH197" s="275">
        <f t="shared" si="248"/>
        <v>95771511.920913965</v>
      </c>
      <c r="CI197" s="275">
        <f t="shared" si="211"/>
        <v>115843642.05211832</v>
      </c>
      <c r="CJ197" s="275">
        <f>'Detailed Budget'!$AD$178</f>
        <v>46025131033.061455</v>
      </c>
      <c r="CK197" s="275">
        <f t="shared" si="249"/>
        <v>144507901.94530439</v>
      </c>
      <c r="CL197" s="275">
        <f t="shared" si="206"/>
        <v>260351543.9974227</v>
      </c>
      <c r="CM197" s="278">
        <f>'Detailed Budget'!$AD$189</f>
        <v>77498869683.252869</v>
      </c>
      <c r="CN197" s="275">
        <f t="shared" si="200"/>
        <v>0</v>
      </c>
      <c r="CO197" s="140">
        <f>'Detailed Budget'!$AD$191</f>
        <v>2684962805.4134097</v>
      </c>
      <c r="CP197" s="616">
        <f t="shared" si="201"/>
        <v>0</v>
      </c>
      <c r="CQ197" s="616">
        <f t="shared" si="202"/>
        <v>0</v>
      </c>
      <c r="CR197" s="199">
        <f>'Detailed Budget'!$AD$195</f>
        <v>18734176418</v>
      </c>
      <c r="CS197" s="275">
        <f t="shared" si="250"/>
        <v>20106830.629081465</v>
      </c>
      <c r="CW197" s="278"/>
      <c r="DH197" s="140">
        <f>'Detailed Budget'!$AD$163</f>
        <v>4928560000</v>
      </c>
      <c r="DI197" s="616">
        <f t="shared" si="251"/>
        <v>6160000</v>
      </c>
    </row>
    <row r="198" spans="1:113" outlineLevel="1">
      <c r="A198" s="214"/>
      <c r="B198" s="215"/>
      <c r="C198" s="216"/>
      <c r="D198" s="229"/>
      <c r="E198" s="216"/>
      <c r="F198" s="216"/>
      <c r="G198" s="216"/>
      <c r="H198" s="216"/>
      <c r="I198" s="217"/>
      <c r="J198" s="217"/>
      <c r="K198" s="216"/>
      <c r="L198" s="216"/>
      <c r="M198" s="217"/>
      <c r="N198" s="216"/>
      <c r="O198" s="217"/>
      <c r="P198" s="216"/>
      <c r="Q198" s="217"/>
      <c r="R198" s="217"/>
      <c r="S198" s="217"/>
      <c r="T198" s="217"/>
      <c r="U198" s="218"/>
      <c r="V198" s="867"/>
      <c r="W198" s="219"/>
      <c r="X198" s="220"/>
      <c r="Y198" s="221"/>
      <c r="Z198" s="199"/>
      <c r="AA198" s="221"/>
      <c r="AC198" s="231"/>
      <c r="AF198" s="199">
        <f t="shared" si="205"/>
        <v>0</v>
      </c>
      <c r="AG198" s="614">
        <f t="shared" si="204"/>
        <v>0</v>
      </c>
      <c r="AJ198" s="199"/>
      <c r="AK198" s="199">
        <f t="shared" si="209"/>
        <v>0</v>
      </c>
      <c r="AL198" s="199">
        <f t="shared" si="210"/>
        <v>0</v>
      </c>
      <c r="AM198" s="199">
        <f t="shared" si="189"/>
        <v>0</v>
      </c>
      <c r="AN198" s="645">
        <f t="shared" si="190"/>
        <v>0</v>
      </c>
      <c r="AP198" s="250">
        <f t="shared" si="191"/>
        <v>0</v>
      </c>
      <c r="AW198" s="250">
        <f t="shared" si="192"/>
        <v>0</v>
      </c>
      <c r="AX198" s="199"/>
      <c r="BA198" s="252">
        <f t="shared" si="194"/>
        <v>0</v>
      </c>
      <c r="BB198" s="284"/>
      <c r="BD198" s="270"/>
      <c r="BF198" s="251"/>
      <c r="BG198" s="204"/>
      <c r="BH198" s="636"/>
      <c r="BI198" s="199">
        <f t="shared" si="195"/>
        <v>0</v>
      </c>
      <c r="BJ198" s="199">
        <f t="shared" si="196"/>
        <v>0</v>
      </c>
      <c r="BK198" s="199">
        <f t="shared" si="203"/>
        <v>0</v>
      </c>
      <c r="BL198" s="251">
        <f t="shared" si="197"/>
        <v>0</v>
      </c>
      <c r="BN198" s="251">
        <f t="shared" si="198"/>
        <v>0</v>
      </c>
      <c r="BT198" s="199"/>
      <c r="BU198" s="199"/>
      <c r="BV198" s="596"/>
      <c r="BW198" s="278"/>
      <c r="BX198" s="275"/>
      <c r="BY198" s="275"/>
      <c r="CA198" s="199">
        <f>'Detailed Budget'!$AD$96</f>
        <v>71050111380.677719</v>
      </c>
      <c r="CB198" s="275">
        <f t="shared" si="199"/>
        <v>0</v>
      </c>
      <c r="CE198" s="199"/>
      <c r="CF198" s="275"/>
      <c r="CG198" s="199"/>
      <c r="CH198" s="275"/>
      <c r="CI198" s="275"/>
      <c r="CJ198" s="275"/>
      <c r="CK198" s="275"/>
      <c r="CL198" s="275"/>
      <c r="CM198" s="278">
        <f>'Detailed Budget'!$AD$189</f>
        <v>77498869683.252869</v>
      </c>
      <c r="CN198" s="275">
        <f t="shared" si="200"/>
        <v>0</v>
      </c>
      <c r="CO198" s="140">
        <f>'Detailed Budget'!$AD$191</f>
        <v>2684962805.4134097</v>
      </c>
      <c r="CP198" s="616">
        <f t="shared" si="201"/>
        <v>0</v>
      </c>
      <c r="CQ198" s="616">
        <f t="shared" si="202"/>
        <v>0</v>
      </c>
      <c r="CR198" s="199"/>
      <c r="CS198" s="275"/>
      <c r="CW198" s="278"/>
      <c r="DH198" s="140">
        <f>'Detailed Budget'!$AD$163</f>
        <v>4928560000</v>
      </c>
      <c r="DI198" s="616">
        <f t="shared" si="251"/>
        <v>0</v>
      </c>
    </row>
    <row r="199" spans="1:113" s="213" customFormat="1">
      <c r="A199" s="206">
        <v>2.2999999999999998</v>
      </c>
      <c r="B199" s="207" t="s">
        <v>566</v>
      </c>
      <c r="C199" s="208">
        <f t="shared" ref="C199:T199" si="255">COUNTA(C201:C227)</f>
        <v>27</v>
      </c>
      <c r="D199" s="208">
        <f t="shared" si="255"/>
        <v>27</v>
      </c>
      <c r="E199" s="208">
        <f t="shared" si="255"/>
        <v>0</v>
      </c>
      <c r="F199" s="208">
        <f t="shared" si="255"/>
        <v>0</v>
      </c>
      <c r="G199" s="208">
        <f t="shared" si="255"/>
        <v>0</v>
      </c>
      <c r="H199" s="208">
        <f t="shared" si="255"/>
        <v>27</v>
      </c>
      <c r="I199" s="208">
        <f t="shared" si="255"/>
        <v>27</v>
      </c>
      <c r="J199" s="208">
        <f t="shared" si="255"/>
        <v>0</v>
      </c>
      <c r="K199" s="208">
        <f t="shared" si="255"/>
        <v>27</v>
      </c>
      <c r="L199" s="208">
        <f t="shared" si="255"/>
        <v>0</v>
      </c>
      <c r="M199" s="208">
        <f t="shared" si="255"/>
        <v>0</v>
      </c>
      <c r="N199" s="208">
        <f t="shared" si="255"/>
        <v>0</v>
      </c>
      <c r="O199" s="208">
        <f t="shared" si="255"/>
        <v>0</v>
      </c>
      <c r="P199" s="208">
        <f t="shared" si="255"/>
        <v>0</v>
      </c>
      <c r="Q199" s="208">
        <f t="shared" si="255"/>
        <v>1</v>
      </c>
      <c r="R199" s="208">
        <f t="shared" si="255"/>
        <v>26</v>
      </c>
      <c r="S199" s="208">
        <f t="shared" si="255"/>
        <v>0</v>
      </c>
      <c r="T199" s="208">
        <f t="shared" si="255"/>
        <v>0</v>
      </c>
      <c r="U199" s="209">
        <f>SUM(C199:T199)</f>
        <v>162</v>
      </c>
      <c r="V199" s="866"/>
      <c r="W199" s="210">
        <f>SUM(W201:W227)</f>
        <v>4171104</v>
      </c>
      <c r="X199" s="211">
        <v>3.47</v>
      </c>
      <c r="Y199" s="212">
        <f t="shared" si="221"/>
        <v>1.0347</v>
      </c>
      <c r="Z199" s="210">
        <v>19</v>
      </c>
      <c r="AA199" s="212">
        <f t="shared" si="222"/>
        <v>1.9119412036868784</v>
      </c>
      <c r="AB199" s="210">
        <f t="shared" si="253"/>
        <v>7974905.6024631532</v>
      </c>
      <c r="AC199" s="213">
        <v>19.100000000000001</v>
      </c>
      <c r="AD199" s="210">
        <f t="shared" si="254"/>
        <v>1523206.9700704622</v>
      </c>
      <c r="AE199" s="210">
        <f t="shared" si="225"/>
        <v>1447046.6215669389</v>
      </c>
      <c r="AF199" s="210">
        <f>SUM(AF201:AF227)</f>
        <v>1447046.6215669392</v>
      </c>
      <c r="AG199" s="614">
        <f t="shared" si="204"/>
        <v>6.6905083127555082E-2</v>
      </c>
      <c r="AH199" s="210">
        <f>SUM(AH201:AH227)</f>
        <v>398745.28012315766</v>
      </c>
      <c r="AI199" s="252">
        <f t="shared" ref="AI199:AI261" si="256">AH199/12908475</f>
        <v>3.0890192693029787E-2</v>
      </c>
      <c r="AJ199" s="210">
        <f>SUM(AJ201:AJ227)</f>
        <v>1921952.2501936203</v>
      </c>
      <c r="AK199" s="199">
        <f t="shared" si="209"/>
        <v>318996.22409852612</v>
      </c>
      <c r="AL199" s="199">
        <f t="shared" si="210"/>
        <v>318996.22409852612</v>
      </c>
      <c r="AM199" s="199">
        <f t="shared" ref="AM199:AM262" si="257">AK199+AL199</f>
        <v>637992.44819705223</v>
      </c>
      <c r="AN199" s="645">
        <f t="shared" ref="AN199:AN262" si="258">AM199/20653560</f>
        <v>3.0890192693029783E-2</v>
      </c>
      <c r="AO199" s="210">
        <f>SUM(AO201:AO227)</f>
        <v>312</v>
      </c>
      <c r="AP199" s="250">
        <f t="shared" ref="AP199:AP262" si="259">AO199/8801</f>
        <v>3.5450516986706058E-2</v>
      </c>
      <c r="AQ199" s="210">
        <f>SUM(AQ201:AQ227)</f>
        <v>312</v>
      </c>
      <c r="AR199" s="210"/>
      <c r="AS199" s="210"/>
      <c r="AT199" s="210"/>
      <c r="AU199" s="199"/>
      <c r="AV199" s="199"/>
      <c r="AW199" s="250">
        <f t="shared" ref="AW199:AW262" si="260">AV199/34743979</f>
        <v>0</v>
      </c>
      <c r="AX199" s="199"/>
      <c r="AY199" s="210">
        <v>488691</v>
      </c>
      <c r="AZ199" s="210">
        <f>SUM(AZ201:AZ227)</f>
        <v>488691.06361624564</v>
      </c>
      <c r="BA199" s="252">
        <f t="shared" ref="BA199:BA262" si="261">AZ199/12721596</f>
        <v>3.84142888688059E-2</v>
      </c>
      <c r="BB199" s="284"/>
      <c r="BC199" s="210">
        <f>SUM(BC201:BC227)</f>
        <v>1096709.018450733</v>
      </c>
      <c r="BD199" s="270">
        <f t="shared" si="207"/>
        <v>9.8766426612045211E-2</v>
      </c>
      <c r="BE199" s="210">
        <f>SUM(BE201:BE227)</f>
        <v>4691477.4678170234</v>
      </c>
      <c r="BF199" s="251">
        <f t="shared" si="208"/>
        <v>9.8766428806820933E-2</v>
      </c>
      <c r="BG199" s="210">
        <f>SUM(BG201:BG227)</f>
        <v>5788186.4862677567</v>
      </c>
      <c r="BH199"/>
      <c r="BI199" s="199">
        <f t="shared" ref="BI199:BI262" si="262">AK199*0.85*0.75*12</f>
        <v>2440321.1143537248</v>
      </c>
      <c r="BJ199" s="199">
        <f t="shared" ref="BJ199:BJ262" si="263">AL199*0.85*0.75*2*12</f>
        <v>4880642.2287074495</v>
      </c>
      <c r="BK199" s="199">
        <f t="shared" si="203"/>
        <v>7320963.3430611743</v>
      </c>
      <c r="BL199" s="251">
        <f t="shared" ref="BL199:BL262" si="264">BK199/236999601</f>
        <v>3.0890192693029783E-2</v>
      </c>
      <c r="BM199" s="210">
        <v>606682</v>
      </c>
      <c r="BN199" s="251">
        <f t="shared" ref="BN199:BN262" si="265">BM199/23157202</f>
        <v>2.6198415508056631E-2</v>
      </c>
      <c r="BT199" s="210">
        <f>'Detailed Budget'!$AD$12</f>
        <v>194045122715</v>
      </c>
      <c r="BU199" s="210">
        <f>'Detailed Budget'!$AD$24</f>
        <v>194045122715</v>
      </c>
      <c r="BV199" s="596">
        <f>AV199/34743979</f>
        <v>0</v>
      </c>
      <c r="BW199" s="278"/>
      <c r="BX199" s="613">
        <f t="shared" si="215"/>
        <v>0</v>
      </c>
      <c r="BY199" s="613">
        <f t="shared" si="216"/>
        <v>0</v>
      </c>
      <c r="CA199" s="210">
        <f>'Detailed Budget'!$AD$96</f>
        <v>71050111380.677719</v>
      </c>
      <c r="CB199" s="613">
        <f t="shared" ref="CB199:CB262" si="266">BA199*CA199</f>
        <v>2729339502.7381873</v>
      </c>
      <c r="CE199" s="210">
        <f>'Detailed Budget'!$AD$175</f>
        <v>4330586076.5988197</v>
      </c>
      <c r="CF199" s="613">
        <f>SUM(CF201:CF227)</f>
        <v>427716511.92154211</v>
      </c>
      <c r="CG199" s="632">
        <f>'Detailed Budget'!$AD$176</f>
        <v>20662817754.37001</v>
      </c>
      <c r="CH199" s="613">
        <f>SUM(CH201:CH227)</f>
        <v>2040792718.6853023</v>
      </c>
      <c r="CI199" s="613">
        <f>SUM(CI201:CI227)</f>
        <v>2468509230.6068435</v>
      </c>
      <c r="CJ199" s="275">
        <f>'Detailed Budget'!$AD$178</f>
        <v>46025131033.061455</v>
      </c>
      <c r="CK199" s="613">
        <f t="shared" ref="CK199:CL199" si="267">SUM(CK201:CK227)</f>
        <v>3079315217.7235928</v>
      </c>
      <c r="CL199" s="613">
        <f t="shared" si="267"/>
        <v>5547824448.3304358</v>
      </c>
      <c r="CM199" s="278">
        <f>'Detailed Budget'!$AD$189</f>
        <v>77498869683.252869</v>
      </c>
      <c r="CN199" s="275">
        <f t="shared" ref="CN199:CN262" si="268">BH199*BL199*CM199</f>
        <v>0</v>
      </c>
      <c r="CO199" s="140">
        <f>'Detailed Budget'!$AD$191</f>
        <v>2684962805.4134097</v>
      </c>
      <c r="CP199" s="616">
        <f t="shared" ref="CP199:CP262" si="269">BH199*AN199*CO199</f>
        <v>0</v>
      </c>
      <c r="CQ199" s="616">
        <f t="shared" ref="CQ199:CQ262" si="270">CN199+CP199</f>
        <v>0</v>
      </c>
      <c r="CR199" s="210">
        <f>'Detailed Budget'!$AD$195</f>
        <v>18734176418</v>
      </c>
      <c r="CS199" s="275">
        <f>BN199*CR199</f>
        <v>490805738</v>
      </c>
      <c r="CW199" s="278"/>
      <c r="DH199" s="140">
        <f>'Detailed Budget'!$AD$163</f>
        <v>4928560000</v>
      </c>
      <c r="DI199" s="616">
        <f t="shared" si="251"/>
        <v>174720000</v>
      </c>
    </row>
    <row r="200" spans="1:113" s="213" customFormat="1">
      <c r="A200" s="214" t="s">
        <v>2328</v>
      </c>
      <c r="B200" s="215" t="s">
        <v>2318</v>
      </c>
      <c r="C200" s="208"/>
      <c r="D200" s="208"/>
      <c r="E200" s="208"/>
      <c r="F200" s="208"/>
      <c r="G200" s="208"/>
      <c r="H200" s="208"/>
      <c r="I200" s="208"/>
      <c r="J200" s="208"/>
      <c r="K200" s="208"/>
      <c r="L200" s="208"/>
      <c r="M200" s="208"/>
      <c r="N200" s="208"/>
      <c r="O200" s="208"/>
      <c r="P200" s="208"/>
      <c r="Q200" s="208"/>
      <c r="R200" s="208"/>
      <c r="S200" s="208"/>
      <c r="T200" s="208"/>
      <c r="U200" s="209"/>
      <c r="V200" s="866"/>
      <c r="W200" s="210"/>
      <c r="X200" s="211"/>
      <c r="Y200" s="212"/>
      <c r="Z200" s="210"/>
      <c r="AA200" s="212"/>
      <c r="AB200" s="210"/>
      <c r="AD200" s="210"/>
      <c r="AE200" s="199"/>
      <c r="AF200" s="199"/>
      <c r="AG200" s="614">
        <f t="shared" si="204"/>
        <v>0</v>
      </c>
      <c r="AH200" s="210"/>
      <c r="AI200" s="252"/>
      <c r="AJ200" s="199"/>
      <c r="AK200" s="199">
        <f t="shared" si="209"/>
        <v>0</v>
      </c>
      <c r="AL200" s="199">
        <f t="shared" si="210"/>
        <v>0</v>
      </c>
      <c r="AM200" s="199">
        <f t="shared" si="257"/>
        <v>0</v>
      </c>
      <c r="AN200" s="645">
        <f t="shared" si="258"/>
        <v>0</v>
      </c>
      <c r="AO200" s="210"/>
      <c r="AP200" s="250"/>
      <c r="AQ200" s="210"/>
      <c r="AR200" s="210"/>
      <c r="AS200" s="210"/>
      <c r="AT200" s="210"/>
      <c r="AU200" s="199"/>
      <c r="AV200" s="199"/>
      <c r="AW200" s="250">
        <f t="shared" si="260"/>
        <v>0</v>
      </c>
      <c r="AX200" s="199"/>
      <c r="AY200" s="210"/>
      <c r="AZ200" s="199"/>
      <c r="BA200" s="252">
        <f t="shared" si="261"/>
        <v>0</v>
      </c>
      <c r="BB200" s="284"/>
      <c r="BC200" s="269"/>
      <c r="BD200" s="270">
        <f t="shared" si="207"/>
        <v>0</v>
      </c>
      <c r="BE200" s="269"/>
      <c r="BF200" s="251">
        <f t="shared" si="208"/>
        <v>0</v>
      </c>
      <c r="BG200" s="204"/>
      <c r="BH200"/>
      <c r="BI200" s="199">
        <f t="shared" si="262"/>
        <v>0</v>
      </c>
      <c r="BJ200" s="199">
        <f t="shared" si="263"/>
        <v>0</v>
      </c>
      <c r="BK200" s="199">
        <f t="shared" ref="BK200:BK263" si="271">BI200+BJ200</f>
        <v>0</v>
      </c>
      <c r="BL200" s="251">
        <f t="shared" si="264"/>
        <v>0</v>
      </c>
      <c r="BM200" s="210"/>
      <c r="BN200" s="251">
        <f t="shared" si="265"/>
        <v>0</v>
      </c>
      <c r="BT200" s="210"/>
      <c r="BU200" s="210">
        <f>'Detailed Budget'!$AD$24</f>
        <v>194045122715</v>
      </c>
      <c r="BV200" s="596"/>
      <c r="BW200" s="278"/>
      <c r="BX200" s="275"/>
      <c r="BY200" s="275"/>
      <c r="CA200" s="210">
        <f>'Detailed Budget'!$AD$96</f>
        <v>71050111380.677719</v>
      </c>
      <c r="CB200" s="275"/>
      <c r="CE200" s="210"/>
      <c r="CF200" s="275"/>
      <c r="CG200" s="240"/>
      <c r="CH200" s="275"/>
      <c r="CI200" s="275"/>
      <c r="CJ200" s="275"/>
      <c r="CK200" s="275"/>
      <c r="CL200" s="275"/>
      <c r="CM200" s="278">
        <f>'Detailed Budget'!$AD$189</f>
        <v>77498869683.252869</v>
      </c>
      <c r="CN200" s="275">
        <f t="shared" si="268"/>
        <v>0</v>
      </c>
      <c r="CO200" s="140">
        <f>'Detailed Budget'!$AD$191</f>
        <v>2684962805.4134097</v>
      </c>
      <c r="CP200" s="616">
        <f t="shared" si="269"/>
        <v>0</v>
      </c>
      <c r="CQ200" s="616">
        <f t="shared" si="270"/>
        <v>0</v>
      </c>
      <c r="CR200" s="210"/>
      <c r="CS200" s="275"/>
      <c r="CW200" s="278"/>
      <c r="DH200" s="140"/>
      <c r="DI200" s="616"/>
    </row>
    <row r="201" spans="1:113" outlineLevel="1">
      <c r="A201" s="214" t="s">
        <v>567</v>
      </c>
      <c r="B201" s="215" t="s">
        <v>568</v>
      </c>
      <c r="C201" s="216" t="s">
        <v>234</v>
      </c>
      <c r="D201" s="229" t="s">
        <v>234</v>
      </c>
      <c r="E201" s="216"/>
      <c r="F201" s="216"/>
      <c r="G201" s="216"/>
      <c r="H201" s="216" t="s">
        <v>234</v>
      </c>
      <c r="I201" s="217" t="s">
        <v>234</v>
      </c>
      <c r="J201" s="217"/>
      <c r="K201" s="216" t="s">
        <v>234</v>
      </c>
      <c r="L201" s="216"/>
      <c r="M201" s="217"/>
      <c r="N201" s="216"/>
      <c r="O201" s="217"/>
      <c r="P201" s="216"/>
      <c r="Q201" s="217"/>
      <c r="R201" s="217" t="s">
        <v>234</v>
      </c>
      <c r="S201" s="217"/>
      <c r="T201" s="217"/>
      <c r="U201" s="218">
        <f t="shared" ref="U201:U227" si="272">COUNTA(C201:T201)</f>
        <v>6</v>
      </c>
      <c r="V201" s="867" t="s">
        <v>238</v>
      </c>
      <c r="W201" s="219">
        <v>100065</v>
      </c>
      <c r="X201" s="220">
        <v>3.47</v>
      </c>
      <c r="Y201" s="221">
        <f t="shared" si="221"/>
        <v>1.0347</v>
      </c>
      <c r="Z201" s="199">
        <v>19</v>
      </c>
      <c r="AA201" s="221">
        <f t="shared" si="222"/>
        <v>1.9119412036868784</v>
      </c>
      <c r="AB201" s="199">
        <f t="shared" si="253"/>
        <v>191318.39654692748</v>
      </c>
      <c r="AC201">
        <v>19.100000000000001</v>
      </c>
      <c r="AD201" s="199">
        <f t="shared" si="254"/>
        <v>36541.813740463156</v>
      </c>
      <c r="AE201" s="199">
        <f t="shared" si="225"/>
        <v>34714.723053439993</v>
      </c>
      <c r="AF201" s="199">
        <f t="shared" si="205"/>
        <v>34714.723053439993</v>
      </c>
      <c r="AG201" s="614">
        <f t="shared" ref="AG201:AG264" si="273">AE201/21628351</f>
        <v>1.6050563935012887E-3</v>
      </c>
      <c r="AH201" s="199">
        <f>AB201*0.05</f>
        <v>9565.9198273463753</v>
      </c>
      <c r="AI201" s="252">
        <f t="shared" si="256"/>
        <v>7.4105731524028791E-4</v>
      </c>
      <c r="AJ201" s="199">
        <f t="shared" ref="AJ201:AJ261" si="274">AD201+AH201</f>
        <v>46107.733567809533</v>
      </c>
      <c r="AK201" s="199">
        <f t="shared" si="209"/>
        <v>7652.7358618770995</v>
      </c>
      <c r="AL201" s="199">
        <f t="shared" si="210"/>
        <v>7652.7358618770995</v>
      </c>
      <c r="AM201" s="199">
        <f t="shared" si="257"/>
        <v>15305.471723754199</v>
      </c>
      <c r="AN201" s="645">
        <f t="shared" si="258"/>
        <v>7.410573152402878E-4</v>
      </c>
      <c r="AO201" s="199">
        <v>10</v>
      </c>
      <c r="AP201" s="250">
        <f t="shared" si="259"/>
        <v>1.1362345188046814E-3</v>
      </c>
      <c r="AQ201" s="199">
        <v>10</v>
      </c>
      <c r="AU201" s="199">
        <v>0</v>
      </c>
      <c r="AW201" s="250">
        <f t="shared" si="260"/>
        <v>0</v>
      </c>
      <c r="AX201" s="199">
        <v>1</v>
      </c>
      <c r="AY201" s="199">
        <f t="shared" ref="AY201:AY227" si="275">AJ201/1921952*488691</f>
        <v>11723.723810473108</v>
      </c>
      <c r="AZ201" s="199">
        <f t="shared" ref="AZ201:AZ261" si="276">AX201*AY201</f>
        <v>11723.723810473108</v>
      </c>
      <c r="BA201" s="252">
        <f t="shared" si="261"/>
        <v>9.2156077039965019E-4</v>
      </c>
      <c r="BB201" s="284">
        <v>1</v>
      </c>
      <c r="BC201" s="199">
        <f t="shared" ref="BC201:BC227" si="277">AD201*BB201*0.18*4</f>
        <v>26310.10589313347</v>
      </c>
      <c r="BD201" s="270">
        <f t="shared" si="207"/>
        <v>2.3694116662960939E-3</v>
      </c>
      <c r="BE201" s="199">
        <f t="shared" ref="BE201:BE227" si="278">AD201*BB201*0.77*4</f>
        <v>112548.78632062652</v>
      </c>
      <c r="BF201" s="251">
        <f t="shared" si="208"/>
        <v>2.3694117189488775E-3</v>
      </c>
      <c r="BG201" s="204">
        <f t="shared" si="230"/>
        <v>138858.89221376</v>
      </c>
      <c r="BH201" s="636">
        <v>0</v>
      </c>
      <c r="BI201" s="199">
        <f t="shared" si="262"/>
        <v>58543.429343359814</v>
      </c>
      <c r="BJ201" s="199">
        <f t="shared" si="263"/>
        <v>117086.85868671963</v>
      </c>
      <c r="BK201" s="199">
        <f t="shared" si="271"/>
        <v>175630.28803007945</v>
      </c>
      <c r="BL201" s="251">
        <f t="shared" si="264"/>
        <v>7.4105731524028791E-4</v>
      </c>
      <c r="BM201" s="199">
        <f t="shared" ref="BM201:BM227" si="279">AH201/398745*606682</f>
        <v>14554.342681899845</v>
      </c>
      <c r="BN201" s="251">
        <f t="shared" si="265"/>
        <v>6.2850178021938254E-4</v>
      </c>
      <c r="BT201" s="199">
        <f>'Detailed Budget'!$AD$12</f>
        <v>194045122715</v>
      </c>
      <c r="BU201" s="199">
        <f>'Detailed Budget'!$AD$24</f>
        <v>194045122715</v>
      </c>
      <c r="BV201" s="596">
        <f t="shared" ref="BV201:BV227" si="280">AV201/34743979</f>
        <v>0</v>
      </c>
      <c r="BW201" s="278"/>
      <c r="BX201" s="275">
        <f t="shared" si="215"/>
        <v>0</v>
      </c>
      <c r="BY201" s="275">
        <f t="shared" si="216"/>
        <v>0</v>
      </c>
      <c r="CA201" s="199">
        <f>'Detailed Budget'!$AD$96</f>
        <v>71050111380.677719</v>
      </c>
      <c r="CB201" s="275">
        <f t="shared" si="266"/>
        <v>65476995.380958311</v>
      </c>
      <c r="CE201" s="199">
        <f>'Detailed Budget'!$AD$175</f>
        <v>4330586076.5988197</v>
      </c>
      <c r="CF201" s="275">
        <f t="shared" ref="CF201:CF227" si="281">BB201*BD201*CE201</f>
        <v>10260941.171792673</v>
      </c>
      <c r="CG201" s="199">
        <f>'Detailed Budget'!$AD$176</f>
        <v>20662817754.37001</v>
      </c>
      <c r="CH201" s="275">
        <f t="shared" ref="CH201:CH227" si="282">BB201*BF201*CG201</f>
        <v>48958722.533709228</v>
      </c>
      <c r="CI201" s="275">
        <f t="shared" si="211"/>
        <v>59219663.705501899</v>
      </c>
      <c r="CJ201" s="275">
        <f>'Detailed Budget'!$AD$178</f>
        <v>46025131033.061455</v>
      </c>
      <c r="CK201" s="275">
        <f t="shared" ref="CK201:CK227" si="283">BB201*AG201*CJ201</f>
        <v>73872930.826349869</v>
      </c>
      <c r="CL201" s="275">
        <f t="shared" si="206"/>
        <v>133092594.53185177</v>
      </c>
      <c r="CM201" s="278">
        <f>'Detailed Budget'!$AD$189</f>
        <v>77498869683.252869</v>
      </c>
      <c r="CN201" s="275">
        <f t="shared" si="268"/>
        <v>0</v>
      </c>
      <c r="CO201" s="140">
        <f>'Detailed Budget'!$AD$191</f>
        <v>2684962805.4134097</v>
      </c>
      <c r="CP201" s="616">
        <f t="shared" si="269"/>
        <v>0</v>
      </c>
      <c r="CQ201" s="616">
        <f t="shared" si="270"/>
        <v>0</v>
      </c>
      <c r="CR201" s="199">
        <f>'Detailed Budget'!$AD$195</f>
        <v>18734176418</v>
      </c>
      <c r="CS201" s="275">
        <f t="shared" ref="CS201:CS227" si="284">BN201*CR201</f>
        <v>11774463.229656976</v>
      </c>
      <c r="CW201" s="278"/>
      <c r="DH201" s="140">
        <f>'Detailed Budget'!$AD$163</f>
        <v>4928560000</v>
      </c>
      <c r="DI201" s="616">
        <f t="shared" ref="DI201:DI229" si="285">AP201*DH201</f>
        <v>5600000</v>
      </c>
    </row>
    <row r="202" spans="1:113" outlineLevel="1">
      <c r="A202" s="214" t="s">
        <v>569</v>
      </c>
      <c r="B202" s="215" t="s">
        <v>570</v>
      </c>
      <c r="C202" s="216" t="s">
        <v>234</v>
      </c>
      <c r="D202" s="229" t="s">
        <v>234</v>
      </c>
      <c r="E202" s="216"/>
      <c r="F202" s="216"/>
      <c r="G202" s="216"/>
      <c r="H202" s="216" t="s">
        <v>234</v>
      </c>
      <c r="I202" s="217" t="s">
        <v>234</v>
      </c>
      <c r="J202" s="217"/>
      <c r="K202" s="216" t="s">
        <v>234</v>
      </c>
      <c r="L202" s="216"/>
      <c r="M202" s="217"/>
      <c r="N202" s="216"/>
      <c r="O202" s="217"/>
      <c r="P202" s="216"/>
      <c r="Q202" s="217"/>
      <c r="R202" s="217" t="s">
        <v>234</v>
      </c>
      <c r="S202" s="217"/>
      <c r="T202" s="217"/>
      <c r="U202" s="218">
        <f t="shared" si="272"/>
        <v>6</v>
      </c>
      <c r="V202" s="867" t="s">
        <v>238</v>
      </c>
      <c r="W202" s="219">
        <v>143313</v>
      </c>
      <c r="X202" s="220">
        <v>3.47</v>
      </c>
      <c r="Y202" s="221">
        <f t="shared" si="221"/>
        <v>1.0347</v>
      </c>
      <c r="Z202" s="199">
        <v>19</v>
      </c>
      <c r="AA202" s="221">
        <f t="shared" si="222"/>
        <v>1.9119412036868784</v>
      </c>
      <c r="AB202" s="199">
        <f t="shared" si="253"/>
        <v>274006.02972397761</v>
      </c>
      <c r="AC202">
        <v>19.100000000000001</v>
      </c>
      <c r="AD202" s="199">
        <f t="shared" si="254"/>
        <v>52335.151677279726</v>
      </c>
      <c r="AE202" s="199">
        <f t="shared" si="225"/>
        <v>49718.394093415736</v>
      </c>
      <c r="AF202" s="199">
        <f t="shared" si="205"/>
        <v>49718.394093415736</v>
      </c>
      <c r="AG202" s="614">
        <f t="shared" si="273"/>
        <v>2.2987602750397262E-3</v>
      </c>
      <c r="AH202" s="199">
        <f t="shared" ref="AH202:AH227" si="286">AB202*0.05</f>
        <v>13700.301486198881</v>
      </c>
      <c r="AI202" s="252">
        <f t="shared" si="256"/>
        <v>1.0613415981515152E-3</v>
      </c>
      <c r="AJ202" s="199">
        <f t="shared" si="274"/>
        <v>66035.453163478611</v>
      </c>
      <c r="AK202" s="199">
        <f t="shared" si="209"/>
        <v>10960.241188959104</v>
      </c>
      <c r="AL202" s="199">
        <f t="shared" si="210"/>
        <v>10960.241188959104</v>
      </c>
      <c r="AM202" s="199">
        <f t="shared" si="257"/>
        <v>21920.482377918208</v>
      </c>
      <c r="AN202" s="645">
        <f t="shared" si="258"/>
        <v>1.0613415981515152E-3</v>
      </c>
      <c r="AO202" s="199">
        <v>13</v>
      </c>
      <c r="AP202" s="250">
        <f t="shared" si="259"/>
        <v>1.4771048744460858E-3</v>
      </c>
      <c r="AQ202" s="199">
        <v>13</v>
      </c>
      <c r="AU202" s="199">
        <v>0</v>
      </c>
      <c r="AW202" s="250">
        <f t="shared" si="260"/>
        <v>0</v>
      </c>
      <c r="AX202" s="199">
        <v>1</v>
      </c>
      <c r="AY202" s="199">
        <f t="shared" si="275"/>
        <v>16790.706345378829</v>
      </c>
      <c r="AZ202" s="199">
        <f t="shared" si="276"/>
        <v>16790.706345378829</v>
      </c>
      <c r="BA202" s="252">
        <f t="shared" si="261"/>
        <v>1.319858478871584E-3</v>
      </c>
      <c r="BB202" s="284">
        <v>1</v>
      </c>
      <c r="BC202" s="199">
        <f t="shared" si="277"/>
        <v>37681.309207641403</v>
      </c>
      <c r="BD202" s="270">
        <f t="shared" si="207"/>
        <v>3.3934691863477954E-3</v>
      </c>
      <c r="BE202" s="199">
        <f t="shared" si="278"/>
        <v>161192.26716602157</v>
      </c>
      <c r="BF202" s="251">
        <f t="shared" si="208"/>
        <v>3.3934692617570627E-3</v>
      </c>
      <c r="BG202" s="204">
        <f t="shared" si="230"/>
        <v>198873.57637366297</v>
      </c>
      <c r="BH202" s="636">
        <v>0</v>
      </c>
      <c r="BI202" s="199">
        <f t="shared" si="262"/>
        <v>83845.845095537137</v>
      </c>
      <c r="BJ202" s="199">
        <f t="shared" si="263"/>
        <v>167691.69019107427</v>
      </c>
      <c r="BK202" s="199">
        <f t="shared" si="271"/>
        <v>251537.53528661141</v>
      </c>
      <c r="BL202" s="251">
        <f t="shared" si="264"/>
        <v>1.061341598151515E-3</v>
      </c>
      <c r="BM202" s="199">
        <f t="shared" si="279"/>
        <v>20844.716062270651</v>
      </c>
      <c r="BN202" s="251">
        <f t="shared" si="265"/>
        <v>9.0013966550322663E-4</v>
      </c>
      <c r="BT202" s="199">
        <f>'Detailed Budget'!$AD$12</f>
        <v>194045122715</v>
      </c>
      <c r="BU202" s="199">
        <f>'Detailed Budget'!$AD$24</f>
        <v>194045122715</v>
      </c>
      <c r="BV202" s="596">
        <f t="shared" si="280"/>
        <v>0</v>
      </c>
      <c r="BW202" s="278"/>
      <c r="BX202" s="275">
        <f t="shared" si="215"/>
        <v>0</v>
      </c>
      <c r="BY202" s="275">
        <f t="shared" si="216"/>
        <v>0</v>
      </c>
      <c r="CA202" s="199">
        <f>'Detailed Budget'!$AD$96</f>
        <v>71050111380.677719</v>
      </c>
      <c r="CB202" s="275">
        <f t="shared" si="266"/>
        <v>93776091.930557922</v>
      </c>
      <c r="CE202" s="199">
        <f>'Detailed Budget'!$AD$175</f>
        <v>4330586076.5988197</v>
      </c>
      <c r="CF202" s="275">
        <f t="shared" si="281"/>
        <v>14695710.409764888</v>
      </c>
      <c r="CG202" s="199">
        <f>'Detailed Budget'!$AD$176</f>
        <v>20662817754.37001</v>
      </c>
      <c r="CH202" s="275">
        <f t="shared" si="282"/>
        <v>70118636.91074273</v>
      </c>
      <c r="CI202" s="275">
        <f t="shared" si="211"/>
        <v>84814347.320507616</v>
      </c>
      <c r="CJ202" s="275">
        <f>'Detailed Budget'!$AD$178</f>
        <v>46025131033.061455</v>
      </c>
      <c r="CK202" s="275">
        <f t="shared" si="283"/>
        <v>105800742.87229979</v>
      </c>
      <c r="CL202" s="275">
        <f t="shared" si="206"/>
        <v>190615090.19280741</v>
      </c>
      <c r="CM202" s="278">
        <f>'Detailed Budget'!$AD$189</f>
        <v>77498869683.252869</v>
      </c>
      <c r="CN202" s="275">
        <f t="shared" si="268"/>
        <v>0</v>
      </c>
      <c r="CO202" s="140">
        <f>'Detailed Budget'!$AD$191</f>
        <v>2684962805.4134097</v>
      </c>
      <c r="CP202" s="616">
        <f t="shared" si="269"/>
        <v>0</v>
      </c>
      <c r="CQ202" s="616">
        <f t="shared" si="270"/>
        <v>0</v>
      </c>
      <c r="CR202" s="199">
        <f>'Detailed Budget'!$AD$195</f>
        <v>18734176418</v>
      </c>
      <c r="CS202" s="275">
        <f t="shared" si="284"/>
        <v>16863375.294376958</v>
      </c>
      <c r="CW202" s="278"/>
      <c r="DH202" s="140">
        <f>'Detailed Budget'!$AD$163</f>
        <v>4928560000</v>
      </c>
      <c r="DI202" s="616">
        <f t="shared" si="285"/>
        <v>7280000.0000000009</v>
      </c>
    </row>
    <row r="203" spans="1:113" outlineLevel="1">
      <c r="A203" s="214" t="s">
        <v>571</v>
      </c>
      <c r="B203" s="215" t="s">
        <v>572</v>
      </c>
      <c r="C203" s="216" t="s">
        <v>234</v>
      </c>
      <c r="D203" s="229" t="s">
        <v>234</v>
      </c>
      <c r="E203" s="216"/>
      <c r="F203" s="216"/>
      <c r="G203" s="216"/>
      <c r="H203" s="216" t="s">
        <v>234</v>
      </c>
      <c r="I203" s="217" t="s">
        <v>234</v>
      </c>
      <c r="J203" s="217"/>
      <c r="K203" s="216" t="s">
        <v>234</v>
      </c>
      <c r="L203" s="216"/>
      <c r="M203" s="217"/>
      <c r="N203" s="216"/>
      <c r="O203" s="217"/>
      <c r="P203" s="216"/>
      <c r="Q203" s="217"/>
      <c r="R203" s="217" t="s">
        <v>234</v>
      </c>
      <c r="S203" s="217"/>
      <c r="T203" s="217"/>
      <c r="U203" s="218">
        <f t="shared" si="272"/>
        <v>6</v>
      </c>
      <c r="V203" s="867" t="s">
        <v>238</v>
      </c>
      <c r="W203" s="219">
        <v>270119</v>
      </c>
      <c r="X203" s="220">
        <v>3.47</v>
      </c>
      <c r="Y203" s="221">
        <f t="shared" si="221"/>
        <v>1.0347</v>
      </c>
      <c r="Z203" s="199">
        <v>19</v>
      </c>
      <c r="AA203" s="221">
        <f t="shared" si="222"/>
        <v>1.9119412036868784</v>
      </c>
      <c r="AB203" s="199">
        <f t="shared" si="253"/>
        <v>516451.64599869592</v>
      </c>
      <c r="AC203">
        <v>19.100000000000001</v>
      </c>
      <c r="AD203" s="199">
        <f t="shared" si="254"/>
        <v>98642.264385750925</v>
      </c>
      <c r="AE203" s="199">
        <f t="shared" si="225"/>
        <v>93710.151166463373</v>
      </c>
      <c r="AF203" s="199">
        <f t="shared" si="205"/>
        <v>93710.151166463373</v>
      </c>
      <c r="AG203" s="614">
        <f t="shared" si="273"/>
        <v>4.3327459946652137E-3</v>
      </c>
      <c r="AH203" s="199">
        <f t="shared" si="286"/>
        <v>25822.582299934798</v>
      </c>
      <c r="AI203" s="252">
        <f t="shared" si="256"/>
        <v>2.000436325742181E-3</v>
      </c>
      <c r="AJ203" s="199">
        <f t="shared" si="274"/>
        <v>124464.84668568573</v>
      </c>
      <c r="AK203" s="199">
        <f t="shared" si="209"/>
        <v>20658.065839947838</v>
      </c>
      <c r="AL203" s="199">
        <f t="shared" si="210"/>
        <v>20658.065839947838</v>
      </c>
      <c r="AM203" s="199">
        <f t="shared" si="257"/>
        <v>41316.131679895676</v>
      </c>
      <c r="AN203" s="645">
        <f t="shared" si="258"/>
        <v>2.000436325742181E-3</v>
      </c>
      <c r="AO203" s="199">
        <v>14</v>
      </c>
      <c r="AP203" s="250">
        <f t="shared" si="259"/>
        <v>1.5907283263265539E-3</v>
      </c>
      <c r="AQ203" s="199">
        <v>14</v>
      </c>
      <c r="AU203" s="199">
        <v>0</v>
      </c>
      <c r="AW203" s="250">
        <f t="shared" si="260"/>
        <v>0</v>
      </c>
      <c r="AX203" s="199">
        <v>1</v>
      </c>
      <c r="AY203" s="199">
        <f t="shared" si="275"/>
        <v>31647.434687065259</v>
      </c>
      <c r="AZ203" s="199">
        <f t="shared" si="276"/>
        <v>31647.434687065259</v>
      </c>
      <c r="BA203" s="252">
        <f t="shared" si="261"/>
        <v>2.4876937364671273E-3</v>
      </c>
      <c r="BB203" s="284">
        <v>1</v>
      </c>
      <c r="BC203" s="199">
        <f t="shared" si="277"/>
        <v>71022.430357740668</v>
      </c>
      <c r="BD203" s="270">
        <f t="shared" si="207"/>
        <v>6.3960736510091905E-3</v>
      </c>
      <c r="BE203" s="199">
        <f t="shared" si="278"/>
        <v>303818.17430811288</v>
      </c>
      <c r="BF203" s="251">
        <f t="shared" si="208"/>
        <v>6.396073793141977E-3</v>
      </c>
      <c r="BG203" s="204">
        <f t="shared" si="230"/>
        <v>374840.60466585355</v>
      </c>
      <c r="BH203" s="636">
        <v>0</v>
      </c>
      <c r="BI203" s="199">
        <f t="shared" si="262"/>
        <v>158034.20367560096</v>
      </c>
      <c r="BJ203" s="199">
        <f t="shared" si="263"/>
        <v>316068.40735120192</v>
      </c>
      <c r="BK203" s="199">
        <f t="shared" si="271"/>
        <v>474102.61102680292</v>
      </c>
      <c r="BL203" s="251">
        <f t="shared" si="264"/>
        <v>2.000436325742181E-3</v>
      </c>
      <c r="BM203" s="199">
        <f t="shared" si="279"/>
        <v>39288.50737912461</v>
      </c>
      <c r="BN203" s="251">
        <f t="shared" si="265"/>
        <v>1.6965999337538538E-3</v>
      </c>
      <c r="BT203" s="199">
        <f>'Detailed Budget'!$AD$12</f>
        <v>194045122715</v>
      </c>
      <c r="BU203" s="199">
        <f>'Detailed Budget'!$AD$24</f>
        <v>194045122715</v>
      </c>
      <c r="BV203" s="596">
        <f t="shared" si="280"/>
        <v>0</v>
      </c>
      <c r="BW203" s="278"/>
      <c r="BX203" s="275">
        <f t="shared" si="215"/>
        <v>0</v>
      </c>
      <c r="BY203" s="275">
        <f t="shared" si="216"/>
        <v>0</v>
      </c>
      <c r="CA203" s="199">
        <f>'Detailed Budget'!$AD$96</f>
        <v>71050111380.677719</v>
      </c>
      <c r="CB203" s="275">
        <f t="shared" si="266"/>
        <v>176750917.05700371</v>
      </c>
      <c r="CE203" s="199">
        <f>'Detailed Budget'!$AD$175</f>
        <v>4330586076.5988197</v>
      </c>
      <c r="CF203" s="275">
        <f t="shared" si="281"/>
        <v>27698747.497960977</v>
      </c>
      <c r="CG203" s="199">
        <f>'Detailed Budget'!$AD$176</f>
        <v>20662817754.37001</v>
      </c>
      <c r="CH203" s="275">
        <f t="shared" si="282"/>
        <v>132160907.13119479</v>
      </c>
      <c r="CI203" s="275">
        <f t="shared" si="211"/>
        <v>159859654.62915576</v>
      </c>
      <c r="CJ203" s="275">
        <f>'Detailed Budget'!$AD$178</f>
        <v>46025131033.061455</v>
      </c>
      <c r="CK203" s="275">
        <f t="shared" si="283"/>
        <v>199415202.13743865</v>
      </c>
      <c r="CL203" s="275">
        <f t="shared" si="206"/>
        <v>359274856.76659441</v>
      </c>
      <c r="CM203" s="278">
        <f>'Detailed Budget'!$AD$189</f>
        <v>77498869683.252869</v>
      </c>
      <c r="CN203" s="275">
        <f t="shared" si="268"/>
        <v>0</v>
      </c>
      <c r="CO203" s="140">
        <f>'Detailed Budget'!$AD$191</f>
        <v>2684962805.4134097</v>
      </c>
      <c r="CP203" s="616">
        <f t="shared" si="269"/>
        <v>0</v>
      </c>
      <c r="CQ203" s="616">
        <f t="shared" si="270"/>
        <v>0</v>
      </c>
      <c r="CR203" s="199">
        <f>'Detailed Budget'!$AD$195</f>
        <v>18734176418</v>
      </c>
      <c r="CS203" s="275">
        <f t="shared" si="284"/>
        <v>31784402.46971181</v>
      </c>
      <c r="CW203" s="278"/>
      <c r="DH203" s="140">
        <f>'Detailed Budget'!$AD$163</f>
        <v>4928560000</v>
      </c>
      <c r="DI203" s="616">
        <f t="shared" si="285"/>
        <v>7840000.0000000009</v>
      </c>
    </row>
    <row r="204" spans="1:113" outlineLevel="1">
      <c r="A204" s="214" t="s">
        <v>573</v>
      </c>
      <c r="B204" s="215" t="s">
        <v>574</v>
      </c>
      <c r="C204" s="216" t="s">
        <v>234</v>
      </c>
      <c r="D204" s="229" t="s">
        <v>234</v>
      </c>
      <c r="E204" s="216"/>
      <c r="F204" s="216"/>
      <c r="G204" s="216"/>
      <c r="H204" s="216" t="s">
        <v>234</v>
      </c>
      <c r="I204" s="217" t="s">
        <v>234</v>
      </c>
      <c r="J204" s="217"/>
      <c r="K204" s="216" t="s">
        <v>234</v>
      </c>
      <c r="L204" s="216"/>
      <c r="M204" s="217"/>
      <c r="N204" s="216"/>
      <c r="O204" s="217"/>
      <c r="P204" s="216"/>
      <c r="Q204" s="217"/>
      <c r="R204" s="217" t="s">
        <v>234</v>
      </c>
      <c r="S204" s="217"/>
      <c r="T204" s="217"/>
      <c r="U204" s="218">
        <f t="shared" si="272"/>
        <v>6</v>
      </c>
      <c r="V204" s="867" t="s">
        <v>238</v>
      </c>
      <c r="W204" s="219">
        <v>79078</v>
      </c>
      <c r="X204" s="220">
        <v>3.47</v>
      </c>
      <c r="Y204" s="221">
        <f t="shared" si="221"/>
        <v>1.0347</v>
      </c>
      <c r="Z204" s="199">
        <v>19</v>
      </c>
      <c r="AA204" s="221">
        <f t="shared" si="222"/>
        <v>1.9119412036868784</v>
      </c>
      <c r="AB204" s="199">
        <f t="shared" si="253"/>
        <v>151192.48650515097</v>
      </c>
      <c r="AC204">
        <v>19.100000000000001</v>
      </c>
      <c r="AD204" s="199">
        <f t="shared" si="254"/>
        <v>28877.764922483839</v>
      </c>
      <c r="AE204" s="199">
        <f t="shared" si="225"/>
        <v>27433.876676359647</v>
      </c>
      <c r="AF204" s="199">
        <f t="shared" ref="AF204:AF267" si="287">AE204*BB204</f>
        <v>27433.876676359647</v>
      </c>
      <c r="AG204" s="614">
        <f t="shared" si="273"/>
        <v>1.2684220205395986E-3</v>
      </c>
      <c r="AH204" s="199">
        <f t="shared" si="286"/>
        <v>7559.6243252575487</v>
      </c>
      <c r="AI204" s="252">
        <f t="shared" si="256"/>
        <v>5.8563264252807154E-4</v>
      </c>
      <c r="AJ204" s="199">
        <f t="shared" si="274"/>
        <v>36437.38924774139</v>
      </c>
      <c r="AK204" s="199">
        <f t="shared" si="209"/>
        <v>6047.6994602060386</v>
      </c>
      <c r="AL204" s="199">
        <f t="shared" si="210"/>
        <v>6047.6994602060386</v>
      </c>
      <c r="AM204" s="199">
        <f t="shared" si="257"/>
        <v>12095.398920412077</v>
      </c>
      <c r="AN204" s="645">
        <f t="shared" si="258"/>
        <v>5.8563264252807154E-4</v>
      </c>
      <c r="AO204" s="199">
        <v>10</v>
      </c>
      <c r="AP204" s="250">
        <f t="shared" si="259"/>
        <v>1.1362345188046814E-3</v>
      </c>
      <c r="AQ204" s="199">
        <v>10</v>
      </c>
      <c r="AU204" s="199">
        <v>0</v>
      </c>
      <c r="AW204" s="250">
        <f t="shared" si="260"/>
        <v>0</v>
      </c>
      <c r="AX204" s="199">
        <v>1</v>
      </c>
      <c r="AY204" s="199">
        <f t="shared" si="275"/>
        <v>9264.8641531463782</v>
      </c>
      <c r="AZ204" s="199">
        <f t="shared" si="276"/>
        <v>9264.8641531463782</v>
      </c>
      <c r="BA204" s="252">
        <f t="shared" si="261"/>
        <v>7.2827844502736745E-4</v>
      </c>
      <c r="BB204" s="284">
        <v>1</v>
      </c>
      <c r="BC204" s="199">
        <f t="shared" si="277"/>
        <v>20791.990744188362</v>
      </c>
      <c r="BD204" s="270">
        <f t="shared" si="207"/>
        <v>1.8724662544082598E-3</v>
      </c>
      <c r="BE204" s="199">
        <f t="shared" si="278"/>
        <v>88943.515961250232</v>
      </c>
      <c r="BF204" s="251">
        <f t="shared" si="208"/>
        <v>1.872466296017982E-3</v>
      </c>
      <c r="BG204" s="204">
        <f t="shared" si="230"/>
        <v>109735.5067054386</v>
      </c>
      <c r="BH204" s="636">
        <v>0</v>
      </c>
      <c r="BI204" s="199">
        <f t="shared" si="262"/>
        <v>46264.900870576195</v>
      </c>
      <c r="BJ204" s="199">
        <f t="shared" si="263"/>
        <v>92529.801741152391</v>
      </c>
      <c r="BK204" s="199">
        <f t="shared" si="271"/>
        <v>138794.70261172857</v>
      </c>
      <c r="BL204" s="251">
        <f t="shared" si="264"/>
        <v>5.8563264252807143E-4</v>
      </c>
      <c r="BM204" s="199">
        <f t="shared" si="279"/>
        <v>11501.806931487292</v>
      </c>
      <c r="BN204" s="251">
        <f t="shared" si="265"/>
        <v>4.966837932962407E-4</v>
      </c>
      <c r="BT204" s="199">
        <f>'Detailed Budget'!$AD$12</f>
        <v>194045122715</v>
      </c>
      <c r="BU204" s="199">
        <f>'Detailed Budget'!$AD$24</f>
        <v>194045122715</v>
      </c>
      <c r="BV204" s="596">
        <f t="shared" si="280"/>
        <v>0</v>
      </c>
      <c r="BW204" s="278"/>
      <c r="BX204" s="275">
        <f t="shared" si="215"/>
        <v>0</v>
      </c>
      <c r="BY204" s="275">
        <f t="shared" si="216"/>
        <v>0</v>
      </c>
      <c r="CA204" s="199">
        <f>'Detailed Budget'!$AD$96</f>
        <v>71050111380.677719</v>
      </c>
      <c r="CB204" s="275">
        <f t="shared" si="266"/>
        <v>51744264.635341235</v>
      </c>
      <c r="CE204" s="199">
        <f>'Detailed Budget'!$AD$175</f>
        <v>4330586076.5988197</v>
      </c>
      <c r="CF204" s="275">
        <f t="shared" si="281"/>
        <v>8108876.2902415534</v>
      </c>
      <c r="CG204" s="199">
        <f>'Detailed Budget'!$AD$176</f>
        <v>20662817754.37001</v>
      </c>
      <c r="CH204" s="275">
        <f t="shared" si="282"/>
        <v>38690429.825819813</v>
      </c>
      <c r="CI204" s="275">
        <f t="shared" si="211"/>
        <v>46799306.116061367</v>
      </c>
      <c r="CJ204" s="275">
        <f>'Detailed Budget'!$AD$178</f>
        <v>46025131033.061455</v>
      </c>
      <c r="CK204" s="275">
        <f t="shared" si="283"/>
        <v>58379289.700555593</v>
      </c>
      <c r="CL204" s="275">
        <f t="shared" ref="CL204:CL267" si="288">CI204+CK204</f>
        <v>105178595.81661695</v>
      </c>
      <c r="CM204" s="278">
        <f>'Detailed Budget'!$AD$189</f>
        <v>77498869683.252869</v>
      </c>
      <c r="CN204" s="275">
        <f t="shared" si="268"/>
        <v>0</v>
      </c>
      <c r="CO204" s="140">
        <f>'Detailed Budget'!$AD$191</f>
        <v>2684962805.4134097</v>
      </c>
      <c r="CP204" s="616">
        <f t="shared" si="269"/>
        <v>0</v>
      </c>
      <c r="CQ204" s="616">
        <f t="shared" si="270"/>
        <v>0</v>
      </c>
      <c r="CR204" s="199">
        <f>'Detailed Budget'!$AD$195</f>
        <v>18734176418</v>
      </c>
      <c r="CS204" s="275">
        <f t="shared" si="284"/>
        <v>9304961.8075732198</v>
      </c>
      <c r="CW204" s="278"/>
      <c r="DH204" s="140">
        <f>'Detailed Budget'!$AD$163</f>
        <v>4928560000</v>
      </c>
      <c r="DI204" s="616">
        <f t="shared" si="285"/>
        <v>5600000</v>
      </c>
    </row>
    <row r="205" spans="1:113" outlineLevel="1">
      <c r="A205" s="214" t="s">
        <v>575</v>
      </c>
      <c r="B205" s="215" t="s">
        <v>576</v>
      </c>
      <c r="C205" s="216" t="s">
        <v>234</v>
      </c>
      <c r="D205" s="229" t="s">
        <v>234</v>
      </c>
      <c r="E205" s="216"/>
      <c r="F205" s="216"/>
      <c r="G205" s="216"/>
      <c r="H205" s="216" t="s">
        <v>234</v>
      </c>
      <c r="I205" s="217" t="s">
        <v>234</v>
      </c>
      <c r="J205" s="217"/>
      <c r="K205" s="216" t="s">
        <v>234</v>
      </c>
      <c r="L205" s="216"/>
      <c r="M205" s="217"/>
      <c r="N205" s="216"/>
      <c r="O205" s="217"/>
      <c r="P205" s="216"/>
      <c r="Q205" s="217"/>
      <c r="R205" s="217" t="s">
        <v>234</v>
      </c>
      <c r="S205" s="217"/>
      <c r="T205" s="217"/>
      <c r="U205" s="218">
        <f t="shared" si="272"/>
        <v>6</v>
      </c>
      <c r="V205" s="867" t="s">
        <v>238</v>
      </c>
      <c r="W205" s="219">
        <v>175760</v>
      </c>
      <c r="X205" s="220">
        <v>3.47</v>
      </c>
      <c r="Y205" s="221">
        <f t="shared" si="221"/>
        <v>1.0347</v>
      </c>
      <c r="Z205" s="199">
        <v>19</v>
      </c>
      <c r="AA205" s="221">
        <f t="shared" si="222"/>
        <v>1.9119412036868784</v>
      </c>
      <c r="AB205" s="199">
        <f t="shared" si="253"/>
        <v>336042.78596000571</v>
      </c>
      <c r="AC205">
        <v>19.100000000000001</v>
      </c>
      <c r="AD205" s="199">
        <f t="shared" si="254"/>
        <v>64184.172118361101</v>
      </c>
      <c r="AE205" s="199">
        <f t="shared" si="225"/>
        <v>60974.963512443042</v>
      </c>
      <c r="AF205" s="199">
        <f t="shared" si="287"/>
        <v>60974.963512443042</v>
      </c>
      <c r="AG205" s="614">
        <f t="shared" si="273"/>
        <v>2.8192146277098537E-3</v>
      </c>
      <c r="AH205" s="199">
        <f t="shared" si="286"/>
        <v>16802.139298000286</v>
      </c>
      <c r="AI205" s="252">
        <f t="shared" si="256"/>
        <v>1.3016362736884323E-3</v>
      </c>
      <c r="AJ205" s="199">
        <f t="shared" si="274"/>
        <v>80986.311416361394</v>
      </c>
      <c r="AK205" s="199">
        <f t="shared" si="209"/>
        <v>13441.711438400229</v>
      </c>
      <c r="AL205" s="199">
        <f t="shared" si="210"/>
        <v>13441.711438400229</v>
      </c>
      <c r="AM205" s="199">
        <f t="shared" si="257"/>
        <v>26883.422876800458</v>
      </c>
      <c r="AN205" s="645">
        <f t="shared" si="258"/>
        <v>1.3016362736884323E-3</v>
      </c>
      <c r="AO205" s="199">
        <v>11</v>
      </c>
      <c r="AP205" s="250">
        <f t="shared" si="259"/>
        <v>1.2498579706851495E-3</v>
      </c>
      <c r="AQ205" s="199">
        <v>11</v>
      </c>
      <c r="AU205" s="199">
        <v>0</v>
      </c>
      <c r="AW205" s="250">
        <f t="shared" si="260"/>
        <v>0</v>
      </c>
      <c r="AX205" s="199">
        <v>1</v>
      </c>
      <c r="AY205" s="199">
        <f t="shared" si="275"/>
        <v>20592.232018475519</v>
      </c>
      <c r="AZ205" s="199">
        <f t="shared" si="276"/>
        <v>20592.232018475519</v>
      </c>
      <c r="BA205" s="252">
        <f t="shared" si="261"/>
        <v>1.6186830660614847E-3</v>
      </c>
      <c r="BB205" s="284">
        <v>1</v>
      </c>
      <c r="BC205" s="199">
        <f t="shared" si="277"/>
        <v>46212.603925219992</v>
      </c>
      <c r="BD205" s="270">
        <f t="shared" si="207"/>
        <v>4.1617727923669761E-3</v>
      </c>
      <c r="BE205" s="199">
        <f t="shared" si="278"/>
        <v>197687.2501245522</v>
      </c>
      <c r="BF205" s="251">
        <f t="shared" si="208"/>
        <v>4.1617728848493954E-3</v>
      </c>
      <c r="BG205" s="204">
        <f t="shared" si="230"/>
        <v>243899.8540497722</v>
      </c>
      <c r="BH205" s="636">
        <v>0</v>
      </c>
      <c r="BI205" s="199">
        <f t="shared" si="262"/>
        <v>102829.09250376176</v>
      </c>
      <c r="BJ205" s="199">
        <f t="shared" si="263"/>
        <v>205658.18500752351</v>
      </c>
      <c r="BK205" s="199">
        <f t="shared" si="271"/>
        <v>308487.27751128527</v>
      </c>
      <c r="BL205" s="251">
        <f t="shared" si="264"/>
        <v>1.3016362736884323E-3</v>
      </c>
      <c r="BM205" s="199">
        <f t="shared" si="279"/>
        <v>25564.09603528423</v>
      </c>
      <c r="BN205" s="251">
        <f t="shared" si="265"/>
        <v>1.103937169753247E-3</v>
      </c>
      <c r="BT205" s="199">
        <f>'Detailed Budget'!$AD$12</f>
        <v>194045122715</v>
      </c>
      <c r="BU205" s="199">
        <f>'Detailed Budget'!$AD$24</f>
        <v>194045122715</v>
      </c>
      <c r="BV205" s="596">
        <f t="shared" si="280"/>
        <v>0</v>
      </c>
      <c r="BW205" s="278"/>
      <c r="BX205" s="275">
        <f t="shared" si="215"/>
        <v>0</v>
      </c>
      <c r="BY205" s="275">
        <f t="shared" si="216"/>
        <v>0</v>
      </c>
      <c r="CA205" s="199">
        <f>'Detailed Budget'!$AD$96</f>
        <v>71050111380.677719</v>
      </c>
      <c r="CB205" s="275">
        <f t="shared" si="266"/>
        <v>115007612.1336854</v>
      </c>
      <c r="CE205" s="199">
        <f>'Detailed Budget'!$AD$175</f>
        <v>4330586076.5988197</v>
      </c>
      <c r="CF205" s="275">
        <f t="shared" si="281"/>
        <v>18022915.308592219</v>
      </c>
      <c r="CG205" s="199">
        <f>'Detailed Budget'!$AD$176</f>
        <v>20662817754.37001</v>
      </c>
      <c r="CH205" s="275">
        <f t="shared" si="282"/>
        <v>85993954.654721782</v>
      </c>
      <c r="CI205" s="275">
        <f t="shared" si="211"/>
        <v>104016869.963314</v>
      </c>
      <c r="CJ205" s="275">
        <f>'Detailed Budget'!$AD$178</f>
        <v>46025131033.061455</v>
      </c>
      <c r="CK205" s="275">
        <f t="shared" si="283"/>
        <v>129754722.65066959</v>
      </c>
      <c r="CL205" s="275">
        <f t="shared" si="288"/>
        <v>233771592.61398357</v>
      </c>
      <c r="CM205" s="278">
        <f>'Detailed Budget'!$AD$189</f>
        <v>77498869683.252869</v>
      </c>
      <c r="CN205" s="275">
        <f t="shared" si="268"/>
        <v>0</v>
      </c>
      <c r="CO205" s="140">
        <f>'Detailed Budget'!$AD$191</f>
        <v>2684962805.4134097</v>
      </c>
      <c r="CP205" s="616">
        <f t="shared" si="269"/>
        <v>0</v>
      </c>
      <c r="CQ205" s="616">
        <f t="shared" si="270"/>
        <v>0</v>
      </c>
      <c r="CR205" s="199">
        <f>'Detailed Budget'!$AD$195</f>
        <v>18734176418</v>
      </c>
      <c r="CS205" s="275">
        <f t="shared" si="284"/>
        <v>20681353.692544941</v>
      </c>
      <c r="CW205" s="278"/>
      <c r="DH205" s="140">
        <f>'Detailed Budget'!$AD$163</f>
        <v>4928560000</v>
      </c>
      <c r="DI205" s="616">
        <f t="shared" si="285"/>
        <v>6160000</v>
      </c>
    </row>
    <row r="206" spans="1:113" outlineLevel="1">
      <c r="A206" s="214" t="s">
        <v>577</v>
      </c>
      <c r="B206" s="215" t="s">
        <v>578</v>
      </c>
      <c r="C206" s="216" t="s">
        <v>234</v>
      </c>
      <c r="D206" s="229" t="s">
        <v>234</v>
      </c>
      <c r="E206" s="216"/>
      <c r="F206" s="216"/>
      <c r="G206" s="216"/>
      <c r="H206" s="216" t="s">
        <v>234</v>
      </c>
      <c r="I206" s="217" t="s">
        <v>234</v>
      </c>
      <c r="J206" s="217"/>
      <c r="K206" s="216" t="s">
        <v>234</v>
      </c>
      <c r="L206" s="216"/>
      <c r="M206" s="217"/>
      <c r="N206" s="216"/>
      <c r="O206" s="217"/>
      <c r="P206" s="216"/>
      <c r="Q206" s="217"/>
      <c r="R206" s="217" t="s">
        <v>234</v>
      </c>
      <c r="S206" s="217"/>
      <c r="T206" s="217"/>
      <c r="U206" s="218">
        <f t="shared" si="272"/>
        <v>6</v>
      </c>
      <c r="V206" s="867" t="s">
        <v>238</v>
      </c>
      <c r="W206" s="219">
        <v>66333</v>
      </c>
      <c r="X206" s="220">
        <v>3.47</v>
      </c>
      <c r="Y206" s="221">
        <f t="shared" si="221"/>
        <v>1.0347</v>
      </c>
      <c r="Z206" s="199">
        <v>19</v>
      </c>
      <c r="AA206" s="221">
        <f t="shared" si="222"/>
        <v>1.9119412036868784</v>
      </c>
      <c r="AB206" s="199">
        <f t="shared" si="253"/>
        <v>126824.7958641617</v>
      </c>
      <c r="AC206">
        <v>19.100000000000001</v>
      </c>
      <c r="AD206" s="199">
        <f t="shared" si="254"/>
        <v>24223.536010054886</v>
      </c>
      <c r="AE206" s="199">
        <f t="shared" si="225"/>
        <v>23012.359209552142</v>
      </c>
      <c r="AF206" s="199">
        <f t="shared" si="287"/>
        <v>23012.359209552142</v>
      </c>
      <c r="AG206" s="614">
        <f t="shared" si="273"/>
        <v>1.063990463699805E-3</v>
      </c>
      <c r="AH206" s="199">
        <f t="shared" si="286"/>
        <v>6341.2397932080858</v>
      </c>
      <c r="AI206" s="252">
        <f t="shared" si="256"/>
        <v>4.9124623886307914E-4</v>
      </c>
      <c r="AJ206" s="199">
        <f t="shared" si="274"/>
        <v>30564.775803262972</v>
      </c>
      <c r="AK206" s="199">
        <f t="shared" si="209"/>
        <v>5072.9918345664682</v>
      </c>
      <c r="AL206" s="199">
        <f t="shared" si="210"/>
        <v>5072.9918345664682</v>
      </c>
      <c r="AM206" s="199">
        <f t="shared" si="257"/>
        <v>10145.983669132936</v>
      </c>
      <c r="AN206" s="645">
        <f t="shared" si="258"/>
        <v>4.9124623886307914E-4</v>
      </c>
      <c r="AO206" s="199">
        <v>11</v>
      </c>
      <c r="AP206" s="250">
        <f t="shared" si="259"/>
        <v>1.2498579706851495E-3</v>
      </c>
      <c r="AQ206" s="199">
        <v>11</v>
      </c>
      <c r="AU206" s="199">
        <v>0</v>
      </c>
      <c r="AW206" s="250">
        <f t="shared" si="260"/>
        <v>0</v>
      </c>
      <c r="AX206" s="199">
        <v>1</v>
      </c>
      <c r="AY206" s="199">
        <f t="shared" si="275"/>
        <v>7771.6461452067397</v>
      </c>
      <c r="AZ206" s="199">
        <f t="shared" si="276"/>
        <v>7771.6461452067397</v>
      </c>
      <c r="BA206" s="252">
        <f t="shared" si="261"/>
        <v>6.1090181964642957E-4</v>
      </c>
      <c r="BB206" s="284">
        <v>1</v>
      </c>
      <c r="BC206" s="199">
        <f t="shared" si="277"/>
        <v>17440.945927239518</v>
      </c>
      <c r="BD206" s="270">
        <f t="shared" si="207"/>
        <v>1.5706808980204747E-3</v>
      </c>
      <c r="BE206" s="199">
        <f t="shared" si="278"/>
        <v>74608.490910969049</v>
      </c>
      <c r="BF206" s="251">
        <f t="shared" si="208"/>
        <v>1.5706809329239582E-3</v>
      </c>
      <c r="BG206" s="204">
        <f t="shared" si="230"/>
        <v>92049.436838208567</v>
      </c>
      <c r="BH206" s="636">
        <v>0</v>
      </c>
      <c r="BI206" s="199">
        <f t="shared" si="262"/>
        <v>38808.387534433481</v>
      </c>
      <c r="BJ206" s="199">
        <f t="shared" si="263"/>
        <v>77616.775068866962</v>
      </c>
      <c r="BK206" s="199">
        <f t="shared" si="271"/>
        <v>116425.16260330044</v>
      </c>
      <c r="BL206" s="251">
        <f t="shared" si="264"/>
        <v>4.9124623886307914E-4</v>
      </c>
      <c r="BM206" s="199">
        <f t="shared" si="279"/>
        <v>9648.0608916050805</v>
      </c>
      <c r="BN206" s="251">
        <f t="shared" si="265"/>
        <v>4.1663327424466395E-4</v>
      </c>
      <c r="BT206" s="199">
        <f>'Detailed Budget'!$AD$12</f>
        <v>194045122715</v>
      </c>
      <c r="BU206" s="199">
        <f>'Detailed Budget'!$AD$24</f>
        <v>194045122715</v>
      </c>
      <c r="BV206" s="596">
        <f t="shared" si="280"/>
        <v>0</v>
      </c>
      <c r="BW206" s="278"/>
      <c r="BX206" s="275">
        <f t="shared" si="215"/>
        <v>0</v>
      </c>
      <c r="BY206" s="275">
        <f t="shared" si="216"/>
        <v>0</v>
      </c>
      <c r="CA206" s="199">
        <f>'Detailed Budget'!$AD$96</f>
        <v>71050111380.677719</v>
      </c>
      <c r="CB206" s="275">
        <f t="shared" si="266"/>
        <v>43404642.328537516</v>
      </c>
      <c r="CE206" s="199">
        <f>'Detailed Budget'!$AD$175</f>
        <v>4330586076.5988197</v>
      </c>
      <c r="CF206" s="275">
        <f t="shared" si="281"/>
        <v>6801968.8277471988</v>
      </c>
      <c r="CG206" s="199">
        <f>'Detailed Budget'!$AD$176</f>
        <v>20662817754.37001</v>
      </c>
      <c r="CH206" s="275">
        <f t="shared" si="282"/>
        <v>32454693.867271617</v>
      </c>
      <c r="CI206" s="275">
        <f t="shared" si="211"/>
        <v>39256662.695018813</v>
      </c>
      <c r="CJ206" s="275">
        <f>'Detailed Budget'!$AD$178</f>
        <v>46025131033.061455</v>
      </c>
      <c r="CK206" s="275">
        <f t="shared" si="283"/>
        <v>48970300.50971134</v>
      </c>
      <c r="CL206" s="275">
        <f t="shared" si="288"/>
        <v>88226963.204730153</v>
      </c>
      <c r="CM206" s="278">
        <f>'Detailed Budget'!$AD$189</f>
        <v>77498869683.252869</v>
      </c>
      <c r="CN206" s="275">
        <f t="shared" si="268"/>
        <v>0</v>
      </c>
      <c r="CO206" s="140">
        <f>'Detailed Budget'!$AD$191</f>
        <v>2684962805.4134097</v>
      </c>
      <c r="CP206" s="616">
        <f t="shared" si="269"/>
        <v>0</v>
      </c>
      <c r="CQ206" s="616">
        <f t="shared" si="270"/>
        <v>0</v>
      </c>
      <c r="CR206" s="199">
        <f>'Detailed Budget'!$AD$195</f>
        <v>18734176418</v>
      </c>
      <c r="CS206" s="275">
        <f t="shared" si="284"/>
        <v>7805281.2613085099</v>
      </c>
      <c r="CW206" s="278"/>
      <c r="DH206" s="140">
        <f>'Detailed Budget'!$AD$163</f>
        <v>4928560000</v>
      </c>
      <c r="DI206" s="616">
        <f t="shared" si="285"/>
        <v>6160000</v>
      </c>
    </row>
    <row r="207" spans="1:113" outlineLevel="1">
      <c r="A207" s="214" t="s">
        <v>579</v>
      </c>
      <c r="B207" s="215" t="s">
        <v>580</v>
      </c>
      <c r="C207" s="216" t="s">
        <v>234</v>
      </c>
      <c r="D207" s="229" t="s">
        <v>234</v>
      </c>
      <c r="E207" s="216"/>
      <c r="F207" s="216"/>
      <c r="G207" s="216"/>
      <c r="H207" s="216" t="s">
        <v>234</v>
      </c>
      <c r="I207" s="217" t="s">
        <v>234</v>
      </c>
      <c r="J207" s="217"/>
      <c r="K207" s="216" t="s">
        <v>234</v>
      </c>
      <c r="L207" s="216"/>
      <c r="M207" s="217"/>
      <c r="N207" s="216"/>
      <c r="O207" s="217"/>
      <c r="P207" s="216"/>
      <c r="Q207" s="217"/>
      <c r="R207" s="217" t="s">
        <v>234</v>
      </c>
      <c r="S207" s="217"/>
      <c r="T207" s="217"/>
      <c r="U207" s="218">
        <f t="shared" si="272"/>
        <v>6</v>
      </c>
      <c r="V207" s="867" t="s">
        <v>238</v>
      </c>
      <c r="W207" s="219">
        <v>233200</v>
      </c>
      <c r="X207" s="220">
        <v>3.47</v>
      </c>
      <c r="Y207" s="221">
        <f t="shared" si="221"/>
        <v>1.0347</v>
      </c>
      <c r="Z207" s="199">
        <v>19</v>
      </c>
      <c r="AA207" s="221">
        <f t="shared" si="222"/>
        <v>1.9119412036868784</v>
      </c>
      <c r="AB207" s="199">
        <f t="shared" si="253"/>
        <v>445864.68869978003</v>
      </c>
      <c r="AC207">
        <v>19.100000000000001</v>
      </c>
      <c r="AD207" s="199">
        <f t="shared" si="254"/>
        <v>85160.155541657994</v>
      </c>
      <c r="AE207" s="199">
        <f t="shared" si="225"/>
        <v>80902.147764575086</v>
      </c>
      <c r="AF207" s="199">
        <f t="shared" si="287"/>
        <v>80902.147764575086</v>
      </c>
      <c r="AG207" s="614">
        <f t="shared" si="273"/>
        <v>3.7405601455503977E-3</v>
      </c>
      <c r="AH207" s="199">
        <f t="shared" si="286"/>
        <v>22293.234434989005</v>
      </c>
      <c r="AI207" s="252">
        <f t="shared" si="256"/>
        <v>1.7270230941291674E-3</v>
      </c>
      <c r="AJ207" s="199">
        <f t="shared" si="274"/>
        <v>107453.389976647</v>
      </c>
      <c r="AK207" s="199">
        <f t="shared" si="209"/>
        <v>17834.587547991203</v>
      </c>
      <c r="AL207" s="199">
        <f t="shared" si="210"/>
        <v>17834.587547991203</v>
      </c>
      <c r="AM207" s="199">
        <f t="shared" si="257"/>
        <v>35669.175095982406</v>
      </c>
      <c r="AN207" s="645">
        <f t="shared" si="258"/>
        <v>1.7270230941291674E-3</v>
      </c>
      <c r="AO207" s="199">
        <v>10</v>
      </c>
      <c r="AP207" s="250">
        <f t="shared" si="259"/>
        <v>1.1362345188046814E-3</v>
      </c>
      <c r="AQ207" s="199">
        <v>10</v>
      </c>
      <c r="AU207" s="199">
        <v>0</v>
      </c>
      <c r="AW207" s="250">
        <f t="shared" si="260"/>
        <v>0</v>
      </c>
      <c r="AX207" s="199">
        <v>1</v>
      </c>
      <c r="AY207" s="199">
        <f t="shared" si="275"/>
        <v>27321.964649001431</v>
      </c>
      <c r="AZ207" s="199">
        <f t="shared" si="276"/>
        <v>27321.964649001431</v>
      </c>
      <c r="BA207" s="252">
        <f t="shared" si="261"/>
        <v>2.1476837221525848E-3</v>
      </c>
      <c r="BB207" s="284">
        <v>1</v>
      </c>
      <c r="BC207" s="199">
        <f t="shared" si="277"/>
        <v>61315.311989993752</v>
      </c>
      <c r="BD207" s="270">
        <f t="shared" ref="BD207:BD273" si="289">BC207/11104067</f>
        <v>5.5218787845925056E-3</v>
      </c>
      <c r="BE207" s="199">
        <f t="shared" si="278"/>
        <v>262293.27906830661</v>
      </c>
      <c r="BF207" s="251">
        <f t="shared" ref="BF207:BF273" si="290">BE207/47500730</f>
        <v>5.5218789072990371E-3</v>
      </c>
      <c r="BG207" s="204">
        <f t="shared" si="230"/>
        <v>323608.59105830034</v>
      </c>
      <c r="BH207" s="636">
        <v>0</v>
      </c>
      <c r="BI207" s="199">
        <f t="shared" si="262"/>
        <v>136434.5947421327</v>
      </c>
      <c r="BJ207" s="199">
        <f t="shared" si="263"/>
        <v>272869.1894842654</v>
      </c>
      <c r="BK207" s="199">
        <f t="shared" si="271"/>
        <v>409303.7842263981</v>
      </c>
      <c r="BL207" s="251">
        <f t="shared" si="264"/>
        <v>1.7270230941291674E-3</v>
      </c>
      <c r="BM207" s="199">
        <f t="shared" si="279"/>
        <v>33918.67999219551</v>
      </c>
      <c r="BN207" s="251">
        <f t="shared" si="265"/>
        <v>1.4647140873148452E-3</v>
      </c>
      <c r="BT207" s="199">
        <f>'Detailed Budget'!$AD$12</f>
        <v>194045122715</v>
      </c>
      <c r="BU207" s="199">
        <f>'Detailed Budget'!$AD$24</f>
        <v>194045122715</v>
      </c>
      <c r="BV207" s="596">
        <f t="shared" si="280"/>
        <v>0</v>
      </c>
      <c r="BW207" s="278"/>
      <c r="BX207" s="275">
        <f t="shared" si="215"/>
        <v>0</v>
      </c>
      <c r="BY207" s="275">
        <f t="shared" si="216"/>
        <v>0</v>
      </c>
      <c r="CA207" s="199">
        <f>'Detailed Budget'!$AD$96</f>
        <v>71050111380.677719</v>
      </c>
      <c r="CB207" s="275">
        <f t="shared" si="266"/>
        <v>152593167.66940963</v>
      </c>
      <c r="CE207" s="199">
        <f>'Detailed Budget'!$AD$175</f>
        <v>4330586076.5988197</v>
      </c>
      <c r="CF207" s="275">
        <f t="shared" si="281"/>
        <v>23912971.381222717</v>
      </c>
      <c r="CG207" s="199">
        <f>'Detailed Budget'!$AD$176</f>
        <v>20662817754.37001</v>
      </c>
      <c r="CH207" s="275">
        <f t="shared" si="282"/>
        <v>114097577.52321982</v>
      </c>
      <c r="CI207" s="275">
        <f t="shared" si="211"/>
        <v>138010548.90444255</v>
      </c>
      <c r="CJ207" s="275">
        <f>'Detailed Budget'!$AD$178</f>
        <v>46025131033.061455</v>
      </c>
      <c r="CK207" s="275">
        <f t="shared" si="283"/>
        <v>172159770.83600447</v>
      </c>
      <c r="CL207" s="275">
        <f t="shared" si="288"/>
        <v>310170319.74044704</v>
      </c>
      <c r="CM207" s="278">
        <f>'Detailed Budget'!$AD$189</f>
        <v>77498869683.252869</v>
      </c>
      <c r="CN207" s="275">
        <f t="shared" si="268"/>
        <v>0</v>
      </c>
      <c r="CO207" s="140">
        <f>'Detailed Budget'!$AD$191</f>
        <v>2684962805.4134097</v>
      </c>
      <c r="CP207" s="616">
        <f t="shared" si="269"/>
        <v>0</v>
      </c>
      <c r="CQ207" s="616">
        <f t="shared" si="270"/>
        <v>0</v>
      </c>
      <c r="CR207" s="199">
        <f>'Detailed Budget'!$AD$195</f>
        <v>18734176418</v>
      </c>
      <c r="CS207" s="275">
        <f t="shared" si="284"/>
        <v>27440212.113686167</v>
      </c>
      <c r="CW207" s="278"/>
      <c r="DH207" s="140">
        <f>'Detailed Budget'!$AD$163</f>
        <v>4928560000</v>
      </c>
      <c r="DI207" s="616">
        <f t="shared" si="285"/>
        <v>5600000</v>
      </c>
    </row>
    <row r="208" spans="1:113" outlineLevel="1">
      <c r="A208" s="214" t="s">
        <v>581</v>
      </c>
      <c r="B208" s="215" t="s">
        <v>582</v>
      </c>
      <c r="C208" s="216" t="s">
        <v>234</v>
      </c>
      <c r="D208" s="229" t="s">
        <v>234</v>
      </c>
      <c r="E208" s="216"/>
      <c r="F208" s="216"/>
      <c r="G208" s="216"/>
      <c r="H208" s="216" t="s">
        <v>234</v>
      </c>
      <c r="I208" s="217" t="s">
        <v>234</v>
      </c>
      <c r="J208" s="217"/>
      <c r="K208" s="216" t="s">
        <v>234</v>
      </c>
      <c r="L208" s="216"/>
      <c r="M208" s="217"/>
      <c r="N208" s="216"/>
      <c r="O208" s="217"/>
      <c r="P208" s="216"/>
      <c r="Q208" s="217"/>
      <c r="R208" s="217" t="s">
        <v>234</v>
      </c>
      <c r="S208" s="217"/>
      <c r="T208" s="217"/>
      <c r="U208" s="218">
        <f t="shared" si="272"/>
        <v>6</v>
      </c>
      <c r="V208" s="867" t="s">
        <v>238</v>
      </c>
      <c r="W208" s="219">
        <v>105042</v>
      </c>
      <c r="X208" s="220">
        <v>3.47</v>
      </c>
      <c r="Y208" s="221">
        <f t="shared" si="221"/>
        <v>1.0347</v>
      </c>
      <c r="Z208" s="199">
        <v>19</v>
      </c>
      <c r="AA208" s="221">
        <f t="shared" si="222"/>
        <v>1.9119412036868784</v>
      </c>
      <c r="AB208" s="199">
        <f t="shared" si="253"/>
        <v>200834.12791767708</v>
      </c>
      <c r="AC208">
        <v>19.100000000000001</v>
      </c>
      <c r="AD208" s="199">
        <f t="shared" si="254"/>
        <v>38359.318432276326</v>
      </c>
      <c r="AE208" s="199">
        <f t="shared" si="225"/>
        <v>36441.352510662509</v>
      </c>
      <c r="AF208" s="199">
        <f t="shared" si="287"/>
        <v>36441.352510662509</v>
      </c>
      <c r="AG208" s="614">
        <f t="shared" si="273"/>
        <v>1.6848881595579112E-3</v>
      </c>
      <c r="AH208" s="199">
        <f t="shared" si="286"/>
        <v>10041.706395883855</v>
      </c>
      <c r="AI208" s="252">
        <f t="shared" si="256"/>
        <v>7.7791577981782165E-4</v>
      </c>
      <c r="AJ208" s="199">
        <f t="shared" si="274"/>
        <v>48401.024828160182</v>
      </c>
      <c r="AK208" s="199">
        <f t="shared" si="209"/>
        <v>8033.365116707083</v>
      </c>
      <c r="AL208" s="199">
        <f t="shared" si="210"/>
        <v>8033.365116707083</v>
      </c>
      <c r="AM208" s="199">
        <f t="shared" si="257"/>
        <v>16066.730233414166</v>
      </c>
      <c r="AN208" s="645">
        <f t="shared" si="258"/>
        <v>7.7791577981782154E-4</v>
      </c>
      <c r="AO208" s="199">
        <v>10</v>
      </c>
      <c r="AP208" s="250">
        <f t="shared" si="259"/>
        <v>1.1362345188046814E-3</v>
      </c>
      <c r="AQ208" s="199">
        <v>10</v>
      </c>
      <c r="AU208" s="199">
        <v>0</v>
      </c>
      <c r="AW208" s="250">
        <f t="shared" si="260"/>
        <v>0</v>
      </c>
      <c r="AX208" s="199">
        <v>1</v>
      </c>
      <c r="AY208" s="199">
        <f t="shared" si="275"/>
        <v>12306.834522557498</v>
      </c>
      <c r="AZ208" s="199">
        <f t="shared" si="276"/>
        <v>12306.834522557498</v>
      </c>
      <c r="BA208" s="252">
        <f t="shared" si="261"/>
        <v>9.6739705635656855E-4</v>
      </c>
      <c r="BB208" s="284">
        <v>1</v>
      </c>
      <c r="BC208" s="199">
        <f t="shared" si="277"/>
        <v>27618.709271238953</v>
      </c>
      <c r="BD208" s="270">
        <f t="shared" si="289"/>
        <v>2.4872606830667497E-3</v>
      </c>
      <c r="BE208" s="199">
        <f t="shared" si="278"/>
        <v>118146.7007714111</v>
      </c>
      <c r="BF208" s="251">
        <f t="shared" si="290"/>
        <v>2.4872607383383603E-3</v>
      </c>
      <c r="BG208" s="204">
        <f t="shared" si="230"/>
        <v>145765.41004265004</v>
      </c>
      <c r="BH208" s="636">
        <v>0</v>
      </c>
      <c r="BI208" s="199">
        <f t="shared" si="262"/>
        <v>61455.24314280918</v>
      </c>
      <c r="BJ208" s="199">
        <f t="shared" si="263"/>
        <v>122910.48628561836</v>
      </c>
      <c r="BK208" s="199">
        <f t="shared" si="271"/>
        <v>184365.72942842753</v>
      </c>
      <c r="BL208" s="251">
        <f t="shared" si="264"/>
        <v>7.7791577981782144E-4</v>
      </c>
      <c r="BM208" s="199">
        <f t="shared" si="279"/>
        <v>15278.241782762439</v>
      </c>
      <c r="BN208" s="251">
        <f t="shared" si="265"/>
        <v>6.5976199468150082E-4</v>
      </c>
      <c r="BT208" s="199">
        <f>'Detailed Budget'!$AD$12</f>
        <v>194045122715</v>
      </c>
      <c r="BU208" s="199">
        <f>'Detailed Budget'!$AD$24</f>
        <v>194045122715</v>
      </c>
      <c r="BV208" s="596">
        <f t="shared" si="280"/>
        <v>0</v>
      </c>
      <c r="BW208" s="278"/>
      <c r="BX208" s="275">
        <f t="shared" si="215"/>
        <v>0</v>
      </c>
      <c r="BY208" s="275">
        <f t="shared" si="216"/>
        <v>0</v>
      </c>
      <c r="CA208" s="199">
        <f>'Detailed Budget'!$AD$96</f>
        <v>71050111380.677719</v>
      </c>
      <c r="CB208" s="275">
        <f t="shared" si="266"/>
        <v>68733668.603473961</v>
      </c>
      <c r="CE208" s="199">
        <f>'Detailed Budget'!$AD$175</f>
        <v>4330586076.5988197</v>
      </c>
      <c r="CF208" s="275">
        <f t="shared" si="281"/>
        <v>10771296.482960535</v>
      </c>
      <c r="CG208" s="199">
        <f>'Detailed Budget'!$AD$176</f>
        <v>20662817754.37001</v>
      </c>
      <c r="CH208" s="275">
        <f t="shared" si="282"/>
        <v>51393815.343885332</v>
      </c>
      <c r="CI208" s="275">
        <f t="shared" si="211"/>
        <v>62165111.826845869</v>
      </c>
      <c r="CJ208" s="275">
        <f>'Detailed Budget'!$AD$178</f>
        <v>46025131033.061455</v>
      </c>
      <c r="CK208" s="275">
        <f t="shared" si="283"/>
        <v>77547198.319706619</v>
      </c>
      <c r="CL208" s="275">
        <f t="shared" si="288"/>
        <v>139712310.1465525</v>
      </c>
      <c r="CM208" s="278">
        <f>'Detailed Budget'!$AD$189</f>
        <v>77498869683.252869</v>
      </c>
      <c r="CN208" s="275">
        <f t="shared" si="268"/>
        <v>0</v>
      </c>
      <c r="CO208" s="140">
        <f>'Detailed Budget'!$AD$191</f>
        <v>2684962805.4134097</v>
      </c>
      <c r="CP208" s="616">
        <f t="shared" si="269"/>
        <v>0</v>
      </c>
      <c r="CQ208" s="616">
        <f t="shared" si="270"/>
        <v>0</v>
      </c>
      <c r="CR208" s="199">
        <f>'Detailed Budget'!$AD$195</f>
        <v>18734176418</v>
      </c>
      <c r="CS208" s="275">
        <f t="shared" si="284"/>
        <v>12360097.602254814</v>
      </c>
      <c r="CW208" s="278"/>
      <c r="DH208" s="140">
        <f>'Detailed Budget'!$AD$163</f>
        <v>4928560000</v>
      </c>
      <c r="DI208" s="616">
        <f t="shared" si="285"/>
        <v>5600000</v>
      </c>
    </row>
    <row r="209" spans="1:113" outlineLevel="1">
      <c r="A209" s="214" t="s">
        <v>583</v>
      </c>
      <c r="B209" s="215" t="s">
        <v>584</v>
      </c>
      <c r="C209" s="216" t="s">
        <v>234</v>
      </c>
      <c r="D209" s="229" t="s">
        <v>234</v>
      </c>
      <c r="E209" s="216"/>
      <c r="F209" s="216"/>
      <c r="G209" s="216"/>
      <c r="H209" s="216" t="s">
        <v>234</v>
      </c>
      <c r="I209" s="217" t="s">
        <v>234</v>
      </c>
      <c r="J209" s="217"/>
      <c r="K209" s="216" t="s">
        <v>234</v>
      </c>
      <c r="L209" s="216"/>
      <c r="M209" s="217"/>
      <c r="N209" s="216"/>
      <c r="O209" s="217"/>
      <c r="P209" s="216"/>
      <c r="Q209" s="217"/>
      <c r="R209" s="217" t="s">
        <v>234</v>
      </c>
      <c r="S209" s="217"/>
      <c r="T209" s="217"/>
      <c r="U209" s="218">
        <f t="shared" si="272"/>
        <v>6</v>
      </c>
      <c r="V209" s="867" t="s">
        <v>238</v>
      </c>
      <c r="W209" s="219">
        <v>151286</v>
      </c>
      <c r="X209" s="220">
        <v>3.47</v>
      </c>
      <c r="Y209" s="221">
        <f t="shared" si="221"/>
        <v>1.0347</v>
      </c>
      <c r="Z209" s="199">
        <v>19</v>
      </c>
      <c r="AA209" s="221">
        <f t="shared" si="222"/>
        <v>1.9119412036868784</v>
      </c>
      <c r="AB209" s="199">
        <f t="shared" si="253"/>
        <v>289249.9369409731</v>
      </c>
      <c r="AC209">
        <v>19.100000000000001</v>
      </c>
      <c r="AD209" s="199">
        <f t="shared" si="254"/>
        <v>55246.737955725861</v>
      </c>
      <c r="AE209" s="199">
        <f t="shared" si="225"/>
        <v>52484.401057939569</v>
      </c>
      <c r="AF209" s="199">
        <f t="shared" si="287"/>
        <v>52484.401057939569</v>
      </c>
      <c r="AG209" s="614">
        <f t="shared" si="273"/>
        <v>2.4266482940812069E-3</v>
      </c>
      <c r="AH209" s="199">
        <f t="shared" si="286"/>
        <v>14462.496847048656</v>
      </c>
      <c r="AI209" s="252">
        <f t="shared" si="256"/>
        <v>1.1203877179177754E-3</v>
      </c>
      <c r="AJ209" s="199">
        <f t="shared" si="274"/>
        <v>69709.234802774517</v>
      </c>
      <c r="AK209" s="199">
        <f t="shared" ref="AK209:AK272" si="291">AB209*0.04</f>
        <v>11569.997477638924</v>
      </c>
      <c r="AL209" s="199">
        <f t="shared" ref="AL209:AL272" si="292">AB209*0.04</f>
        <v>11569.997477638924</v>
      </c>
      <c r="AM209" s="199">
        <f t="shared" si="257"/>
        <v>23139.994955277849</v>
      </c>
      <c r="AN209" s="645">
        <f t="shared" si="258"/>
        <v>1.1203877179177754E-3</v>
      </c>
      <c r="AO209" s="199">
        <v>10</v>
      </c>
      <c r="AP209" s="250">
        <f t="shared" si="259"/>
        <v>1.1362345188046814E-3</v>
      </c>
      <c r="AQ209" s="199">
        <v>10</v>
      </c>
      <c r="AU209" s="199">
        <v>0</v>
      </c>
      <c r="AW209" s="250">
        <f t="shared" si="260"/>
        <v>0</v>
      </c>
      <c r="AX209" s="199">
        <v>1</v>
      </c>
      <c r="AY209" s="199">
        <f t="shared" si="275"/>
        <v>17724.831663331177</v>
      </c>
      <c r="AZ209" s="199">
        <f t="shared" si="276"/>
        <v>17724.831663331177</v>
      </c>
      <c r="BA209" s="252">
        <f t="shared" si="261"/>
        <v>1.3932867906928641E-3</v>
      </c>
      <c r="BB209" s="284">
        <v>1</v>
      </c>
      <c r="BC209" s="199">
        <f t="shared" si="277"/>
        <v>39777.651328122622</v>
      </c>
      <c r="BD209" s="270">
        <f t="shared" si="289"/>
        <v>3.5822596646906597E-3</v>
      </c>
      <c r="BE209" s="199">
        <f t="shared" si="278"/>
        <v>170159.95290363565</v>
      </c>
      <c r="BF209" s="251">
        <f t="shared" si="290"/>
        <v>3.5822597442952066E-3</v>
      </c>
      <c r="BG209" s="204">
        <f t="shared" si="230"/>
        <v>209937.60423175828</v>
      </c>
      <c r="BH209" s="636">
        <v>0</v>
      </c>
      <c r="BI209" s="199">
        <f t="shared" si="262"/>
        <v>88510.480703937777</v>
      </c>
      <c r="BJ209" s="199">
        <f t="shared" si="263"/>
        <v>177020.96140787555</v>
      </c>
      <c r="BK209" s="199">
        <f t="shared" si="271"/>
        <v>265531.44211181335</v>
      </c>
      <c r="BL209" s="251">
        <f t="shared" si="264"/>
        <v>1.1203877179177756E-3</v>
      </c>
      <c r="BM209" s="199">
        <f t="shared" si="279"/>
        <v>22004.380022724232</v>
      </c>
      <c r="BN209" s="251">
        <f t="shared" si="265"/>
        <v>9.5021756180752026E-4</v>
      </c>
      <c r="BT209" s="199">
        <f>'Detailed Budget'!$AD$12</f>
        <v>194045122715</v>
      </c>
      <c r="BU209" s="199">
        <f>'Detailed Budget'!$AD$24</f>
        <v>194045122715</v>
      </c>
      <c r="BV209" s="596">
        <f t="shared" si="280"/>
        <v>0</v>
      </c>
      <c r="BW209" s="278"/>
      <c r="BX209" s="275">
        <f t="shared" si="215"/>
        <v>0</v>
      </c>
      <c r="BY209" s="275">
        <f t="shared" si="216"/>
        <v>0</v>
      </c>
      <c r="CA209" s="199">
        <f>'Detailed Budget'!$AD$96</f>
        <v>71050111380.677719</v>
      </c>
      <c r="CB209" s="275">
        <f t="shared" si="266"/>
        <v>98993181.663955003</v>
      </c>
      <c r="CE209" s="199">
        <f>'Detailed Budget'!$AD$175</f>
        <v>4330586076.5988197</v>
      </c>
      <c r="CF209" s="275">
        <f t="shared" si="281"/>
        <v>15513283.826670928</v>
      </c>
      <c r="CG209" s="199">
        <f>'Detailed Budget'!$AD$176</f>
        <v>20662817754.37001</v>
      </c>
      <c r="CH209" s="275">
        <f t="shared" si="282"/>
        <v>74019580.245187968</v>
      </c>
      <c r="CI209" s="275">
        <f t="shared" si="211"/>
        <v>89532864.071858898</v>
      </c>
      <c r="CJ209" s="275">
        <f>'Detailed Budget'!$AD$178</f>
        <v>46025131033.061455</v>
      </c>
      <c r="CK209" s="275">
        <f t="shared" si="283"/>
        <v>111686805.70624259</v>
      </c>
      <c r="CL209" s="275">
        <f t="shared" si="288"/>
        <v>201219669.7781015</v>
      </c>
      <c r="CM209" s="278">
        <f>'Detailed Budget'!$AD$189</f>
        <v>77498869683.252869</v>
      </c>
      <c r="CN209" s="275">
        <f t="shared" si="268"/>
        <v>0</v>
      </c>
      <c r="CO209" s="140">
        <f>'Detailed Budget'!$AD$191</f>
        <v>2684962805.4134097</v>
      </c>
      <c r="CP209" s="616">
        <f t="shared" si="269"/>
        <v>0</v>
      </c>
      <c r="CQ209" s="616">
        <f t="shared" si="270"/>
        <v>0</v>
      </c>
      <c r="CR209" s="199">
        <f>'Detailed Budget'!$AD$195</f>
        <v>18734176418</v>
      </c>
      <c r="CS209" s="275">
        <f t="shared" si="284"/>
        <v>17801543.438383903</v>
      </c>
      <c r="CW209" s="278"/>
      <c r="DH209" s="140">
        <f>'Detailed Budget'!$AD$163</f>
        <v>4928560000</v>
      </c>
      <c r="DI209" s="616">
        <f t="shared" si="285"/>
        <v>5600000</v>
      </c>
    </row>
    <row r="210" spans="1:113" outlineLevel="1">
      <c r="A210" s="214" t="s">
        <v>585</v>
      </c>
      <c r="B210" s="215" t="s">
        <v>586</v>
      </c>
      <c r="C210" s="216" t="s">
        <v>234</v>
      </c>
      <c r="D210" s="229" t="s">
        <v>234</v>
      </c>
      <c r="E210" s="216"/>
      <c r="F210" s="216"/>
      <c r="G210" s="216"/>
      <c r="H210" s="216" t="s">
        <v>234</v>
      </c>
      <c r="I210" s="217" t="s">
        <v>234</v>
      </c>
      <c r="J210" s="217"/>
      <c r="K210" s="216" t="s">
        <v>234</v>
      </c>
      <c r="L210" s="216"/>
      <c r="M210" s="217"/>
      <c r="N210" s="216"/>
      <c r="O210" s="217"/>
      <c r="P210" s="216"/>
      <c r="Q210" s="217"/>
      <c r="R210" s="217" t="s">
        <v>234</v>
      </c>
      <c r="S210" s="217"/>
      <c r="T210" s="217"/>
      <c r="U210" s="218">
        <f t="shared" si="272"/>
        <v>6</v>
      </c>
      <c r="V210" s="867" t="s">
        <v>238</v>
      </c>
      <c r="W210" s="219">
        <v>95991</v>
      </c>
      <c r="X210" s="220">
        <v>3.47</v>
      </c>
      <c r="Y210" s="221">
        <f t="shared" si="221"/>
        <v>1.0347</v>
      </c>
      <c r="Z210" s="199">
        <v>19</v>
      </c>
      <c r="AA210" s="221">
        <f t="shared" si="222"/>
        <v>1.9119412036868784</v>
      </c>
      <c r="AB210" s="199">
        <f t="shared" si="253"/>
        <v>183529.14808310714</v>
      </c>
      <c r="AC210">
        <v>19.100000000000001</v>
      </c>
      <c r="AD210" s="199">
        <f t="shared" si="254"/>
        <v>35054.067283873468</v>
      </c>
      <c r="AE210" s="199">
        <f t="shared" si="225"/>
        <v>33301.363919679796</v>
      </c>
      <c r="AF210" s="199">
        <f t="shared" si="287"/>
        <v>33301.363919679796</v>
      </c>
      <c r="AG210" s="614">
        <f t="shared" si="273"/>
        <v>1.539708871919075E-3</v>
      </c>
      <c r="AH210" s="199">
        <f t="shared" si="286"/>
        <v>9176.4574041553569</v>
      </c>
      <c r="AI210" s="252">
        <f t="shared" si="256"/>
        <v>7.1088625140888892E-4</v>
      </c>
      <c r="AJ210" s="199">
        <f t="shared" si="274"/>
        <v>44230.524688028825</v>
      </c>
      <c r="AK210" s="199">
        <f t="shared" si="291"/>
        <v>7341.1659233242854</v>
      </c>
      <c r="AL210" s="199">
        <f t="shared" si="292"/>
        <v>7341.1659233242854</v>
      </c>
      <c r="AM210" s="199">
        <f t="shared" si="257"/>
        <v>14682.331846648571</v>
      </c>
      <c r="AN210" s="645">
        <f t="shared" si="258"/>
        <v>7.1088625140888892E-4</v>
      </c>
      <c r="AO210" s="199">
        <v>10</v>
      </c>
      <c r="AP210" s="250">
        <f t="shared" si="259"/>
        <v>1.1362345188046814E-3</v>
      </c>
      <c r="AQ210" s="199">
        <v>10</v>
      </c>
      <c r="AU210" s="199">
        <v>0</v>
      </c>
      <c r="AW210" s="250">
        <f t="shared" si="260"/>
        <v>0</v>
      </c>
      <c r="AX210" s="199">
        <v>1</v>
      </c>
      <c r="AY210" s="199">
        <f t="shared" si="275"/>
        <v>11246.409556699384</v>
      </c>
      <c r="AZ210" s="199">
        <f t="shared" si="276"/>
        <v>11246.409556699384</v>
      </c>
      <c r="BA210" s="252">
        <f t="shared" si="261"/>
        <v>8.8404077261213009E-4</v>
      </c>
      <c r="BB210" s="284">
        <v>1</v>
      </c>
      <c r="BC210" s="199">
        <f t="shared" si="277"/>
        <v>25238.928444388897</v>
      </c>
      <c r="BD210" s="270">
        <f t="shared" si="289"/>
        <v>2.2729445386441651E-3</v>
      </c>
      <c r="BE210" s="199">
        <f t="shared" si="278"/>
        <v>107966.52723433028</v>
      </c>
      <c r="BF210" s="251">
        <f t="shared" si="290"/>
        <v>2.2729445891532672E-3</v>
      </c>
      <c r="BG210" s="204">
        <f t="shared" si="230"/>
        <v>133205.45567871918</v>
      </c>
      <c r="BH210" s="636">
        <v>0</v>
      </c>
      <c r="BI210" s="199">
        <f t="shared" si="262"/>
        <v>56159.919313430786</v>
      </c>
      <c r="BJ210" s="199">
        <f t="shared" si="263"/>
        <v>112319.83862686157</v>
      </c>
      <c r="BK210" s="199">
        <f t="shared" si="271"/>
        <v>168479.75794029236</v>
      </c>
      <c r="BL210" s="251">
        <f t="shared" si="264"/>
        <v>7.1088625140888892E-4</v>
      </c>
      <c r="BM210" s="199">
        <f t="shared" si="279"/>
        <v>13961.783924231728</v>
      </c>
      <c r="BN210" s="251">
        <f t="shared" si="265"/>
        <v>6.0291325023773283E-4</v>
      </c>
      <c r="BT210" s="199">
        <f>'Detailed Budget'!$AD$12</f>
        <v>194045122715</v>
      </c>
      <c r="BU210" s="199">
        <f>'Detailed Budget'!$AD$24</f>
        <v>194045122715</v>
      </c>
      <c r="BV210" s="596">
        <f t="shared" si="280"/>
        <v>0</v>
      </c>
      <c r="BW210" s="278"/>
      <c r="BX210" s="275">
        <f t="shared" si="215"/>
        <v>0</v>
      </c>
      <c r="BY210" s="275">
        <f t="shared" si="216"/>
        <v>0</v>
      </c>
      <c r="CA210" s="199">
        <f>'Detailed Budget'!$AD$96</f>
        <v>71050111380.677719</v>
      </c>
      <c r="CB210" s="275">
        <f t="shared" si="266"/>
        <v>62811195.359152228</v>
      </c>
      <c r="CE210" s="199">
        <f>'Detailed Budget'!$AD$175</f>
        <v>4330586076.5988197</v>
      </c>
      <c r="CF210" s="275">
        <f t="shared" si="281"/>
        <v>9843181.9719337486</v>
      </c>
      <c r="CG210" s="199">
        <f>'Detailed Budget'!$AD$176</f>
        <v>20662817754.37001</v>
      </c>
      <c r="CH210" s="275">
        <f t="shared" si="282"/>
        <v>46965439.811455376</v>
      </c>
      <c r="CI210" s="275">
        <f t="shared" si="211"/>
        <v>56808621.783389121</v>
      </c>
      <c r="CJ210" s="275">
        <f>'Detailed Budget'!$AD$178</f>
        <v>46025131033.061455</v>
      </c>
      <c r="CK210" s="275">
        <f t="shared" si="283"/>
        <v>70865302.582842663</v>
      </c>
      <c r="CL210" s="275">
        <f t="shared" si="288"/>
        <v>127673924.36623178</v>
      </c>
      <c r="CM210" s="278">
        <f>'Detailed Budget'!$AD$189</f>
        <v>77498869683.252869</v>
      </c>
      <c r="CN210" s="275">
        <f t="shared" si="268"/>
        <v>0</v>
      </c>
      <c r="CO210" s="140">
        <f>'Detailed Budget'!$AD$191</f>
        <v>2684962805.4134097</v>
      </c>
      <c r="CP210" s="616">
        <f t="shared" si="269"/>
        <v>0</v>
      </c>
      <c r="CQ210" s="616">
        <f t="shared" si="270"/>
        <v>0</v>
      </c>
      <c r="CR210" s="199">
        <f>'Detailed Budget'!$AD$195</f>
        <v>18734176418</v>
      </c>
      <c r="CS210" s="275">
        <f t="shared" si="284"/>
        <v>11295083.194703467</v>
      </c>
      <c r="CW210" s="278"/>
      <c r="DH210" s="140">
        <f>'Detailed Budget'!$AD$163</f>
        <v>4928560000</v>
      </c>
      <c r="DI210" s="616">
        <f t="shared" si="285"/>
        <v>5600000</v>
      </c>
    </row>
    <row r="211" spans="1:113" outlineLevel="1">
      <c r="A211" s="214" t="s">
        <v>587</v>
      </c>
      <c r="B211" s="215" t="s">
        <v>588</v>
      </c>
      <c r="C211" s="216" t="s">
        <v>234</v>
      </c>
      <c r="D211" s="229" t="s">
        <v>234</v>
      </c>
      <c r="E211" s="216"/>
      <c r="F211" s="216"/>
      <c r="G211" s="216"/>
      <c r="H211" s="216" t="s">
        <v>234</v>
      </c>
      <c r="I211" s="217" t="s">
        <v>234</v>
      </c>
      <c r="J211" s="217"/>
      <c r="K211" s="216" t="s">
        <v>234</v>
      </c>
      <c r="L211" s="216"/>
      <c r="M211" s="217"/>
      <c r="N211" s="216"/>
      <c r="O211" s="217"/>
      <c r="P211" s="216"/>
      <c r="Q211" s="217"/>
      <c r="R211" s="217" t="s">
        <v>234</v>
      </c>
      <c r="S211" s="217"/>
      <c r="T211" s="217"/>
      <c r="U211" s="218">
        <f t="shared" si="272"/>
        <v>6</v>
      </c>
      <c r="V211" s="867" t="s">
        <v>238</v>
      </c>
      <c r="W211" s="219">
        <v>276568</v>
      </c>
      <c r="X211" s="220">
        <v>3.47</v>
      </c>
      <c r="Y211" s="221">
        <f t="shared" si="221"/>
        <v>1.0347</v>
      </c>
      <c r="Z211" s="199">
        <v>19</v>
      </c>
      <c r="AA211" s="221">
        <f t="shared" si="222"/>
        <v>1.9119412036868784</v>
      </c>
      <c r="AB211" s="199">
        <f t="shared" si="253"/>
        <v>528781.75482127257</v>
      </c>
      <c r="AC211">
        <v>19.100000000000001</v>
      </c>
      <c r="AD211" s="199">
        <f t="shared" si="254"/>
        <v>100997.31517086306</v>
      </c>
      <c r="AE211" s="199">
        <f t="shared" si="225"/>
        <v>95947.449412319897</v>
      </c>
      <c r="AF211" s="199">
        <f t="shared" si="287"/>
        <v>95947.449412319897</v>
      </c>
      <c r="AG211" s="614">
        <f t="shared" si="273"/>
        <v>4.4361888436302843E-3</v>
      </c>
      <c r="AH211" s="199">
        <f t="shared" si="286"/>
        <v>26439.087741063631</v>
      </c>
      <c r="AI211" s="252">
        <f t="shared" si="256"/>
        <v>2.0481960681694492E-3</v>
      </c>
      <c r="AJ211" s="199">
        <f t="shared" si="274"/>
        <v>127436.40291192669</v>
      </c>
      <c r="AK211" s="199">
        <f t="shared" si="291"/>
        <v>21151.270192850901</v>
      </c>
      <c r="AL211" s="199">
        <f t="shared" si="292"/>
        <v>21151.270192850901</v>
      </c>
      <c r="AM211" s="199">
        <f t="shared" si="257"/>
        <v>42302.540385701803</v>
      </c>
      <c r="AN211" s="645">
        <f t="shared" si="258"/>
        <v>2.0481960681694488E-3</v>
      </c>
      <c r="AO211" s="199">
        <v>13</v>
      </c>
      <c r="AP211" s="250">
        <f t="shared" si="259"/>
        <v>1.4771048744460858E-3</v>
      </c>
      <c r="AQ211" s="199">
        <v>13</v>
      </c>
      <c r="AU211" s="199">
        <v>0</v>
      </c>
      <c r="AW211" s="250">
        <f t="shared" si="260"/>
        <v>0</v>
      </c>
      <c r="AX211" s="199">
        <v>1</v>
      </c>
      <c r="AY211" s="199">
        <f t="shared" si="275"/>
        <v>32403.006513915207</v>
      </c>
      <c r="AZ211" s="199">
        <f t="shared" si="276"/>
        <v>32403.006513915207</v>
      </c>
      <c r="BA211" s="252">
        <f t="shared" si="261"/>
        <v>2.5470865851985242E-3</v>
      </c>
      <c r="BB211" s="284">
        <v>1</v>
      </c>
      <c r="BC211" s="199">
        <f t="shared" si="277"/>
        <v>72718.066923021397</v>
      </c>
      <c r="BD211" s="270">
        <f t="shared" si="289"/>
        <v>6.5487777517031732E-3</v>
      </c>
      <c r="BE211" s="199">
        <f t="shared" si="278"/>
        <v>311071.73072625825</v>
      </c>
      <c r="BF211" s="251">
        <f t="shared" si="290"/>
        <v>6.548777897229332E-3</v>
      </c>
      <c r="BG211" s="204">
        <f t="shared" si="230"/>
        <v>383789.79764927964</v>
      </c>
      <c r="BH211" s="636">
        <v>0</v>
      </c>
      <c r="BI211" s="199">
        <f t="shared" si="262"/>
        <v>161807.21697530939</v>
      </c>
      <c r="BJ211" s="199">
        <f t="shared" si="263"/>
        <v>323614.43395061878</v>
      </c>
      <c r="BK211" s="199">
        <f t="shared" si="271"/>
        <v>485421.65092592814</v>
      </c>
      <c r="BL211" s="251">
        <f t="shared" si="264"/>
        <v>2.0481960681694488E-3</v>
      </c>
      <c r="BM211" s="199">
        <f t="shared" si="279"/>
        <v>40226.507238771563</v>
      </c>
      <c r="BN211" s="251">
        <f t="shared" si="265"/>
        <v>1.7371056848220076E-3</v>
      </c>
      <c r="BT211" s="199">
        <f>'Detailed Budget'!$AD$12</f>
        <v>194045122715</v>
      </c>
      <c r="BU211" s="199">
        <f>'Detailed Budget'!$AD$24</f>
        <v>194045122715</v>
      </c>
      <c r="BV211" s="596">
        <f t="shared" si="280"/>
        <v>0</v>
      </c>
      <c r="BW211" s="278"/>
      <c r="BX211" s="275">
        <f t="shared" si="215"/>
        <v>0</v>
      </c>
      <c r="BY211" s="275">
        <f t="shared" si="216"/>
        <v>0</v>
      </c>
      <c r="CA211" s="199">
        <f>'Detailed Budget'!$AD$96</f>
        <v>71050111380.677719</v>
      </c>
      <c r="CB211" s="275">
        <f t="shared" si="266"/>
        <v>180970785.57458523</v>
      </c>
      <c r="CE211" s="199">
        <f>'Detailed Budget'!$AD$175</f>
        <v>4330586076.5988197</v>
      </c>
      <c r="CF211" s="275">
        <f t="shared" si="281"/>
        <v>28360045.750265885</v>
      </c>
      <c r="CG211" s="199">
        <f>'Detailed Budget'!$AD$176</f>
        <v>20662817754.37001</v>
      </c>
      <c r="CH211" s="275">
        <f t="shared" si="282"/>
        <v>135316204.20429614</v>
      </c>
      <c r="CI211" s="275">
        <f t="shared" si="211"/>
        <v>163676249.95456204</v>
      </c>
      <c r="CJ211" s="275">
        <f>'Detailed Budget'!$AD$178</f>
        <v>46025131033.061455</v>
      </c>
      <c r="CK211" s="275">
        <f t="shared" si="283"/>
        <v>204176172.8154892</v>
      </c>
      <c r="CL211" s="275">
        <f t="shared" si="288"/>
        <v>367852422.77005124</v>
      </c>
      <c r="CM211" s="278">
        <f>'Detailed Budget'!$AD$189</f>
        <v>77498869683.252869</v>
      </c>
      <c r="CN211" s="275">
        <f t="shared" si="268"/>
        <v>0</v>
      </c>
      <c r="CO211" s="140">
        <f>'Detailed Budget'!$AD$191</f>
        <v>2684962805.4134097</v>
      </c>
      <c r="CP211" s="616">
        <f t="shared" si="269"/>
        <v>0</v>
      </c>
      <c r="CQ211" s="616">
        <f t="shared" si="270"/>
        <v>0</v>
      </c>
      <c r="CR211" s="199">
        <f>'Detailed Budget'!$AD$195</f>
        <v>18734176418</v>
      </c>
      <c r="CS211" s="275">
        <f t="shared" si="284"/>
        <v>32543244.356166195</v>
      </c>
      <c r="CW211" s="278"/>
      <c r="DH211" s="140">
        <f>'Detailed Budget'!$AD$163</f>
        <v>4928560000</v>
      </c>
      <c r="DI211" s="616">
        <f t="shared" si="285"/>
        <v>7280000.0000000009</v>
      </c>
    </row>
    <row r="212" spans="1:113" outlineLevel="1">
      <c r="A212" s="214" t="s">
        <v>589</v>
      </c>
      <c r="B212" s="215" t="s">
        <v>590</v>
      </c>
      <c r="C212" s="216" t="s">
        <v>234</v>
      </c>
      <c r="D212" s="229" t="s">
        <v>234</v>
      </c>
      <c r="E212" s="216"/>
      <c r="F212" s="216"/>
      <c r="G212" s="216"/>
      <c r="H212" s="216" t="s">
        <v>234</v>
      </c>
      <c r="I212" s="217" t="s">
        <v>234</v>
      </c>
      <c r="J212" s="217"/>
      <c r="K212" s="216" t="s">
        <v>234</v>
      </c>
      <c r="L212" s="216"/>
      <c r="M212" s="217"/>
      <c r="N212" s="216"/>
      <c r="O212" s="217"/>
      <c r="P212" s="216"/>
      <c r="Q212" s="217"/>
      <c r="R212" s="217" t="s">
        <v>234</v>
      </c>
      <c r="S212" s="217"/>
      <c r="T212" s="217"/>
      <c r="U212" s="218">
        <f t="shared" si="272"/>
        <v>6</v>
      </c>
      <c r="V212" s="867" t="s">
        <v>238</v>
      </c>
      <c r="W212" s="219">
        <v>120733</v>
      </c>
      <c r="X212" s="220">
        <v>3.47</v>
      </c>
      <c r="Y212" s="221">
        <f t="shared" si="221"/>
        <v>1.0347</v>
      </c>
      <c r="Z212" s="199">
        <v>19</v>
      </c>
      <c r="AA212" s="221">
        <f t="shared" si="222"/>
        <v>1.9119412036868784</v>
      </c>
      <c r="AB212" s="199">
        <f t="shared" si="253"/>
        <v>230834.39734472788</v>
      </c>
      <c r="AC212">
        <v>19.100000000000001</v>
      </c>
      <c r="AD212" s="199">
        <f t="shared" si="254"/>
        <v>44089.369892843031</v>
      </c>
      <c r="AE212" s="199">
        <f t="shared" si="225"/>
        <v>41884.901398200876</v>
      </c>
      <c r="AF212" s="199">
        <f t="shared" si="287"/>
        <v>41884.901398200876</v>
      </c>
      <c r="AG212" s="614">
        <f t="shared" si="273"/>
        <v>1.9365739624902924E-3</v>
      </c>
      <c r="AH212" s="199">
        <f t="shared" si="286"/>
        <v>11541.719867236396</v>
      </c>
      <c r="AI212" s="252">
        <f t="shared" si="256"/>
        <v>8.9411955070110112E-4</v>
      </c>
      <c r="AJ212" s="199">
        <f t="shared" si="274"/>
        <v>55631.089760079427</v>
      </c>
      <c r="AK212" s="199">
        <f t="shared" si="291"/>
        <v>9233.3758937891162</v>
      </c>
      <c r="AL212" s="199">
        <f t="shared" si="292"/>
        <v>9233.3758937891162</v>
      </c>
      <c r="AM212" s="199">
        <f t="shared" si="257"/>
        <v>18466.751787578232</v>
      </c>
      <c r="AN212" s="645">
        <f t="shared" si="258"/>
        <v>8.9411955070110101E-4</v>
      </c>
      <c r="AO212" s="199">
        <v>12</v>
      </c>
      <c r="AP212" s="250">
        <f t="shared" si="259"/>
        <v>1.3634814225656176E-3</v>
      </c>
      <c r="AQ212" s="199">
        <v>12</v>
      </c>
      <c r="AU212" s="199">
        <v>0</v>
      </c>
      <c r="AW212" s="250">
        <f t="shared" si="260"/>
        <v>0</v>
      </c>
      <c r="AX212" s="199">
        <v>1</v>
      </c>
      <c r="AY212" s="199">
        <f t="shared" si="275"/>
        <v>14145.209082195068</v>
      </c>
      <c r="AZ212" s="199">
        <f t="shared" si="276"/>
        <v>14145.209082195068</v>
      </c>
      <c r="BA212" s="252">
        <f t="shared" si="261"/>
        <v>1.1119052265293654E-3</v>
      </c>
      <c r="BB212" s="284">
        <v>1</v>
      </c>
      <c r="BC212" s="199">
        <f t="shared" si="277"/>
        <v>31744.346322846981</v>
      </c>
      <c r="BD212" s="270">
        <f t="shared" si="289"/>
        <v>2.8588035647521743E-3</v>
      </c>
      <c r="BE212" s="199">
        <f t="shared" si="278"/>
        <v>135795.25926995653</v>
      </c>
      <c r="BF212" s="251">
        <f t="shared" si="290"/>
        <v>2.8588036282801658E-3</v>
      </c>
      <c r="BG212" s="204">
        <f t="shared" si="230"/>
        <v>167539.60559280351</v>
      </c>
      <c r="BH212" s="636">
        <v>0</v>
      </c>
      <c r="BI212" s="199">
        <f t="shared" si="262"/>
        <v>70635.325587486732</v>
      </c>
      <c r="BJ212" s="199">
        <f t="shared" si="263"/>
        <v>141270.65117497346</v>
      </c>
      <c r="BK212" s="199">
        <f t="shared" si="271"/>
        <v>211905.9767624602</v>
      </c>
      <c r="BL212" s="251">
        <f t="shared" si="264"/>
        <v>8.941195507011009E-4</v>
      </c>
      <c r="BM212" s="199">
        <f t="shared" si="279"/>
        <v>17560.480237983451</v>
      </c>
      <c r="BN212" s="251">
        <f t="shared" si="265"/>
        <v>7.5831614881553702E-4</v>
      </c>
      <c r="BT212" s="199">
        <f>'Detailed Budget'!$AD$12</f>
        <v>194045122715</v>
      </c>
      <c r="BU212" s="199">
        <f>'Detailed Budget'!$AD$24</f>
        <v>194045122715</v>
      </c>
      <c r="BV212" s="596">
        <f t="shared" si="280"/>
        <v>0</v>
      </c>
      <c r="BW212" s="278"/>
      <c r="BX212" s="275">
        <f t="shared" si="215"/>
        <v>0</v>
      </c>
      <c r="BY212" s="275">
        <f t="shared" si="216"/>
        <v>0</v>
      </c>
      <c r="CA212" s="199">
        <f>'Detailed Budget'!$AD$96</f>
        <v>71050111380.677719</v>
      </c>
      <c r="CB212" s="275">
        <f t="shared" si="266"/>
        <v>79000990.189669102</v>
      </c>
      <c r="CE212" s="199">
        <f>'Detailed Budget'!$AD$175</f>
        <v>4330586076.5988197</v>
      </c>
      <c r="CF212" s="275">
        <f t="shared" si="281"/>
        <v>12380294.913246838</v>
      </c>
      <c r="CG212" s="199">
        <f>'Detailed Budget'!$AD$176</f>
        <v>20662817754.37001</v>
      </c>
      <c r="CH212" s="275">
        <f t="shared" si="282"/>
        <v>59070938.366684809</v>
      </c>
      <c r="CI212" s="275">
        <f t="shared" si="211"/>
        <v>71451233.27993165</v>
      </c>
      <c r="CJ212" s="275">
        <f>'Detailed Budget'!$AD$178</f>
        <v>46025131033.061455</v>
      </c>
      <c r="CK212" s="275">
        <f t="shared" si="283"/>
        <v>89131070.378830746</v>
      </c>
      <c r="CL212" s="275">
        <f t="shared" si="288"/>
        <v>160582303.6587624</v>
      </c>
      <c r="CM212" s="278">
        <f>'Detailed Budget'!$AD$189</f>
        <v>77498869683.252869</v>
      </c>
      <c r="CN212" s="275">
        <f t="shared" si="268"/>
        <v>0</v>
      </c>
      <c r="CO212" s="140">
        <f>'Detailed Budget'!$AD$191</f>
        <v>2684962805.4134097</v>
      </c>
      <c r="CP212" s="616">
        <f t="shared" si="269"/>
        <v>0</v>
      </c>
      <c r="CQ212" s="616">
        <f t="shared" si="270"/>
        <v>0</v>
      </c>
      <c r="CR212" s="199">
        <f>'Detailed Budget'!$AD$195</f>
        <v>18734176418</v>
      </c>
      <c r="CS212" s="275">
        <f t="shared" si="284"/>
        <v>14206428.512528613</v>
      </c>
      <c r="CW212" s="278"/>
      <c r="DH212" s="140">
        <f>'Detailed Budget'!$AD$163</f>
        <v>4928560000</v>
      </c>
      <c r="DI212" s="616">
        <f t="shared" si="285"/>
        <v>6720000</v>
      </c>
    </row>
    <row r="213" spans="1:113" outlineLevel="1">
      <c r="A213" s="214" t="s">
        <v>591</v>
      </c>
      <c r="B213" s="215" t="s">
        <v>592</v>
      </c>
      <c r="C213" s="216" t="s">
        <v>234</v>
      </c>
      <c r="D213" s="229" t="s">
        <v>234</v>
      </c>
      <c r="E213" s="216"/>
      <c r="F213" s="216"/>
      <c r="G213" s="216"/>
      <c r="H213" s="216" t="s">
        <v>234</v>
      </c>
      <c r="I213" s="217" t="s">
        <v>234</v>
      </c>
      <c r="J213" s="217"/>
      <c r="K213" s="216" t="s">
        <v>234</v>
      </c>
      <c r="L213" s="216"/>
      <c r="M213" s="217"/>
      <c r="N213" s="216"/>
      <c r="O213" s="217"/>
      <c r="P213" s="216"/>
      <c r="Q213" s="217"/>
      <c r="R213" s="217" t="s">
        <v>234</v>
      </c>
      <c r="S213" s="217"/>
      <c r="T213" s="217"/>
      <c r="U213" s="218">
        <f t="shared" si="272"/>
        <v>6</v>
      </c>
      <c r="V213" s="867" t="s">
        <v>238</v>
      </c>
      <c r="W213" s="219">
        <v>209107</v>
      </c>
      <c r="X213" s="220">
        <v>3.47</v>
      </c>
      <c r="Y213" s="221">
        <f t="shared" si="221"/>
        <v>1.0347</v>
      </c>
      <c r="Z213" s="199">
        <v>19</v>
      </c>
      <c r="AA213" s="221">
        <f t="shared" si="222"/>
        <v>1.9119412036868784</v>
      </c>
      <c r="AB213" s="199">
        <f t="shared" si="253"/>
        <v>399800.28927935206</v>
      </c>
      <c r="AC213">
        <v>19.100000000000001</v>
      </c>
      <c r="AD213" s="199">
        <f t="shared" si="254"/>
        <v>76361.855252356254</v>
      </c>
      <c r="AE213" s="199">
        <f t="shared" si="225"/>
        <v>72543.762489738438</v>
      </c>
      <c r="AF213" s="199">
        <f t="shared" si="287"/>
        <v>72543.762489738438</v>
      </c>
      <c r="AG213" s="614">
        <f t="shared" si="273"/>
        <v>3.3541051044408536E-3</v>
      </c>
      <c r="AH213" s="199">
        <f t="shared" si="286"/>
        <v>19990.014463967604</v>
      </c>
      <c r="AI213" s="252">
        <f t="shared" si="256"/>
        <v>1.548596132693258E-3</v>
      </c>
      <c r="AJ213" s="199">
        <f t="shared" si="274"/>
        <v>96351.869716323854</v>
      </c>
      <c r="AK213" s="199">
        <f t="shared" si="291"/>
        <v>15992.011571174082</v>
      </c>
      <c r="AL213" s="199">
        <f t="shared" si="292"/>
        <v>15992.011571174082</v>
      </c>
      <c r="AM213" s="199">
        <f t="shared" si="257"/>
        <v>31984.023142348164</v>
      </c>
      <c r="AN213" s="645">
        <f t="shared" si="258"/>
        <v>1.5485961326932578E-3</v>
      </c>
      <c r="AO213" s="199">
        <v>12</v>
      </c>
      <c r="AP213" s="250">
        <f t="shared" si="259"/>
        <v>1.3634814225656176E-3</v>
      </c>
      <c r="AQ213" s="199">
        <v>12</v>
      </c>
      <c r="AU213" s="199">
        <v>0</v>
      </c>
      <c r="AW213" s="250">
        <f t="shared" si="260"/>
        <v>0</v>
      </c>
      <c r="AX213" s="199">
        <v>1</v>
      </c>
      <c r="AY213" s="199">
        <f t="shared" si="275"/>
        <v>24499.202666632682</v>
      </c>
      <c r="AZ213" s="199">
        <f t="shared" si="276"/>
        <v>24499.202666632682</v>
      </c>
      <c r="BA213" s="252">
        <f t="shared" si="261"/>
        <v>1.9257963125564341E-3</v>
      </c>
      <c r="BB213" s="284">
        <v>1</v>
      </c>
      <c r="BC213" s="199">
        <f t="shared" si="277"/>
        <v>54980.535781696504</v>
      </c>
      <c r="BD213" s="270">
        <f t="shared" si="289"/>
        <v>4.9513872513284101E-3</v>
      </c>
      <c r="BE213" s="199">
        <f t="shared" si="278"/>
        <v>235194.51417725725</v>
      </c>
      <c r="BF213" s="251">
        <f t="shared" si="290"/>
        <v>4.951387361357547E-3</v>
      </c>
      <c r="BG213" s="204">
        <f t="shared" si="230"/>
        <v>290175.04995895375</v>
      </c>
      <c r="BH213" s="636">
        <v>0</v>
      </c>
      <c r="BI213" s="199">
        <f t="shared" si="262"/>
        <v>122338.88851948173</v>
      </c>
      <c r="BJ213" s="199">
        <f t="shared" si="263"/>
        <v>244677.77703896345</v>
      </c>
      <c r="BK213" s="199">
        <f t="shared" si="271"/>
        <v>367016.66555844515</v>
      </c>
      <c r="BL213" s="251">
        <f t="shared" si="264"/>
        <v>1.5485961326932578E-3</v>
      </c>
      <c r="BM213" s="199">
        <f t="shared" si="279"/>
        <v>30414.38000483716</v>
      </c>
      <c r="BN213" s="251">
        <f t="shared" si="265"/>
        <v>1.3133875156781532E-3</v>
      </c>
      <c r="BT213" s="199">
        <f>'Detailed Budget'!$AD$12</f>
        <v>194045122715</v>
      </c>
      <c r="BU213" s="199">
        <f>'Detailed Budget'!$AD$24</f>
        <v>194045122715</v>
      </c>
      <c r="BV213" s="596">
        <f t="shared" si="280"/>
        <v>0</v>
      </c>
      <c r="BW213" s="278"/>
      <c r="BX213" s="275">
        <f t="shared" si="215"/>
        <v>0</v>
      </c>
      <c r="BY213" s="275">
        <f t="shared" si="216"/>
        <v>0</v>
      </c>
      <c r="CA213" s="199">
        <f>'Detailed Budget'!$AD$96</f>
        <v>71050111380.677719</v>
      </c>
      <c r="CB213" s="275">
        <f t="shared" si="266"/>
        <v>136828042.50363308</v>
      </c>
      <c r="CE213" s="199">
        <f>'Detailed Budget'!$AD$175</f>
        <v>4330586076.5988197</v>
      </c>
      <c r="CF213" s="275">
        <f t="shared" si="281"/>
        <v>21442408.690451715</v>
      </c>
      <c r="CG213" s="199">
        <f>'Detailed Budget'!$AD$176</f>
        <v>20662817754.37001</v>
      </c>
      <c r="CH213" s="275">
        <f t="shared" si="282"/>
        <v>102309614.679022</v>
      </c>
      <c r="CI213" s="275">
        <f t="shared" si="211"/>
        <v>123752023.36947371</v>
      </c>
      <c r="CJ213" s="275">
        <f>'Detailed Budget'!$AD$178</f>
        <v>46025131033.061455</v>
      </c>
      <c r="CK213" s="275">
        <f t="shared" si="283"/>
        <v>154373126.93055058</v>
      </c>
      <c r="CL213" s="275">
        <f t="shared" si="288"/>
        <v>278125150.30002427</v>
      </c>
      <c r="CM213" s="278">
        <f>'Detailed Budget'!$AD$189</f>
        <v>77498869683.252869</v>
      </c>
      <c r="CN213" s="275">
        <f t="shared" si="268"/>
        <v>0</v>
      </c>
      <c r="CO213" s="140">
        <f>'Detailed Budget'!$AD$191</f>
        <v>2684962805.4134097</v>
      </c>
      <c r="CP213" s="616">
        <f t="shared" si="269"/>
        <v>0</v>
      </c>
      <c r="CQ213" s="616">
        <f t="shared" si="270"/>
        <v>0</v>
      </c>
      <c r="CR213" s="199">
        <f>'Detailed Budget'!$AD$195</f>
        <v>18734176418</v>
      </c>
      <c r="CS213" s="275">
        <f t="shared" si="284"/>
        <v>24605233.423913263</v>
      </c>
      <c r="CW213" s="278"/>
      <c r="DH213" s="140">
        <f>'Detailed Budget'!$AD$163</f>
        <v>4928560000</v>
      </c>
      <c r="DI213" s="616">
        <f t="shared" si="285"/>
        <v>6720000</v>
      </c>
    </row>
    <row r="214" spans="1:113" outlineLevel="1">
      <c r="A214" s="214" t="s">
        <v>593</v>
      </c>
      <c r="B214" s="215" t="s">
        <v>594</v>
      </c>
      <c r="C214" s="216" t="s">
        <v>234</v>
      </c>
      <c r="D214" s="229" t="s">
        <v>234</v>
      </c>
      <c r="E214" s="216"/>
      <c r="F214" s="216"/>
      <c r="G214" s="216"/>
      <c r="H214" s="216" t="s">
        <v>234</v>
      </c>
      <c r="I214" s="217" t="s">
        <v>234</v>
      </c>
      <c r="J214" s="217"/>
      <c r="K214" s="216" t="s">
        <v>234</v>
      </c>
      <c r="L214" s="216"/>
      <c r="M214" s="217"/>
      <c r="N214" s="216"/>
      <c r="O214" s="217"/>
      <c r="P214" s="216"/>
      <c r="Q214" s="217"/>
      <c r="R214" s="217" t="s">
        <v>234</v>
      </c>
      <c r="S214" s="217"/>
      <c r="T214" s="217"/>
      <c r="U214" s="218">
        <f t="shared" si="272"/>
        <v>6</v>
      </c>
      <c r="V214" s="867" t="s">
        <v>238</v>
      </c>
      <c r="W214" s="219">
        <v>89996</v>
      </c>
      <c r="X214" s="220">
        <v>3.47</v>
      </c>
      <c r="Y214" s="221">
        <f t="shared" si="221"/>
        <v>1.0347</v>
      </c>
      <c r="Z214" s="199">
        <v>19</v>
      </c>
      <c r="AA214" s="221">
        <f t="shared" si="222"/>
        <v>1.9119412036868784</v>
      </c>
      <c r="AB214" s="199">
        <f t="shared" si="253"/>
        <v>172067.06056700432</v>
      </c>
      <c r="AC214">
        <v>19.100000000000001</v>
      </c>
      <c r="AD214" s="199">
        <f t="shared" si="254"/>
        <v>32864.808568297827</v>
      </c>
      <c r="AE214" s="199">
        <f t="shared" si="225"/>
        <v>31221.568139882933</v>
      </c>
      <c r="AF214" s="199">
        <f t="shared" si="287"/>
        <v>31221.568139882933</v>
      </c>
      <c r="AG214" s="614">
        <f t="shared" si="273"/>
        <v>1.4435482455358217E-3</v>
      </c>
      <c r="AH214" s="199">
        <f t="shared" si="286"/>
        <v>8603.3530283502168</v>
      </c>
      <c r="AI214" s="252">
        <f t="shared" si="256"/>
        <v>6.6648872375320994E-4</v>
      </c>
      <c r="AJ214" s="199">
        <f t="shared" si="274"/>
        <v>41468.161596648046</v>
      </c>
      <c r="AK214" s="199">
        <f t="shared" si="291"/>
        <v>6882.6824226801727</v>
      </c>
      <c r="AL214" s="199">
        <f t="shared" si="292"/>
        <v>6882.6824226801727</v>
      </c>
      <c r="AM214" s="199">
        <f t="shared" si="257"/>
        <v>13765.364845360345</v>
      </c>
      <c r="AN214" s="645">
        <f t="shared" si="258"/>
        <v>6.6648872375320984E-4</v>
      </c>
      <c r="AO214" s="199">
        <v>15</v>
      </c>
      <c r="AP214" s="250">
        <f t="shared" si="259"/>
        <v>1.7043517782070218E-3</v>
      </c>
      <c r="AQ214" s="199">
        <v>15</v>
      </c>
      <c r="AU214" s="199">
        <v>0</v>
      </c>
      <c r="AW214" s="250">
        <f t="shared" si="260"/>
        <v>0</v>
      </c>
      <c r="AX214" s="199">
        <v>1</v>
      </c>
      <c r="AY214" s="199">
        <f t="shared" si="275"/>
        <v>10544.028861713263</v>
      </c>
      <c r="AZ214" s="199">
        <f t="shared" si="276"/>
        <v>10544.028861713263</v>
      </c>
      <c r="BA214" s="252">
        <f t="shared" si="261"/>
        <v>8.2882909201905666E-4</v>
      </c>
      <c r="BB214" s="284">
        <v>1</v>
      </c>
      <c r="BC214" s="199">
        <f t="shared" si="277"/>
        <v>23662.662169174433</v>
      </c>
      <c r="BD214" s="270">
        <f t="shared" si="289"/>
        <v>2.1309905793232727E-3</v>
      </c>
      <c r="BE214" s="199">
        <f t="shared" si="278"/>
        <v>101223.61039035731</v>
      </c>
      <c r="BF214" s="251">
        <f t="shared" si="290"/>
        <v>2.1309906266778911E-3</v>
      </c>
      <c r="BG214" s="204">
        <f t="shared" si="230"/>
        <v>124886.27255953175</v>
      </c>
      <c r="BH214" s="636">
        <v>0</v>
      </c>
      <c r="BI214" s="199">
        <f t="shared" si="262"/>
        <v>52652.520533503324</v>
      </c>
      <c r="BJ214" s="199">
        <f t="shared" si="263"/>
        <v>105305.04106700665</v>
      </c>
      <c r="BK214" s="199">
        <f t="shared" si="271"/>
        <v>157957.56160050997</v>
      </c>
      <c r="BL214" s="251">
        <f t="shared" si="264"/>
        <v>6.6648872375320994E-4</v>
      </c>
      <c r="BM214" s="199">
        <f t="shared" si="279"/>
        <v>13089.817858394628</v>
      </c>
      <c r="BN214" s="251">
        <f t="shared" si="265"/>
        <v>5.6525904374779947E-4</v>
      </c>
      <c r="BT214" s="199">
        <f>'Detailed Budget'!$AD$12</f>
        <v>194045122715</v>
      </c>
      <c r="BU214" s="199">
        <f>'Detailed Budget'!$AD$24</f>
        <v>194045122715</v>
      </c>
      <c r="BV214" s="596">
        <f t="shared" si="280"/>
        <v>0</v>
      </c>
      <c r="BW214" s="278"/>
      <c r="BX214" s="275">
        <f t="shared" si="215"/>
        <v>0</v>
      </c>
      <c r="BY214" s="275">
        <f t="shared" si="216"/>
        <v>0</v>
      </c>
      <c r="CA214" s="199">
        <f>'Detailed Budget'!$AD$96</f>
        <v>71050111380.677719</v>
      </c>
      <c r="CB214" s="275">
        <f t="shared" si="266"/>
        <v>58888399.303499959</v>
      </c>
      <c r="CE214" s="199">
        <f>'Detailed Budget'!$AD$175</f>
        <v>4330586076.5988197</v>
      </c>
      <c r="CF214" s="275">
        <f t="shared" si="281"/>
        <v>9228438.1321806181</v>
      </c>
      <c r="CG214" s="199">
        <f>'Detailed Budget'!$AD$176</f>
        <v>20662817754.37001</v>
      </c>
      <c r="CH214" s="275">
        <f t="shared" si="282"/>
        <v>44032270.955316007</v>
      </c>
      <c r="CI214" s="275">
        <f t="shared" si="211"/>
        <v>53260709.087496623</v>
      </c>
      <c r="CJ214" s="275">
        <f>'Detailed Budget'!$AD$178</f>
        <v>46025131033.061455</v>
      </c>
      <c r="CK214" s="275">
        <f t="shared" si="283"/>
        <v>66439497.153332166</v>
      </c>
      <c r="CL214" s="275">
        <f t="shared" si="288"/>
        <v>119700206.24082878</v>
      </c>
      <c r="CM214" s="278">
        <f>'Detailed Budget'!$AD$189</f>
        <v>77498869683.252869</v>
      </c>
      <c r="CN214" s="275">
        <f t="shared" si="268"/>
        <v>0</v>
      </c>
      <c r="CO214" s="140">
        <f>'Detailed Budget'!$AD$191</f>
        <v>2684962805.4134097</v>
      </c>
      <c r="CP214" s="616">
        <f t="shared" si="269"/>
        <v>0</v>
      </c>
      <c r="CQ214" s="616">
        <f t="shared" si="270"/>
        <v>0</v>
      </c>
      <c r="CR214" s="199">
        <f>'Detailed Budget'!$AD$195</f>
        <v>18734176418</v>
      </c>
      <c r="CS214" s="275">
        <f t="shared" si="284"/>
        <v>10589662.647441255</v>
      </c>
      <c r="CW214" s="278"/>
      <c r="DH214" s="140">
        <f>'Detailed Budget'!$AD$163</f>
        <v>4928560000</v>
      </c>
      <c r="DI214" s="616">
        <f t="shared" si="285"/>
        <v>8400000</v>
      </c>
    </row>
    <row r="215" spans="1:113" outlineLevel="1">
      <c r="A215" s="214" t="s">
        <v>595</v>
      </c>
      <c r="B215" s="215" t="s">
        <v>596</v>
      </c>
      <c r="C215" s="216" t="s">
        <v>234</v>
      </c>
      <c r="D215" s="229" t="s">
        <v>234</v>
      </c>
      <c r="E215" s="216"/>
      <c r="F215" s="216"/>
      <c r="G215" s="216"/>
      <c r="H215" s="216" t="s">
        <v>234</v>
      </c>
      <c r="I215" s="217" t="s">
        <v>234</v>
      </c>
      <c r="J215" s="217"/>
      <c r="K215" s="216" t="s">
        <v>234</v>
      </c>
      <c r="L215" s="216"/>
      <c r="M215" s="217"/>
      <c r="N215" s="216"/>
      <c r="O215" s="217"/>
      <c r="P215" s="216"/>
      <c r="Q215" s="217"/>
      <c r="R215" s="217" t="s">
        <v>234</v>
      </c>
      <c r="S215" s="217"/>
      <c r="T215" s="217"/>
      <c r="U215" s="218">
        <f t="shared" si="272"/>
        <v>6</v>
      </c>
      <c r="V215" s="867" t="s">
        <v>238</v>
      </c>
      <c r="W215" s="219">
        <v>60834</v>
      </c>
      <c r="X215" s="220">
        <v>3.47</v>
      </c>
      <c r="Y215" s="221">
        <f t="shared" si="221"/>
        <v>1.0347</v>
      </c>
      <c r="Z215" s="199">
        <v>19</v>
      </c>
      <c r="AA215" s="221">
        <f t="shared" si="222"/>
        <v>1.9119412036868784</v>
      </c>
      <c r="AB215" s="199">
        <f t="shared" si="253"/>
        <v>116311.03118508756</v>
      </c>
      <c r="AC215">
        <v>19.100000000000001</v>
      </c>
      <c r="AD215" s="199">
        <f t="shared" si="254"/>
        <v>22215.406956351726</v>
      </c>
      <c r="AE215" s="199">
        <f t="shared" si="225"/>
        <v>21104.63660853414</v>
      </c>
      <c r="AF215" s="199">
        <f t="shared" si="287"/>
        <v>21104.63660853414</v>
      </c>
      <c r="AG215" s="614">
        <f t="shared" si="273"/>
        <v>9.7578574568787696E-4</v>
      </c>
      <c r="AH215" s="199">
        <f t="shared" si="286"/>
        <v>5815.5515592543779</v>
      </c>
      <c r="AI215" s="252">
        <f t="shared" si="256"/>
        <v>4.5052196787415848E-4</v>
      </c>
      <c r="AJ215" s="199">
        <f t="shared" si="274"/>
        <v>28030.958515606104</v>
      </c>
      <c r="AK215" s="199">
        <f t="shared" si="291"/>
        <v>4652.4412474035025</v>
      </c>
      <c r="AL215" s="199">
        <f t="shared" si="292"/>
        <v>4652.4412474035025</v>
      </c>
      <c r="AM215" s="199">
        <f t="shared" si="257"/>
        <v>9304.8824948070051</v>
      </c>
      <c r="AN215" s="645">
        <f t="shared" si="258"/>
        <v>4.5052196787415848E-4</v>
      </c>
      <c r="AO215" s="199">
        <v>10</v>
      </c>
      <c r="AP215" s="250">
        <f t="shared" si="259"/>
        <v>1.1362345188046814E-3</v>
      </c>
      <c r="AQ215" s="199">
        <v>10</v>
      </c>
      <c r="AU215" s="199">
        <v>0</v>
      </c>
      <c r="AW215" s="250">
        <f t="shared" si="260"/>
        <v>0</v>
      </c>
      <c r="AX215" s="199">
        <v>1</v>
      </c>
      <c r="AY215" s="199">
        <f t="shared" si="275"/>
        <v>7127.3773475872777</v>
      </c>
      <c r="AZ215" s="199">
        <f t="shared" si="276"/>
        <v>7127.3773475872777</v>
      </c>
      <c r="BA215" s="252">
        <f t="shared" si="261"/>
        <v>5.602581112925829E-4</v>
      </c>
      <c r="BB215" s="284">
        <v>1</v>
      </c>
      <c r="BC215" s="199">
        <f t="shared" si="277"/>
        <v>15995.093008573242</v>
      </c>
      <c r="BD215" s="270">
        <f t="shared" si="289"/>
        <v>1.4404715865433126E-3</v>
      </c>
      <c r="BE215" s="199">
        <f t="shared" si="278"/>
        <v>68423.453425563319</v>
      </c>
      <c r="BF215" s="251">
        <f t="shared" si="290"/>
        <v>1.4404716185533006E-3</v>
      </c>
      <c r="BG215" s="204">
        <f t="shared" si="230"/>
        <v>84418.546434136559</v>
      </c>
      <c r="BH215" s="636">
        <v>0</v>
      </c>
      <c r="BI215" s="199">
        <f t="shared" si="262"/>
        <v>35591.175542636796</v>
      </c>
      <c r="BJ215" s="199">
        <f t="shared" si="263"/>
        <v>71182.351085273593</v>
      </c>
      <c r="BK215" s="199">
        <f t="shared" si="271"/>
        <v>106773.52662791038</v>
      </c>
      <c r="BL215" s="251">
        <f t="shared" si="264"/>
        <v>4.5052196787415848E-4</v>
      </c>
      <c r="BM215" s="199">
        <f t="shared" si="279"/>
        <v>8848.2374727496644</v>
      </c>
      <c r="BN215" s="251">
        <f t="shared" si="265"/>
        <v>3.8209441161111193E-4</v>
      </c>
      <c r="BT215" s="199">
        <f>'Detailed Budget'!$AD$12</f>
        <v>194045122715</v>
      </c>
      <c r="BU215" s="199">
        <f>'Detailed Budget'!$AD$24</f>
        <v>194045122715</v>
      </c>
      <c r="BV215" s="596">
        <f t="shared" si="280"/>
        <v>0</v>
      </c>
      <c r="BW215" s="278"/>
      <c r="BX215" s="275">
        <f t="shared" si="215"/>
        <v>0</v>
      </c>
      <c r="BY215" s="275">
        <f t="shared" si="216"/>
        <v>0</v>
      </c>
      <c r="CA215" s="199">
        <f>'Detailed Budget'!$AD$96</f>
        <v>71050111380.677719</v>
      </c>
      <c r="CB215" s="275">
        <f t="shared" si="266"/>
        <v>39806401.209266149</v>
      </c>
      <c r="CE215" s="199">
        <f>'Detailed Budget'!$AD$175</f>
        <v>4330586076.5988197</v>
      </c>
      <c r="CF215" s="275">
        <f t="shared" si="281"/>
        <v>6238086.1964206817</v>
      </c>
      <c r="CG215" s="199">
        <f>'Detailed Budget'!$AD$176</f>
        <v>20662817754.37001</v>
      </c>
      <c r="CH215" s="275">
        <f t="shared" si="282"/>
        <v>29764202.534509245</v>
      </c>
      <c r="CI215" s="275">
        <f t="shared" si="211"/>
        <v>36002288.730929926</v>
      </c>
      <c r="CJ215" s="275">
        <f>'Detailed Budget'!$AD$178</f>
        <v>46025131033.061455</v>
      </c>
      <c r="CK215" s="275">
        <f t="shared" si="283"/>
        <v>44910666.805478118</v>
      </c>
      <c r="CL215" s="275">
        <f t="shared" si="288"/>
        <v>80912955.536408037</v>
      </c>
      <c r="CM215" s="278">
        <f>'Detailed Budget'!$AD$189</f>
        <v>77498869683.252869</v>
      </c>
      <c r="CN215" s="275">
        <f t="shared" si="268"/>
        <v>0</v>
      </c>
      <c r="CO215" s="140">
        <f>'Detailed Budget'!$AD$191</f>
        <v>2684962805.4134097</v>
      </c>
      <c r="CP215" s="616">
        <f t="shared" si="269"/>
        <v>0</v>
      </c>
      <c r="CQ215" s="616">
        <f t="shared" si="270"/>
        <v>0</v>
      </c>
      <c r="CR215" s="199">
        <f>'Detailed Budget'!$AD$195</f>
        <v>18734176418</v>
      </c>
      <c r="CS215" s="275">
        <f t="shared" si="284"/>
        <v>7158224.1154544782</v>
      </c>
      <c r="CW215" s="278"/>
      <c r="DH215" s="140">
        <f>'Detailed Budget'!$AD$163</f>
        <v>4928560000</v>
      </c>
      <c r="DI215" s="616">
        <f t="shared" si="285"/>
        <v>5600000</v>
      </c>
    </row>
    <row r="216" spans="1:113" outlineLevel="1">
      <c r="A216" s="214" t="s">
        <v>597</v>
      </c>
      <c r="B216" s="215" t="s">
        <v>598</v>
      </c>
      <c r="C216" s="216" t="s">
        <v>234</v>
      </c>
      <c r="D216" s="229" t="s">
        <v>234</v>
      </c>
      <c r="E216" s="216"/>
      <c r="F216" s="216"/>
      <c r="G216" s="216"/>
      <c r="H216" s="216" t="s">
        <v>234</v>
      </c>
      <c r="I216" s="217" t="s">
        <v>234</v>
      </c>
      <c r="J216" s="217"/>
      <c r="K216" s="216" t="s">
        <v>234</v>
      </c>
      <c r="L216" s="216"/>
      <c r="M216" s="217"/>
      <c r="N216" s="216"/>
      <c r="O216" s="217"/>
      <c r="P216" s="216"/>
      <c r="Q216" s="217"/>
      <c r="R216" s="217" t="s">
        <v>234</v>
      </c>
      <c r="S216" s="217"/>
      <c r="T216" s="217"/>
      <c r="U216" s="218">
        <f t="shared" si="272"/>
        <v>6</v>
      </c>
      <c r="V216" s="867" t="s">
        <v>238</v>
      </c>
      <c r="W216" s="219">
        <v>157322</v>
      </c>
      <c r="X216" s="220">
        <v>3.47</v>
      </c>
      <c r="Y216" s="221">
        <f t="shared" si="221"/>
        <v>1.0347</v>
      </c>
      <c r="Z216" s="199">
        <v>19</v>
      </c>
      <c r="AA216" s="221">
        <f t="shared" si="222"/>
        <v>1.9119412036868784</v>
      </c>
      <c r="AB216" s="199">
        <f t="shared" si="253"/>
        <v>300790.41404642706</v>
      </c>
      <c r="AC216">
        <v>19.100000000000001</v>
      </c>
      <c r="AD216" s="199">
        <f t="shared" si="254"/>
        <v>57450.969082867567</v>
      </c>
      <c r="AE216" s="199">
        <f t="shared" si="225"/>
        <v>54578.420628724183</v>
      </c>
      <c r="AF216" s="199">
        <f t="shared" si="287"/>
        <v>54578.420628724183</v>
      </c>
      <c r="AG216" s="614">
        <f t="shared" si="273"/>
        <v>2.5234665661161217E-3</v>
      </c>
      <c r="AH216" s="199">
        <f t="shared" si="286"/>
        <v>15039.520702321353</v>
      </c>
      <c r="AI216" s="252">
        <f t="shared" si="256"/>
        <v>1.1650888817092146E-3</v>
      </c>
      <c r="AJ216" s="199">
        <f t="shared" si="274"/>
        <v>72490.489785188925</v>
      </c>
      <c r="AK216" s="199">
        <f t="shared" si="291"/>
        <v>12031.616561857083</v>
      </c>
      <c r="AL216" s="199">
        <f t="shared" si="292"/>
        <v>12031.616561857083</v>
      </c>
      <c r="AM216" s="199">
        <f t="shared" si="257"/>
        <v>24063.233123714166</v>
      </c>
      <c r="AN216" s="645">
        <f t="shared" si="258"/>
        <v>1.1650888817092146E-3</v>
      </c>
      <c r="AO216" s="199">
        <v>11</v>
      </c>
      <c r="AP216" s="250">
        <f t="shared" si="259"/>
        <v>1.2498579706851495E-3</v>
      </c>
      <c r="AQ216" s="199">
        <v>11</v>
      </c>
      <c r="AU216" s="199">
        <v>0</v>
      </c>
      <c r="AW216" s="250">
        <f t="shared" si="260"/>
        <v>0</v>
      </c>
      <c r="AX216" s="199">
        <v>1</v>
      </c>
      <c r="AY216" s="199">
        <f t="shared" si="275"/>
        <v>18432.015962736717</v>
      </c>
      <c r="AZ216" s="199">
        <f t="shared" si="276"/>
        <v>18432.015962736717</v>
      </c>
      <c r="BA216" s="252">
        <f t="shared" si="261"/>
        <v>1.4488760657653896E-3</v>
      </c>
      <c r="BB216" s="284">
        <v>1</v>
      </c>
      <c r="BC216" s="199">
        <f t="shared" si="277"/>
        <v>41364.697739664647</v>
      </c>
      <c r="BD216" s="270">
        <f t="shared" si="289"/>
        <v>3.7251844517566983E-3</v>
      </c>
      <c r="BE216" s="199">
        <f t="shared" si="278"/>
        <v>176948.98477523212</v>
      </c>
      <c r="BF216" s="251">
        <f t="shared" si="290"/>
        <v>3.7251845345373032E-3</v>
      </c>
      <c r="BG216" s="204">
        <f t="shared" si="230"/>
        <v>218313.68251489676</v>
      </c>
      <c r="BH216" s="636">
        <v>0</v>
      </c>
      <c r="BI216" s="199">
        <f t="shared" si="262"/>
        <v>92041.866698206693</v>
      </c>
      <c r="BJ216" s="199">
        <f t="shared" si="263"/>
        <v>184083.73339641339</v>
      </c>
      <c r="BK216" s="199">
        <f t="shared" si="271"/>
        <v>276125.60009462008</v>
      </c>
      <c r="BL216" s="251">
        <f t="shared" si="264"/>
        <v>1.1650888817092146E-3</v>
      </c>
      <c r="BM216" s="199">
        <f t="shared" si="279"/>
        <v>22882.309492848119</v>
      </c>
      <c r="BN216" s="251">
        <f t="shared" si="265"/>
        <v>9.8812928664042052E-4</v>
      </c>
      <c r="BT216" s="199">
        <f>'Detailed Budget'!$AD$12</f>
        <v>194045122715</v>
      </c>
      <c r="BU216" s="199">
        <f>'Detailed Budget'!$AD$24</f>
        <v>194045122715</v>
      </c>
      <c r="BV216" s="596">
        <f t="shared" si="280"/>
        <v>0</v>
      </c>
      <c r="BW216" s="278"/>
      <c r="BX216" s="275">
        <f t="shared" si="215"/>
        <v>0</v>
      </c>
      <c r="BY216" s="275">
        <f t="shared" si="216"/>
        <v>0</v>
      </c>
      <c r="CA216" s="199">
        <f>'Detailed Budget'!$AD$96</f>
        <v>71050111380.677719</v>
      </c>
      <c r="CB216" s="275">
        <f t="shared" si="266"/>
        <v>102942805.84942907</v>
      </c>
      <c r="CE216" s="199">
        <f>'Detailed Budget'!$AD$175</f>
        <v>4330586076.5988197</v>
      </c>
      <c r="CF216" s="275">
        <f t="shared" si="281"/>
        <v>16132231.919539966</v>
      </c>
      <c r="CG216" s="199">
        <f>'Detailed Budget'!$AD$176</f>
        <v>20662817754.37001</v>
      </c>
      <c r="CH216" s="275">
        <f t="shared" si="282"/>
        <v>76972809.138541967</v>
      </c>
      <c r="CI216" s="275">
        <f t="shared" si="211"/>
        <v>93105041.058081925</v>
      </c>
      <c r="CJ216" s="275">
        <f>'Detailed Budget'!$AD$178</f>
        <v>46025131033.061455</v>
      </c>
      <c r="CK216" s="275">
        <f t="shared" si="283"/>
        <v>116142879.36304414</v>
      </c>
      <c r="CL216" s="275">
        <f t="shared" si="288"/>
        <v>209247920.42112607</v>
      </c>
      <c r="CM216" s="278">
        <f>'Detailed Budget'!$AD$189</f>
        <v>77498869683.252869</v>
      </c>
      <c r="CN216" s="275">
        <f t="shared" si="268"/>
        <v>0</v>
      </c>
      <c r="CO216" s="140">
        <f>'Detailed Budget'!$AD$191</f>
        <v>2684962805.4134097</v>
      </c>
      <c r="CP216" s="616">
        <f t="shared" si="269"/>
        <v>0</v>
      </c>
      <c r="CQ216" s="616">
        <f t="shared" si="270"/>
        <v>0</v>
      </c>
      <c r="CR216" s="199">
        <f>'Detailed Budget'!$AD$195</f>
        <v>18734176418</v>
      </c>
      <c r="CS216" s="275">
        <f t="shared" si="284"/>
        <v>18511788.379714128</v>
      </c>
      <c r="CW216" s="278"/>
      <c r="DH216" s="140">
        <f>'Detailed Budget'!$AD$163</f>
        <v>4928560000</v>
      </c>
      <c r="DI216" s="616">
        <f t="shared" si="285"/>
        <v>6160000</v>
      </c>
    </row>
    <row r="217" spans="1:113" outlineLevel="1">
      <c r="A217" s="214" t="s">
        <v>599</v>
      </c>
      <c r="B217" s="215" t="s">
        <v>600</v>
      </c>
      <c r="C217" s="216" t="s">
        <v>234</v>
      </c>
      <c r="D217" s="229" t="s">
        <v>234</v>
      </c>
      <c r="E217" s="216"/>
      <c r="F217" s="216"/>
      <c r="G217" s="216"/>
      <c r="H217" s="216" t="s">
        <v>234</v>
      </c>
      <c r="I217" s="217" t="s">
        <v>234</v>
      </c>
      <c r="J217" s="217"/>
      <c r="K217" s="216" t="s">
        <v>234</v>
      </c>
      <c r="L217" s="216"/>
      <c r="M217" s="217"/>
      <c r="N217" s="216"/>
      <c r="O217" s="217"/>
      <c r="P217" s="216"/>
      <c r="Q217" s="217"/>
      <c r="R217" s="217" t="s">
        <v>234</v>
      </c>
      <c r="S217" s="217"/>
      <c r="T217" s="217"/>
      <c r="U217" s="218">
        <f t="shared" si="272"/>
        <v>6</v>
      </c>
      <c r="V217" s="867" t="s">
        <v>238</v>
      </c>
      <c r="W217" s="219">
        <v>203343</v>
      </c>
      <c r="X217" s="220">
        <v>3.47</v>
      </c>
      <c r="Y217" s="221">
        <f t="shared" si="221"/>
        <v>1.0347</v>
      </c>
      <c r="Z217" s="199">
        <v>19</v>
      </c>
      <c r="AA217" s="221">
        <f t="shared" si="222"/>
        <v>1.9119412036868784</v>
      </c>
      <c r="AB217" s="199">
        <f t="shared" si="253"/>
        <v>388779.8601813009</v>
      </c>
      <c r="AC217">
        <v>19.100000000000001</v>
      </c>
      <c r="AD217" s="199">
        <f t="shared" si="254"/>
        <v>74256.953294628474</v>
      </c>
      <c r="AE217" s="199">
        <f t="shared" si="225"/>
        <v>70544.105629897051</v>
      </c>
      <c r="AF217" s="199">
        <f t="shared" si="287"/>
        <v>70544.105629897051</v>
      </c>
      <c r="AG217" s="614">
        <f t="shared" si="273"/>
        <v>3.2616497498998906E-3</v>
      </c>
      <c r="AH217" s="199">
        <f t="shared" si="286"/>
        <v>19438.993009065045</v>
      </c>
      <c r="AI217" s="252">
        <f t="shared" si="256"/>
        <v>1.5059093354610087E-3</v>
      </c>
      <c r="AJ217" s="199">
        <f t="shared" si="274"/>
        <v>93695.946303693519</v>
      </c>
      <c r="AK217" s="199">
        <f t="shared" si="291"/>
        <v>15551.194407252036</v>
      </c>
      <c r="AL217" s="199">
        <f t="shared" si="292"/>
        <v>15551.194407252036</v>
      </c>
      <c r="AM217" s="199">
        <f t="shared" si="257"/>
        <v>31102.388814504073</v>
      </c>
      <c r="AN217" s="645">
        <f t="shared" si="258"/>
        <v>1.5059093354610087E-3</v>
      </c>
      <c r="AO217" s="199">
        <v>10</v>
      </c>
      <c r="AP217" s="250">
        <f t="shared" si="259"/>
        <v>1.1362345188046814E-3</v>
      </c>
      <c r="AQ217" s="199">
        <v>10</v>
      </c>
      <c r="AU217" s="199">
        <v>0</v>
      </c>
      <c r="AW217" s="250">
        <f t="shared" si="260"/>
        <v>0</v>
      </c>
      <c r="AX217" s="199">
        <v>1</v>
      </c>
      <c r="AY217" s="199">
        <f t="shared" si="275"/>
        <v>23823.886181912083</v>
      </c>
      <c r="AZ217" s="199">
        <f t="shared" si="276"/>
        <v>23823.886181912083</v>
      </c>
      <c r="BA217" s="252">
        <f t="shared" si="261"/>
        <v>1.8727120545183234E-3</v>
      </c>
      <c r="BB217" s="284">
        <v>1</v>
      </c>
      <c r="BC217" s="199">
        <f t="shared" si="277"/>
        <v>53465.006372132499</v>
      </c>
      <c r="BD217" s="270">
        <f t="shared" si="289"/>
        <v>4.8149030775960283E-3</v>
      </c>
      <c r="BE217" s="199">
        <f t="shared" si="278"/>
        <v>228711.41614745572</v>
      </c>
      <c r="BF217" s="251">
        <f t="shared" si="290"/>
        <v>4.814903184592231E-3</v>
      </c>
      <c r="BG217" s="204">
        <f t="shared" si="230"/>
        <v>282176.4225195882</v>
      </c>
      <c r="BH217" s="636">
        <v>0</v>
      </c>
      <c r="BI217" s="199">
        <f t="shared" si="262"/>
        <v>118966.63721547808</v>
      </c>
      <c r="BJ217" s="199">
        <f t="shared" si="263"/>
        <v>237933.27443095617</v>
      </c>
      <c r="BK217" s="199">
        <f t="shared" si="271"/>
        <v>356899.91164643422</v>
      </c>
      <c r="BL217" s="251">
        <f t="shared" si="264"/>
        <v>1.5059093354610087E-3</v>
      </c>
      <c r="BM217" s="199">
        <f t="shared" si="279"/>
        <v>29576.012631445159</v>
      </c>
      <c r="BN217" s="251">
        <f t="shared" si="265"/>
        <v>1.277184205218107E-3</v>
      </c>
      <c r="BT217" s="199">
        <f>'Detailed Budget'!$AD$12</f>
        <v>194045122715</v>
      </c>
      <c r="BU217" s="199">
        <f>'Detailed Budget'!$AD$24</f>
        <v>194045122715</v>
      </c>
      <c r="BV217" s="596">
        <f t="shared" si="280"/>
        <v>0</v>
      </c>
      <c r="BW217" s="278"/>
      <c r="BX217" s="275">
        <f t="shared" si="215"/>
        <v>0</v>
      </c>
      <c r="BY217" s="275">
        <f t="shared" si="216"/>
        <v>0</v>
      </c>
      <c r="CA217" s="199">
        <f>'Detailed Budget'!$AD$96</f>
        <v>71050111380.677719</v>
      </c>
      <c r="CB217" s="275">
        <f t="shared" si="266"/>
        <v>133056400.05746467</v>
      </c>
      <c r="CE217" s="199">
        <f>'Detailed Budget'!$AD$175</f>
        <v>4330586076.5988197</v>
      </c>
      <c r="CF217" s="275">
        <f t="shared" si="281"/>
        <v>20851352.228010166</v>
      </c>
      <c r="CG217" s="199">
        <f>'Detailed Budget'!$AD$176</f>
        <v>20662817754.37001</v>
      </c>
      <c r="CH217" s="275">
        <f t="shared" si="282"/>
        <v>99489467.008165047</v>
      </c>
      <c r="CI217" s="275">
        <f t="shared" si="211"/>
        <v>120340819.23617521</v>
      </c>
      <c r="CJ217" s="275">
        <f>'Detailed Budget'!$AD$178</f>
        <v>46025131033.061455</v>
      </c>
      <c r="CK217" s="275">
        <f t="shared" si="283"/>
        <v>150117857.12309459</v>
      </c>
      <c r="CL217" s="275">
        <f t="shared" si="288"/>
        <v>270458676.3592698</v>
      </c>
      <c r="CM217" s="278">
        <f>'Detailed Budget'!$AD$189</f>
        <v>77498869683.252869</v>
      </c>
      <c r="CN217" s="275">
        <f t="shared" si="268"/>
        <v>0</v>
      </c>
      <c r="CO217" s="140">
        <f>'Detailed Budget'!$AD$191</f>
        <v>2684962805.4134097</v>
      </c>
      <c r="CP217" s="616">
        <f t="shared" si="269"/>
        <v>0</v>
      </c>
      <c r="CQ217" s="616">
        <f t="shared" si="270"/>
        <v>0</v>
      </c>
      <c r="CR217" s="199">
        <f>'Detailed Budget'!$AD$195</f>
        <v>18734176418</v>
      </c>
      <c r="CS217" s="275">
        <f t="shared" si="284"/>
        <v>23926994.218839135</v>
      </c>
      <c r="CW217" s="278"/>
      <c r="DH217" s="140">
        <f>'Detailed Budget'!$AD$163</f>
        <v>4928560000</v>
      </c>
      <c r="DI217" s="616">
        <f t="shared" si="285"/>
        <v>5600000</v>
      </c>
    </row>
    <row r="218" spans="1:113" outlineLevel="1">
      <c r="A218" s="214" t="s">
        <v>601</v>
      </c>
      <c r="B218" s="215" t="s">
        <v>602</v>
      </c>
      <c r="C218" s="216" t="s">
        <v>234</v>
      </c>
      <c r="D218" s="229" t="s">
        <v>234</v>
      </c>
      <c r="E218" s="216"/>
      <c r="F218" s="216"/>
      <c r="G218" s="216"/>
      <c r="H218" s="216" t="s">
        <v>234</v>
      </c>
      <c r="I218" s="217" t="s">
        <v>234</v>
      </c>
      <c r="J218" s="217"/>
      <c r="K218" s="216" t="s">
        <v>234</v>
      </c>
      <c r="L218" s="216"/>
      <c r="M218" s="217"/>
      <c r="N218" s="216"/>
      <c r="O218" s="217"/>
      <c r="P218" s="216"/>
      <c r="Q218" s="217"/>
      <c r="R218" s="217" t="s">
        <v>234</v>
      </c>
      <c r="S218" s="217"/>
      <c r="T218" s="217"/>
      <c r="U218" s="218">
        <f t="shared" si="272"/>
        <v>6</v>
      </c>
      <c r="V218" s="867" t="s">
        <v>238</v>
      </c>
      <c r="W218" s="219">
        <v>56704</v>
      </c>
      <c r="X218" s="220">
        <v>3.47</v>
      </c>
      <c r="Y218" s="221">
        <f t="shared" si="221"/>
        <v>1.0347</v>
      </c>
      <c r="Z218" s="199">
        <v>19</v>
      </c>
      <c r="AA218" s="221">
        <f t="shared" si="222"/>
        <v>1.9119412036868784</v>
      </c>
      <c r="AB218" s="199">
        <f t="shared" si="253"/>
        <v>108414.71401386075</v>
      </c>
      <c r="AC218">
        <v>19.100000000000001</v>
      </c>
      <c r="AD218" s="199">
        <f t="shared" si="254"/>
        <v>20707.210376647407</v>
      </c>
      <c r="AE218" s="199">
        <f t="shared" si="225"/>
        <v>19671.849857815036</v>
      </c>
      <c r="AF218" s="199">
        <f t="shared" si="287"/>
        <v>19671.849857815036</v>
      </c>
      <c r="AG218" s="614">
        <f t="shared" si="273"/>
        <v>9.0953997638631978E-4</v>
      </c>
      <c r="AH218" s="199">
        <f t="shared" si="286"/>
        <v>5420.7357006930379</v>
      </c>
      <c r="AI218" s="252">
        <f t="shared" si="256"/>
        <v>4.1993618151586753E-4</v>
      </c>
      <c r="AJ218" s="199">
        <f t="shared" si="274"/>
        <v>26127.946077340443</v>
      </c>
      <c r="AK218" s="199">
        <f t="shared" si="291"/>
        <v>4336.5885605544299</v>
      </c>
      <c r="AL218" s="199">
        <f t="shared" si="292"/>
        <v>4336.5885605544299</v>
      </c>
      <c r="AM218" s="199">
        <f t="shared" si="257"/>
        <v>8673.1771211088599</v>
      </c>
      <c r="AN218" s="645">
        <f t="shared" si="258"/>
        <v>4.1993618151586748E-4</v>
      </c>
      <c r="AO218" s="199">
        <v>10</v>
      </c>
      <c r="AP218" s="250">
        <f t="shared" si="259"/>
        <v>1.1362345188046814E-3</v>
      </c>
      <c r="AQ218" s="199">
        <v>10</v>
      </c>
      <c r="AU218" s="199">
        <v>0</v>
      </c>
      <c r="AW218" s="250">
        <f t="shared" si="260"/>
        <v>0</v>
      </c>
      <c r="AX218" s="199">
        <v>1</v>
      </c>
      <c r="AY218" s="199">
        <f t="shared" si="275"/>
        <v>6643.5020731431259</v>
      </c>
      <c r="AZ218" s="199">
        <f t="shared" si="276"/>
        <v>6643.5020731431259</v>
      </c>
      <c r="BA218" s="252">
        <f t="shared" si="261"/>
        <v>5.2222237470385998E-4</v>
      </c>
      <c r="BB218" s="284">
        <v>1</v>
      </c>
      <c r="BC218" s="199">
        <f t="shared" si="277"/>
        <v>14909.191471186132</v>
      </c>
      <c r="BD218" s="270">
        <f t="shared" si="289"/>
        <v>1.3426784502638656E-3</v>
      </c>
      <c r="BE218" s="199">
        <f t="shared" si="278"/>
        <v>63778.207960074011</v>
      </c>
      <c r="BF218" s="251">
        <f t="shared" si="290"/>
        <v>1.3426784801007061E-3</v>
      </c>
      <c r="BG218" s="204">
        <f t="shared" si="230"/>
        <v>78687.399431260143</v>
      </c>
      <c r="BH218" s="636">
        <v>0</v>
      </c>
      <c r="BI218" s="199">
        <f t="shared" si="262"/>
        <v>33174.902488241387</v>
      </c>
      <c r="BJ218" s="199">
        <f t="shared" si="263"/>
        <v>66349.804976482774</v>
      </c>
      <c r="BK218" s="199">
        <f t="shared" si="271"/>
        <v>99524.707464724168</v>
      </c>
      <c r="BL218" s="251">
        <f t="shared" si="264"/>
        <v>4.1993618151586748E-4</v>
      </c>
      <c r="BM218" s="199">
        <f t="shared" si="279"/>
        <v>8247.5335775190997</v>
      </c>
      <c r="BN218" s="251">
        <f t="shared" si="265"/>
        <v>3.5615414925858056E-4</v>
      </c>
      <c r="BT218" s="199">
        <f>'Detailed Budget'!$AD$12</f>
        <v>194045122715</v>
      </c>
      <c r="BU218" s="199">
        <f>'Detailed Budget'!$AD$24</f>
        <v>194045122715</v>
      </c>
      <c r="BV218" s="596">
        <f t="shared" si="280"/>
        <v>0</v>
      </c>
      <c r="BW218" s="278"/>
      <c r="BX218" s="275">
        <f t="shared" si="215"/>
        <v>0</v>
      </c>
      <c r="BY218" s="275">
        <f t="shared" si="216"/>
        <v>0</v>
      </c>
      <c r="CA218" s="199">
        <f>'Detailed Budget'!$AD$96</f>
        <v>71050111380.677719</v>
      </c>
      <c r="CB218" s="275">
        <f t="shared" si="266"/>
        <v>37103957.888191268</v>
      </c>
      <c r="CE218" s="199">
        <f>'Detailed Budget'!$AD$175</f>
        <v>4330586076.5988197</v>
      </c>
      <c r="CF218" s="275">
        <f t="shared" si="281"/>
        <v>5814584.6020619776</v>
      </c>
      <c r="CG218" s="199">
        <f>'Detailed Budget'!$AD$176</f>
        <v>20662817754.37001</v>
      </c>
      <c r="CH218" s="275">
        <f t="shared" si="282"/>
        <v>27743520.737035409</v>
      </c>
      <c r="CI218" s="275">
        <f t="shared" ref="CI218:CI281" si="293">CF218+CH218</f>
        <v>33558105.339097388</v>
      </c>
      <c r="CJ218" s="275">
        <f>'Detailed Budget'!$AD$178</f>
        <v>46025131033.061455</v>
      </c>
      <c r="CK218" s="275">
        <f t="shared" si="283"/>
        <v>41861696.592987992</v>
      </c>
      <c r="CL218" s="275">
        <f t="shared" si="288"/>
        <v>75419801.93208538</v>
      </c>
      <c r="CM218" s="278">
        <f>'Detailed Budget'!$AD$189</f>
        <v>77498869683.252869</v>
      </c>
      <c r="CN218" s="275">
        <f t="shared" si="268"/>
        <v>0</v>
      </c>
      <c r="CO218" s="140">
        <f>'Detailed Budget'!$AD$191</f>
        <v>2684962805.4134097</v>
      </c>
      <c r="CP218" s="616">
        <f t="shared" si="269"/>
        <v>0</v>
      </c>
      <c r="CQ218" s="616">
        <f t="shared" si="270"/>
        <v>0</v>
      </c>
      <c r="CR218" s="199">
        <f>'Detailed Budget'!$AD$195</f>
        <v>18734176418</v>
      </c>
      <c r="CS218" s="275">
        <f t="shared" si="284"/>
        <v>6672254.6642129524</v>
      </c>
      <c r="CW218" s="278"/>
      <c r="DH218" s="140">
        <f>'Detailed Budget'!$AD$163</f>
        <v>4928560000</v>
      </c>
      <c r="DI218" s="616">
        <f t="shared" si="285"/>
        <v>5600000</v>
      </c>
    </row>
    <row r="219" spans="1:113" outlineLevel="1">
      <c r="A219" s="214" t="s">
        <v>603</v>
      </c>
      <c r="B219" s="215" t="s">
        <v>604</v>
      </c>
      <c r="C219" s="216" t="s">
        <v>234</v>
      </c>
      <c r="D219" s="229" t="s">
        <v>234</v>
      </c>
      <c r="E219" s="216"/>
      <c r="F219" s="216"/>
      <c r="G219" s="216"/>
      <c r="H219" s="216" t="s">
        <v>234</v>
      </c>
      <c r="I219" s="217" t="s">
        <v>234</v>
      </c>
      <c r="J219" s="217"/>
      <c r="K219" s="216" t="s">
        <v>234</v>
      </c>
      <c r="L219" s="216"/>
      <c r="M219" s="217"/>
      <c r="N219" s="216"/>
      <c r="O219" s="217"/>
      <c r="P219" s="216"/>
      <c r="Q219" s="217"/>
      <c r="R219" s="217" t="s">
        <v>234</v>
      </c>
      <c r="S219" s="217"/>
      <c r="T219" s="217"/>
      <c r="U219" s="218">
        <f t="shared" si="272"/>
        <v>6</v>
      </c>
      <c r="V219" s="867" t="s">
        <v>238</v>
      </c>
      <c r="W219" s="219">
        <v>103600</v>
      </c>
      <c r="X219" s="220">
        <v>3.47</v>
      </c>
      <c r="Y219" s="221">
        <f t="shared" si="221"/>
        <v>1.0347</v>
      </c>
      <c r="Z219" s="199">
        <v>19</v>
      </c>
      <c r="AA219" s="221">
        <f t="shared" si="222"/>
        <v>1.9119412036868784</v>
      </c>
      <c r="AB219" s="199">
        <f t="shared" si="253"/>
        <v>198077.10870196059</v>
      </c>
      <c r="AC219">
        <v>19.100000000000001</v>
      </c>
      <c r="AD219" s="199">
        <f t="shared" si="254"/>
        <v>37832.727762074472</v>
      </c>
      <c r="AE219" s="199">
        <f t="shared" si="225"/>
        <v>35941.091373970747</v>
      </c>
      <c r="AF219" s="199">
        <f t="shared" si="287"/>
        <v>35941.091373970747</v>
      </c>
      <c r="AG219" s="614">
        <f t="shared" si="273"/>
        <v>1.6617582807848248E-3</v>
      </c>
      <c r="AH219" s="199">
        <f t="shared" si="286"/>
        <v>9903.8554350980303</v>
      </c>
      <c r="AI219" s="252">
        <f t="shared" si="256"/>
        <v>7.6723667475035045E-4</v>
      </c>
      <c r="AJ219" s="199">
        <f t="shared" si="274"/>
        <v>47736.583197172498</v>
      </c>
      <c r="AK219" s="199">
        <f t="shared" si="291"/>
        <v>7923.0843480784242</v>
      </c>
      <c r="AL219" s="199">
        <f t="shared" si="292"/>
        <v>7923.0843480784242</v>
      </c>
      <c r="AM219" s="199">
        <f t="shared" si="257"/>
        <v>15846.168696156848</v>
      </c>
      <c r="AN219" s="645">
        <f t="shared" si="258"/>
        <v>7.6723667475035045E-4</v>
      </c>
      <c r="AO219" s="199">
        <v>12</v>
      </c>
      <c r="AP219" s="250">
        <f t="shared" si="259"/>
        <v>1.3634814225656176E-3</v>
      </c>
      <c r="AQ219" s="199">
        <v>12</v>
      </c>
      <c r="AU219" s="199">
        <v>0</v>
      </c>
      <c r="AW219" s="250">
        <f t="shared" si="260"/>
        <v>0</v>
      </c>
      <c r="AX219" s="199">
        <v>1</v>
      </c>
      <c r="AY219" s="199">
        <f t="shared" si="275"/>
        <v>12137.888240293943</v>
      </c>
      <c r="AZ219" s="199">
        <f t="shared" si="276"/>
        <v>12137.888240293943</v>
      </c>
      <c r="BA219" s="252">
        <f t="shared" si="261"/>
        <v>9.5411678222559048E-4</v>
      </c>
      <c r="BB219" s="284">
        <v>1</v>
      </c>
      <c r="BC219" s="199">
        <f t="shared" si="277"/>
        <v>27239.563988693619</v>
      </c>
      <c r="BD219" s="270">
        <f t="shared" si="289"/>
        <v>2.4531159609081626E-3</v>
      </c>
      <c r="BE219" s="199">
        <f t="shared" si="278"/>
        <v>116524.80150718938</v>
      </c>
      <c r="BF219" s="251">
        <f t="shared" si="290"/>
        <v>2.453116015421013E-3</v>
      </c>
      <c r="BG219" s="204">
        <f t="shared" si="230"/>
        <v>143764.36549588299</v>
      </c>
      <c r="BH219" s="636">
        <v>0</v>
      </c>
      <c r="BI219" s="199">
        <f t="shared" si="262"/>
        <v>60611.595262799943</v>
      </c>
      <c r="BJ219" s="199">
        <f t="shared" si="263"/>
        <v>121223.19052559989</v>
      </c>
      <c r="BK219" s="199">
        <f t="shared" si="271"/>
        <v>181834.78578839984</v>
      </c>
      <c r="BL219" s="251">
        <f t="shared" si="264"/>
        <v>7.6723667475035045E-4</v>
      </c>
      <c r="BM219" s="199">
        <f t="shared" si="279"/>
        <v>15068.504490529394</v>
      </c>
      <c r="BN219" s="251">
        <f t="shared" si="265"/>
        <v>6.5070488613129486E-4</v>
      </c>
      <c r="BT219" s="199">
        <f>'Detailed Budget'!$AD$12</f>
        <v>194045122715</v>
      </c>
      <c r="BU219" s="199">
        <f>'Detailed Budget'!$AD$24</f>
        <v>194045122715</v>
      </c>
      <c r="BV219" s="596">
        <f t="shared" si="280"/>
        <v>0</v>
      </c>
      <c r="BW219" s="278"/>
      <c r="BX219" s="275">
        <f t="shared" ref="BX219:BX289" si="294">BT219*BV219</f>
        <v>0</v>
      </c>
      <c r="BY219" s="275">
        <f t="shared" ref="BY219:BY289" si="295">BU219*BV219</f>
        <v>0</v>
      </c>
      <c r="CA219" s="199">
        <f>'Detailed Budget'!$AD$96</f>
        <v>71050111380.677719</v>
      </c>
      <c r="CB219" s="275">
        <f t="shared" si="266"/>
        <v>67790103.647302032</v>
      </c>
      <c r="CE219" s="199">
        <f>'Detailed Budget'!$AD$175</f>
        <v>4330586076.5988197</v>
      </c>
      <c r="CF219" s="275">
        <f t="shared" si="281"/>
        <v>10623429.824591223</v>
      </c>
      <c r="CG219" s="199">
        <f>'Detailed Budget'!$AD$176</f>
        <v>20662817754.37001</v>
      </c>
      <c r="CH219" s="275">
        <f t="shared" si="282"/>
        <v>50688289.156970724</v>
      </c>
      <c r="CI219" s="275">
        <f t="shared" si="293"/>
        <v>61311718.981561944</v>
      </c>
      <c r="CJ219" s="275">
        <f>'Detailed Budget'!$AD$178</f>
        <v>46025131033.061455</v>
      </c>
      <c r="CK219" s="275">
        <f t="shared" si="283"/>
        <v>76482642.618396491</v>
      </c>
      <c r="CL219" s="275">
        <f t="shared" si="288"/>
        <v>137794361.59995842</v>
      </c>
      <c r="CM219" s="278">
        <f>'Detailed Budget'!$AD$189</f>
        <v>77498869683.252869</v>
      </c>
      <c r="CN219" s="275">
        <f t="shared" si="268"/>
        <v>0</v>
      </c>
      <c r="CO219" s="140">
        <f>'Detailed Budget'!$AD$191</f>
        <v>2684962805.4134097</v>
      </c>
      <c r="CP219" s="616">
        <f t="shared" si="269"/>
        <v>0</v>
      </c>
      <c r="CQ219" s="616">
        <f t="shared" si="270"/>
        <v>0</v>
      </c>
      <c r="CR219" s="199">
        <f>'Detailed Budget'!$AD$195</f>
        <v>18734176418</v>
      </c>
      <c r="CS219" s="275">
        <f t="shared" si="284"/>
        <v>12190420.132838279</v>
      </c>
      <c r="CW219" s="278"/>
      <c r="DH219" s="140">
        <f>'Detailed Budget'!$AD$163</f>
        <v>4928560000</v>
      </c>
      <c r="DI219" s="616">
        <f t="shared" si="285"/>
        <v>6720000</v>
      </c>
    </row>
    <row r="220" spans="1:113" outlineLevel="1">
      <c r="A220" s="214" t="s">
        <v>605</v>
      </c>
      <c r="B220" s="215" t="s">
        <v>606</v>
      </c>
      <c r="C220" s="216" t="s">
        <v>234</v>
      </c>
      <c r="D220" s="229" t="s">
        <v>234</v>
      </c>
      <c r="E220" s="216"/>
      <c r="F220" s="216"/>
      <c r="G220" s="216"/>
      <c r="H220" s="216" t="s">
        <v>234</v>
      </c>
      <c r="I220" s="217" t="s">
        <v>234</v>
      </c>
      <c r="J220" s="217"/>
      <c r="K220" s="216" t="s">
        <v>234</v>
      </c>
      <c r="L220" s="216"/>
      <c r="M220" s="217"/>
      <c r="N220" s="216"/>
      <c r="O220" s="217"/>
      <c r="P220" s="216"/>
      <c r="Q220" s="217"/>
      <c r="R220" s="217" t="s">
        <v>234</v>
      </c>
      <c r="S220" s="217"/>
      <c r="T220" s="217"/>
      <c r="U220" s="218">
        <f t="shared" si="272"/>
        <v>6</v>
      </c>
      <c r="V220" s="867" t="s">
        <v>238</v>
      </c>
      <c r="W220" s="219">
        <v>140257</v>
      </c>
      <c r="X220" s="220">
        <v>3.47</v>
      </c>
      <c r="Y220" s="221">
        <f t="shared" si="221"/>
        <v>1.0347</v>
      </c>
      <c r="Z220" s="199">
        <v>19</v>
      </c>
      <c r="AA220" s="221">
        <f t="shared" si="222"/>
        <v>1.9119412036868784</v>
      </c>
      <c r="AB220" s="199">
        <f t="shared" si="253"/>
        <v>268163.13740551053</v>
      </c>
      <c r="AC220">
        <v>19.100000000000001</v>
      </c>
      <c r="AD220" s="199">
        <f t="shared" si="254"/>
        <v>51219.159244452509</v>
      </c>
      <c r="AE220" s="199">
        <f t="shared" si="225"/>
        <v>48658.201282229878</v>
      </c>
      <c r="AF220" s="199">
        <f t="shared" si="287"/>
        <v>48658.201282229878</v>
      </c>
      <c r="AG220" s="614">
        <f t="shared" si="273"/>
        <v>2.2497416137841428E-3</v>
      </c>
      <c r="AH220" s="199">
        <f t="shared" si="286"/>
        <v>13408.156870275527</v>
      </c>
      <c r="AI220" s="252">
        <f t="shared" si="256"/>
        <v>1.0387095973982618E-3</v>
      </c>
      <c r="AJ220" s="199">
        <f t="shared" si="274"/>
        <v>64627.316114728033</v>
      </c>
      <c r="AK220" s="199">
        <f t="shared" si="291"/>
        <v>10726.525496220422</v>
      </c>
      <c r="AL220" s="199">
        <f t="shared" si="292"/>
        <v>10726.525496220422</v>
      </c>
      <c r="AM220" s="199">
        <f t="shared" si="257"/>
        <v>21453.050992440843</v>
      </c>
      <c r="AN220" s="645">
        <f t="shared" si="258"/>
        <v>1.0387095973982618E-3</v>
      </c>
      <c r="AO220" s="199">
        <v>13</v>
      </c>
      <c r="AP220" s="250">
        <f t="shared" si="259"/>
        <v>1.4771048744460858E-3</v>
      </c>
      <c r="AQ220" s="199">
        <v>13</v>
      </c>
      <c r="AU220" s="199">
        <v>0</v>
      </c>
      <c r="AW220" s="250">
        <f t="shared" si="260"/>
        <v>0</v>
      </c>
      <c r="AX220" s="199">
        <v>1</v>
      </c>
      <c r="AY220" s="199">
        <f t="shared" si="275"/>
        <v>16432.662074506832</v>
      </c>
      <c r="AZ220" s="199">
        <f t="shared" si="276"/>
        <v>16432.662074506832</v>
      </c>
      <c r="BA220" s="252">
        <f t="shared" si="261"/>
        <v>1.2917138757202187E-3</v>
      </c>
      <c r="BB220" s="284">
        <v>1</v>
      </c>
      <c r="BC220" s="199">
        <f t="shared" si="277"/>
        <v>36877.794656005804</v>
      </c>
      <c r="BD220" s="270">
        <f t="shared" si="289"/>
        <v>3.3211070012461024E-3</v>
      </c>
      <c r="BE220" s="199">
        <f t="shared" si="278"/>
        <v>157755.01047291374</v>
      </c>
      <c r="BF220" s="251">
        <f t="shared" si="290"/>
        <v>3.3211070750473466E-3</v>
      </c>
      <c r="BG220" s="204">
        <f t="shared" ref="BG220:BG281" si="296">BC220+BE220</f>
        <v>194632.80512891954</v>
      </c>
      <c r="BH220" s="636">
        <v>0</v>
      </c>
      <c r="BI220" s="199">
        <f t="shared" si="262"/>
        <v>82057.920046086234</v>
      </c>
      <c r="BJ220" s="199">
        <f t="shared" si="263"/>
        <v>164115.84009217247</v>
      </c>
      <c r="BK220" s="199">
        <f t="shared" si="271"/>
        <v>246173.76013825869</v>
      </c>
      <c r="BL220" s="251">
        <f t="shared" si="264"/>
        <v>1.0387095973982618E-3</v>
      </c>
      <c r="BM220" s="199">
        <f t="shared" si="279"/>
        <v>20400.22426957704</v>
      </c>
      <c r="BN220" s="251">
        <f t="shared" si="265"/>
        <v>8.8094512754939222E-4</v>
      </c>
      <c r="BT220" s="199">
        <f>'Detailed Budget'!$AD$12</f>
        <v>194045122715</v>
      </c>
      <c r="BU220" s="199">
        <f>'Detailed Budget'!$AD$24</f>
        <v>194045122715</v>
      </c>
      <c r="BV220" s="596">
        <f t="shared" si="280"/>
        <v>0</v>
      </c>
      <c r="BW220" s="278"/>
      <c r="BX220" s="275">
        <f t="shared" si="294"/>
        <v>0</v>
      </c>
      <c r="BY220" s="275">
        <f t="shared" si="295"/>
        <v>0</v>
      </c>
      <c r="CA220" s="199">
        <f>'Detailed Budget'!$AD$96</f>
        <v>71050111380.677719</v>
      </c>
      <c r="CB220" s="275">
        <f t="shared" si="266"/>
        <v>91776414.741888434</v>
      </c>
      <c r="CE220" s="199">
        <f>'Detailed Budget'!$AD$175</f>
        <v>4330586076.5988197</v>
      </c>
      <c r="CF220" s="275">
        <f t="shared" si="281"/>
        <v>14382339.73849123</v>
      </c>
      <c r="CG220" s="199">
        <f>'Detailed Budget'!$AD$176</f>
        <v>20662817754.37001</v>
      </c>
      <c r="CH220" s="275">
        <f t="shared" si="282"/>
        <v>68623430.234452173</v>
      </c>
      <c r="CI220" s="275">
        <f t="shared" si="293"/>
        <v>83005769.972943395</v>
      </c>
      <c r="CJ220" s="275">
        <f>'Detailed Budget'!$AD$178</f>
        <v>46025131033.061455</v>
      </c>
      <c r="CK220" s="275">
        <f t="shared" si="283"/>
        <v>103544652.56494631</v>
      </c>
      <c r="CL220" s="275">
        <f t="shared" si="288"/>
        <v>186550422.53788972</v>
      </c>
      <c r="CM220" s="278">
        <f>'Detailed Budget'!$AD$189</f>
        <v>77498869683.252869</v>
      </c>
      <c r="CN220" s="275">
        <f t="shared" si="268"/>
        <v>0</v>
      </c>
      <c r="CO220" s="140">
        <f>'Detailed Budget'!$AD$191</f>
        <v>2684962805.4134097</v>
      </c>
      <c r="CP220" s="616">
        <f t="shared" si="269"/>
        <v>0</v>
      </c>
      <c r="CQ220" s="616">
        <f t="shared" si="270"/>
        <v>0</v>
      </c>
      <c r="CR220" s="199">
        <f>'Detailed Budget'!$AD$195</f>
        <v>18734176418</v>
      </c>
      <c r="CS220" s="275">
        <f t="shared" si="284"/>
        <v>16503781.434087826</v>
      </c>
      <c r="CW220" s="278"/>
      <c r="DH220" s="140">
        <f>'Detailed Budget'!$AD$163</f>
        <v>4928560000</v>
      </c>
      <c r="DI220" s="616">
        <f t="shared" si="285"/>
        <v>7280000.0000000009</v>
      </c>
    </row>
    <row r="221" spans="1:113" outlineLevel="1">
      <c r="A221" s="214" t="s">
        <v>607</v>
      </c>
      <c r="B221" s="215" t="s">
        <v>608</v>
      </c>
      <c r="C221" s="216" t="s">
        <v>234</v>
      </c>
      <c r="D221" s="229" t="s">
        <v>234</v>
      </c>
      <c r="E221" s="216"/>
      <c r="F221" s="216"/>
      <c r="G221" s="216"/>
      <c r="H221" s="216" t="s">
        <v>234</v>
      </c>
      <c r="I221" s="217" t="s">
        <v>234</v>
      </c>
      <c r="J221" s="217"/>
      <c r="K221" s="216" t="s">
        <v>234</v>
      </c>
      <c r="L221" s="216"/>
      <c r="M221" s="217"/>
      <c r="N221" s="216"/>
      <c r="O221" s="217"/>
      <c r="P221" s="216"/>
      <c r="Q221" s="217" t="s">
        <v>234</v>
      </c>
      <c r="R221" s="217"/>
      <c r="S221" s="217"/>
      <c r="T221" s="217"/>
      <c r="U221" s="218">
        <f t="shared" si="272"/>
        <v>6</v>
      </c>
      <c r="V221" s="867" t="s">
        <v>284</v>
      </c>
      <c r="W221" s="219">
        <v>540016</v>
      </c>
      <c r="X221" s="220">
        <v>3.47</v>
      </c>
      <c r="Y221" s="221">
        <f t="shared" ref="Y221:Y282" si="297">1+X221/100</f>
        <v>1.0347</v>
      </c>
      <c r="Z221" s="199">
        <v>19</v>
      </c>
      <c r="AA221" s="221">
        <f t="shared" ref="AA221:AA282" si="298">POWER(Y221,Z221)</f>
        <v>1.9119412036868784</v>
      </c>
      <c r="AB221" s="199">
        <f t="shared" ref="AB221:AB256" si="299">W221*AA221</f>
        <v>1032478.8410501733</v>
      </c>
      <c r="AC221">
        <v>19.100000000000001</v>
      </c>
      <c r="AD221" s="199">
        <f t="shared" ref="AD221:AD256" si="300">AB221*AC221/100</f>
        <v>197203.45864058312</v>
      </c>
      <c r="AE221" s="199">
        <f t="shared" ref="AE221:AE291" si="301">AD221*0.95</f>
        <v>187343.28570855394</v>
      </c>
      <c r="AF221" s="199">
        <f t="shared" si="287"/>
        <v>187343.28570855394</v>
      </c>
      <c r="AG221" s="614">
        <f t="shared" si="273"/>
        <v>8.6619310787287452E-3</v>
      </c>
      <c r="AH221" s="199">
        <f t="shared" si="286"/>
        <v>51623.942052508668</v>
      </c>
      <c r="AI221" s="252">
        <f t="shared" si="256"/>
        <v>3.9992285728956108E-3</v>
      </c>
      <c r="AJ221" s="199">
        <f t="shared" si="274"/>
        <v>248827.4006930918</v>
      </c>
      <c r="AK221" s="199">
        <f t="shared" si="291"/>
        <v>41299.153642006931</v>
      </c>
      <c r="AL221" s="199">
        <f t="shared" si="292"/>
        <v>41299.153642006931</v>
      </c>
      <c r="AM221" s="199">
        <f t="shared" si="257"/>
        <v>82598.307284013863</v>
      </c>
      <c r="AN221" s="645">
        <f t="shared" si="258"/>
        <v>3.9992285728956108E-3</v>
      </c>
      <c r="AO221" s="199">
        <v>15</v>
      </c>
      <c r="AP221" s="250">
        <f t="shared" si="259"/>
        <v>1.7043517782070218E-3</v>
      </c>
      <c r="AQ221" s="199">
        <v>15</v>
      </c>
      <c r="AU221" s="199">
        <v>0</v>
      </c>
      <c r="AW221" s="250">
        <f t="shared" si="260"/>
        <v>0</v>
      </c>
      <c r="AX221" s="199">
        <v>1</v>
      </c>
      <c r="AY221" s="199">
        <f t="shared" si="275"/>
        <v>63268.85961361559</v>
      </c>
      <c r="AZ221" s="199">
        <f t="shared" si="276"/>
        <v>63268.85961361559</v>
      </c>
      <c r="BA221" s="252">
        <f t="shared" si="261"/>
        <v>4.9733429369723412E-3</v>
      </c>
      <c r="BB221" s="284">
        <v>1</v>
      </c>
      <c r="BC221" s="199">
        <f t="shared" si="277"/>
        <v>141986.49022121984</v>
      </c>
      <c r="BD221" s="270">
        <f t="shared" si="289"/>
        <v>1.2786890624959291E-2</v>
      </c>
      <c r="BE221" s="199">
        <f t="shared" si="278"/>
        <v>607386.65261299605</v>
      </c>
      <c r="BF221" s="251">
        <f t="shared" si="290"/>
        <v>1.2786890909108051E-2</v>
      </c>
      <c r="BG221" s="204">
        <f t="shared" si="296"/>
        <v>749373.14283421589</v>
      </c>
      <c r="BH221" s="636">
        <v>0</v>
      </c>
      <c r="BI221" s="199">
        <f t="shared" si="262"/>
        <v>315938.52536135301</v>
      </c>
      <c r="BJ221" s="199">
        <f t="shared" si="263"/>
        <v>631877.05072270602</v>
      </c>
      <c r="BK221" s="199">
        <f t="shared" si="271"/>
        <v>947815.57608405896</v>
      </c>
      <c r="BL221" s="251">
        <f t="shared" si="264"/>
        <v>3.9992285728956099E-3</v>
      </c>
      <c r="BM221" s="199">
        <f t="shared" si="279"/>
        <v>78544.72510576951</v>
      </c>
      <c r="BN221" s="251">
        <f t="shared" si="265"/>
        <v>3.3918054998945688E-3</v>
      </c>
      <c r="BT221" s="199">
        <f>'Detailed Budget'!$AD$12</f>
        <v>194045122715</v>
      </c>
      <c r="BU221" s="199">
        <f>'Detailed Budget'!$AD$24</f>
        <v>194045122715</v>
      </c>
      <c r="BV221" s="596">
        <f t="shared" si="280"/>
        <v>0</v>
      </c>
      <c r="BW221" s="278"/>
      <c r="BX221" s="275">
        <f t="shared" si="294"/>
        <v>0</v>
      </c>
      <c r="BY221" s="275">
        <f t="shared" si="295"/>
        <v>0</v>
      </c>
      <c r="CA221" s="199">
        <f>'Detailed Budget'!$AD$96</f>
        <v>71050111380.677719</v>
      </c>
      <c r="CB221" s="275">
        <f t="shared" si="266"/>
        <v>353356569.60619169</v>
      </c>
      <c r="CE221" s="199">
        <f>'Detailed Budget'!$AD$175</f>
        <v>4330586076.5988197</v>
      </c>
      <c r="CF221" s="275">
        <f t="shared" si="281"/>
        <v>55374730.503440686</v>
      </c>
      <c r="CG221" s="199">
        <f>'Detailed Budget'!$AD$176</f>
        <v>20662817754.37001</v>
      </c>
      <c r="CH221" s="275">
        <f t="shared" si="282"/>
        <v>264213196.49991032</v>
      </c>
      <c r="CI221" s="275">
        <f t="shared" si="293"/>
        <v>319587927.00335103</v>
      </c>
      <c r="CJ221" s="275">
        <f>'Detailed Budget'!$AD$178</f>
        <v>46025131033.061455</v>
      </c>
      <c r="CK221" s="275">
        <f t="shared" si="283"/>
        <v>398666512.89783788</v>
      </c>
      <c r="CL221" s="275">
        <f t="shared" si="288"/>
        <v>718254439.90118885</v>
      </c>
      <c r="CM221" s="278">
        <f>'Detailed Budget'!$AD$189</f>
        <v>77498869683.252869</v>
      </c>
      <c r="CN221" s="275">
        <f t="shared" si="268"/>
        <v>0</v>
      </c>
      <c r="CO221" s="140">
        <f>'Detailed Budget'!$AD$191</f>
        <v>2684962805.4134097</v>
      </c>
      <c r="CP221" s="616">
        <f t="shared" si="269"/>
        <v>0</v>
      </c>
      <c r="CQ221" s="616">
        <f t="shared" si="270"/>
        <v>0</v>
      </c>
      <c r="CR221" s="199">
        <f>'Detailed Budget'!$AD$195</f>
        <v>18734176418</v>
      </c>
      <c r="CS221" s="275">
        <f t="shared" si="284"/>
        <v>63542682.610567532</v>
      </c>
      <c r="CW221" s="278"/>
      <c r="DH221" s="140">
        <f>'Detailed Budget'!$AD$163</f>
        <v>4928560000</v>
      </c>
      <c r="DI221" s="616">
        <f t="shared" si="285"/>
        <v>8400000</v>
      </c>
    </row>
    <row r="222" spans="1:113" outlineLevel="1">
      <c r="A222" s="214" t="s">
        <v>609</v>
      </c>
      <c r="B222" s="215" t="s">
        <v>610</v>
      </c>
      <c r="C222" s="216" t="s">
        <v>234</v>
      </c>
      <c r="D222" s="229" t="s">
        <v>234</v>
      </c>
      <c r="E222" s="216"/>
      <c r="F222" s="216"/>
      <c r="G222" s="216"/>
      <c r="H222" s="216" t="s">
        <v>234</v>
      </c>
      <c r="I222" s="217" t="s">
        <v>234</v>
      </c>
      <c r="J222" s="217"/>
      <c r="K222" s="216" t="s">
        <v>234</v>
      </c>
      <c r="L222" s="216"/>
      <c r="M222" s="217"/>
      <c r="N222" s="216"/>
      <c r="O222" s="217"/>
      <c r="P222" s="216"/>
      <c r="Q222" s="217"/>
      <c r="R222" s="217" t="s">
        <v>234</v>
      </c>
      <c r="S222" s="217"/>
      <c r="T222" s="217"/>
      <c r="U222" s="218">
        <f t="shared" si="272"/>
        <v>6</v>
      </c>
      <c r="V222" s="867" t="s">
        <v>238</v>
      </c>
      <c r="W222" s="219">
        <v>129409</v>
      </c>
      <c r="X222" s="220">
        <v>3.47</v>
      </c>
      <c r="Y222" s="221">
        <f t="shared" si="297"/>
        <v>1.0347</v>
      </c>
      <c r="Z222" s="199">
        <v>19</v>
      </c>
      <c r="AA222" s="221">
        <f t="shared" si="298"/>
        <v>1.9119412036868784</v>
      </c>
      <c r="AB222" s="199">
        <f t="shared" si="299"/>
        <v>247422.39922791524</v>
      </c>
      <c r="AC222">
        <v>19.100000000000001</v>
      </c>
      <c r="AD222" s="199">
        <f t="shared" si="300"/>
        <v>47257.678252531812</v>
      </c>
      <c r="AE222" s="199">
        <f t="shared" si="301"/>
        <v>44894.794339905216</v>
      </c>
      <c r="AF222" s="199">
        <f t="shared" si="287"/>
        <v>44894.794339905216</v>
      </c>
      <c r="AG222" s="614">
        <f t="shared" si="273"/>
        <v>2.0757381984370985E-3</v>
      </c>
      <c r="AH222" s="199">
        <f t="shared" si="286"/>
        <v>12371.119961395763</v>
      </c>
      <c r="AI222" s="252">
        <f t="shared" si="256"/>
        <v>9.5837191933173852E-4</v>
      </c>
      <c r="AJ222" s="199">
        <f t="shared" si="274"/>
        <v>59628.798213927577</v>
      </c>
      <c r="AK222" s="199">
        <f t="shared" si="291"/>
        <v>9896.8959691166092</v>
      </c>
      <c r="AL222" s="199">
        <f t="shared" si="292"/>
        <v>9896.8959691166092</v>
      </c>
      <c r="AM222" s="199">
        <f t="shared" si="257"/>
        <v>19793.791938233218</v>
      </c>
      <c r="AN222" s="645">
        <f t="shared" si="258"/>
        <v>9.5837191933173841E-4</v>
      </c>
      <c r="AO222" s="199">
        <v>13</v>
      </c>
      <c r="AP222" s="250">
        <f t="shared" si="259"/>
        <v>1.4771048744460858E-3</v>
      </c>
      <c r="AQ222" s="199">
        <v>13</v>
      </c>
      <c r="AU222" s="199">
        <v>0</v>
      </c>
      <c r="AW222" s="250">
        <f t="shared" si="260"/>
        <v>0</v>
      </c>
      <c r="AX222" s="199">
        <v>1</v>
      </c>
      <c r="AY222" s="199">
        <f t="shared" si="275"/>
        <v>15161.698641777984</v>
      </c>
      <c r="AZ222" s="199">
        <f t="shared" si="276"/>
        <v>15161.698641777984</v>
      </c>
      <c r="BA222" s="252">
        <f t="shared" si="261"/>
        <v>1.1918079022300335E-3</v>
      </c>
      <c r="BB222" s="284">
        <v>1</v>
      </c>
      <c r="BC222" s="199">
        <f t="shared" si="277"/>
        <v>34025.528341822901</v>
      </c>
      <c r="BD222" s="270">
        <f t="shared" si="289"/>
        <v>3.0642401871154865E-3</v>
      </c>
      <c r="BE222" s="199">
        <f t="shared" si="278"/>
        <v>145553.64901779799</v>
      </c>
      <c r="BF222" s="251">
        <f t="shared" si="290"/>
        <v>3.0642402552086669E-3</v>
      </c>
      <c r="BG222" s="204">
        <f t="shared" si="296"/>
        <v>179579.1773596209</v>
      </c>
      <c r="BH222" s="636">
        <v>0</v>
      </c>
      <c r="BI222" s="199">
        <f t="shared" si="262"/>
        <v>75711.254163742065</v>
      </c>
      <c r="BJ222" s="199">
        <f t="shared" si="263"/>
        <v>151422.50832748413</v>
      </c>
      <c r="BK222" s="199">
        <f t="shared" si="271"/>
        <v>227133.7624912262</v>
      </c>
      <c r="BL222" s="251">
        <f t="shared" si="264"/>
        <v>9.5837191933173841E-4</v>
      </c>
      <c r="BM222" s="199">
        <f t="shared" si="279"/>
        <v>18822.394764622764</v>
      </c>
      <c r="BN222" s="251">
        <f t="shared" si="265"/>
        <v>8.1280954256143572E-4</v>
      </c>
      <c r="BT222" s="199">
        <f>'Detailed Budget'!$AD$12</f>
        <v>194045122715</v>
      </c>
      <c r="BU222" s="199">
        <f>'Detailed Budget'!$AD$24</f>
        <v>194045122715</v>
      </c>
      <c r="BV222" s="596">
        <f t="shared" si="280"/>
        <v>0</v>
      </c>
      <c r="BW222" s="278"/>
      <c r="BX222" s="275">
        <f t="shared" si="294"/>
        <v>0</v>
      </c>
      <c r="BY222" s="275">
        <f t="shared" si="295"/>
        <v>0</v>
      </c>
      <c r="CA222" s="199">
        <f>'Detailed Budget'!$AD$96</f>
        <v>71050111380.677719</v>
      </c>
      <c r="CB222" s="275">
        <f t="shared" si="266"/>
        <v>84678084.197815746</v>
      </c>
      <c r="CE222" s="199">
        <f>'Detailed Budget'!$AD$175</f>
        <v>4330586076.5988197</v>
      </c>
      <c r="CF222" s="275">
        <f t="shared" si="281"/>
        <v>13269955.889676888</v>
      </c>
      <c r="CG222" s="199">
        <f>'Detailed Budget'!$AD$176</f>
        <v>20662817754.37001</v>
      </c>
      <c r="CH222" s="275">
        <f t="shared" si="282"/>
        <v>63315837.948980935</v>
      </c>
      <c r="CI222" s="275">
        <f t="shared" si="293"/>
        <v>76585793.838657826</v>
      </c>
      <c r="CJ222" s="275">
        <f>'Detailed Budget'!$AD$178</f>
        <v>46025131033.061455</v>
      </c>
      <c r="CK222" s="275">
        <f t="shared" si="283"/>
        <v>95536122.573398381</v>
      </c>
      <c r="CL222" s="275">
        <f t="shared" si="288"/>
        <v>172121916.41205621</v>
      </c>
      <c r="CM222" s="278">
        <f>'Detailed Budget'!$AD$189</f>
        <v>77498869683.252869</v>
      </c>
      <c r="CN222" s="275">
        <f t="shared" si="268"/>
        <v>0</v>
      </c>
      <c r="CO222" s="140">
        <f>'Detailed Budget'!$AD$191</f>
        <v>2684962805.4134097</v>
      </c>
      <c r="CP222" s="616">
        <f t="shared" si="269"/>
        <v>0</v>
      </c>
      <c r="CQ222" s="616">
        <f t="shared" si="270"/>
        <v>0</v>
      </c>
      <c r="CR222" s="199">
        <f>'Detailed Budget'!$AD$195</f>
        <v>18734176418</v>
      </c>
      <c r="CS222" s="275">
        <f t="shared" si="284"/>
        <v>15227317.364579817</v>
      </c>
      <c r="CW222" s="278"/>
      <c r="DH222" s="140">
        <f>'Detailed Budget'!$AD$163</f>
        <v>4928560000</v>
      </c>
      <c r="DI222" s="616">
        <f t="shared" si="285"/>
        <v>7280000.0000000009</v>
      </c>
    </row>
    <row r="223" spans="1:113" outlineLevel="1">
      <c r="A223" s="214" t="s">
        <v>611</v>
      </c>
      <c r="B223" s="215" t="s">
        <v>612</v>
      </c>
      <c r="C223" s="216" t="s">
        <v>234</v>
      </c>
      <c r="D223" s="229" t="s">
        <v>234</v>
      </c>
      <c r="E223" s="216"/>
      <c r="F223" s="216"/>
      <c r="G223" s="216"/>
      <c r="H223" s="216" t="s">
        <v>234</v>
      </c>
      <c r="I223" s="217" t="s">
        <v>234</v>
      </c>
      <c r="J223" s="217"/>
      <c r="K223" s="216" t="s">
        <v>234</v>
      </c>
      <c r="L223" s="216"/>
      <c r="M223" s="217"/>
      <c r="N223" s="216"/>
      <c r="O223" s="217"/>
      <c r="P223" s="216"/>
      <c r="Q223" s="217"/>
      <c r="R223" s="217" t="s">
        <v>234</v>
      </c>
      <c r="S223" s="217"/>
      <c r="T223" s="217"/>
      <c r="U223" s="218">
        <f t="shared" si="272"/>
        <v>6</v>
      </c>
      <c r="V223" s="867" t="s">
        <v>238</v>
      </c>
      <c r="W223" s="219">
        <v>116633</v>
      </c>
      <c r="X223" s="220">
        <v>3.47</v>
      </c>
      <c r="Y223" s="221">
        <f t="shared" si="297"/>
        <v>1.0347</v>
      </c>
      <c r="Z223" s="199">
        <v>19</v>
      </c>
      <c r="AA223" s="221">
        <f t="shared" si="298"/>
        <v>1.9119412036868784</v>
      </c>
      <c r="AB223" s="199">
        <f t="shared" si="299"/>
        <v>222995.43840961167</v>
      </c>
      <c r="AC223">
        <v>19.100000000000001</v>
      </c>
      <c r="AD223" s="199">
        <f t="shared" si="300"/>
        <v>42592.128736235834</v>
      </c>
      <c r="AE223" s="199">
        <f t="shared" si="301"/>
        <v>40462.522299424039</v>
      </c>
      <c r="AF223" s="199">
        <f t="shared" si="287"/>
        <v>40462.522299424039</v>
      </c>
      <c r="AG223" s="614">
        <f t="shared" si="273"/>
        <v>1.8708093973240974E-3</v>
      </c>
      <c r="AH223" s="199">
        <f t="shared" si="286"/>
        <v>11149.771920480584</v>
      </c>
      <c r="AI223" s="252">
        <f t="shared" si="256"/>
        <v>8.6375593712507352E-4</v>
      </c>
      <c r="AJ223" s="199">
        <f t="shared" si="274"/>
        <v>53741.900656716418</v>
      </c>
      <c r="AK223" s="199">
        <f t="shared" si="291"/>
        <v>8919.8175363844675</v>
      </c>
      <c r="AL223" s="199">
        <f t="shared" si="292"/>
        <v>8919.8175363844675</v>
      </c>
      <c r="AM223" s="199">
        <f t="shared" si="257"/>
        <v>17839.635072768935</v>
      </c>
      <c r="AN223" s="645">
        <f t="shared" si="258"/>
        <v>8.6375593712507363E-4</v>
      </c>
      <c r="AO223" s="199">
        <v>10</v>
      </c>
      <c r="AP223" s="250">
        <f t="shared" si="259"/>
        <v>1.1362345188046814E-3</v>
      </c>
      <c r="AQ223" s="199">
        <v>10</v>
      </c>
      <c r="AU223" s="199">
        <v>0</v>
      </c>
      <c r="AW223" s="250">
        <f t="shared" si="260"/>
        <v>0</v>
      </c>
      <c r="AX223" s="199">
        <v>1</v>
      </c>
      <c r="AY223" s="199">
        <f t="shared" si="275"/>
        <v>13664.848640252932</v>
      </c>
      <c r="AZ223" s="199">
        <f t="shared" si="276"/>
        <v>13664.848640252932</v>
      </c>
      <c r="BA223" s="252">
        <f t="shared" si="261"/>
        <v>1.0741457785841441E-3</v>
      </c>
      <c r="BB223" s="284">
        <v>1</v>
      </c>
      <c r="BC223" s="199">
        <f t="shared" si="277"/>
        <v>30666.332690089799</v>
      </c>
      <c r="BD223" s="270">
        <f t="shared" si="289"/>
        <v>2.7617207902374688E-3</v>
      </c>
      <c r="BE223" s="199">
        <f t="shared" si="278"/>
        <v>131183.75650760636</v>
      </c>
      <c r="BF223" s="251">
        <f t="shared" si="290"/>
        <v>2.7617208516080988E-3</v>
      </c>
      <c r="BG223" s="204">
        <f t="shared" si="296"/>
        <v>161850.08919769616</v>
      </c>
      <c r="BH223" s="636">
        <v>0</v>
      </c>
      <c r="BI223" s="199">
        <f t="shared" si="262"/>
        <v>68236.604153341177</v>
      </c>
      <c r="BJ223" s="199">
        <f t="shared" si="263"/>
        <v>136473.20830668235</v>
      </c>
      <c r="BK223" s="199">
        <f t="shared" si="271"/>
        <v>204709.81246002353</v>
      </c>
      <c r="BL223" s="251">
        <f t="shared" si="264"/>
        <v>8.6375593712507363E-4</v>
      </c>
      <c r="BM223" s="199">
        <f t="shared" si="279"/>
        <v>16964.139809304193</v>
      </c>
      <c r="BN223" s="251">
        <f t="shared" si="265"/>
        <v>7.3256431451883491E-4</v>
      </c>
      <c r="BT223" s="199">
        <f>'Detailed Budget'!$AD$12</f>
        <v>194045122715</v>
      </c>
      <c r="BU223" s="199">
        <f>'Detailed Budget'!$AD$24</f>
        <v>194045122715</v>
      </c>
      <c r="BV223" s="596">
        <f t="shared" si="280"/>
        <v>0</v>
      </c>
      <c r="BW223" s="278"/>
      <c r="BX223" s="275">
        <f t="shared" si="294"/>
        <v>0</v>
      </c>
      <c r="BY223" s="275">
        <f t="shared" si="295"/>
        <v>0</v>
      </c>
      <c r="CA223" s="199">
        <f>'Detailed Budget'!$AD$96</f>
        <v>71050111380.677719</v>
      </c>
      <c r="CB223" s="275">
        <f t="shared" si="266"/>
        <v>76318177.207488224</v>
      </c>
      <c r="CE223" s="199">
        <f>'Detailed Budget'!$AD$175</f>
        <v>4330586076.5988197</v>
      </c>
      <c r="CF223" s="275">
        <f t="shared" si="281"/>
        <v>11959869.601655873</v>
      </c>
      <c r="CG223" s="199">
        <f>'Detailed Budget'!$AD$176</f>
        <v>20662817754.37001</v>
      </c>
      <c r="CH223" s="275">
        <f t="shared" si="282"/>
        <v>57064934.645221688</v>
      </c>
      <c r="CI223" s="275">
        <f t="shared" si="293"/>
        <v>69024804.246877566</v>
      </c>
      <c r="CJ223" s="275">
        <f>'Detailed Budget'!$AD$178</f>
        <v>46025131033.061455</v>
      </c>
      <c r="CK223" s="275">
        <f t="shared" si="283"/>
        <v>86104247.64972432</v>
      </c>
      <c r="CL223" s="275">
        <f t="shared" si="288"/>
        <v>155129051.89660189</v>
      </c>
      <c r="CM223" s="278">
        <f>'Detailed Budget'!$AD$189</f>
        <v>77498869683.252869</v>
      </c>
      <c r="CN223" s="275">
        <f t="shared" si="268"/>
        <v>0</v>
      </c>
      <c r="CO223" s="140">
        <f>'Detailed Budget'!$AD$191</f>
        <v>2684962805.4134097</v>
      </c>
      <c r="CP223" s="616">
        <f t="shared" si="269"/>
        <v>0</v>
      </c>
      <c r="CQ223" s="616">
        <f t="shared" si="270"/>
        <v>0</v>
      </c>
      <c r="CR223" s="199">
        <f>'Detailed Budget'!$AD$195</f>
        <v>18734176418</v>
      </c>
      <c r="CS223" s="275">
        <f t="shared" si="284"/>
        <v>13723989.105727091</v>
      </c>
      <c r="CW223" s="278"/>
      <c r="DH223" s="140">
        <f>'Detailed Budget'!$AD$163</f>
        <v>4928560000</v>
      </c>
      <c r="DI223" s="616">
        <f t="shared" si="285"/>
        <v>5600000</v>
      </c>
    </row>
    <row r="224" spans="1:113" outlineLevel="1">
      <c r="A224" s="214" t="s">
        <v>613</v>
      </c>
      <c r="B224" s="215" t="s">
        <v>614</v>
      </c>
      <c r="C224" s="216" t="s">
        <v>234</v>
      </c>
      <c r="D224" s="229" t="s">
        <v>234</v>
      </c>
      <c r="E224" s="216"/>
      <c r="F224" s="216"/>
      <c r="G224" s="216"/>
      <c r="H224" s="216" t="s">
        <v>234</v>
      </c>
      <c r="I224" s="217" t="s">
        <v>234</v>
      </c>
      <c r="J224" s="217"/>
      <c r="K224" s="216" t="s">
        <v>234</v>
      </c>
      <c r="L224" s="216"/>
      <c r="M224" s="217"/>
      <c r="N224" s="216"/>
      <c r="O224" s="217"/>
      <c r="P224" s="216"/>
      <c r="Q224" s="217"/>
      <c r="R224" s="217" t="s">
        <v>234</v>
      </c>
      <c r="S224" s="217"/>
      <c r="T224" s="217"/>
      <c r="U224" s="218">
        <f t="shared" si="272"/>
        <v>6</v>
      </c>
      <c r="V224" s="867" t="s">
        <v>238</v>
      </c>
      <c r="W224" s="219">
        <v>109834</v>
      </c>
      <c r="X224" s="220">
        <v>3.47</v>
      </c>
      <c r="Y224" s="221">
        <f t="shared" si="297"/>
        <v>1.0347</v>
      </c>
      <c r="Z224" s="199">
        <v>19</v>
      </c>
      <c r="AA224" s="221">
        <f t="shared" si="298"/>
        <v>1.9119412036868784</v>
      </c>
      <c r="AB224" s="199">
        <f t="shared" si="299"/>
        <v>209996.15016574459</v>
      </c>
      <c r="AC224">
        <v>19.100000000000001</v>
      </c>
      <c r="AD224" s="199">
        <f t="shared" si="300"/>
        <v>40109.264681657223</v>
      </c>
      <c r="AE224" s="199">
        <f t="shared" si="301"/>
        <v>38103.801447574362</v>
      </c>
      <c r="AF224" s="199">
        <f t="shared" si="287"/>
        <v>38103.801447574362</v>
      </c>
      <c r="AG224" s="614">
        <f t="shared" si="273"/>
        <v>1.7617525001131322E-3</v>
      </c>
      <c r="AH224" s="199">
        <f t="shared" si="286"/>
        <v>10499.807508287231</v>
      </c>
      <c r="AI224" s="252">
        <f t="shared" si="256"/>
        <v>8.1340417890472967E-4</v>
      </c>
      <c r="AJ224" s="199">
        <f t="shared" si="274"/>
        <v>50609.072189944454</v>
      </c>
      <c r="AK224" s="199">
        <f t="shared" si="291"/>
        <v>8399.846006629783</v>
      </c>
      <c r="AL224" s="199">
        <f t="shared" si="292"/>
        <v>8399.846006629783</v>
      </c>
      <c r="AM224" s="199">
        <f t="shared" si="257"/>
        <v>16799.692013259566</v>
      </c>
      <c r="AN224" s="645">
        <f t="shared" si="258"/>
        <v>8.1340417890472957E-4</v>
      </c>
      <c r="AO224" s="199">
        <v>12</v>
      </c>
      <c r="AP224" s="250">
        <f t="shared" si="259"/>
        <v>1.3634814225656176E-3</v>
      </c>
      <c r="AQ224" s="199">
        <v>12</v>
      </c>
      <c r="AU224" s="199">
        <v>0</v>
      </c>
      <c r="AW224" s="250">
        <f t="shared" si="260"/>
        <v>0</v>
      </c>
      <c r="AX224" s="199">
        <v>1</v>
      </c>
      <c r="AY224" s="199">
        <f t="shared" si="275"/>
        <v>12868.270434212793</v>
      </c>
      <c r="AZ224" s="199">
        <f t="shared" si="276"/>
        <v>12868.270434212793</v>
      </c>
      <c r="BA224" s="252">
        <f t="shared" si="261"/>
        <v>1.0115295623452272E-3</v>
      </c>
      <c r="BB224" s="284">
        <v>1</v>
      </c>
      <c r="BC224" s="199">
        <f t="shared" si="277"/>
        <v>28878.670570793201</v>
      </c>
      <c r="BD224" s="270">
        <f t="shared" si="289"/>
        <v>2.6007291356214979E-3</v>
      </c>
      <c r="BE224" s="199">
        <f t="shared" si="278"/>
        <v>123536.53521950425</v>
      </c>
      <c r="BF224" s="251">
        <f t="shared" si="290"/>
        <v>2.6007291934145907E-3</v>
      </c>
      <c r="BG224" s="204">
        <f t="shared" si="296"/>
        <v>152415.20579029745</v>
      </c>
      <c r="BH224" s="636">
        <v>0</v>
      </c>
      <c r="BI224" s="199">
        <f t="shared" si="262"/>
        <v>64258.821950717836</v>
      </c>
      <c r="BJ224" s="199">
        <f t="shared" si="263"/>
        <v>128517.64390143567</v>
      </c>
      <c r="BK224" s="199">
        <f t="shared" si="271"/>
        <v>192776.46585215352</v>
      </c>
      <c r="BL224" s="251">
        <f t="shared" si="264"/>
        <v>8.1340417890472957E-4</v>
      </c>
      <c r="BM224" s="199">
        <f t="shared" si="279"/>
        <v>15975.232839891945</v>
      </c>
      <c r="BN224" s="251">
        <f t="shared" si="265"/>
        <v>6.8986023613267031E-4</v>
      </c>
      <c r="BT224" s="199">
        <f>'Detailed Budget'!$AD$12</f>
        <v>194045122715</v>
      </c>
      <c r="BU224" s="199">
        <f>'Detailed Budget'!$AD$24</f>
        <v>194045122715</v>
      </c>
      <c r="BV224" s="596">
        <f t="shared" si="280"/>
        <v>0</v>
      </c>
      <c r="BW224" s="278"/>
      <c r="BX224" s="275">
        <f t="shared" si="294"/>
        <v>0</v>
      </c>
      <c r="BY224" s="275">
        <f t="shared" si="295"/>
        <v>0</v>
      </c>
      <c r="CA224" s="199">
        <f>'Detailed Budget'!$AD$96</f>
        <v>71050111380.677719</v>
      </c>
      <c r="CB224" s="275">
        <f t="shared" si="266"/>
        <v>71869288.069476575</v>
      </c>
      <c r="CE224" s="199">
        <f>'Detailed Budget'!$AD$175</f>
        <v>4330586076.5988197</v>
      </c>
      <c r="CF224" s="275">
        <f t="shared" si="281"/>
        <v>11262681.383727342</v>
      </c>
      <c r="CG224" s="199">
        <f>'Detailed Budget'!$AD$176</f>
        <v>20662817754.37001</v>
      </c>
      <c r="CH224" s="275">
        <f t="shared" si="282"/>
        <v>53738393.351995401</v>
      </c>
      <c r="CI224" s="275">
        <f t="shared" si="293"/>
        <v>65001074.735722743</v>
      </c>
      <c r="CJ224" s="275">
        <f>'Detailed Budget'!$AD$178</f>
        <v>46025131033.061455</v>
      </c>
      <c r="CK224" s="275">
        <f t="shared" si="283"/>
        <v>81084889.665530533</v>
      </c>
      <c r="CL224" s="275">
        <f t="shared" si="288"/>
        <v>146085964.40125328</v>
      </c>
      <c r="CM224" s="278">
        <f>'Detailed Budget'!$AD$189</f>
        <v>77498869683.252869</v>
      </c>
      <c r="CN224" s="275">
        <f t="shared" si="268"/>
        <v>0</v>
      </c>
      <c r="CO224" s="140">
        <f>'Detailed Budget'!$AD$191</f>
        <v>2684962805.4134097</v>
      </c>
      <c r="CP224" s="616">
        <f t="shared" si="269"/>
        <v>0</v>
      </c>
      <c r="CQ224" s="616">
        <f t="shared" si="270"/>
        <v>0</v>
      </c>
      <c r="CR224" s="199">
        <f>'Detailed Budget'!$AD$195</f>
        <v>18734176418</v>
      </c>
      <c r="CS224" s="275">
        <f t="shared" si="284"/>
        <v>12923963.367472583</v>
      </c>
      <c r="CW224" s="278"/>
      <c r="DH224" s="140">
        <f>'Detailed Budget'!$AD$163</f>
        <v>4928560000</v>
      </c>
      <c r="DI224" s="616">
        <f t="shared" si="285"/>
        <v>6720000</v>
      </c>
    </row>
    <row r="225" spans="1:113" outlineLevel="1">
      <c r="A225" s="214" t="s">
        <v>615</v>
      </c>
      <c r="B225" s="215" t="s">
        <v>616</v>
      </c>
      <c r="C225" s="216" t="s">
        <v>234</v>
      </c>
      <c r="D225" s="229" t="s">
        <v>234</v>
      </c>
      <c r="E225" s="216"/>
      <c r="F225" s="216"/>
      <c r="G225" s="216"/>
      <c r="H225" s="216" t="s">
        <v>234</v>
      </c>
      <c r="I225" s="217" t="s">
        <v>234</v>
      </c>
      <c r="J225" s="217"/>
      <c r="K225" s="216" t="s">
        <v>234</v>
      </c>
      <c r="L225" s="216"/>
      <c r="M225" s="217"/>
      <c r="N225" s="216"/>
      <c r="O225" s="217"/>
      <c r="P225" s="216"/>
      <c r="Q225" s="217"/>
      <c r="R225" s="217" t="s">
        <v>234</v>
      </c>
      <c r="S225" s="217"/>
      <c r="T225" s="217"/>
      <c r="U225" s="218">
        <f t="shared" si="272"/>
        <v>6</v>
      </c>
      <c r="V225" s="867" t="s">
        <v>238</v>
      </c>
      <c r="W225" s="219">
        <v>236498</v>
      </c>
      <c r="X225" s="220">
        <v>3.47</v>
      </c>
      <c r="Y225" s="221">
        <f t="shared" si="297"/>
        <v>1.0347</v>
      </c>
      <c r="Z225" s="199">
        <v>19</v>
      </c>
      <c r="AA225" s="221">
        <f t="shared" si="298"/>
        <v>1.9119412036868784</v>
      </c>
      <c r="AB225" s="199">
        <f t="shared" si="299"/>
        <v>452170.27078953938</v>
      </c>
      <c r="AC225">
        <v>19.100000000000001</v>
      </c>
      <c r="AD225" s="199">
        <f t="shared" si="300"/>
        <v>86364.521720802019</v>
      </c>
      <c r="AE225" s="199">
        <f t="shared" si="301"/>
        <v>82046.295634761918</v>
      </c>
      <c r="AF225" s="199">
        <f t="shared" si="287"/>
        <v>82046.295634761918</v>
      </c>
      <c r="AG225" s="614">
        <f t="shared" si="273"/>
        <v>3.7934605201645709E-3</v>
      </c>
      <c r="AH225" s="199">
        <f t="shared" si="286"/>
        <v>22608.513539476971</v>
      </c>
      <c r="AI225" s="252">
        <f t="shared" si="256"/>
        <v>1.7514472886593475E-3</v>
      </c>
      <c r="AJ225" s="199">
        <f t="shared" si="274"/>
        <v>108973.03526027899</v>
      </c>
      <c r="AK225" s="199">
        <f t="shared" si="291"/>
        <v>18086.810831581577</v>
      </c>
      <c r="AL225" s="199">
        <f t="shared" si="292"/>
        <v>18086.810831581577</v>
      </c>
      <c r="AM225" s="199">
        <f t="shared" si="257"/>
        <v>36173.621663163154</v>
      </c>
      <c r="AN225" s="645">
        <f t="shared" si="258"/>
        <v>1.7514472886593475E-3</v>
      </c>
      <c r="AO225" s="199">
        <v>12</v>
      </c>
      <c r="AP225" s="250">
        <f t="shared" si="259"/>
        <v>1.3634814225656176E-3</v>
      </c>
      <c r="AQ225" s="199">
        <v>12</v>
      </c>
      <c r="AU225" s="199">
        <v>0</v>
      </c>
      <c r="AW225" s="250">
        <f t="shared" si="260"/>
        <v>0</v>
      </c>
      <c r="AX225" s="199">
        <v>1</v>
      </c>
      <c r="AY225" s="199">
        <f t="shared" si="275"/>
        <v>27708.361902056349</v>
      </c>
      <c r="AZ225" s="199">
        <f t="shared" si="276"/>
        <v>27708.361902056349</v>
      </c>
      <c r="BA225" s="252">
        <f t="shared" si="261"/>
        <v>2.1780570536948625E-3</v>
      </c>
      <c r="BB225" s="284">
        <v>1</v>
      </c>
      <c r="BC225" s="199">
        <f t="shared" si="277"/>
        <v>62182.455638977452</v>
      </c>
      <c r="BD225" s="270">
        <f t="shared" si="289"/>
        <v>5.5999712212631151E-3</v>
      </c>
      <c r="BE225" s="199">
        <f t="shared" si="278"/>
        <v>266002.72690007021</v>
      </c>
      <c r="BF225" s="251">
        <f t="shared" si="290"/>
        <v>5.5999713457050076E-3</v>
      </c>
      <c r="BG225" s="204">
        <f t="shared" si="296"/>
        <v>328185.18253904767</v>
      </c>
      <c r="BH225" s="636">
        <v>0</v>
      </c>
      <c r="BI225" s="199">
        <f t="shared" si="262"/>
        <v>138364.10286159907</v>
      </c>
      <c r="BJ225" s="199">
        <f t="shared" si="263"/>
        <v>276728.20572319813</v>
      </c>
      <c r="BK225" s="199">
        <f t="shared" si="271"/>
        <v>415092.3085847972</v>
      </c>
      <c r="BL225" s="251">
        <f t="shared" si="264"/>
        <v>1.7514472886593475E-3</v>
      </c>
      <c r="BM225" s="199">
        <f t="shared" si="279"/>
        <v>34398.370415069701</v>
      </c>
      <c r="BN225" s="251">
        <f t="shared" si="265"/>
        <v>1.4854286115857046E-3</v>
      </c>
      <c r="BT225" s="199">
        <f>'Detailed Budget'!$AD$12</f>
        <v>194045122715</v>
      </c>
      <c r="BU225" s="199">
        <f>'Detailed Budget'!$AD$24</f>
        <v>194045122715</v>
      </c>
      <c r="BV225" s="596">
        <f t="shared" si="280"/>
        <v>0</v>
      </c>
      <c r="BW225" s="278"/>
      <c r="BX225" s="275">
        <f t="shared" si="294"/>
        <v>0</v>
      </c>
      <c r="BY225" s="275">
        <f t="shared" si="295"/>
        <v>0</v>
      </c>
      <c r="CA225" s="199">
        <f>'Detailed Budget'!$AD$96</f>
        <v>71050111380.677719</v>
      </c>
      <c r="CB225" s="275">
        <f t="shared" si="266"/>
        <v>154751196.25849074</v>
      </c>
      <c r="CE225" s="199">
        <f>'Detailed Budget'!$AD$175</f>
        <v>4330586076.5988197</v>
      </c>
      <c r="CF225" s="275">
        <f t="shared" si="281"/>
        <v>24251157.400156133</v>
      </c>
      <c r="CG225" s="199">
        <f>'Detailed Budget'!$AD$176</f>
        <v>20662817754.37001</v>
      </c>
      <c r="CH225" s="275">
        <f t="shared" si="282"/>
        <v>115711187.34599675</v>
      </c>
      <c r="CI225" s="275">
        <f t="shared" si="293"/>
        <v>139962344.74615288</v>
      </c>
      <c r="CJ225" s="275">
        <f>'Detailed Budget'!$AD$178</f>
        <v>46025131033.061455</v>
      </c>
      <c r="CK225" s="275">
        <f t="shared" si="283"/>
        <v>174594517.50931984</v>
      </c>
      <c r="CL225" s="275">
        <f t="shared" si="288"/>
        <v>314556862.25547272</v>
      </c>
      <c r="CM225" s="278">
        <f>'Detailed Budget'!$AD$189</f>
        <v>77498869683.252869</v>
      </c>
      <c r="CN225" s="275">
        <f t="shared" si="268"/>
        <v>0</v>
      </c>
      <c r="CO225" s="140">
        <f>'Detailed Budget'!$AD$191</f>
        <v>2684962805.4134097</v>
      </c>
      <c r="CP225" s="616">
        <f t="shared" si="269"/>
        <v>0</v>
      </c>
      <c r="CQ225" s="616">
        <f t="shared" si="270"/>
        <v>0</v>
      </c>
      <c r="CR225" s="199">
        <f>'Detailed Budget'!$AD$195</f>
        <v>18734176418</v>
      </c>
      <c r="CS225" s="275">
        <f t="shared" si="284"/>
        <v>27828281.665791389</v>
      </c>
      <c r="CW225" s="278"/>
      <c r="DH225" s="140">
        <f>'Detailed Budget'!$AD$163</f>
        <v>4928560000</v>
      </c>
      <c r="DI225" s="616">
        <f t="shared" si="285"/>
        <v>6720000</v>
      </c>
    </row>
    <row r="226" spans="1:113" outlineLevel="1">
      <c r="A226" s="214" t="s">
        <v>617</v>
      </c>
      <c r="B226" s="215" t="s">
        <v>618</v>
      </c>
      <c r="C226" s="216" t="s">
        <v>234</v>
      </c>
      <c r="D226" s="229" t="s">
        <v>234</v>
      </c>
      <c r="E226" s="216"/>
      <c r="F226" s="216"/>
      <c r="G226" s="216"/>
      <c r="H226" s="216" t="s">
        <v>234</v>
      </c>
      <c r="I226" s="217" t="s">
        <v>234</v>
      </c>
      <c r="J226" s="217"/>
      <c r="K226" s="216" t="s">
        <v>234</v>
      </c>
      <c r="L226" s="216"/>
      <c r="M226" s="217"/>
      <c r="N226" s="216"/>
      <c r="O226" s="217"/>
      <c r="P226" s="216"/>
      <c r="Q226" s="217"/>
      <c r="R226" s="217" t="s">
        <v>234</v>
      </c>
      <c r="S226" s="217"/>
      <c r="T226" s="217"/>
      <c r="U226" s="218">
        <f t="shared" si="272"/>
        <v>6</v>
      </c>
      <c r="V226" s="867" t="s">
        <v>238</v>
      </c>
      <c r="W226" s="219">
        <v>99074</v>
      </c>
      <c r="X226" s="220">
        <v>3.47</v>
      </c>
      <c r="Y226" s="221">
        <f t="shared" si="297"/>
        <v>1.0347</v>
      </c>
      <c r="Z226" s="199">
        <v>19</v>
      </c>
      <c r="AA226" s="221">
        <f t="shared" si="298"/>
        <v>1.9119412036868784</v>
      </c>
      <c r="AB226" s="199">
        <f t="shared" si="299"/>
        <v>189423.66281407379</v>
      </c>
      <c r="AC226">
        <v>19.100000000000001</v>
      </c>
      <c r="AD226" s="199">
        <f t="shared" si="300"/>
        <v>36179.9195974881</v>
      </c>
      <c r="AE226" s="199">
        <f t="shared" si="301"/>
        <v>34370.923617613691</v>
      </c>
      <c r="AF226" s="199">
        <f t="shared" si="287"/>
        <v>34370.923617613691</v>
      </c>
      <c r="AG226" s="614">
        <f t="shared" si="273"/>
        <v>1.5891606168964843E-3</v>
      </c>
      <c r="AH226" s="199">
        <f t="shared" si="286"/>
        <v>9471.1831407036898</v>
      </c>
      <c r="AI226" s="252">
        <f t="shared" si="256"/>
        <v>7.3371820766617978E-4</v>
      </c>
      <c r="AJ226" s="199">
        <f t="shared" si="274"/>
        <v>45651.102738191788</v>
      </c>
      <c r="AK226" s="199">
        <f t="shared" si="291"/>
        <v>7576.9465125629513</v>
      </c>
      <c r="AL226" s="199">
        <f t="shared" si="292"/>
        <v>7576.9465125629513</v>
      </c>
      <c r="AM226" s="199">
        <f t="shared" si="257"/>
        <v>15153.893025125903</v>
      </c>
      <c r="AN226" s="645">
        <f t="shared" si="258"/>
        <v>7.3371820766617967E-4</v>
      </c>
      <c r="AO226" s="199">
        <v>12</v>
      </c>
      <c r="AP226" s="250">
        <f t="shared" si="259"/>
        <v>1.3634814225656176E-3</v>
      </c>
      <c r="AQ226" s="199">
        <v>12</v>
      </c>
      <c r="AU226" s="199">
        <v>0</v>
      </c>
      <c r="AW226" s="250">
        <f t="shared" si="260"/>
        <v>0</v>
      </c>
      <c r="AX226" s="199">
        <v>1</v>
      </c>
      <c r="AY226" s="199">
        <f t="shared" si="275"/>
        <v>11607.617176823189</v>
      </c>
      <c r="AZ226" s="199">
        <f t="shared" si="276"/>
        <v>11607.617176823189</v>
      </c>
      <c r="BA226" s="252">
        <f t="shared" si="261"/>
        <v>9.1243403554264646E-4</v>
      </c>
      <c r="BB226" s="284">
        <v>1</v>
      </c>
      <c r="BC226" s="199">
        <f t="shared" si="277"/>
        <v>26049.542110191433</v>
      </c>
      <c r="BD226" s="270">
        <f t="shared" si="289"/>
        <v>2.3459460493341251E-3</v>
      </c>
      <c r="BE226" s="199">
        <f t="shared" si="278"/>
        <v>111434.15236026335</v>
      </c>
      <c r="BF226" s="251">
        <f t="shared" si="290"/>
        <v>2.3459461014654587E-3</v>
      </c>
      <c r="BG226" s="204">
        <f t="shared" si="296"/>
        <v>137483.69447045479</v>
      </c>
      <c r="BH226" s="636">
        <v>0</v>
      </c>
      <c r="BI226" s="199">
        <f t="shared" si="262"/>
        <v>57963.640821106579</v>
      </c>
      <c r="BJ226" s="199">
        <f t="shared" si="263"/>
        <v>115927.28164221316</v>
      </c>
      <c r="BK226" s="199">
        <f t="shared" si="271"/>
        <v>173890.92246331973</v>
      </c>
      <c r="BL226" s="251">
        <f t="shared" si="264"/>
        <v>7.3371820766617967E-4</v>
      </c>
      <c r="BM226" s="199">
        <f t="shared" si="279"/>
        <v>14410.202836821518</v>
      </c>
      <c r="BN226" s="251">
        <f t="shared" si="265"/>
        <v>6.2227737344181379E-4</v>
      </c>
      <c r="BT226" s="199">
        <f>'Detailed Budget'!$AD$12</f>
        <v>194045122715</v>
      </c>
      <c r="BU226" s="199">
        <f>'Detailed Budget'!$AD$24</f>
        <v>194045122715</v>
      </c>
      <c r="BV226" s="596">
        <f t="shared" si="280"/>
        <v>0</v>
      </c>
      <c r="BW226" s="278"/>
      <c r="BX226" s="275">
        <f t="shared" si="294"/>
        <v>0</v>
      </c>
      <c r="BY226" s="275">
        <f t="shared" si="295"/>
        <v>0</v>
      </c>
      <c r="CA226" s="199">
        <f>'Detailed Budget'!$AD$96</f>
        <v>71050111380.677719</v>
      </c>
      <c r="CB226" s="275">
        <f t="shared" si="266"/>
        <v>64828539.852826282</v>
      </c>
      <c r="CE226" s="199">
        <f>'Detailed Budget'!$AD$175</f>
        <v>4330586076.5988197</v>
      </c>
      <c r="CF226" s="275">
        <f t="shared" si="281"/>
        <v>10159321.297698369</v>
      </c>
      <c r="CG226" s="199">
        <f>'Detailed Budget'!$AD$176</f>
        <v>20662817754.37001</v>
      </c>
      <c r="CH226" s="275">
        <f t="shared" si="282"/>
        <v>48473856.756155588</v>
      </c>
      <c r="CI226" s="275">
        <f t="shared" si="293"/>
        <v>58633178.053853959</v>
      </c>
      <c r="CJ226" s="275">
        <f>'Detailed Budget'!$AD$178</f>
        <v>46025131033.061455</v>
      </c>
      <c r="CK226" s="275">
        <f t="shared" si="283"/>
        <v>73141325.625241458</v>
      </c>
      <c r="CL226" s="275">
        <f t="shared" si="288"/>
        <v>131774503.67909542</v>
      </c>
      <c r="CM226" s="278">
        <f>'Detailed Budget'!$AD$189</f>
        <v>77498869683.252869</v>
      </c>
      <c r="CN226" s="275">
        <f t="shared" si="268"/>
        <v>0</v>
      </c>
      <c r="CO226" s="140">
        <f>'Detailed Budget'!$AD$191</f>
        <v>2684962805.4134097</v>
      </c>
      <c r="CP226" s="616">
        <f t="shared" si="269"/>
        <v>0</v>
      </c>
      <c r="CQ226" s="616">
        <f t="shared" si="270"/>
        <v>0</v>
      </c>
      <c r="CR226" s="199">
        <f>'Detailed Budget'!$AD$195</f>
        <v>18734176418</v>
      </c>
      <c r="CS226" s="275">
        <f t="shared" si="284"/>
        <v>11657854.094988607</v>
      </c>
      <c r="CW226" s="278"/>
      <c r="DH226" s="140">
        <f>'Detailed Budget'!$AD$163</f>
        <v>4928560000</v>
      </c>
      <c r="DI226" s="616">
        <f t="shared" si="285"/>
        <v>6720000</v>
      </c>
    </row>
    <row r="227" spans="1:113" outlineLevel="1">
      <c r="A227" s="214" t="s">
        <v>619</v>
      </c>
      <c r="B227" s="215" t="s">
        <v>620</v>
      </c>
      <c r="C227" s="216" t="s">
        <v>234</v>
      </c>
      <c r="D227" s="229" t="s">
        <v>234</v>
      </c>
      <c r="E227" s="216"/>
      <c r="F227" s="216"/>
      <c r="G227" s="216"/>
      <c r="H227" s="216" t="s">
        <v>234</v>
      </c>
      <c r="I227" s="217" t="s">
        <v>234</v>
      </c>
      <c r="J227" s="217"/>
      <c r="K227" s="216" t="s">
        <v>234</v>
      </c>
      <c r="L227" s="216"/>
      <c r="M227" s="217"/>
      <c r="N227" s="216"/>
      <c r="O227" s="217"/>
      <c r="P227" s="216"/>
      <c r="Q227" s="217"/>
      <c r="R227" s="217" t="s">
        <v>234</v>
      </c>
      <c r="S227" s="217"/>
      <c r="T227" s="217"/>
      <c r="U227" s="218">
        <f t="shared" si="272"/>
        <v>6</v>
      </c>
      <c r="V227" s="867" t="s">
        <v>238</v>
      </c>
      <c r="W227" s="219">
        <v>100989</v>
      </c>
      <c r="X227" s="220">
        <v>3.47</v>
      </c>
      <c r="Y227" s="221">
        <f t="shared" si="297"/>
        <v>1.0347</v>
      </c>
      <c r="Z227" s="199">
        <v>19</v>
      </c>
      <c r="AA227" s="221">
        <f t="shared" si="298"/>
        <v>1.9119412036868784</v>
      </c>
      <c r="AB227" s="199">
        <f t="shared" si="299"/>
        <v>193085.03021913415</v>
      </c>
      <c r="AC227">
        <v>19.100000000000001</v>
      </c>
      <c r="AD227" s="199">
        <f t="shared" si="300"/>
        <v>36879.240771854624</v>
      </c>
      <c r="AE227" s="199">
        <f t="shared" si="301"/>
        <v>35035.27873326189</v>
      </c>
      <c r="AF227" s="199">
        <f t="shared" si="287"/>
        <v>35035.27873326189</v>
      </c>
      <c r="AG227" s="614">
        <f t="shared" si="273"/>
        <v>1.6198774808704505E-3</v>
      </c>
      <c r="AH227" s="199">
        <f t="shared" si="286"/>
        <v>9654.2515109567084</v>
      </c>
      <c r="AI227" s="252">
        <f t="shared" si="256"/>
        <v>7.4790023693400715E-4</v>
      </c>
      <c r="AJ227" s="199">
        <f t="shared" si="274"/>
        <v>46533.492282811334</v>
      </c>
      <c r="AK227" s="199">
        <f t="shared" si="291"/>
        <v>7723.4012087653664</v>
      </c>
      <c r="AL227" s="199">
        <f t="shared" si="292"/>
        <v>7723.4012087653664</v>
      </c>
      <c r="AM227" s="199">
        <f t="shared" si="257"/>
        <v>15446.802417530733</v>
      </c>
      <c r="AN227" s="645">
        <f t="shared" si="258"/>
        <v>7.4790023693400715E-4</v>
      </c>
      <c r="AO227" s="199">
        <v>11</v>
      </c>
      <c r="AP227" s="250">
        <f t="shared" si="259"/>
        <v>1.2498579706851495E-3</v>
      </c>
      <c r="AQ227" s="199">
        <v>11</v>
      </c>
      <c r="AU227" s="199">
        <v>0</v>
      </c>
      <c r="AW227" s="250">
        <f t="shared" si="260"/>
        <v>0</v>
      </c>
      <c r="AX227" s="199">
        <v>1</v>
      </c>
      <c r="AY227" s="199">
        <f t="shared" si="275"/>
        <v>11831.980651535187</v>
      </c>
      <c r="AZ227" s="199">
        <f t="shared" si="276"/>
        <v>11831.980651535187</v>
      </c>
      <c r="BA227" s="252">
        <f t="shared" si="261"/>
        <v>9.3007046061949986E-4</v>
      </c>
      <c r="BB227" s="284">
        <v>1</v>
      </c>
      <c r="BC227" s="199">
        <f t="shared" si="277"/>
        <v>26553.053355735326</v>
      </c>
      <c r="BD227" s="270">
        <f t="shared" si="289"/>
        <v>2.3912908086501394E-3</v>
      </c>
      <c r="BE227" s="199">
        <f t="shared" si="278"/>
        <v>113588.06157731224</v>
      </c>
      <c r="BF227" s="251">
        <f t="shared" si="290"/>
        <v>2.3912908617891187E-3</v>
      </c>
      <c r="BG227" s="204">
        <f t="shared" si="296"/>
        <v>140141.11493304756</v>
      </c>
      <c r="BH227" s="636">
        <v>0</v>
      </c>
      <c r="BI227" s="199">
        <f t="shared" si="262"/>
        <v>59084.019247055054</v>
      </c>
      <c r="BJ227" s="199">
        <f t="shared" si="263"/>
        <v>118168.03849411011</v>
      </c>
      <c r="BK227" s="199">
        <f t="shared" si="271"/>
        <v>177252.05774116516</v>
      </c>
      <c r="BL227" s="251">
        <f t="shared" si="264"/>
        <v>7.4790023693400715E-4</v>
      </c>
      <c r="BM227" s="199">
        <f t="shared" si="279"/>
        <v>14688.737451680243</v>
      </c>
      <c r="BN227" s="251">
        <f t="shared" si="265"/>
        <v>6.343053643389319E-4</v>
      </c>
      <c r="BT227" s="199">
        <f>'Detailed Budget'!$AD$12</f>
        <v>194045122715</v>
      </c>
      <c r="BU227" s="199">
        <f>'Detailed Budget'!$AD$24</f>
        <v>194045122715</v>
      </c>
      <c r="BV227" s="596">
        <f t="shared" si="280"/>
        <v>0</v>
      </c>
      <c r="BW227" s="278"/>
      <c r="BX227" s="275">
        <f t="shared" si="294"/>
        <v>0</v>
      </c>
      <c r="BY227" s="275">
        <f t="shared" si="295"/>
        <v>0</v>
      </c>
      <c r="CA227" s="199">
        <f>'Detailed Budget'!$AD$96</f>
        <v>71050111380.677719</v>
      </c>
      <c r="CB227" s="275">
        <f t="shared" si="266"/>
        <v>66081609.818893693</v>
      </c>
      <c r="CE227" s="199">
        <f>'Detailed Budget'!$AD$175</f>
        <v>4330586076.5988197</v>
      </c>
      <c r="CF227" s="275">
        <f t="shared" si="281"/>
        <v>10355690.681039026</v>
      </c>
      <c r="CG227" s="199">
        <f>'Detailed Budget'!$AD$176</f>
        <v>20662817754.37001</v>
      </c>
      <c r="CH227" s="275">
        <f t="shared" si="282"/>
        <v>49410807.274838962</v>
      </c>
      <c r="CI227" s="275">
        <f t="shared" si="293"/>
        <v>59766497.95587799</v>
      </c>
      <c r="CJ227" s="275">
        <f>'Detailed Budget'!$AD$178</f>
        <v>46025131033.061455</v>
      </c>
      <c r="CK227" s="275">
        <f t="shared" si="283"/>
        <v>74555073.314567983</v>
      </c>
      <c r="CL227" s="275">
        <f t="shared" si="288"/>
        <v>134321571.27044597</v>
      </c>
      <c r="CM227" s="278">
        <f>'Detailed Budget'!$AD$189</f>
        <v>77498869683.252869</v>
      </c>
      <c r="CN227" s="275">
        <f t="shared" si="268"/>
        <v>0</v>
      </c>
      <c r="CO227" s="140">
        <f>'Detailed Budget'!$AD$191</f>
        <v>2684962805.4134097</v>
      </c>
      <c r="CP227" s="616">
        <f t="shared" si="269"/>
        <v>0</v>
      </c>
      <c r="CQ227" s="616">
        <f t="shared" si="270"/>
        <v>0</v>
      </c>
      <c r="CR227" s="199">
        <f>'Detailed Budget'!$AD$195</f>
        <v>18734176418</v>
      </c>
      <c r="CS227" s="275">
        <f t="shared" si="284"/>
        <v>11883188.598409316</v>
      </c>
      <c r="CW227" s="278"/>
      <c r="DH227" s="140">
        <f>'Detailed Budget'!$AD$163</f>
        <v>4928560000</v>
      </c>
      <c r="DI227" s="616">
        <f t="shared" si="285"/>
        <v>6160000</v>
      </c>
    </row>
    <row r="228" spans="1:113" outlineLevel="1">
      <c r="A228" s="214"/>
      <c r="B228" s="215"/>
      <c r="C228" s="216"/>
      <c r="D228" s="229"/>
      <c r="E228" s="216"/>
      <c r="F228" s="216"/>
      <c r="G228" s="216"/>
      <c r="H228" s="216"/>
      <c r="I228" s="217"/>
      <c r="J228" s="217"/>
      <c r="K228" s="216"/>
      <c r="L228" s="216"/>
      <c r="M228" s="217"/>
      <c r="N228" s="216"/>
      <c r="O228" s="217"/>
      <c r="P228" s="216"/>
      <c r="Q228" s="217"/>
      <c r="R228" s="217"/>
      <c r="S228" s="217"/>
      <c r="T228" s="217"/>
      <c r="U228" s="218"/>
      <c r="V228" s="867"/>
      <c r="W228" s="219"/>
      <c r="X228" s="220"/>
      <c r="Y228" s="221"/>
      <c r="Z228" s="199"/>
      <c r="AA228" s="221"/>
      <c r="AF228" s="199">
        <f t="shared" si="287"/>
        <v>0</v>
      </c>
      <c r="AG228" s="614">
        <f t="shared" si="273"/>
        <v>0</v>
      </c>
      <c r="AJ228" s="199"/>
      <c r="AK228" s="199">
        <f t="shared" si="291"/>
        <v>0</v>
      </c>
      <c r="AL228" s="199">
        <f t="shared" si="292"/>
        <v>0</v>
      </c>
      <c r="AM228" s="199">
        <f t="shared" si="257"/>
        <v>0</v>
      </c>
      <c r="AN228" s="645">
        <f t="shared" si="258"/>
        <v>0</v>
      </c>
      <c r="AP228" s="250">
        <f t="shared" si="259"/>
        <v>0</v>
      </c>
      <c r="AW228" s="250">
        <f t="shared" si="260"/>
        <v>0</v>
      </c>
      <c r="AX228" s="199"/>
      <c r="BA228" s="252">
        <f t="shared" si="261"/>
        <v>0</v>
      </c>
      <c r="BB228" s="284"/>
      <c r="BD228" s="270"/>
      <c r="BF228" s="251"/>
      <c r="BG228" s="204"/>
      <c r="BH228" s="636"/>
      <c r="BI228" s="199">
        <f t="shared" si="262"/>
        <v>0</v>
      </c>
      <c r="BJ228" s="199">
        <f t="shared" si="263"/>
        <v>0</v>
      </c>
      <c r="BK228" s="199">
        <f t="shared" si="271"/>
        <v>0</v>
      </c>
      <c r="BL228" s="251">
        <f t="shared" si="264"/>
        <v>0</v>
      </c>
      <c r="BN228" s="251">
        <f t="shared" si="265"/>
        <v>0</v>
      </c>
      <c r="BT228" s="199"/>
      <c r="BU228" s="199"/>
      <c r="BV228" s="596"/>
      <c r="BW228" s="278"/>
      <c r="BX228" s="275"/>
      <c r="BY228" s="275"/>
      <c r="CA228" s="199">
        <f>'Detailed Budget'!$AD$96</f>
        <v>71050111380.677719</v>
      </c>
      <c r="CB228" s="275">
        <f t="shared" si="266"/>
        <v>0</v>
      </c>
      <c r="CE228" s="199"/>
      <c r="CF228" s="275"/>
      <c r="CG228" s="199"/>
      <c r="CH228" s="275"/>
      <c r="CI228" s="275"/>
      <c r="CJ228" s="275"/>
      <c r="CK228" s="275"/>
      <c r="CL228" s="275"/>
      <c r="CM228" s="278">
        <f>'Detailed Budget'!$AD$189</f>
        <v>77498869683.252869</v>
      </c>
      <c r="CN228" s="275">
        <f t="shared" si="268"/>
        <v>0</v>
      </c>
      <c r="CO228" s="140">
        <f>'Detailed Budget'!$AD$191</f>
        <v>2684962805.4134097</v>
      </c>
      <c r="CP228" s="616">
        <f t="shared" si="269"/>
        <v>0</v>
      </c>
      <c r="CQ228" s="616">
        <f t="shared" si="270"/>
        <v>0</v>
      </c>
      <c r="CR228" s="199"/>
      <c r="CS228" s="275"/>
      <c r="CW228" s="278"/>
      <c r="DH228" s="140">
        <f>'Detailed Budget'!$AD$163</f>
        <v>4928560000</v>
      </c>
      <c r="DI228" s="616">
        <f t="shared" si="285"/>
        <v>0</v>
      </c>
    </row>
    <row r="229" spans="1:113" s="213" customFormat="1">
      <c r="A229" s="206">
        <v>2.4</v>
      </c>
      <c r="B229" s="207" t="s">
        <v>621</v>
      </c>
      <c r="C229" s="208">
        <f t="shared" ref="C229:T229" si="302">COUNTA(C231:C241)</f>
        <v>11</v>
      </c>
      <c r="D229" s="208">
        <f t="shared" si="302"/>
        <v>11</v>
      </c>
      <c r="E229" s="208">
        <f t="shared" si="302"/>
        <v>0</v>
      </c>
      <c r="F229" s="208">
        <f t="shared" si="302"/>
        <v>0</v>
      </c>
      <c r="G229" s="208">
        <f t="shared" si="302"/>
        <v>0</v>
      </c>
      <c r="H229" s="208">
        <f t="shared" si="302"/>
        <v>11</v>
      </c>
      <c r="I229" s="208">
        <f t="shared" si="302"/>
        <v>11</v>
      </c>
      <c r="J229" s="208">
        <f t="shared" si="302"/>
        <v>0</v>
      </c>
      <c r="K229" s="208">
        <f t="shared" si="302"/>
        <v>11</v>
      </c>
      <c r="L229" s="208">
        <f t="shared" si="302"/>
        <v>0</v>
      </c>
      <c r="M229" s="208">
        <f t="shared" si="302"/>
        <v>0</v>
      </c>
      <c r="N229" s="208">
        <f t="shared" si="302"/>
        <v>0</v>
      </c>
      <c r="O229" s="208">
        <f t="shared" si="302"/>
        <v>0</v>
      </c>
      <c r="P229" s="208">
        <f t="shared" si="302"/>
        <v>0</v>
      </c>
      <c r="Q229" s="208">
        <f t="shared" si="302"/>
        <v>0</v>
      </c>
      <c r="R229" s="208">
        <f t="shared" si="302"/>
        <v>11</v>
      </c>
      <c r="S229" s="208">
        <f t="shared" si="302"/>
        <v>0</v>
      </c>
      <c r="T229" s="208">
        <f t="shared" si="302"/>
        <v>0</v>
      </c>
      <c r="U229" s="209">
        <f>SUM(C229:T229)</f>
        <v>66</v>
      </c>
      <c r="V229" s="866"/>
      <c r="W229" s="210">
        <f>SUM(W231:W241)</f>
        <v>2365040</v>
      </c>
      <c r="X229" s="211">
        <v>3.23</v>
      </c>
      <c r="Y229" s="212">
        <f t="shared" si="297"/>
        <v>1.0323</v>
      </c>
      <c r="Z229" s="210">
        <v>19</v>
      </c>
      <c r="AA229" s="212">
        <f t="shared" si="298"/>
        <v>1.8294166166228893</v>
      </c>
      <c r="AB229" s="210">
        <f t="shared" si="299"/>
        <v>4326643.4749777978</v>
      </c>
      <c r="AC229" s="213">
        <v>19.5</v>
      </c>
      <c r="AD229" s="210">
        <f t="shared" si="300"/>
        <v>843695.47762067069</v>
      </c>
      <c r="AE229" s="210">
        <f t="shared" si="301"/>
        <v>801510.70373963716</v>
      </c>
      <c r="AF229" s="210">
        <f>SUM(AF231:AF241)</f>
        <v>801510.70373963704</v>
      </c>
      <c r="AG229" s="614">
        <f t="shared" si="273"/>
        <v>3.7058336243000548E-2</v>
      </c>
      <c r="AH229" s="210">
        <f>SUM(AH231:AH241)</f>
        <v>216332.17374888991</v>
      </c>
      <c r="AI229" s="252">
        <f t="shared" si="256"/>
        <v>1.6758925725067438E-2</v>
      </c>
      <c r="AJ229" s="210">
        <f>SUM(AJ231:AJ241)</f>
        <v>1060027.6513695605</v>
      </c>
      <c r="AK229" s="199">
        <f t="shared" si="291"/>
        <v>173065.73899911193</v>
      </c>
      <c r="AL229" s="199">
        <f t="shared" si="292"/>
        <v>173065.73899911193</v>
      </c>
      <c r="AM229" s="199">
        <f t="shared" si="257"/>
        <v>346131.47799822385</v>
      </c>
      <c r="AN229" s="645">
        <f t="shared" si="258"/>
        <v>1.6758925725067438E-2</v>
      </c>
      <c r="AO229" s="210">
        <f>SUM(AO231:AO241)</f>
        <v>114</v>
      </c>
      <c r="AP229" s="250">
        <f t="shared" si="259"/>
        <v>1.2953073514373368E-2</v>
      </c>
      <c r="AQ229" s="210">
        <f>SUM(AQ231:AQ241)</f>
        <v>114</v>
      </c>
      <c r="AR229" s="210"/>
      <c r="AS229" s="210"/>
      <c r="AT229" s="210"/>
      <c r="AU229" s="199"/>
      <c r="AV229" s="199"/>
      <c r="AW229" s="250">
        <f t="shared" si="260"/>
        <v>0</v>
      </c>
      <c r="AX229" s="199"/>
      <c r="AY229" s="210">
        <v>261486</v>
      </c>
      <c r="AZ229" s="210">
        <f>SUM(AZ231:AZ241)</f>
        <v>261485.91400040462</v>
      </c>
      <c r="BA229" s="252">
        <f t="shared" si="261"/>
        <v>2.0554489703996624E-2</v>
      </c>
      <c r="BB229" s="284"/>
      <c r="BC229" s="210">
        <f>SUM(BC231:BC241)</f>
        <v>607460.7438868829</v>
      </c>
      <c r="BD229" s="270">
        <f t="shared" si="289"/>
        <v>5.4706149007105499E-2</v>
      </c>
      <c r="BE229" s="210">
        <f>SUM(BE231:BE241)</f>
        <v>2598582.0710716657</v>
      </c>
      <c r="BF229" s="251">
        <f t="shared" si="290"/>
        <v>5.4706150222779013E-2</v>
      </c>
      <c r="BG229" s="210">
        <f>SUM(BG231:BG241)</f>
        <v>3206042.8149585491</v>
      </c>
      <c r="BH229"/>
      <c r="BI229" s="199">
        <f t="shared" si="262"/>
        <v>1323952.9033432063</v>
      </c>
      <c r="BJ229" s="199">
        <f t="shared" si="263"/>
        <v>2647905.8066864125</v>
      </c>
      <c r="BK229" s="199">
        <f t="shared" si="271"/>
        <v>3971858.7100296188</v>
      </c>
      <c r="BL229" s="251">
        <f t="shared" si="264"/>
        <v>1.6758925725067441E-2</v>
      </c>
      <c r="BM229" s="210">
        <v>353027</v>
      </c>
      <c r="BN229" s="251">
        <f t="shared" si="265"/>
        <v>1.5244803754788682E-2</v>
      </c>
      <c r="BT229" s="210">
        <f>'Detailed Budget'!$AD$12</f>
        <v>194045122715</v>
      </c>
      <c r="BU229" s="210">
        <f>'Detailed Budget'!$AD$24</f>
        <v>194045122715</v>
      </c>
      <c r="BV229" s="596">
        <f>AV229/34743979</f>
        <v>0</v>
      </c>
      <c r="BW229" s="278"/>
      <c r="BX229" s="613">
        <f t="shared" si="294"/>
        <v>0</v>
      </c>
      <c r="BY229" s="613">
        <f t="shared" si="295"/>
        <v>0</v>
      </c>
      <c r="CA229" s="210">
        <f>'Detailed Budget'!$AD$96</f>
        <v>71050111380.677719</v>
      </c>
      <c r="CB229" s="613">
        <f t="shared" si="266"/>
        <v>1460398782.8419535</v>
      </c>
      <c r="CE229" s="210">
        <f>'Detailed Budget'!$AD$175</f>
        <v>4330586076.5988197</v>
      </c>
      <c r="CF229" s="613">
        <f>SUM(CF231:CF241)</f>
        <v>236909687.19451138</v>
      </c>
      <c r="CG229" s="632">
        <f>'Detailed Budget'!$AD$176</f>
        <v>20662817754.37001</v>
      </c>
      <c r="CH229" s="613">
        <f>SUM(CH231:CH241)</f>
        <v>1130383212.0964711</v>
      </c>
      <c r="CI229" s="613">
        <f>SUM(CI231:CI241)</f>
        <v>1367292899.2909825</v>
      </c>
      <c r="CJ229" s="275">
        <f>'Detailed Budget'!$AD$178</f>
        <v>46025131033.061455</v>
      </c>
      <c r="CK229" s="613">
        <f t="shared" ref="CK229:CL229" si="303">SUM(CK231:CK241)</f>
        <v>1705614781.4513507</v>
      </c>
      <c r="CL229" s="613">
        <f t="shared" si="303"/>
        <v>3072907680.7423325</v>
      </c>
      <c r="CM229" s="278">
        <f>'Detailed Budget'!$AD$189</f>
        <v>77498869683.252869</v>
      </c>
      <c r="CN229" s="275">
        <f t="shared" si="268"/>
        <v>0</v>
      </c>
      <c r="CO229" s="140">
        <f>'Detailed Budget'!$AD$191</f>
        <v>2684962805.4134097</v>
      </c>
      <c r="CP229" s="616">
        <f t="shared" si="269"/>
        <v>0</v>
      </c>
      <c r="CQ229" s="616">
        <f t="shared" si="270"/>
        <v>0</v>
      </c>
      <c r="CR229" s="210">
        <f>'Detailed Budget'!$AD$195</f>
        <v>18734176418</v>
      </c>
      <c r="CS229" s="275">
        <f>BN229*CR229</f>
        <v>285598843</v>
      </c>
      <c r="CW229" s="278"/>
      <c r="DH229" s="140">
        <f>'Detailed Budget'!$AD$163</f>
        <v>4928560000</v>
      </c>
      <c r="DI229" s="616">
        <f t="shared" si="285"/>
        <v>63840000.000000007</v>
      </c>
    </row>
    <row r="230" spans="1:113" s="213" customFormat="1">
      <c r="A230" s="214" t="s">
        <v>2329</v>
      </c>
      <c r="B230" s="215" t="s">
        <v>2318</v>
      </c>
      <c r="C230" s="208"/>
      <c r="D230" s="208"/>
      <c r="E230" s="208"/>
      <c r="F230" s="208"/>
      <c r="G230" s="208"/>
      <c r="H230" s="208"/>
      <c r="I230" s="208"/>
      <c r="J230" s="208"/>
      <c r="K230" s="208"/>
      <c r="L230" s="208"/>
      <c r="M230" s="208"/>
      <c r="N230" s="208"/>
      <c r="O230" s="208"/>
      <c r="P230" s="208"/>
      <c r="Q230" s="208"/>
      <c r="R230" s="208"/>
      <c r="S230" s="208"/>
      <c r="T230" s="208"/>
      <c r="U230" s="209"/>
      <c r="V230" s="866"/>
      <c r="W230" s="210"/>
      <c r="X230" s="211"/>
      <c r="Y230" s="212"/>
      <c r="Z230" s="210"/>
      <c r="AA230" s="212"/>
      <c r="AB230" s="210"/>
      <c r="AD230" s="210"/>
      <c r="AE230" s="199"/>
      <c r="AF230" s="199"/>
      <c r="AG230" s="614">
        <f t="shared" si="273"/>
        <v>0</v>
      </c>
      <c r="AH230" s="210"/>
      <c r="AI230" s="252"/>
      <c r="AJ230" s="199"/>
      <c r="AK230" s="199">
        <f t="shared" si="291"/>
        <v>0</v>
      </c>
      <c r="AL230" s="199">
        <f t="shared" si="292"/>
        <v>0</v>
      </c>
      <c r="AM230" s="199">
        <f t="shared" si="257"/>
        <v>0</v>
      </c>
      <c r="AN230" s="645">
        <f t="shared" si="258"/>
        <v>0</v>
      </c>
      <c r="AO230" s="210"/>
      <c r="AP230" s="250"/>
      <c r="AQ230" s="210"/>
      <c r="AR230" s="210"/>
      <c r="AS230" s="210"/>
      <c r="AT230" s="210"/>
      <c r="AU230" s="199"/>
      <c r="AV230" s="199"/>
      <c r="AW230" s="250">
        <f t="shared" si="260"/>
        <v>0</v>
      </c>
      <c r="AX230" s="199"/>
      <c r="AY230" s="210"/>
      <c r="AZ230" s="199"/>
      <c r="BA230" s="252">
        <f t="shared" si="261"/>
        <v>0</v>
      </c>
      <c r="BB230" s="284"/>
      <c r="BC230" s="269"/>
      <c r="BD230" s="270">
        <f t="shared" si="289"/>
        <v>0</v>
      </c>
      <c r="BE230" s="269"/>
      <c r="BF230" s="251">
        <f t="shared" si="290"/>
        <v>0</v>
      </c>
      <c r="BG230" s="204"/>
      <c r="BH230"/>
      <c r="BI230" s="199">
        <f t="shared" si="262"/>
        <v>0</v>
      </c>
      <c r="BJ230" s="199">
        <f t="shared" si="263"/>
        <v>0</v>
      </c>
      <c r="BK230" s="199">
        <f t="shared" si="271"/>
        <v>0</v>
      </c>
      <c r="BL230" s="251">
        <f t="shared" si="264"/>
        <v>0</v>
      </c>
      <c r="BM230" s="210"/>
      <c r="BN230" s="251">
        <f t="shared" si="265"/>
        <v>0</v>
      </c>
      <c r="BT230" s="210"/>
      <c r="BU230" s="210">
        <f>'Detailed Budget'!$AD$24</f>
        <v>194045122715</v>
      </c>
      <c r="BV230" s="596"/>
      <c r="BW230" s="278"/>
      <c r="BX230" s="275"/>
      <c r="BY230" s="275"/>
      <c r="CA230" s="210">
        <f>'Detailed Budget'!$AD$96</f>
        <v>71050111380.677719</v>
      </c>
      <c r="CB230" s="275"/>
      <c r="CE230" s="210"/>
      <c r="CF230" s="275"/>
      <c r="CG230" s="240"/>
      <c r="CH230" s="275"/>
      <c r="CI230" s="275"/>
      <c r="CJ230" s="275"/>
      <c r="CK230" s="275"/>
      <c r="CL230" s="275"/>
      <c r="CM230" s="278">
        <f>'Detailed Budget'!$AD$189</f>
        <v>77498869683.252869</v>
      </c>
      <c r="CN230" s="275">
        <f t="shared" si="268"/>
        <v>0</v>
      </c>
      <c r="CO230" s="140">
        <f>'Detailed Budget'!$AD$191</f>
        <v>2684962805.4134097</v>
      </c>
      <c r="CP230" s="616">
        <f t="shared" si="269"/>
        <v>0</v>
      </c>
      <c r="CQ230" s="616">
        <f t="shared" si="270"/>
        <v>0</v>
      </c>
      <c r="CR230" s="210"/>
      <c r="CS230" s="275"/>
      <c r="CW230" s="278"/>
      <c r="DH230" s="140"/>
      <c r="DI230" s="616"/>
    </row>
    <row r="231" spans="1:113" outlineLevel="1">
      <c r="A231" s="214" t="s">
        <v>622</v>
      </c>
      <c r="B231" s="215" t="s">
        <v>623</v>
      </c>
      <c r="C231" s="216" t="s">
        <v>234</v>
      </c>
      <c r="D231" s="229" t="s">
        <v>234</v>
      </c>
      <c r="E231" s="216"/>
      <c r="F231" s="216"/>
      <c r="G231" s="216"/>
      <c r="H231" s="216" t="s">
        <v>234</v>
      </c>
      <c r="I231" s="217" t="s">
        <v>234</v>
      </c>
      <c r="J231" s="217"/>
      <c r="K231" s="216" t="s">
        <v>234</v>
      </c>
      <c r="L231" s="216"/>
      <c r="M231" s="217"/>
      <c r="N231" s="216"/>
      <c r="O231" s="217"/>
      <c r="P231" s="216"/>
      <c r="Q231" s="217"/>
      <c r="R231" s="217" t="s">
        <v>234</v>
      </c>
      <c r="S231" s="217"/>
      <c r="T231" s="217"/>
      <c r="U231" s="218">
        <f t="shared" ref="U231:U241" si="304">COUNTA(C231:T231)</f>
        <v>6</v>
      </c>
      <c r="V231" s="867" t="s">
        <v>238</v>
      </c>
      <c r="W231" s="219">
        <v>337435</v>
      </c>
      <c r="X231" s="220">
        <v>3.23</v>
      </c>
      <c r="Y231" s="221">
        <f t="shared" si="297"/>
        <v>1.0323</v>
      </c>
      <c r="Z231" s="199">
        <v>19</v>
      </c>
      <c r="AA231" s="221">
        <f t="shared" si="298"/>
        <v>1.8294166166228893</v>
      </c>
      <c r="AB231" s="199">
        <f t="shared" si="299"/>
        <v>617309.1960301447</v>
      </c>
      <c r="AC231">
        <v>19.5</v>
      </c>
      <c r="AD231" s="199">
        <f t="shared" si="300"/>
        <v>120375.29322587821</v>
      </c>
      <c r="AE231" s="199">
        <f t="shared" si="301"/>
        <v>114356.5285645843</v>
      </c>
      <c r="AF231" s="199">
        <f t="shared" si="287"/>
        <v>114356.5285645843</v>
      </c>
      <c r="AG231" s="614">
        <f t="shared" si="273"/>
        <v>5.2873438462592128E-3</v>
      </c>
      <c r="AH231" s="199">
        <f>AB231*0.05</f>
        <v>30865.459801507237</v>
      </c>
      <c r="AI231" s="252">
        <f t="shared" si="256"/>
        <v>2.3911004050832679E-3</v>
      </c>
      <c r="AJ231" s="199">
        <f t="shared" si="274"/>
        <v>151240.75302738545</v>
      </c>
      <c r="AK231" s="199">
        <f t="shared" si="291"/>
        <v>24692.367841205789</v>
      </c>
      <c r="AL231" s="199">
        <f t="shared" si="292"/>
        <v>24692.367841205789</v>
      </c>
      <c r="AM231" s="199">
        <f t="shared" si="257"/>
        <v>49384.735682411578</v>
      </c>
      <c r="AN231" s="645">
        <f t="shared" si="258"/>
        <v>2.3911004050832679E-3</v>
      </c>
      <c r="AO231" s="199">
        <v>11</v>
      </c>
      <c r="AP231" s="250">
        <f t="shared" si="259"/>
        <v>1.2498579706851495E-3</v>
      </c>
      <c r="AQ231" s="199">
        <v>11</v>
      </c>
      <c r="AU231" s="199">
        <v>0</v>
      </c>
      <c r="AW231" s="250">
        <f t="shared" si="260"/>
        <v>0</v>
      </c>
      <c r="AX231" s="199">
        <v>1</v>
      </c>
      <c r="AY231" s="199">
        <f t="shared" ref="AY231:AY241" si="305">AJ231/1060028*261486</f>
        <v>37307.825402837392</v>
      </c>
      <c r="AZ231" s="199">
        <f t="shared" si="276"/>
        <v>37307.825402837392</v>
      </c>
      <c r="BA231" s="252">
        <f t="shared" si="261"/>
        <v>2.9326371787657297E-3</v>
      </c>
      <c r="BB231" s="284">
        <v>1</v>
      </c>
      <c r="BC231" s="199">
        <f t="shared" ref="BC231:BC241" si="306">AD231*BB231*0.18*4</f>
        <v>86670.211122632303</v>
      </c>
      <c r="BD231" s="270">
        <f t="shared" si="289"/>
        <v>7.8052673063511149E-3</v>
      </c>
      <c r="BE231" s="199">
        <f t="shared" ref="BE231:BE241" si="307">AD231*BB231*0.77*4</f>
        <v>370755.90313570487</v>
      </c>
      <c r="BF231" s="251">
        <f t="shared" si="290"/>
        <v>7.8052674797988338E-3</v>
      </c>
      <c r="BG231" s="204">
        <f t="shared" si="296"/>
        <v>457426.11425833718</v>
      </c>
      <c r="BH231" s="636">
        <v>0</v>
      </c>
      <c r="BI231" s="199">
        <f t="shared" si="262"/>
        <v>188896.61398522428</v>
      </c>
      <c r="BJ231" s="199">
        <f t="shared" si="263"/>
        <v>377793.22797044856</v>
      </c>
      <c r="BK231" s="199">
        <f t="shared" si="271"/>
        <v>566689.84195567283</v>
      </c>
      <c r="BL231" s="251">
        <f t="shared" si="264"/>
        <v>2.3911004050832679E-3</v>
      </c>
      <c r="BM231" s="199">
        <f t="shared" ref="BM231:BM241" si="308">AH231/216332*353027</f>
        <v>50368.603245690407</v>
      </c>
      <c r="BN231" s="251">
        <f t="shared" si="265"/>
        <v>2.1750729317682855E-3</v>
      </c>
      <c r="BT231" s="199">
        <f>'Detailed Budget'!$AD$12</f>
        <v>194045122715</v>
      </c>
      <c r="BU231" s="199">
        <f>'Detailed Budget'!$AD$24</f>
        <v>194045122715</v>
      </c>
      <c r="BV231" s="596">
        <f t="shared" ref="BV231:BV241" si="309">AV231/34743979</f>
        <v>0</v>
      </c>
      <c r="BW231" s="278"/>
      <c r="BX231" s="275">
        <f t="shared" si="294"/>
        <v>0</v>
      </c>
      <c r="BY231" s="275">
        <f t="shared" si="295"/>
        <v>0</v>
      </c>
      <c r="CA231" s="199">
        <f>'Detailed Budget'!$AD$96</f>
        <v>71050111380.677719</v>
      </c>
      <c r="CB231" s="275">
        <f t="shared" si="266"/>
        <v>208364198.19042158</v>
      </c>
      <c r="CE231" s="199">
        <f>'Detailed Budget'!$AD$175</f>
        <v>4330586076.5988197</v>
      </c>
      <c r="CF231" s="275">
        <f t="shared" ref="CF231:CF241" si="310">BB231*BD231*CE231</f>
        <v>33801381.921016112</v>
      </c>
      <c r="CG231" s="199">
        <f>'Detailed Budget'!$AD$176</f>
        <v>20662817754.37001</v>
      </c>
      <c r="CH231" s="275">
        <f t="shared" ref="CH231:CH241" si="311">BB231*BF231*CG231</f>
        <v>161278819.45919421</v>
      </c>
      <c r="CI231" s="275">
        <f t="shared" si="293"/>
        <v>195080201.38021034</v>
      </c>
      <c r="CJ231" s="275">
        <f>'Detailed Budget'!$AD$178</f>
        <v>46025131033.061455</v>
      </c>
      <c r="CK231" s="275">
        <f t="shared" ref="CK231:CK241" si="312">BB231*AG231*CJ231</f>
        <v>243350693.34093142</v>
      </c>
      <c r="CL231" s="275">
        <f t="shared" si="288"/>
        <v>438430894.72114176</v>
      </c>
      <c r="CM231" s="278">
        <f>'Detailed Budget'!$AD$189</f>
        <v>77498869683.252869</v>
      </c>
      <c r="CN231" s="275">
        <f t="shared" si="268"/>
        <v>0</v>
      </c>
      <c r="CO231" s="140">
        <f>'Detailed Budget'!$AD$191</f>
        <v>2684962805.4134097</v>
      </c>
      <c r="CP231" s="616">
        <f t="shared" si="269"/>
        <v>0</v>
      </c>
      <c r="CQ231" s="616">
        <f t="shared" si="270"/>
        <v>0</v>
      </c>
      <c r="CR231" s="199">
        <f>'Detailed Budget'!$AD$195</f>
        <v>18734176418</v>
      </c>
      <c r="CS231" s="275">
        <f t="shared" ref="CS231:CS241" si="313">BN231*CR231</f>
        <v>40748200.025763534</v>
      </c>
      <c r="CW231" s="278"/>
      <c r="DH231" s="140">
        <f>'Detailed Budget'!$AD$163</f>
        <v>4928560000</v>
      </c>
      <c r="DI231" s="616">
        <f t="shared" ref="DI231:DI243" si="314">AP231*DH231</f>
        <v>6160000</v>
      </c>
    </row>
    <row r="232" spans="1:113" outlineLevel="1">
      <c r="A232" s="214" t="s">
        <v>624</v>
      </c>
      <c r="B232" s="215" t="s">
        <v>625</v>
      </c>
      <c r="C232" s="216" t="s">
        <v>234</v>
      </c>
      <c r="D232" s="229" t="s">
        <v>234</v>
      </c>
      <c r="E232" s="216"/>
      <c r="F232" s="216"/>
      <c r="G232" s="216"/>
      <c r="H232" s="216" t="s">
        <v>234</v>
      </c>
      <c r="I232" s="217" t="s">
        <v>234</v>
      </c>
      <c r="J232" s="217"/>
      <c r="K232" s="216" t="s">
        <v>234</v>
      </c>
      <c r="L232" s="216"/>
      <c r="M232" s="217"/>
      <c r="N232" s="216"/>
      <c r="O232" s="217"/>
      <c r="P232" s="216"/>
      <c r="Q232" s="217"/>
      <c r="R232" s="217" t="s">
        <v>234</v>
      </c>
      <c r="S232" s="217"/>
      <c r="T232" s="217"/>
      <c r="U232" s="218">
        <f t="shared" si="304"/>
        <v>6</v>
      </c>
      <c r="V232" s="867" t="s">
        <v>238</v>
      </c>
      <c r="W232" s="219">
        <v>211490</v>
      </c>
      <c r="X232" s="220">
        <v>3.23</v>
      </c>
      <c r="Y232" s="221">
        <f t="shared" si="297"/>
        <v>1.0323</v>
      </c>
      <c r="Z232" s="199">
        <v>19</v>
      </c>
      <c r="AA232" s="221">
        <f t="shared" si="298"/>
        <v>1.8294166166228893</v>
      </c>
      <c r="AB232" s="199">
        <f t="shared" si="299"/>
        <v>386903.32024957484</v>
      </c>
      <c r="AC232">
        <v>19.5</v>
      </c>
      <c r="AD232" s="199">
        <f t="shared" si="300"/>
        <v>75446.147448667092</v>
      </c>
      <c r="AE232" s="199">
        <f t="shared" si="301"/>
        <v>71673.840076233741</v>
      </c>
      <c r="AF232" s="199">
        <f t="shared" si="287"/>
        <v>71673.840076233741</v>
      </c>
      <c r="AG232" s="614">
        <f t="shared" si="273"/>
        <v>3.3138837110713499E-3</v>
      </c>
      <c r="AH232" s="199">
        <f t="shared" ref="AH232:AH241" si="315">AB232*0.05</f>
        <v>19345.166012478741</v>
      </c>
      <c r="AI232" s="252">
        <f t="shared" si="256"/>
        <v>1.4986407001972536E-3</v>
      </c>
      <c r="AJ232" s="199">
        <f t="shared" si="274"/>
        <v>94791.313461145837</v>
      </c>
      <c r="AK232" s="199">
        <f t="shared" si="291"/>
        <v>15476.132809982993</v>
      </c>
      <c r="AL232" s="199">
        <f t="shared" si="292"/>
        <v>15476.132809982993</v>
      </c>
      <c r="AM232" s="199">
        <f t="shared" si="257"/>
        <v>30952.265619965987</v>
      </c>
      <c r="AN232" s="645">
        <f t="shared" si="258"/>
        <v>1.4986407001972536E-3</v>
      </c>
      <c r="AO232" s="199">
        <v>10</v>
      </c>
      <c r="AP232" s="250">
        <f t="shared" si="259"/>
        <v>1.1362345188046814E-3</v>
      </c>
      <c r="AQ232" s="199">
        <v>10</v>
      </c>
      <c r="AU232" s="199">
        <v>0</v>
      </c>
      <c r="AW232" s="250">
        <f t="shared" si="260"/>
        <v>0</v>
      </c>
      <c r="AX232" s="199">
        <v>1</v>
      </c>
      <c r="AY232" s="199">
        <f t="shared" si="305"/>
        <v>23382.968555265692</v>
      </c>
      <c r="AZ232" s="199">
        <f t="shared" si="276"/>
        <v>23382.968555265692</v>
      </c>
      <c r="BA232" s="252">
        <f t="shared" si="261"/>
        <v>1.8380530678120649E-3</v>
      </c>
      <c r="BB232" s="284">
        <v>1</v>
      </c>
      <c r="BC232" s="199">
        <f t="shared" si="306"/>
        <v>54321.226163040301</v>
      </c>
      <c r="BD232" s="270">
        <f t="shared" si="289"/>
        <v>4.8920117433585639E-3</v>
      </c>
      <c r="BE232" s="199">
        <f t="shared" si="307"/>
        <v>232374.13414189464</v>
      </c>
      <c r="BF232" s="251">
        <f t="shared" si="290"/>
        <v>4.8920118520682657E-3</v>
      </c>
      <c r="BG232" s="204">
        <f t="shared" si="296"/>
        <v>286695.36030493496</v>
      </c>
      <c r="BH232" s="636">
        <v>0</v>
      </c>
      <c r="BI232" s="199">
        <f t="shared" si="262"/>
        <v>118392.41599636989</v>
      </c>
      <c r="BJ232" s="199">
        <f t="shared" si="263"/>
        <v>236784.83199273978</v>
      </c>
      <c r="BK232" s="199">
        <f t="shared" si="271"/>
        <v>355177.24798910966</v>
      </c>
      <c r="BL232" s="251">
        <f t="shared" si="264"/>
        <v>1.4986407001972533E-3</v>
      </c>
      <c r="BM232" s="199">
        <f t="shared" si="308"/>
        <v>31568.912236226413</v>
      </c>
      <c r="BN232" s="251">
        <f t="shared" si="265"/>
        <v>1.3632438079620507E-3</v>
      </c>
      <c r="BT232" s="199">
        <f>'Detailed Budget'!$AD$12</f>
        <v>194045122715</v>
      </c>
      <c r="BU232" s="199">
        <f>'Detailed Budget'!$AD$24</f>
        <v>194045122715</v>
      </c>
      <c r="BV232" s="596">
        <f t="shared" si="309"/>
        <v>0</v>
      </c>
      <c r="BW232" s="278"/>
      <c r="BX232" s="275">
        <f t="shared" si="294"/>
        <v>0</v>
      </c>
      <c r="BY232" s="275">
        <f t="shared" si="295"/>
        <v>0</v>
      </c>
      <c r="CA232" s="199">
        <f>'Detailed Budget'!$AD$96</f>
        <v>71050111380.677719</v>
      </c>
      <c r="CB232" s="275">
        <f t="shared" si="266"/>
        <v>130593875.19164358</v>
      </c>
      <c r="CE232" s="199">
        <f>'Detailed Budget'!$AD$175</f>
        <v>4330586076.5988197</v>
      </c>
      <c r="CF232" s="275">
        <f t="shared" si="310"/>
        <v>21185277.942346517</v>
      </c>
      <c r="CG232" s="199">
        <f>'Detailed Budget'!$AD$176</f>
        <v>20662817754.37001</v>
      </c>
      <c r="CH232" s="275">
        <f t="shared" si="311"/>
        <v>101082749.35150468</v>
      </c>
      <c r="CI232" s="275">
        <f t="shared" si="293"/>
        <v>122268027.2938512</v>
      </c>
      <c r="CJ232" s="275">
        <f>'Detailed Budget'!$AD$178</f>
        <v>46025131033.061455</v>
      </c>
      <c r="CK232" s="275">
        <f t="shared" si="312"/>
        <v>152521932.03038684</v>
      </c>
      <c r="CL232" s="275">
        <f t="shared" si="288"/>
        <v>274789959.32423806</v>
      </c>
      <c r="CM232" s="278">
        <f>'Detailed Budget'!$AD$189</f>
        <v>77498869683.252869</v>
      </c>
      <c r="CN232" s="275">
        <f t="shared" si="268"/>
        <v>0</v>
      </c>
      <c r="CO232" s="140">
        <f>'Detailed Budget'!$AD$191</f>
        <v>2684962805.4134097</v>
      </c>
      <c r="CP232" s="616">
        <f t="shared" si="269"/>
        <v>0</v>
      </c>
      <c r="CQ232" s="616">
        <f t="shared" si="270"/>
        <v>0</v>
      </c>
      <c r="CR232" s="199">
        <f>'Detailed Budget'!$AD$195</f>
        <v>18734176418</v>
      </c>
      <c r="CS232" s="275">
        <f t="shared" si="313"/>
        <v>25539249.999107171</v>
      </c>
      <c r="CW232" s="278"/>
      <c r="DH232" s="140">
        <f>'Detailed Budget'!$AD$163</f>
        <v>4928560000</v>
      </c>
      <c r="DI232" s="616">
        <f t="shared" si="314"/>
        <v>5600000</v>
      </c>
    </row>
    <row r="233" spans="1:113" outlineLevel="1">
      <c r="A233" s="214" t="s">
        <v>626</v>
      </c>
      <c r="B233" s="215" t="s">
        <v>627</v>
      </c>
      <c r="C233" s="216" t="s">
        <v>234</v>
      </c>
      <c r="D233" s="229" t="s">
        <v>234</v>
      </c>
      <c r="E233" s="216"/>
      <c r="F233" s="216"/>
      <c r="G233" s="216"/>
      <c r="H233" s="216" t="s">
        <v>234</v>
      </c>
      <c r="I233" s="217" t="s">
        <v>234</v>
      </c>
      <c r="J233" s="217"/>
      <c r="K233" s="216" t="s">
        <v>234</v>
      </c>
      <c r="L233" s="216"/>
      <c r="M233" s="217"/>
      <c r="N233" s="216"/>
      <c r="O233" s="217"/>
      <c r="P233" s="216"/>
      <c r="Q233" s="217"/>
      <c r="R233" s="217" t="s">
        <v>234</v>
      </c>
      <c r="S233" s="217"/>
      <c r="T233" s="217"/>
      <c r="U233" s="218">
        <f t="shared" si="304"/>
        <v>6</v>
      </c>
      <c r="V233" s="867" t="s">
        <v>238</v>
      </c>
      <c r="W233" s="219">
        <v>202680</v>
      </c>
      <c r="X233" s="220">
        <v>3.23</v>
      </c>
      <c r="Y233" s="221">
        <f t="shared" si="297"/>
        <v>1.0323</v>
      </c>
      <c r="Z233" s="199">
        <v>19</v>
      </c>
      <c r="AA233" s="221">
        <f t="shared" si="298"/>
        <v>1.8294166166228893</v>
      </c>
      <c r="AB233" s="199">
        <f t="shared" si="299"/>
        <v>370786.15985712723</v>
      </c>
      <c r="AC233">
        <v>19.5</v>
      </c>
      <c r="AD233" s="199">
        <f t="shared" si="300"/>
        <v>72303.301172139807</v>
      </c>
      <c r="AE233" s="199">
        <f t="shared" si="301"/>
        <v>68688.136113532819</v>
      </c>
      <c r="AF233" s="199">
        <f t="shared" si="287"/>
        <v>68688.136113532819</v>
      </c>
      <c r="AG233" s="614">
        <f t="shared" si="273"/>
        <v>3.1758378673220544E-3</v>
      </c>
      <c r="AH233" s="199">
        <f t="shared" si="315"/>
        <v>18539.307992856364</v>
      </c>
      <c r="AI233" s="252">
        <f t="shared" si="256"/>
        <v>1.4362121004112697E-3</v>
      </c>
      <c r="AJ233" s="199">
        <f t="shared" si="274"/>
        <v>90842.609164996175</v>
      </c>
      <c r="AK233" s="199">
        <f t="shared" si="291"/>
        <v>14831.446394285089</v>
      </c>
      <c r="AL233" s="199">
        <f t="shared" si="292"/>
        <v>14831.446394285089</v>
      </c>
      <c r="AM233" s="199">
        <f t="shared" si="257"/>
        <v>29662.892788570178</v>
      </c>
      <c r="AN233" s="645">
        <f t="shared" si="258"/>
        <v>1.4362121004112694E-3</v>
      </c>
      <c r="AO233" s="199">
        <v>10</v>
      </c>
      <c r="AP233" s="250">
        <f t="shared" si="259"/>
        <v>1.1362345188046814E-3</v>
      </c>
      <c r="AQ233" s="199">
        <v>10</v>
      </c>
      <c r="AU233" s="199">
        <v>0</v>
      </c>
      <c r="AW233" s="250">
        <f t="shared" si="260"/>
        <v>0</v>
      </c>
      <c r="AX233" s="199">
        <v>1</v>
      </c>
      <c r="AY233" s="199">
        <f t="shared" si="305"/>
        <v>22408.908538376523</v>
      </c>
      <c r="AZ233" s="199">
        <f t="shared" si="276"/>
        <v>22408.908538376523</v>
      </c>
      <c r="BA233" s="252">
        <f t="shared" si="261"/>
        <v>1.7614856295056472E-3</v>
      </c>
      <c r="BB233" s="284">
        <v>1</v>
      </c>
      <c r="BC233" s="199">
        <f t="shared" si="306"/>
        <v>52058.376843940656</v>
      </c>
      <c r="BD233" s="270">
        <f t="shared" si="289"/>
        <v>4.6882261106620353E-3</v>
      </c>
      <c r="BE233" s="199">
        <f t="shared" si="307"/>
        <v>222694.16761019061</v>
      </c>
      <c r="BF233" s="251">
        <f t="shared" si="290"/>
        <v>4.6882262148432371E-3</v>
      </c>
      <c r="BG233" s="204">
        <f t="shared" si="296"/>
        <v>274752.54445413128</v>
      </c>
      <c r="BH233" s="636">
        <v>0</v>
      </c>
      <c r="BI233" s="199">
        <f t="shared" si="262"/>
        <v>113460.56491628094</v>
      </c>
      <c r="BJ233" s="199">
        <f t="shared" si="263"/>
        <v>226921.12983256188</v>
      </c>
      <c r="BK233" s="199">
        <f t="shared" si="271"/>
        <v>340381.69474884286</v>
      </c>
      <c r="BL233" s="251">
        <f t="shared" si="264"/>
        <v>1.4362121004112697E-3</v>
      </c>
      <c r="BM233" s="199">
        <f t="shared" si="308"/>
        <v>30253.851870246213</v>
      </c>
      <c r="BN233" s="251">
        <f t="shared" si="265"/>
        <v>1.3064554115927397E-3</v>
      </c>
      <c r="BT233" s="199">
        <f>'Detailed Budget'!$AD$12</f>
        <v>194045122715</v>
      </c>
      <c r="BU233" s="199">
        <f>'Detailed Budget'!$AD$24</f>
        <v>194045122715</v>
      </c>
      <c r="BV233" s="596">
        <f t="shared" si="309"/>
        <v>0</v>
      </c>
      <c r="BW233" s="278"/>
      <c r="BX233" s="275">
        <f t="shared" si="294"/>
        <v>0</v>
      </c>
      <c r="BY233" s="275">
        <f t="shared" si="295"/>
        <v>0</v>
      </c>
      <c r="CA233" s="199">
        <f>'Detailed Budget'!$AD$96</f>
        <v>71050111380.677719</v>
      </c>
      <c r="CB233" s="275">
        <f t="shared" si="266"/>
        <v>125153750.17183945</v>
      </c>
      <c r="CE233" s="199">
        <f>'Detailed Budget'!$AD$175</f>
        <v>4330586076.5988197</v>
      </c>
      <c r="CF233" s="275">
        <f t="shared" si="310"/>
        <v>20302766.718780048</v>
      </c>
      <c r="CG233" s="199">
        <f>'Detailed Budget'!$AD$176</f>
        <v>20662817754.37001</v>
      </c>
      <c r="CH233" s="275">
        <f t="shared" si="311"/>
        <v>96871963.868565753</v>
      </c>
      <c r="CI233" s="275">
        <f t="shared" si="293"/>
        <v>117174730.58734581</v>
      </c>
      <c r="CJ233" s="275">
        <f>'Detailed Budget'!$AD$178</f>
        <v>46025131033.061455</v>
      </c>
      <c r="CK233" s="275">
        <f t="shared" si="312"/>
        <v>146168353.98325598</v>
      </c>
      <c r="CL233" s="275">
        <f t="shared" si="288"/>
        <v>263343084.57060179</v>
      </c>
      <c r="CM233" s="278">
        <f>'Detailed Budget'!$AD$189</f>
        <v>77498869683.252869</v>
      </c>
      <c r="CN233" s="275">
        <f t="shared" si="268"/>
        <v>0</v>
      </c>
      <c r="CO233" s="140">
        <f>'Detailed Budget'!$AD$191</f>
        <v>2684962805.4134097</v>
      </c>
      <c r="CP233" s="616">
        <f t="shared" si="269"/>
        <v>0</v>
      </c>
      <c r="CQ233" s="616">
        <f t="shared" si="270"/>
        <v>0</v>
      </c>
      <c r="CR233" s="199">
        <f>'Detailed Budget'!$AD$195</f>
        <v>18734176418</v>
      </c>
      <c r="CS233" s="275">
        <f t="shared" si="313"/>
        <v>24475366.163029186</v>
      </c>
      <c r="CW233" s="278"/>
      <c r="DH233" s="140">
        <f>'Detailed Budget'!$AD$163</f>
        <v>4928560000</v>
      </c>
      <c r="DI233" s="616">
        <f t="shared" si="314"/>
        <v>5600000</v>
      </c>
    </row>
    <row r="234" spans="1:113" outlineLevel="1">
      <c r="A234" s="214" t="s">
        <v>628</v>
      </c>
      <c r="B234" s="215" t="s">
        <v>629</v>
      </c>
      <c r="C234" s="216" t="s">
        <v>234</v>
      </c>
      <c r="D234" s="229" t="s">
        <v>234</v>
      </c>
      <c r="E234" s="216"/>
      <c r="F234" s="216"/>
      <c r="G234" s="216"/>
      <c r="H234" s="216" t="s">
        <v>234</v>
      </c>
      <c r="I234" s="217" t="s">
        <v>234</v>
      </c>
      <c r="J234" s="217"/>
      <c r="K234" s="216" t="s">
        <v>234</v>
      </c>
      <c r="L234" s="216"/>
      <c r="M234" s="217"/>
      <c r="N234" s="216"/>
      <c r="O234" s="217"/>
      <c r="P234" s="216"/>
      <c r="Q234" s="217"/>
      <c r="R234" s="217" t="s">
        <v>234</v>
      </c>
      <c r="S234" s="217"/>
      <c r="T234" s="217"/>
      <c r="U234" s="218">
        <f t="shared" si="304"/>
        <v>6</v>
      </c>
      <c r="V234" s="867" t="s">
        <v>238</v>
      </c>
      <c r="W234" s="219">
        <v>207658</v>
      </c>
      <c r="X234" s="220">
        <v>3.23</v>
      </c>
      <c r="Y234" s="221">
        <f t="shared" si="297"/>
        <v>1.0323</v>
      </c>
      <c r="Z234" s="199">
        <v>19</v>
      </c>
      <c r="AA234" s="221">
        <f t="shared" si="298"/>
        <v>1.8294166166228893</v>
      </c>
      <c r="AB234" s="199">
        <f t="shared" si="299"/>
        <v>379892.99577467598</v>
      </c>
      <c r="AC234">
        <v>19.5</v>
      </c>
      <c r="AD234" s="199">
        <f t="shared" si="300"/>
        <v>74079.134176061809</v>
      </c>
      <c r="AE234" s="199">
        <f t="shared" si="301"/>
        <v>70375.17746725872</v>
      </c>
      <c r="AF234" s="199">
        <f t="shared" si="287"/>
        <v>70375.17746725872</v>
      </c>
      <c r="AG234" s="614">
        <f t="shared" si="273"/>
        <v>3.2538392532680239E-3</v>
      </c>
      <c r="AH234" s="199">
        <f t="shared" si="315"/>
        <v>18994.649788733801</v>
      </c>
      <c r="AI234" s="252">
        <f t="shared" si="256"/>
        <v>1.4714867394276861E-3</v>
      </c>
      <c r="AJ234" s="199">
        <f t="shared" si="274"/>
        <v>93073.783964795613</v>
      </c>
      <c r="AK234" s="199">
        <f t="shared" si="291"/>
        <v>15195.71983098704</v>
      </c>
      <c r="AL234" s="199">
        <f t="shared" si="292"/>
        <v>15195.71983098704</v>
      </c>
      <c r="AM234" s="199">
        <f t="shared" si="257"/>
        <v>30391.43966197408</v>
      </c>
      <c r="AN234" s="645">
        <f t="shared" si="258"/>
        <v>1.4714867394276861E-3</v>
      </c>
      <c r="AO234" s="199">
        <v>11</v>
      </c>
      <c r="AP234" s="250">
        <f t="shared" si="259"/>
        <v>1.2498579706851495E-3</v>
      </c>
      <c r="AQ234" s="199">
        <v>11</v>
      </c>
      <c r="AU234" s="199">
        <v>0</v>
      </c>
      <c r="AW234" s="250">
        <f t="shared" si="260"/>
        <v>0</v>
      </c>
      <c r="AX234" s="199">
        <v>1</v>
      </c>
      <c r="AY234" s="199">
        <f t="shared" si="305"/>
        <v>22959.291144968385</v>
      </c>
      <c r="AZ234" s="199">
        <f t="shared" si="276"/>
        <v>22959.291144968385</v>
      </c>
      <c r="BA234" s="252">
        <f t="shared" si="261"/>
        <v>1.8047492739879797E-3</v>
      </c>
      <c r="BB234" s="284">
        <v>1</v>
      </c>
      <c r="BC234" s="199">
        <f t="shared" si="306"/>
        <v>53336.976606764503</v>
      </c>
      <c r="BD234" s="270">
        <f t="shared" si="289"/>
        <v>4.8033730890460679E-3</v>
      </c>
      <c r="BE234" s="199">
        <f t="shared" si="307"/>
        <v>228163.73326227037</v>
      </c>
      <c r="BF234" s="251">
        <f t="shared" si="290"/>
        <v>4.8033731957860511E-3</v>
      </c>
      <c r="BG234" s="204">
        <f t="shared" si="296"/>
        <v>281500.70986903488</v>
      </c>
      <c r="BH234" s="636">
        <v>0</v>
      </c>
      <c r="BI234" s="199">
        <f t="shared" si="262"/>
        <v>116247.25670705087</v>
      </c>
      <c r="BJ234" s="199">
        <f t="shared" si="263"/>
        <v>232494.51341410173</v>
      </c>
      <c r="BK234" s="199">
        <f t="shared" si="271"/>
        <v>348741.77012115263</v>
      </c>
      <c r="BL234" s="251">
        <f t="shared" si="264"/>
        <v>1.4714867394276863E-3</v>
      </c>
      <c r="BM234" s="199">
        <f t="shared" si="308"/>
        <v>30996.91322119394</v>
      </c>
      <c r="BN234" s="251">
        <f t="shared" si="265"/>
        <v>1.3385431116070905E-3</v>
      </c>
      <c r="BT234" s="199">
        <f>'Detailed Budget'!$AD$12</f>
        <v>194045122715</v>
      </c>
      <c r="BU234" s="199">
        <f>'Detailed Budget'!$AD$24</f>
        <v>194045122715</v>
      </c>
      <c r="BV234" s="596">
        <f t="shared" si="309"/>
        <v>0</v>
      </c>
      <c r="BW234" s="278"/>
      <c r="BX234" s="275">
        <f t="shared" si="294"/>
        <v>0</v>
      </c>
      <c r="BY234" s="275">
        <f t="shared" si="295"/>
        <v>0</v>
      </c>
      <c r="CA234" s="199">
        <f>'Detailed Budget'!$AD$96</f>
        <v>71050111380.677719</v>
      </c>
      <c r="CB234" s="275">
        <f t="shared" si="266"/>
        <v>128227636.93104321</v>
      </c>
      <c r="CE234" s="199">
        <f>'Detailed Budget'!$AD$175</f>
        <v>4330586076.5988197</v>
      </c>
      <c r="CF234" s="275">
        <f t="shared" si="310"/>
        <v>20801420.620132364</v>
      </c>
      <c r="CG234" s="199">
        <f>'Detailed Budget'!$AD$176</f>
        <v>20662817754.37001</v>
      </c>
      <c r="CH234" s="275">
        <f t="shared" si="311"/>
        <v>99251224.950753033</v>
      </c>
      <c r="CI234" s="275">
        <f t="shared" si="293"/>
        <v>120052645.57088539</v>
      </c>
      <c r="CJ234" s="275">
        <f>'Detailed Budget'!$AD$178</f>
        <v>46025131033.061455</v>
      </c>
      <c r="CK234" s="275">
        <f t="shared" si="312"/>
        <v>149758377.99217963</v>
      </c>
      <c r="CL234" s="275">
        <f t="shared" si="288"/>
        <v>269811023.56306505</v>
      </c>
      <c r="CM234" s="278">
        <f>'Detailed Budget'!$AD$189</f>
        <v>77498869683.252869</v>
      </c>
      <c r="CN234" s="275">
        <f t="shared" si="268"/>
        <v>0</v>
      </c>
      <c r="CO234" s="140">
        <f>'Detailed Budget'!$AD$191</f>
        <v>2684962805.4134097</v>
      </c>
      <c r="CP234" s="616">
        <f t="shared" si="269"/>
        <v>0</v>
      </c>
      <c r="CQ234" s="616">
        <f t="shared" si="270"/>
        <v>0</v>
      </c>
      <c r="CR234" s="199">
        <f>'Detailed Budget'!$AD$195</f>
        <v>18734176418</v>
      </c>
      <c r="CS234" s="275">
        <f t="shared" si="313"/>
        <v>25076502.795945898</v>
      </c>
      <c r="CW234" s="278"/>
      <c r="DH234" s="140">
        <f>'Detailed Budget'!$AD$163</f>
        <v>4928560000</v>
      </c>
      <c r="DI234" s="616">
        <f t="shared" si="314"/>
        <v>6160000</v>
      </c>
    </row>
    <row r="235" spans="1:113" outlineLevel="1">
      <c r="A235" s="214" t="s">
        <v>630</v>
      </c>
      <c r="B235" s="215" t="s">
        <v>631</v>
      </c>
      <c r="C235" s="216" t="s">
        <v>234</v>
      </c>
      <c r="D235" s="229" t="s">
        <v>234</v>
      </c>
      <c r="E235" s="216"/>
      <c r="F235" s="216"/>
      <c r="G235" s="216"/>
      <c r="H235" s="216" t="s">
        <v>234</v>
      </c>
      <c r="I235" s="217" t="s">
        <v>234</v>
      </c>
      <c r="J235" s="217"/>
      <c r="K235" s="216" t="s">
        <v>234</v>
      </c>
      <c r="L235" s="216"/>
      <c r="M235" s="217"/>
      <c r="N235" s="216"/>
      <c r="O235" s="217"/>
      <c r="P235" s="216"/>
      <c r="Q235" s="217"/>
      <c r="R235" s="217" t="s">
        <v>234</v>
      </c>
      <c r="S235" s="217"/>
      <c r="T235" s="217"/>
      <c r="U235" s="218">
        <f t="shared" si="304"/>
        <v>6</v>
      </c>
      <c r="V235" s="867" t="s">
        <v>238</v>
      </c>
      <c r="W235" s="219">
        <v>237687</v>
      </c>
      <c r="X235" s="220">
        <v>3.23</v>
      </c>
      <c r="Y235" s="221">
        <f t="shared" si="297"/>
        <v>1.0323</v>
      </c>
      <c r="Z235" s="199">
        <v>19</v>
      </c>
      <c r="AA235" s="221">
        <f t="shared" si="298"/>
        <v>1.8294166166228893</v>
      </c>
      <c r="AB235" s="199">
        <f t="shared" si="299"/>
        <v>434828.54735524469</v>
      </c>
      <c r="AC235">
        <v>19.5</v>
      </c>
      <c r="AD235" s="199">
        <f t="shared" si="300"/>
        <v>84791.56673427271</v>
      </c>
      <c r="AE235" s="199">
        <f t="shared" si="301"/>
        <v>80551.988397559064</v>
      </c>
      <c r="AF235" s="199">
        <f t="shared" si="287"/>
        <v>80551.988397559064</v>
      </c>
      <c r="AG235" s="614">
        <f t="shared" si="273"/>
        <v>3.7243703136480015E-3</v>
      </c>
      <c r="AH235" s="199">
        <f t="shared" si="315"/>
        <v>21741.427367762237</v>
      </c>
      <c r="AI235" s="252">
        <f t="shared" si="256"/>
        <v>1.6842754367004807E-3</v>
      </c>
      <c r="AJ235" s="199">
        <f t="shared" si="274"/>
        <v>106532.99410203495</v>
      </c>
      <c r="AK235" s="199">
        <f t="shared" si="291"/>
        <v>17393.141894209788</v>
      </c>
      <c r="AL235" s="199">
        <f t="shared" si="292"/>
        <v>17393.141894209788</v>
      </c>
      <c r="AM235" s="199">
        <f t="shared" si="257"/>
        <v>34786.283788419576</v>
      </c>
      <c r="AN235" s="645">
        <f t="shared" si="258"/>
        <v>1.6842754367004805E-3</v>
      </c>
      <c r="AO235" s="199">
        <v>10</v>
      </c>
      <c r="AP235" s="250">
        <f t="shared" si="259"/>
        <v>1.1362345188046814E-3</v>
      </c>
      <c r="AQ235" s="199">
        <v>10</v>
      </c>
      <c r="AU235" s="199">
        <v>0</v>
      </c>
      <c r="AW235" s="250">
        <f t="shared" si="260"/>
        <v>0</v>
      </c>
      <c r="AX235" s="199">
        <v>1</v>
      </c>
      <c r="AY235" s="199">
        <f t="shared" si="305"/>
        <v>26279.387427279948</v>
      </c>
      <c r="AZ235" s="199">
        <f t="shared" si="276"/>
        <v>26279.387427279948</v>
      </c>
      <c r="BA235" s="252">
        <f t="shared" si="261"/>
        <v>2.0657303869168575E-3</v>
      </c>
      <c r="BB235" s="284">
        <v>1</v>
      </c>
      <c r="BC235" s="199">
        <f t="shared" si="306"/>
        <v>61049.928048676345</v>
      </c>
      <c r="BD235" s="270">
        <f t="shared" si="289"/>
        <v>5.497979078177063E-3</v>
      </c>
      <c r="BE235" s="199">
        <f t="shared" si="307"/>
        <v>261158.02554155997</v>
      </c>
      <c r="BF235" s="251">
        <f t="shared" si="290"/>
        <v>5.4979792003524994E-3</v>
      </c>
      <c r="BG235" s="204">
        <f t="shared" si="296"/>
        <v>322207.95359023631</v>
      </c>
      <c r="BH235" s="636">
        <v>0</v>
      </c>
      <c r="BI235" s="199">
        <f t="shared" si="262"/>
        <v>133057.53549070487</v>
      </c>
      <c r="BJ235" s="199">
        <f t="shared" si="263"/>
        <v>266115.07098140975</v>
      </c>
      <c r="BK235" s="199">
        <f t="shared" si="271"/>
        <v>399172.60647211462</v>
      </c>
      <c r="BL235" s="251">
        <f t="shared" si="264"/>
        <v>1.6842754367004805E-3</v>
      </c>
      <c r="BM235" s="199">
        <f t="shared" si="308"/>
        <v>35479.313644578702</v>
      </c>
      <c r="BN235" s="251">
        <f t="shared" si="265"/>
        <v>1.5321071019106151E-3</v>
      </c>
      <c r="BT235" s="199">
        <f>'Detailed Budget'!$AD$12</f>
        <v>194045122715</v>
      </c>
      <c r="BU235" s="199">
        <f>'Detailed Budget'!$AD$24</f>
        <v>194045122715</v>
      </c>
      <c r="BV235" s="596">
        <f t="shared" si="309"/>
        <v>0</v>
      </c>
      <c r="BW235" s="278"/>
      <c r="BX235" s="275">
        <f t="shared" si="294"/>
        <v>0</v>
      </c>
      <c r="BY235" s="275">
        <f t="shared" si="295"/>
        <v>0</v>
      </c>
      <c r="CA235" s="199">
        <f>'Detailed Budget'!$AD$96</f>
        <v>71050111380.677719</v>
      </c>
      <c r="CB235" s="275">
        <f t="shared" si="266"/>
        <v>146770374.0728932</v>
      </c>
      <c r="CE235" s="199">
        <f>'Detailed Budget'!$AD$175</f>
        <v>4330586076.5988197</v>
      </c>
      <c r="CF235" s="275">
        <f t="shared" si="310"/>
        <v>23809471.645385202</v>
      </c>
      <c r="CG235" s="199">
        <f>'Detailed Budget'!$AD$176</f>
        <v>20662817754.37001</v>
      </c>
      <c r="CH235" s="275">
        <f t="shared" si="311"/>
        <v>113603742.23420066</v>
      </c>
      <c r="CI235" s="275">
        <f t="shared" si="293"/>
        <v>137413213.87958586</v>
      </c>
      <c r="CJ235" s="275">
        <f>'Detailed Budget'!$AD$178</f>
        <v>46025131033.061455</v>
      </c>
      <c r="CK235" s="275">
        <f t="shared" si="312"/>
        <v>171414631.70129347</v>
      </c>
      <c r="CL235" s="275">
        <f t="shared" si="288"/>
        <v>308827845.58087933</v>
      </c>
      <c r="CM235" s="278">
        <f>'Detailed Budget'!$AD$189</f>
        <v>77498869683.252869</v>
      </c>
      <c r="CN235" s="275">
        <f t="shared" si="268"/>
        <v>0</v>
      </c>
      <c r="CO235" s="140">
        <f>'Detailed Budget'!$AD$191</f>
        <v>2684962805.4134097</v>
      </c>
      <c r="CP235" s="616">
        <f t="shared" si="269"/>
        <v>0</v>
      </c>
      <c r="CQ235" s="616">
        <f t="shared" si="270"/>
        <v>0</v>
      </c>
      <c r="CR235" s="199">
        <f>'Detailed Budget'!$AD$195</f>
        <v>18734176418</v>
      </c>
      <c r="CS235" s="275">
        <f t="shared" si="313"/>
        <v>28702764.738464169</v>
      </c>
      <c r="CW235" s="278"/>
      <c r="DH235" s="140">
        <f>'Detailed Budget'!$AD$163</f>
        <v>4928560000</v>
      </c>
      <c r="DI235" s="616">
        <f t="shared" si="314"/>
        <v>5600000</v>
      </c>
    </row>
    <row r="236" spans="1:113" outlineLevel="1">
      <c r="A236" s="214" t="s">
        <v>632</v>
      </c>
      <c r="B236" s="215" t="s">
        <v>621</v>
      </c>
      <c r="C236" s="216" t="s">
        <v>234</v>
      </c>
      <c r="D236" s="229" t="s">
        <v>234</v>
      </c>
      <c r="E236" s="216"/>
      <c r="F236" s="216"/>
      <c r="G236" s="216"/>
      <c r="H236" s="216" t="s">
        <v>234</v>
      </c>
      <c r="I236" s="217" t="s">
        <v>234</v>
      </c>
      <c r="J236" s="217"/>
      <c r="K236" s="216" t="s">
        <v>234</v>
      </c>
      <c r="L236" s="216"/>
      <c r="M236" s="217"/>
      <c r="N236" s="216"/>
      <c r="O236" s="217"/>
      <c r="P236" s="216"/>
      <c r="Q236" s="217"/>
      <c r="R236" s="217" t="s">
        <v>234</v>
      </c>
      <c r="S236" s="217"/>
      <c r="T236" s="217"/>
      <c r="U236" s="218">
        <f t="shared" si="304"/>
        <v>6</v>
      </c>
      <c r="V236" s="867" t="s">
        <v>238</v>
      </c>
      <c r="W236" s="219">
        <v>266844</v>
      </c>
      <c r="X236" s="220">
        <v>3.23</v>
      </c>
      <c r="Y236" s="221">
        <f t="shared" si="297"/>
        <v>1.0323</v>
      </c>
      <c r="Z236" s="199">
        <v>19</v>
      </c>
      <c r="AA236" s="221">
        <f t="shared" si="298"/>
        <v>1.8294166166228893</v>
      </c>
      <c r="AB236" s="199">
        <f t="shared" si="299"/>
        <v>488168.84764611826</v>
      </c>
      <c r="AC236">
        <v>19.5</v>
      </c>
      <c r="AD236" s="199">
        <f t="shared" si="300"/>
        <v>95192.925290993066</v>
      </c>
      <c r="AE236" s="199">
        <f t="shared" si="301"/>
        <v>90433.279026443415</v>
      </c>
      <c r="AF236" s="199">
        <f t="shared" si="287"/>
        <v>90433.279026443415</v>
      </c>
      <c r="AG236" s="614">
        <f t="shared" si="273"/>
        <v>4.1812378126489351E-3</v>
      </c>
      <c r="AH236" s="199">
        <f t="shared" si="315"/>
        <v>24408.442382305915</v>
      </c>
      <c r="AI236" s="252">
        <f t="shared" si="256"/>
        <v>1.8908850489547306E-3</v>
      </c>
      <c r="AJ236" s="199">
        <f t="shared" si="274"/>
        <v>119601.36767329898</v>
      </c>
      <c r="AK236" s="199">
        <f t="shared" si="291"/>
        <v>19526.753905844729</v>
      </c>
      <c r="AL236" s="199">
        <f t="shared" si="292"/>
        <v>19526.753905844729</v>
      </c>
      <c r="AM236" s="199">
        <f t="shared" si="257"/>
        <v>39053.507811689458</v>
      </c>
      <c r="AN236" s="645">
        <f t="shared" si="258"/>
        <v>1.8908850489547302E-3</v>
      </c>
      <c r="AO236" s="199">
        <v>11</v>
      </c>
      <c r="AP236" s="250">
        <f t="shared" si="259"/>
        <v>1.2498579706851495E-3</v>
      </c>
      <c r="AQ236" s="199">
        <v>11</v>
      </c>
      <c r="AU236" s="199">
        <v>0</v>
      </c>
      <c r="AW236" s="250">
        <f t="shared" si="260"/>
        <v>0</v>
      </c>
      <c r="AX236" s="199">
        <v>1</v>
      </c>
      <c r="AY236" s="199">
        <f t="shared" si="305"/>
        <v>29503.07277488921</v>
      </c>
      <c r="AZ236" s="199">
        <f t="shared" si="276"/>
        <v>29503.07277488921</v>
      </c>
      <c r="BA236" s="252">
        <f t="shared" si="261"/>
        <v>2.3191329747375413E-3</v>
      </c>
      <c r="BB236" s="284">
        <v>1</v>
      </c>
      <c r="BC236" s="199">
        <f t="shared" si="306"/>
        <v>68538.906209515</v>
      </c>
      <c r="BD236" s="270">
        <f t="shared" si="289"/>
        <v>6.1724146845939416E-3</v>
      </c>
      <c r="BE236" s="199">
        <f t="shared" si="307"/>
        <v>293194.20989625866</v>
      </c>
      <c r="BF236" s="251">
        <f t="shared" si="290"/>
        <v>6.1724148217566057E-3</v>
      </c>
      <c r="BG236" s="204">
        <f t="shared" si="296"/>
        <v>361733.11610577366</v>
      </c>
      <c r="BH236" s="636">
        <v>0</v>
      </c>
      <c r="BI236" s="199">
        <f t="shared" si="262"/>
        <v>149379.66737971216</v>
      </c>
      <c r="BJ236" s="199">
        <f t="shared" si="263"/>
        <v>298759.33475942432</v>
      </c>
      <c r="BK236" s="199">
        <f t="shared" si="271"/>
        <v>448139.00213913649</v>
      </c>
      <c r="BL236" s="251">
        <f t="shared" si="264"/>
        <v>1.8908850489547299E-3</v>
      </c>
      <c r="BM236" s="199">
        <f t="shared" si="308"/>
        <v>39831.551452851687</v>
      </c>
      <c r="BN236" s="251">
        <f t="shared" si="265"/>
        <v>1.7200502656949525E-3</v>
      </c>
      <c r="BT236" s="199">
        <f>'Detailed Budget'!$AD$12</f>
        <v>194045122715</v>
      </c>
      <c r="BU236" s="199">
        <f>'Detailed Budget'!$AD$24</f>
        <v>194045122715</v>
      </c>
      <c r="BV236" s="596">
        <f t="shared" si="309"/>
        <v>0</v>
      </c>
      <c r="BW236" s="278"/>
      <c r="BX236" s="275">
        <f t="shared" si="294"/>
        <v>0</v>
      </c>
      <c r="BY236" s="275">
        <f t="shared" si="295"/>
        <v>0</v>
      </c>
      <c r="CA236" s="199">
        <f>'Detailed Budget'!$AD$96</f>
        <v>71050111380.677719</v>
      </c>
      <c r="CB236" s="275">
        <f t="shared" si="266"/>
        <v>164774656.16170475</v>
      </c>
      <c r="CE236" s="199">
        <f>'Detailed Budget'!$AD$175</f>
        <v>4330586076.5988197</v>
      </c>
      <c r="CF236" s="275">
        <f t="shared" si="310"/>
        <v>26730173.092096619</v>
      </c>
      <c r="CG236" s="199">
        <f>'Detailed Budget'!$AD$176</f>
        <v>20662817754.37001</v>
      </c>
      <c r="CH236" s="275">
        <f t="shared" si="311"/>
        <v>127539482.56632899</v>
      </c>
      <c r="CI236" s="275">
        <f t="shared" si="293"/>
        <v>154269655.6584256</v>
      </c>
      <c r="CJ236" s="275">
        <f>'Detailed Budget'!$AD$178</f>
        <v>46025131033.061455</v>
      </c>
      <c r="CK236" s="275">
        <f t="shared" si="312"/>
        <v>192442018.20755851</v>
      </c>
      <c r="CL236" s="275">
        <f t="shared" si="288"/>
        <v>346711673.86598408</v>
      </c>
      <c r="CM236" s="278">
        <f>'Detailed Budget'!$AD$189</f>
        <v>77498869683.252869</v>
      </c>
      <c r="CN236" s="275">
        <f t="shared" si="268"/>
        <v>0</v>
      </c>
      <c r="CO236" s="140">
        <f>'Detailed Budget'!$AD$191</f>
        <v>2684962805.4134097</v>
      </c>
      <c r="CP236" s="616">
        <f t="shared" si="269"/>
        <v>0</v>
      </c>
      <c r="CQ236" s="616">
        <f t="shared" si="270"/>
        <v>0</v>
      </c>
      <c r="CR236" s="199">
        <f>'Detailed Budget'!$AD$195</f>
        <v>18734176418</v>
      </c>
      <c r="CS236" s="275">
        <f t="shared" si="313"/>
        <v>32223725.125357013</v>
      </c>
      <c r="CW236" s="278"/>
      <c r="DH236" s="140">
        <f>'Detailed Budget'!$AD$163</f>
        <v>4928560000</v>
      </c>
      <c r="DI236" s="616">
        <f t="shared" si="314"/>
        <v>6160000</v>
      </c>
    </row>
    <row r="237" spans="1:113" outlineLevel="1">
      <c r="A237" s="214" t="s">
        <v>633</v>
      </c>
      <c r="B237" s="215" t="s">
        <v>634</v>
      </c>
      <c r="C237" s="216" t="s">
        <v>234</v>
      </c>
      <c r="D237" s="229" t="s">
        <v>234</v>
      </c>
      <c r="E237" s="216"/>
      <c r="F237" s="216"/>
      <c r="G237" s="216"/>
      <c r="H237" s="216" t="s">
        <v>234</v>
      </c>
      <c r="I237" s="217" t="s">
        <v>234</v>
      </c>
      <c r="J237" s="217"/>
      <c r="K237" s="216" t="s">
        <v>234</v>
      </c>
      <c r="L237" s="216"/>
      <c r="M237" s="217"/>
      <c r="N237" s="216"/>
      <c r="O237" s="217"/>
      <c r="P237" s="216"/>
      <c r="Q237" s="217"/>
      <c r="R237" s="217" t="s">
        <v>234</v>
      </c>
      <c r="S237" s="217"/>
      <c r="T237" s="217"/>
      <c r="U237" s="218">
        <f t="shared" si="304"/>
        <v>6</v>
      </c>
      <c r="V237" s="867" t="s">
        <v>238</v>
      </c>
      <c r="W237" s="219">
        <v>160392</v>
      </c>
      <c r="X237" s="220">
        <v>3.23</v>
      </c>
      <c r="Y237" s="221">
        <f t="shared" si="297"/>
        <v>1.0323</v>
      </c>
      <c r="Z237" s="199">
        <v>19</v>
      </c>
      <c r="AA237" s="221">
        <f t="shared" si="298"/>
        <v>1.8294166166228893</v>
      </c>
      <c r="AB237" s="199">
        <f t="shared" si="299"/>
        <v>293423.78997337847</v>
      </c>
      <c r="AC237">
        <v>19.5</v>
      </c>
      <c r="AD237" s="199">
        <f t="shared" si="300"/>
        <v>57217.639044808799</v>
      </c>
      <c r="AE237" s="199">
        <f t="shared" si="301"/>
        <v>54356.757092568354</v>
      </c>
      <c r="AF237" s="199">
        <f t="shared" si="287"/>
        <v>54356.757092568354</v>
      </c>
      <c r="AG237" s="614">
        <f t="shared" si="273"/>
        <v>2.5132178173254333E-3</v>
      </c>
      <c r="AH237" s="199">
        <f t="shared" si="315"/>
        <v>14671.189498668924</v>
      </c>
      <c r="AI237" s="252">
        <f t="shared" si="256"/>
        <v>1.1365548214385451E-3</v>
      </c>
      <c r="AJ237" s="199">
        <f t="shared" si="274"/>
        <v>71888.828543477721</v>
      </c>
      <c r="AK237" s="199">
        <f t="shared" si="291"/>
        <v>11736.951598935138</v>
      </c>
      <c r="AL237" s="199">
        <f t="shared" si="292"/>
        <v>11736.951598935138</v>
      </c>
      <c r="AM237" s="199">
        <f t="shared" si="257"/>
        <v>23473.903197870277</v>
      </c>
      <c r="AN237" s="645">
        <f t="shared" si="258"/>
        <v>1.1365548214385451E-3</v>
      </c>
      <c r="AO237" s="199">
        <v>10</v>
      </c>
      <c r="AP237" s="250">
        <f t="shared" si="259"/>
        <v>1.1362345188046814E-3</v>
      </c>
      <c r="AQ237" s="199">
        <v>10</v>
      </c>
      <c r="AU237" s="199">
        <v>0</v>
      </c>
      <c r="AW237" s="250">
        <f t="shared" si="260"/>
        <v>0</v>
      </c>
      <c r="AX237" s="199">
        <v>1</v>
      </c>
      <c r="AY237" s="199">
        <f t="shared" si="305"/>
        <v>17733.420457308501</v>
      </c>
      <c r="AZ237" s="199">
        <f t="shared" si="276"/>
        <v>17733.420457308501</v>
      </c>
      <c r="BA237" s="252">
        <f t="shared" si="261"/>
        <v>1.3939619256348418E-3</v>
      </c>
      <c r="BB237" s="284">
        <v>1</v>
      </c>
      <c r="BC237" s="199">
        <f t="shared" si="306"/>
        <v>41196.700112262333</v>
      </c>
      <c r="BD237" s="270">
        <f t="shared" si="289"/>
        <v>3.7100550737186955E-3</v>
      </c>
      <c r="BE237" s="199">
        <f t="shared" si="307"/>
        <v>176230.32825801111</v>
      </c>
      <c r="BF237" s="251">
        <f t="shared" si="290"/>
        <v>3.7100551561630971E-3</v>
      </c>
      <c r="BG237" s="204">
        <f t="shared" si="296"/>
        <v>217427.02837027345</v>
      </c>
      <c r="BH237" s="636">
        <v>0</v>
      </c>
      <c r="BI237" s="199">
        <f t="shared" si="262"/>
        <v>89787.679731853801</v>
      </c>
      <c r="BJ237" s="199">
        <f t="shared" si="263"/>
        <v>179575.3594637076</v>
      </c>
      <c r="BK237" s="199">
        <f t="shared" si="271"/>
        <v>269363.03919556143</v>
      </c>
      <c r="BL237" s="251">
        <f t="shared" si="264"/>
        <v>1.1365548214385451E-3</v>
      </c>
      <c r="BM237" s="199">
        <f t="shared" si="308"/>
        <v>23941.562113541197</v>
      </c>
      <c r="BN237" s="251">
        <f t="shared" si="265"/>
        <v>1.0338711090200447E-3</v>
      </c>
      <c r="BT237" s="199">
        <f>'Detailed Budget'!$AD$12</f>
        <v>194045122715</v>
      </c>
      <c r="BU237" s="199">
        <f>'Detailed Budget'!$AD$24</f>
        <v>194045122715</v>
      </c>
      <c r="BV237" s="596">
        <f t="shared" si="309"/>
        <v>0</v>
      </c>
      <c r="BW237" s="278"/>
      <c r="BX237" s="275">
        <f t="shared" si="294"/>
        <v>0</v>
      </c>
      <c r="BY237" s="275">
        <f t="shared" si="295"/>
        <v>0</v>
      </c>
      <c r="CA237" s="199">
        <f>'Detailed Budget'!$AD$96</f>
        <v>71050111380.677719</v>
      </c>
      <c r="CB237" s="275">
        <f t="shared" si="266"/>
        <v>99041150.0767795</v>
      </c>
      <c r="CE237" s="199">
        <f>'Detailed Budget'!$AD$175</f>
        <v>4330586076.5988197</v>
      </c>
      <c r="CF237" s="275">
        <f t="shared" si="310"/>
        <v>16066712.84566099</v>
      </c>
      <c r="CG237" s="199">
        <f>'Detailed Budget'!$AD$176</f>
        <v>20662817754.37001</v>
      </c>
      <c r="CH237" s="275">
        <f t="shared" si="311"/>
        <v>76660193.550458848</v>
      </c>
      <c r="CI237" s="275">
        <f t="shared" si="293"/>
        <v>92726906.396119833</v>
      </c>
      <c r="CJ237" s="275">
        <f>'Detailed Budget'!$AD$178</f>
        <v>46025131033.061455</v>
      </c>
      <c r="CK237" s="275">
        <f t="shared" si="312"/>
        <v>115671179.35702777</v>
      </c>
      <c r="CL237" s="275">
        <f t="shared" si="288"/>
        <v>208398085.7531476</v>
      </c>
      <c r="CM237" s="278">
        <f>'Detailed Budget'!$AD$189</f>
        <v>77498869683.252869</v>
      </c>
      <c r="CN237" s="275">
        <f t="shared" si="268"/>
        <v>0</v>
      </c>
      <c r="CO237" s="140">
        <f>'Detailed Budget'!$AD$191</f>
        <v>2684962805.4134097</v>
      </c>
      <c r="CP237" s="616">
        <f t="shared" si="269"/>
        <v>0</v>
      </c>
      <c r="CQ237" s="616">
        <f t="shared" si="270"/>
        <v>0</v>
      </c>
      <c r="CR237" s="199">
        <f>'Detailed Budget'!$AD$195</f>
        <v>18734176418</v>
      </c>
      <c r="CS237" s="275">
        <f t="shared" si="313"/>
        <v>19368723.749854829</v>
      </c>
      <c r="CW237" s="278"/>
      <c r="DH237" s="140">
        <f>'Detailed Budget'!$AD$163</f>
        <v>4928560000</v>
      </c>
      <c r="DI237" s="616">
        <f t="shared" si="314"/>
        <v>5600000</v>
      </c>
    </row>
    <row r="238" spans="1:113" outlineLevel="1">
      <c r="A238" s="214" t="s">
        <v>635</v>
      </c>
      <c r="B238" s="215" t="s">
        <v>636</v>
      </c>
      <c r="C238" s="216" t="s">
        <v>234</v>
      </c>
      <c r="D238" s="229" t="s">
        <v>234</v>
      </c>
      <c r="E238" s="216"/>
      <c r="F238" s="216"/>
      <c r="G238" s="216"/>
      <c r="H238" s="216" t="s">
        <v>234</v>
      </c>
      <c r="I238" s="217" t="s">
        <v>234</v>
      </c>
      <c r="J238" s="217"/>
      <c r="K238" s="216" t="s">
        <v>234</v>
      </c>
      <c r="L238" s="216"/>
      <c r="M238" s="217"/>
      <c r="N238" s="216"/>
      <c r="O238" s="217"/>
      <c r="P238" s="216"/>
      <c r="Q238" s="217"/>
      <c r="R238" s="217" t="s">
        <v>234</v>
      </c>
      <c r="S238" s="217"/>
      <c r="T238" s="217"/>
      <c r="U238" s="218">
        <f t="shared" si="304"/>
        <v>6</v>
      </c>
      <c r="V238" s="867" t="s">
        <v>238</v>
      </c>
      <c r="W238" s="219">
        <v>193995</v>
      </c>
      <c r="X238" s="220">
        <v>3.23</v>
      </c>
      <c r="Y238" s="221">
        <f t="shared" si="297"/>
        <v>1.0323</v>
      </c>
      <c r="Z238" s="199">
        <v>19</v>
      </c>
      <c r="AA238" s="221">
        <f t="shared" si="298"/>
        <v>1.8294166166228893</v>
      </c>
      <c r="AB238" s="199">
        <f t="shared" si="299"/>
        <v>354897.67654175742</v>
      </c>
      <c r="AC238">
        <v>19.5</v>
      </c>
      <c r="AD238" s="199">
        <f t="shared" si="300"/>
        <v>69205.046925642702</v>
      </c>
      <c r="AE238" s="199">
        <f t="shared" si="301"/>
        <v>65744.794579360561</v>
      </c>
      <c r="AF238" s="199">
        <f t="shared" si="287"/>
        <v>65744.794579360561</v>
      </c>
      <c r="AG238" s="614">
        <f t="shared" si="273"/>
        <v>3.039750676293378E-3</v>
      </c>
      <c r="AH238" s="199">
        <f t="shared" si="315"/>
        <v>17744.883827087873</v>
      </c>
      <c r="AI238" s="252">
        <f t="shared" si="256"/>
        <v>1.3746692639593657E-3</v>
      </c>
      <c r="AJ238" s="199">
        <f t="shared" si="274"/>
        <v>86949.930752730579</v>
      </c>
      <c r="AK238" s="199">
        <f t="shared" si="291"/>
        <v>14195.907061670297</v>
      </c>
      <c r="AL238" s="199">
        <f t="shared" si="292"/>
        <v>14195.907061670297</v>
      </c>
      <c r="AM238" s="199">
        <f t="shared" si="257"/>
        <v>28391.814123340595</v>
      </c>
      <c r="AN238" s="645">
        <f t="shared" si="258"/>
        <v>1.3746692639593657E-3</v>
      </c>
      <c r="AO238" s="199">
        <v>10</v>
      </c>
      <c r="AP238" s="250">
        <f t="shared" si="259"/>
        <v>1.1362345188046814E-3</v>
      </c>
      <c r="AQ238" s="199">
        <v>10</v>
      </c>
      <c r="AU238" s="199">
        <v>0</v>
      </c>
      <c r="AW238" s="250">
        <f t="shared" si="260"/>
        <v>0</v>
      </c>
      <c r="AX238" s="199">
        <v>1</v>
      </c>
      <c r="AY238" s="199">
        <f t="shared" si="305"/>
        <v>21448.668896301329</v>
      </c>
      <c r="AZ238" s="199">
        <f t="shared" si="276"/>
        <v>21448.668896301329</v>
      </c>
      <c r="BA238" s="252">
        <f t="shared" si="261"/>
        <v>1.6860045623443261E-3</v>
      </c>
      <c r="BB238" s="284">
        <v>1</v>
      </c>
      <c r="BC238" s="199">
        <f t="shared" si="306"/>
        <v>49827.633786462742</v>
      </c>
      <c r="BD238" s="270">
        <f t="shared" si="289"/>
        <v>4.4873318745701678E-3</v>
      </c>
      <c r="BE238" s="199">
        <f t="shared" si="307"/>
        <v>213151.54453097953</v>
      </c>
      <c r="BF238" s="251">
        <f t="shared" si="290"/>
        <v>4.4873319742871221E-3</v>
      </c>
      <c r="BG238" s="204">
        <f t="shared" si="296"/>
        <v>262979.1783174423</v>
      </c>
      <c r="BH238" s="636">
        <v>0</v>
      </c>
      <c r="BI238" s="199">
        <f t="shared" si="262"/>
        <v>108598.68902177778</v>
      </c>
      <c r="BJ238" s="199">
        <f t="shared" si="263"/>
        <v>217197.37804355557</v>
      </c>
      <c r="BK238" s="199">
        <f t="shared" si="271"/>
        <v>325796.06706533337</v>
      </c>
      <c r="BL238" s="251">
        <f t="shared" si="264"/>
        <v>1.3746692639593657E-3</v>
      </c>
      <c r="BM238" s="199">
        <f t="shared" si="308"/>
        <v>28957.450136019408</v>
      </c>
      <c r="BN238" s="251">
        <f t="shared" si="265"/>
        <v>1.2504727529698712E-3</v>
      </c>
      <c r="BT238" s="199">
        <f>'Detailed Budget'!$AD$12</f>
        <v>194045122715</v>
      </c>
      <c r="BU238" s="199">
        <f>'Detailed Budget'!$AD$24</f>
        <v>194045122715</v>
      </c>
      <c r="BV238" s="596">
        <f t="shared" si="309"/>
        <v>0</v>
      </c>
      <c r="BW238" s="278"/>
      <c r="BX238" s="275">
        <f t="shared" si="294"/>
        <v>0</v>
      </c>
      <c r="BY238" s="275">
        <f t="shared" si="295"/>
        <v>0</v>
      </c>
      <c r="CA238" s="199">
        <f>'Detailed Budget'!$AD$96</f>
        <v>71050111380.677719</v>
      </c>
      <c r="CB238" s="275">
        <f t="shared" si="266"/>
        <v>119790811.94289516</v>
      </c>
      <c r="CE238" s="199">
        <f>'Detailed Budget'!$AD$175</f>
        <v>4330586076.5988197</v>
      </c>
      <c r="CF238" s="275">
        <f t="shared" si="310"/>
        <v>19432776.937091649</v>
      </c>
      <c r="CG238" s="199">
        <f>'Detailed Budget'!$AD$176</f>
        <v>20662817754.37001</v>
      </c>
      <c r="CH238" s="275">
        <f t="shared" si="311"/>
        <v>92720922.788052171</v>
      </c>
      <c r="CI238" s="275">
        <f t="shared" si="293"/>
        <v>112153699.72514382</v>
      </c>
      <c r="CJ238" s="275">
        <f>'Detailed Budget'!$AD$178</f>
        <v>46025131033.061455</v>
      </c>
      <c r="CK238" s="275">
        <f t="shared" si="312"/>
        <v>139904923.18423989</v>
      </c>
      <c r="CL238" s="275">
        <f t="shared" si="288"/>
        <v>252058622.90938371</v>
      </c>
      <c r="CM238" s="278">
        <f>'Detailed Budget'!$AD$189</f>
        <v>77498869683.252869</v>
      </c>
      <c r="CN238" s="275">
        <f t="shared" si="268"/>
        <v>0</v>
      </c>
      <c r="CO238" s="140">
        <f>'Detailed Budget'!$AD$191</f>
        <v>2684962805.4134097</v>
      </c>
      <c r="CP238" s="616">
        <f t="shared" si="269"/>
        <v>0</v>
      </c>
      <c r="CQ238" s="616">
        <f t="shared" si="270"/>
        <v>0</v>
      </c>
      <c r="CR238" s="199">
        <f>'Detailed Budget'!$AD$195</f>
        <v>18734176418</v>
      </c>
      <c r="CS238" s="275">
        <f t="shared" si="313"/>
        <v>23426577.160039701</v>
      </c>
      <c r="CW238" s="278"/>
      <c r="DH238" s="140">
        <f>'Detailed Budget'!$AD$163</f>
        <v>4928560000</v>
      </c>
      <c r="DI238" s="616">
        <f t="shared" si="314"/>
        <v>5600000</v>
      </c>
    </row>
    <row r="239" spans="1:113" outlineLevel="1">
      <c r="A239" s="214" t="s">
        <v>637</v>
      </c>
      <c r="B239" s="215" t="s">
        <v>638</v>
      </c>
      <c r="C239" s="216" t="s">
        <v>234</v>
      </c>
      <c r="D239" s="229" t="s">
        <v>234</v>
      </c>
      <c r="E239" s="216"/>
      <c r="F239" s="216"/>
      <c r="G239" s="216"/>
      <c r="H239" s="216" t="s">
        <v>234</v>
      </c>
      <c r="I239" s="217" t="s">
        <v>234</v>
      </c>
      <c r="J239" s="217"/>
      <c r="K239" s="216" t="s">
        <v>234</v>
      </c>
      <c r="L239" s="216"/>
      <c r="M239" s="217"/>
      <c r="N239" s="216"/>
      <c r="O239" s="217"/>
      <c r="P239" s="216"/>
      <c r="Q239" s="217"/>
      <c r="R239" s="217" t="s">
        <v>234</v>
      </c>
      <c r="S239" s="217"/>
      <c r="T239" s="217"/>
      <c r="U239" s="218">
        <f t="shared" si="304"/>
        <v>6</v>
      </c>
      <c r="V239" s="867" t="s">
        <v>238</v>
      </c>
      <c r="W239" s="219">
        <v>140185</v>
      </c>
      <c r="X239" s="220">
        <v>3.23</v>
      </c>
      <c r="Y239" s="221">
        <f t="shared" si="297"/>
        <v>1.0323</v>
      </c>
      <c r="Z239" s="199">
        <v>19</v>
      </c>
      <c r="AA239" s="221">
        <f t="shared" si="298"/>
        <v>1.8294166166228893</v>
      </c>
      <c r="AB239" s="199">
        <f t="shared" si="299"/>
        <v>256456.76840127975</v>
      </c>
      <c r="AC239">
        <v>19.5</v>
      </c>
      <c r="AD239" s="199">
        <f t="shared" si="300"/>
        <v>50009.069838249554</v>
      </c>
      <c r="AE239" s="199">
        <f t="shared" si="301"/>
        <v>47508.616346337076</v>
      </c>
      <c r="AF239" s="199">
        <f t="shared" si="287"/>
        <v>47508.616346337076</v>
      </c>
      <c r="AG239" s="614">
        <f t="shared" si="273"/>
        <v>2.1965898531208909E-3</v>
      </c>
      <c r="AH239" s="199">
        <f t="shared" si="315"/>
        <v>12822.838420063988</v>
      </c>
      <c r="AI239" s="252">
        <f t="shared" si="256"/>
        <v>9.9336586390444946E-4</v>
      </c>
      <c r="AJ239" s="199">
        <f t="shared" si="274"/>
        <v>62831.908258313546</v>
      </c>
      <c r="AK239" s="199">
        <f t="shared" si="291"/>
        <v>10258.27073605119</v>
      </c>
      <c r="AL239" s="199">
        <f t="shared" si="292"/>
        <v>10258.27073605119</v>
      </c>
      <c r="AM239" s="199">
        <f t="shared" si="257"/>
        <v>20516.541472102381</v>
      </c>
      <c r="AN239" s="645">
        <f t="shared" si="258"/>
        <v>9.9336586390444946E-4</v>
      </c>
      <c r="AO239" s="199">
        <v>10</v>
      </c>
      <c r="AP239" s="250">
        <f t="shared" si="259"/>
        <v>1.1362345188046814E-3</v>
      </c>
      <c r="AQ239" s="199">
        <v>10</v>
      </c>
      <c r="AU239" s="199">
        <v>0</v>
      </c>
      <c r="AW239" s="250">
        <f t="shared" si="260"/>
        <v>0</v>
      </c>
      <c r="AX239" s="199">
        <v>1</v>
      </c>
      <c r="AY239" s="199">
        <f t="shared" si="305"/>
        <v>15499.273946380074</v>
      </c>
      <c r="AZ239" s="199">
        <f t="shared" si="276"/>
        <v>15499.273946380074</v>
      </c>
      <c r="BA239" s="252">
        <f t="shared" si="261"/>
        <v>1.2183435118030845E-3</v>
      </c>
      <c r="BB239" s="284">
        <v>1</v>
      </c>
      <c r="BC239" s="199">
        <f t="shared" si="306"/>
        <v>36006.53028353968</v>
      </c>
      <c r="BD239" s="270">
        <f t="shared" si="289"/>
        <v>3.2426434641955673E-3</v>
      </c>
      <c r="BE239" s="199">
        <f t="shared" si="307"/>
        <v>154027.93510180863</v>
      </c>
      <c r="BF239" s="251">
        <f t="shared" si="290"/>
        <v>3.2426435362532036E-3</v>
      </c>
      <c r="BG239" s="204">
        <f t="shared" si="296"/>
        <v>190034.4653853483</v>
      </c>
      <c r="BH239" s="636">
        <v>0</v>
      </c>
      <c r="BI239" s="199">
        <f t="shared" si="262"/>
        <v>78475.771130791603</v>
      </c>
      <c r="BJ239" s="199">
        <f t="shared" si="263"/>
        <v>156951.54226158321</v>
      </c>
      <c r="BK239" s="199">
        <f t="shared" si="271"/>
        <v>235427.31339237481</v>
      </c>
      <c r="BL239" s="251">
        <f t="shared" si="264"/>
        <v>9.9336586390444946E-4</v>
      </c>
      <c r="BM239" s="199">
        <f t="shared" si="308"/>
        <v>20925.282338812242</v>
      </c>
      <c r="BN239" s="251">
        <f t="shared" si="265"/>
        <v>9.0361876788103504E-4</v>
      </c>
      <c r="BT239" s="199">
        <f>'Detailed Budget'!$AD$12</f>
        <v>194045122715</v>
      </c>
      <c r="BU239" s="199">
        <f>'Detailed Budget'!$AD$24</f>
        <v>194045122715</v>
      </c>
      <c r="BV239" s="596">
        <f t="shared" si="309"/>
        <v>0</v>
      </c>
      <c r="BW239" s="278"/>
      <c r="BX239" s="275">
        <f t="shared" si="294"/>
        <v>0</v>
      </c>
      <c r="BY239" s="275">
        <f t="shared" si="295"/>
        <v>0</v>
      </c>
      <c r="CA239" s="199">
        <f>'Detailed Budget'!$AD$96</f>
        <v>71050111380.677719</v>
      </c>
      <c r="CB239" s="275">
        <f t="shared" si="266"/>
        <v>86563442.21353519</v>
      </c>
      <c r="CE239" s="199">
        <f>'Detailed Budget'!$AD$175</f>
        <v>4330586076.5988197</v>
      </c>
      <c r="CF239" s="275">
        <f t="shared" si="310"/>
        <v>14042546.637419486</v>
      </c>
      <c r="CG239" s="199">
        <f>'Detailed Budget'!$AD$176</f>
        <v>20662817754.37001</v>
      </c>
      <c r="CH239" s="275">
        <f t="shared" si="311"/>
        <v>67002152.431985848</v>
      </c>
      <c r="CI239" s="275">
        <f t="shared" si="293"/>
        <v>81044699.069405332</v>
      </c>
      <c r="CJ239" s="275">
        <f>'Detailed Budget'!$AD$178</f>
        <v>46025131033.061455</v>
      </c>
      <c r="CK239" s="275">
        <f t="shared" si="312"/>
        <v>101098335.81578222</v>
      </c>
      <c r="CL239" s="275">
        <f t="shared" si="288"/>
        <v>182143034.88518757</v>
      </c>
      <c r="CM239" s="278">
        <f>'Detailed Budget'!$AD$189</f>
        <v>77498869683.252869</v>
      </c>
      <c r="CN239" s="275">
        <f t="shared" si="268"/>
        <v>0</v>
      </c>
      <c r="CO239" s="140">
        <f>'Detailed Budget'!$AD$191</f>
        <v>2684962805.4134097</v>
      </c>
      <c r="CP239" s="616">
        <f t="shared" si="269"/>
        <v>0</v>
      </c>
      <c r="CQ239" s="616">
        <f t="shared" si="270"/>
        <v>0</v>
      </c>
      <c r="CR239" s="199">
        <f>'Detailed Budget'!$AD$195</f>
        <v>18734176418</v>
      </c>
      <c r="CS239" s="275">
        <f t="shared" si="313"/>
        <v>16928553.412099101</v>
      </c>
      <c r="CW239" s="278"/>
      <c r="DH239" s="140">
        <f>'Detailed Budget'!$AD$163</f>
        <v>4928560000</v>
      </c>
      <c r="DI239" s="616">
        <f t="shared" si="314"/>
        <v>5600000</v>
      </c>
    </row>
    <row r="240" spans="1:113" outlineLevel="1">
      <c r="A240" s="214" t="s">
        <v>639</v>
      </c>
      <c r="B240" s="215" t="s">
        <v>640</v>
      </c>
      <c r="C240" s="216" t="s">
        <v>234</v>
      </c>
      <c r="D240" s="229" t="s">
        <v>234</v>
      </c>
      <c r="E240" s="216"/>
      <c r="F240" s="216"/>
      <c r="G240" s="216"/>
      <c r="H240" s="216" t="s">
        <v>234</v>
      </c>
      <c r="I240" s="217" t="s">
        <v>234</v>
      </c>
      <c r="J240" s="217"/>
      <c r="K240" s="216" t="s">
        <v>234</v>
      </c>
      <c r="L240" s="216"/>
      <c r="M240" s="217"/>
      <c r="N240" s="216"/>
      <c r="O240" s="217"/>
      <c r="P240" s="216"/>
      <c r="Q240" s="217"/>
      <c r="R240" s="217" t="s">
        <v>234</v>
      </c>
      <c r="S240" s="217"/>
      <c r="T240" s="217"/>
      <c r="U240" s="218">
        <f t="shared" si="304"/>
        <v>6</v>
      </c>
      <c r="V240" s="867" t="s">
        <v>238</v>
      </c>
      <c r="W240" s="219">
        <v>150948</v>
      </c>
      <c r="X240" s="220">
        <v>3.23</v>
      </c>
      <c r="Y240" s="221">
        <f t="shared" si="297"/>
        <v>1.0323</v>
      </c>
      <c r="Z240" s="199">
        <v>19</v>
      </c>
      <c r="AA240" s="221">
        <f t="shared" si="298"/>
        <v>1.8294166166228893</v>
      </c>
      <c r="AB240" s="199">
        <f t="shared" si="299"/>
        <v>276146.77944599191</v>
      </c>
      <c r="AC240">
        <v>19.5</v>
      </c>
      <c r="AD240" s="199">
        <f t="shared" si="300"/>
        <v>53848.621991968423</v>
      </c>
      <c r="AE240" s="199">
        <f t="shared" si="301"/>
        <v>51156.190892369996</v>
      </c>
      <c r="AF240" s="199">
        <f t="shared" si="287"/>
        <v>51156.190892369996</v>
      </c>
      <c r="AG240" s="614">
        <f t="shared" si="273"/>
        <v>2.3652376869771532E-3</v>
      </c>
      <c r="AH240" s="199">
        <f t="shared" si="315"/>
        <v>13807.338972299596</v>
      </c>
      <c r="AI240" s="252">
        <f t="shared" si="256"/>
        <v>1.0696336300221054E-3</v>
      </c>
      <c r="AJ240" s="199">
        <f t="shared" si="274"/>
        <v>67655.960964268015</v>
      </c>
      <c r="AK240" s="199">
        <f t="shared" si="291"/>
        <v>11045.871177839677</v>
      </c>
      <c r="AL240" s="199">
        <f t="shared" si="292"/>
        <v>11045.871177839677</v>
      </c>
      <c r="AM240" s="199">
        <f t="shared" si="257"/>
        <v>22091.742355679355</v>
      </c>
      <c r="AN240" s="645">
        <f t="shared" si="258"/>
        <v>1.0696336300221054E-3</v>
      </c>
      <c r="AO240" s="199">
        <v>10</v>
      </c>
      <c r="AP240" s="250">
        <f t="shared" si="259"/>
        <v>1.1362345188046814E-3</v>
      </c>
      <c r="AQ240" s="199">
        <v>10</v>
      </c>
      <c r="AU240" s="199">
        <v>0</v>
      </c>
      <c r="AW240" s="250">
        <f t="shared" si="260"/>
        <v>0</v>
      </c>
      <c r="AX240" s="199">
        <v>1</v>
      </c>
      <c r="AY240" s="199">
        <f t="shared" si="305"/>
        <v>16689.263499362834</v>
      </c>
      <c r="AZ240" s="199">
        <f t="shared" si="276"/>
        <v>16689.263499362834</v>
      </c>
      <c r="BA240" s="252">
        <f t="shared" si="261"/>
        <v>1.3118844128804934E-3</v>
      </c>
      <c r="BB240" s="284">
        <v>1</v>
      </c>
      <c r="BC240" s="199">
        <f t="shared" si="306"/>
        <v>38771.007834217264</v>
      </c>
      <c r="BD240" s="270">
        <f t="shared" si="289"/>
        <v>3.4916042774433245E-3</v>
      </c>
      <c r="BE240" s="199">
        <f t="shared" si="307"/>
        <v>165853.75573526273</v>
      </c>
      <c r="BF240" s="251">
        <f t="shared" si="290"/>
        <v>3.4916043550333379E-3</v>
      </c>
      <c r="BG240" s="204">
        <f t="shared" si="296"/>
        <v>204624.76356947998</v>
      </c>
      <c r="BH240" s="636">
        <v>0</v>
      </c>
      <c r="BI240" s="199">
        <f t="shared" si="262"/>
        <v>84500.914510473536</v>
      </c>
      <c r="BJ240" s="199">
        <f t="shared" si="263"/>
        <v>169001.82902094707</v>
      </c>
      <c r="BK240" s="199">
        <f t="shared" si="271"/>
        <v>253502.74353142059</v>
      </c>
      <c r="BL240" s="251">
        <f t="shared" si="264"/>
        <v>1.0696336300221054E-3</v>
      </c>
      <c r="BM240" s="199">
        <f t="shared" si="308"/>
        <v>22531.8651673077</v>
      </c>
      <c r="BN240" s="251">
        <f t="shared" si="265"/>
        <v>9.7299601080077375E-4</v>
      </c>
      <c r="BT240" s="199">
        <f>'Detailed Budget'!$AD$12</f>
        <v>194045122715</v>
      </c>
      <c r="BU240" s="199">
        <f>'Detailed Budget'!$AD$24</f>
        <v>194045122715</v>
      </c>
      <c r="BV240" s="596">
        <f t="shared" si="309"/>
        <v>0</v>
      </c>
      <c r="BW240" s="278"/>
      <c r="BX240" s="275">
        <f t="shared" si="294"/>
        <v>0</v>
      </c>
      <c r="BY240" s="275">
        <f t="shared" si="295"/>
        <v>0</v>
      </c>
      <c r="CA240" s="199">
        <f>'Detailed Budget'!$AD$96</f>
        <v>71050111380.677719</v>
      </c>
      <c r="CB240" s="275">
        <f t="shared" si="266"/>
        <v>93209533.653734058</v>
      </c>
      <c r="CE240" s="199">
        <f>'Detailed Budget'!$AD$175</f>
        <v>4330586076.5988197</v>
      </c>
      <c r="CF240" s="275">
        <f t="shared" si="310"/>
        <v>15120692.868888944</v>
      </c>
      <c r="CG240" s="199">
        <f>'Detailed Budget'!$AD$176</f>
        <v>20662817754.37001</v>
      </c>
      <c r="CH240" s="275">
        <f t="shared" si="311"/>
        <v>72146384.458418503</v>
      </c>
      <c r="CI240" s="275">
        <f t="shared" si="293"/>
        <v>87267077.327307448</v>
      </c>
      <c r="CJ240" s="275">
        <f>'Detailed Budget'!$AD$178</f>
        <v>46025131033.061455</v>
      </c>
      <c r="CK240" s="275">
        <f t="shared" si="312"/>
        <v>108860374.46745867</v>
      </c>
      <c r="CL240" s="275">
        <f t="shared" si="288"/>
        <v>196127451.79476613</v>
      </c>
      <c r="CM240" s="278">
        <f>'Detailed Budget'!$AD$189</f>
        <v>77498869683.252869</v>
      </c>
      <c r="CN240" s="275">
        <f t="shared" si="268"/>
        <v>0</v>
      </c>
      <c r="CO240" s="140">
        <f>'Detailed Budget'!$AD$191</f>
        <v>2684962805.4134097</v>
      </c>
      <c r="CP240" s="616">
        <f t="shared" si="269"/>
        <v>0</v>
      </c>
      <c r="CQ240" s="616">
        <f t="shared" si="270"/>
        <v>0</v>
      </c>
      <c r="CR240" s="199">
        <f>'Detailed Budget'!$AD$195</f>
        <v>18734176418</v>
      </c>
      <c r="CS240" s="275">
        <f t="shared" si="313"/>
        <v>18228278.92035193</v>
      </c>
      <c r="CW240" s="278"/>
      <c r="DH240" s="140">
        <f>'Detailed Budget'!$AD$163</f>
        <v>4928560000</v>
      </c>
      <c r="DI240" s="616">
        <f t="shared" si="314"/>
        <v>5600000</v>
      </c>
    </row>
    <row r="241" spans="1:113" outlineLevel="1">
      <c r="A241" s="214" t="s">
        <v>641</v>
      </c>
      <c r="B241" s="215" t="s">
        <v>642</v>
      </c>
      <c r="C241" s="216" t="s">
        <v>234</v>
      </c>
      <c r="D241" s="229" t="s">
        <v>234</v>
      </c>
      <c r="E241" s="216"/>
      <c r="F241" s="216"/>
      <c r="G241" s="216"/>
      <c r="H241" s="216" t="s">
        <v>234</v>
      </c>
      <c r="I241" s="217" t="s">
        <v>234</v>
      </c>
      <c r="J241" s="217"/>
      <c r="K241" s="216" t="s">
        <v>234</v>
      </c>
      <c r="L241" s="216"/>
      <c r="M241" s="217"/>
      <c r="N241" s="216"/>
      <c r="O241" s="217"/>
      <c r="P241" s="216"/>
      <c r="Q241" s="217"/>
      <c r="R241" s="217" t="s">
        <v>234</v>
      </c>
      <c r="S241" s="217"/>
      <c r="T241" s="217"/>
      <c r="U241" s="218">
        <f t="shared" si="304"/>
        <v>6</v>
      </c>
      <c r="V241" s="867" t="s">
        <v>238</v>
      </c>
      <c r="W241" s="219">
        <v>255726</v>
      </c>
      <c r="X241" s="220">
        <v>3.23</v>
      </c>
      <c r="Y241" s="221">
        <f t="shared" si="297"/>
        <v>1.0323</v>
      </c>
      <c r="Z241" s="199">
        <v>19</v>
      </c>
      <c r="AA241" s="221">
        <f t="shared" si="298"/>
        <v>1.8294166166228893</v>
      </c>
      <c r="AB241" s="199">
        <f t="shared" si="299"/>
        <v>467829.39370250498</v>
      </c>
      <c r="AC241">
        <v>19.5</v>
      </c>
      <c r="AD241" s="199">
        <f t="shared" si="300"/>
        <v>91226.731771988474</v>
      </c>
      <c r="AE241" s="199">
        <f t="shared" si="301"/>
        <v>86665.395183389046</v>
      </c>
      <c r="AF241" s="199">
        <f t="shared" si="287"/>
        <v>86665.395183389046</v>
      </c>
      <c r="AG241" s="614">
        <f t="shared" si="273"/>
        <v>4.0070274050661115E-3</v>
      </c>
      <c r="AH241" s="199">
        <f t="shared" si="315"/>
        <v>23391.469685125252</v>
      </c>
      <c r="AI241" s="252">
        <f t="shared" si="256"/>
        <v>1.8121017149682864E-3</v>
      </c>
      <c r="AJ241" s="199">
        <f t="shared" si="274"/>
        <v>114618.20145711373</v>
      </c>
      <c r="AK241" s="199">
        <f t="shared" si="291"/>
        <v>18713.175748100199</v>
      </c>
      <c r="AL241" s="199">
        <f t="shared" si="292"/>
        <v>18713.175748100199</v>
      </c>
      <c r="AM241" s="199">
        <f t="shared" si="257"/>
        <v>37426.351496200397</v>
      </c>
      <c r="AN241" s="645">
        <f t="shared" si="258"/>
        <v>1.8121017149682862E-3</v>
      </c>
      <c r="AO241" s="199">
        <v>11</v>
      </c>
      <c r="AP241" s="250">
        <f t="shared" si="259"/>
        <v>1.2498579706851495E-3</v>
      </c>
      <c r="AQ241" s="199">
        <v>11</v>
      </c>
      <c r="AU241" s="199">
        <v>0</v>
      </c>
      <c r="AW241" s="250">
        <f t="shared" si="260"/>
        <v>0</v>
      </c>
      <c r="AX241" s="199">
        <v>1</v>
      </c>
      <c r="AY241" s="199">
        <f t="shared" si="305"/>
        <v>28273.833357434745</v>
      </c>
      <c r="AZ241" s="199">
        <f t="shared" si="276"/>
        <v>28273.833357434745</v>
      </c>
      <c r="BA241" s="252">
        <f t="shared" si="261"/>
        <v>2.2225067796080573E-3</v>
      </c>
      <c r="BB241" s="284">
        <v>1</v>
      </c>
      <c r="BC241" s="199">
        <f t="shared" si="306"/>
        <v>65683.246875831697</v>
      </c>
      <c r="BD241" s="270">
        <f t="shared" si="289"/>
        <v>5.9152423049889467E-3</v>
      </c>
      <c r="BE241" s="199">
        <f t="shared" si="307"/>
        <v>280978.3338577245</v>
      </c>
      <c r="BF241" s="251">
        <f t="shared" si="290"/>
        <v>5.9152424364367559E-3</v>
      </c>
      <c r="BG241" s="204">
        <f t="shared" si="296"/>
        <v>346661.58073355618</v>
      </c>
      <c r="BH241" s="636">
        <v>0</v>
      </c>
      <c r="BI241" s="199">
        <f t="shared" si="262"/>
        <v>143155.79447296652</v>
      </c>
      <c r="BJ241" s="199">
        <f t="shared" si="263"/>
        <v>286311.58894593304</v>
      </c>
      <c r="BK241" s="199">
        <f t="shared" si="271"/>
        <v>429467.38341889955</v>
      </c>
      <c r="BL241" s="251">
        <f t="shared" si="264"/>
        <v>1.8121017149682862E-3</v>
      </c>
      <c r="BM241" s="199">
        <f t="shared" si="308"/>
        <v>38171.978110176547</v>
      </c>
      <c r="BN241" s="251">
        <f t="shared" si="265"/>
        <v>1.6483847275753152E-3</v>
      </c>
      <c r="BT241" s="199">
        <f>'Detailed Budget'!$AD$12</f>
        <v>194045122715</v>
      </c>
      <c r="BU241" s="199">
        <f>'Detailed Budget'!$AD$24</f>
        <v>194045122715</v>
      </c>
      <c r="BV241" s="596">
        <f t="shared" si="309"/>
        <v>0</v>
      </c>
      <c r="BW241" s="278"/>
      <c r="BX241" s="275">
        <f t="shared" si="294"/>
        <v>0</v>
      </c>
      <c r="BY241" s="275">
        <f t="shared" si="295"/>
        <v>0</v>
      </c>
      <c r="CA241" s="199">
        <f>'Detailed Budget'!$AD$96</f>
        <v>71050111380.677719</v>
      </c>
      <c r="CB241" s="275">
        <f t="shared" si="266"/>
        <v>157909354.23546383</v>
      </c>
      <c r="CE241" s="199">
        <f>'Detailed Budget'!$AD$175</f>
        <v>4330586076.5988197</v>
      </c>
      <c r="CF241" s="275">
        <f t="shared" si="310"/>
        <v>25616465.96569344</v>
      </c>
      <c r="CG241" s="199">
        <f>'Detailed Budget'!$AD$176</f>
        <v>20662817754.37001</v>
      </c>
      <c r="CH241" s="275">
        <f t="shared" si="311"/>
        <v>122225576.43700832</v>
      </c>
      <c r="CI241" s="275">
        <f t="shared" si="293"/>
        <v>147842042.40270177</v>
      </c>
      <c r="CJ241" s="275">
        <f>'Detailed Budget'!$AD$178</f>
        <v>46025131033.061455</v>
      </c>
      <c r="CK241" s="275">
        <f t="shared" si="312"/>
        <v>184423961.371236</v>
      </c>
      <c r="CL241" s="275">
        <f t="shared" si="288"/>
        <v>332266003.77393776</v>
      </c>
      <c r="CM241" s="278">
        <f>'Detailed Budget'!$AD$189</f>
        <v>77498869683.252869</v>
      </c>
      <c r="CN241" s="275">
        <f t="shared" si="268"/>
        <v>0</v>
      </c>
      <c r="CO241" s="140">
        <f>'Detailed Budget'!$AD$191</f>
        <v>2684962805.4134097</v>
      </c>
      <c r="CP241" s="616">
        <f t="shared" si="269"/>
        <v>0</v>
      </c>
      <c r="CQ241" s="616">
        <f t="shared" si="270"/>
        <v>0</v>
      </c>
      <c r="CR241" s="199">
        <f>'Detailed Budget'!$AD$195</f>
        <v>18734176418</v>
      </c>
      <c r="CS241" s="275">
        <f t="shared" si="313"/>
        <v>30881130.291132826</v>
      </c>
      <c r="CW241" s="278"/>
      <c r="DH241" s="140">
        <f>'Detailed Budget'!$AD$163</f>
        <v>4928560000</v>
      </c>
      <c r="DI241" s="616">
        <f t="shared" si="314"/>
        <v>6160000</v>
      </c>
    </row>
    <row r="242" spans="1:113" outlineLevel="1">
      <c r="A242" s="214"/>
      <c r="B242" s="215"/>
      <c r="C242" s="216"/>
      <c r="D242" s="229"/>
      <c r="E242" s="216"/>
      <c r="F242" s="216"/>
      <c r="G242" s="216"/>
      <c r="H242" s="216"/>
      <c r="I242" s="217"/>
      <c r="J242" s="217"/>
      <c r="K242" s="216"/>
      <c r="L242" s="216"/>
      <c r="M242" s="217"/>
      <c r="N242" s="216"/>
      <c r="O242" s="217"/>
      <c r="P242" s="216"/>
      <c r="Q242" s="217"/>
      <c r="R242" s="217"/>
      <c r="S242" s="217"/>
      <c r="T242" s="217"/>
      <c r="U242" s="218"/>
      <c r="V242" s="867"/>
      <c r="W242" s="219"/>
      <c r="X242" s="220"/>
      <c r="Y242" s="221"/>
      <c r="Z242" s="199"/>
      <c r="AA242" s="221"/>
      <c r="AF242" s="199">
        <f t="shared" si="287"/>
        <v>0</v>
      </c>
      <c r="AG242" s="614">
        <f t="shared" si="273"/>
        <v>0</v>
      </c>
      <c r="AJ242" s="199"/>
      <c r="AK242" s="199">
        <f t="shared" si="291"/>
        <v>0</v>
      </c>
      <c r="AL242" s="199">
        <f t="shared" si="292"/>
        <v>0</v>
      </c>
      <c r="AM242" s="199">
        <f t="shared" si="257"/>
        <v>0</v>
      </c>
      <c r="AN242" s="645">
        <f t="shared" si="258"/>
        <v>0</v>
      </c>
      <c r="AP242" s="250">
        <f t="shared" si="259"/>
        <v>0</v>
      </c>
      <c r="AW242" s="250">
        <f t="shared" si="260"/>
        <v>0</v>
      </c>
      <c r="AX242" s="199"/>
      <c r="BA242" s="252">
        <f t="shared" si="261"/>
        <v>0</v>
      </c>
      <c r="BB242" s="284"/>
      <c r="BD242" s="270"/>
      <c r="BF242" s="251"/>
      <c r="BG242" s="204"/>
      <c r="BH242" s="636"/>
      <c r="BI242" s="199">
        <f t="shared" si="262"/>
        <v>0</v>
      </c>
      <c r="BJ242" s="199">
        <f t="shared" si="263"/>
        <v>0</v>
      </c>
      <c r="BK242" s="199">
        <f t="shared" si="271"/>
        <v>0</v>
      </c>
      <c r="BL242" s="251">
        <f t="shared" si="264"/>
        <v>0</v>
      </c>
      <c r="BN242" s="251">
        <f t="shared" si="265"/>
        <v>0</v>
      </c>
      <c r="BT242" s="199"/>
      <c r="BU242" s="199"/>
      <c r="BV242" s="596"/>
      <c r="BW242" s="278"/>
      <c r="BX242" s="275"/>
      <c r="BY242" s="275"/>
      <c r="CA242" s="199">
        <f>'Detailed Budget'!$AD$96</f>
        <v>71050111380.677719</v>
      </c>
      <c r="CB242" s="275">
        <f t="shared" si="266"/>
        <v>0</v>
      </c>
      <c r="CE242" s="199"/>
      <c r="CF242" s="275"/>
      <c r="CG242" s="199"/>
      <c r="CH242" s="275"/>
      <c r="CI242" s="275"/>
      <c r="CJ242" s="275"/>
      <c r="CK242" s="275"/>
      <c r="CL242" s="275"/>
      <c r="CM242" s="278">
        <f>'Detailed Budget'!$AD$189</f>
        <v>77498869683.252869</v>
      </c>
      <c r="CN242" s="275">
        <f t="shared" si="268"/>
        <v>0</v>
      </c>
      <c r="CO242" s="140">
        <f>'Detailed Budget'!$AD$191</f>
        <v>2684962805.4134097</v>
      </c>
      <c r="CP242" s="616">
        <f t="shared" si="269"/>
        <v>0</v>
      </c>
      <c r="CQ242" s="616">
        <f t="shared" si="270"/>
        <v>0</v>
      </c>
      <c r="CR242" s="199"/>
      <c r="CS242" s="275"/>
      <c r="CW242" s="278"/>
      <c r="DH242" s="140">
        <f>'Detailed Budget'!$AD$163</f>
        <v>4928560000</v>
      </c>
      <c r="DI242" s="616">
        <f t="shared" si="314"/>
        <v>0</v>
      </c>
    </row>
    <row r="243" spans="1:113" s="213" customFormat="1">
      <c r="A243" s="206">
        <v>2.5</v>
      </c>
      <c r="B243" s="207" t="s">
        <v>643</v>
      </c>
      <c r="C243" s="208">
        <f t="shared" ref="C243:T243" si="316">COUNTA(C245:C260)</f>
        <v>16</v>
      </c>
      <c r="D243" s="208">
        <f t="shared" si="316"/>
        <v>9</v>
      </c>
      <c r="E243" s="208">
        <f t="shared" si="316"/>
        <v>0</v>
      </c>
      <c r="F243" s="208">
        <f t="shared" si="316"/>
        <v>0</v>
      </c>
      <c r="G243" s="208">
        <f t="shared" si="316"/>
        <v>7</v>
      </c>
      <c r="H243" s="208">
        <f t="shared" si="316"/>
        <v>16</v>
      </c>
      <c r="I243" s="208">
        <f t="shared" si="316"/>
        <v>16</v>
      </c>
      <c r="J243" s="208">
        <f t="shared" si="316"/>
        <v>0</v>
      </c>
      <c r="K243" s="208">
        <f t="shared" si="316"/>
        <v>16</v>
      </c>
      <c r="L243" s="208">
        <f t="shared" si="316"/>
        <v>0</v>
      </c>
      <c r="M243" s="208">
        <f t="shared" si="316"/>
        <v>0</v>
      </c>
      <c r="N243" s="208">
        <f t="shared" si="316"/>
        <v>0</v>
      </c>
      <c r="O243" s="208">
        <f t="shared" si="316"/>
        <v>0</v>
      </c>
      <c r="P243" s="208">
        <f t="shared" si="316"/>
        <v>0</v>
      </c>
      <c r="Q243" s="208">
        <f t="shared" si="316"/>
        <v>0</v>
      </c>
      <c r="R243" s="208">
        <f t="shared" si="316"/>
        <v>16</v>
      </c>
      <c r="S243" s="208">
        <f t="shared" si="316"/>
        <v>0</v>
      </c>
      <c r="T243" s="208">
        <f t="shared" si="316"/>
        <v>0</v>
      </c>
      <c r="U243" s="209">
        <f>SUM(C243:T243)</f>
        <v>96</v>
      </c>
      <c r="V243" s="866"/>
      <c r="W243" s="210">
        <f>SUM(W245:W261)</f>
        <v>2294800</v>
      </c>
      <c r="X243" s="211">
        <v>2.91</v>
      </c>
      <c r="Y243" s="212">
        <f t="shared" si="297"/>
        <v>1.0290999999999999</v>
      </c>
      <c r="Z243" s="210">
        <v>19</v>
      </c>
      <c r="AA243" s="212">
        <f t="shared" si="298"/>
        <v>1.7246222540408234</v>
      </c>
      <c r="AB243" s="210">
        <f t="shared" si="299"/>
        <v>3957663.1485728812</v>
      </c>
      <c r="AC243" s="213">
        <v>18.7</v>
      </c>
      <c r="AD243" s="210">
        <f t="shared" si="300"/>
        <v>740083.00878312869</v>
      </c>
      <c r="AE243" s="210">
        <f t="shared" si="301"/>
        <v>703078.85834397224</v>
      </c>
      <c r="AF243" s="210">
        <f>SUM(AF245:AF261)</f>
        <v>399039.53243199765</v>
      </c>
      <c r="AG243" s="614">
        <f t="shared" si="273"/>
        <v>3.2507279835803121E-2</v>
      </c>
      <c r="AH243" s="210">
        <f>SUM(AH245:AH261)</f>
        <v>197883.15742864413</v>
      </c>
      <c r="AI243" s="251">
        <f t="shared" si="256"/>
        <v>1.5329708383728064E-2</v>
      </c>
      <c r="AJ243" s="210">
        <f>SUM(AJ245:AJ261)</f>
        <v>937966.16621177294</v>
      </c>
      <c r="AK243" s="199">
        <f t="shared" si="291"/>
        <v>158306.52594291526</v>
      </c>
      <c r="AL243" s="199">
        <f t="shared" si="292"/>
        <v>158306.52594291526</v>
      </c>
      <c r="AM243" s="199">
        <f t="shared" si="257"/>
        <v>316613.05188583053</v>
      </c>
      <c r="AN243" s="645">
        <f t="shared" si="258"/>
        <v>1.5329708383728061E-2</v>
      </c>
      <c r="AO243" s="210">
        <f>SUM(AO245:AO261)</f>
        <v>168</v>
      </c>
      <c r="AP243" s="250">
        <f t="shared" si="259"/>
        <v>1.9088739915918647E-2</v>
      </c>
      <c r="AQ243" s="210">
        <f>SUM(AQ245:AQ261)</f>
        <v>168</v>
      </c>
      <c r="AR243" s="210"/>
      <c r="AS243" s="210"/>
      <c r="AT243" s="210"/>
      <c r="AU243" s="204"/>
      <c r="AV243" s="210">
        <v>2198702</v>
      </c>
      <c r="AW243" s="250">
        <f t="shared" si="260"/>
        <v>6.3282964798015789E-2</v>
      </c>
      <c r="AX243" s="204"/>
      <c r="AY243" s="210">
        <v>355490</v>
      </c>
      <c r="AZ243" s="210">
        <f>SUM(AZ245:AZ261)</f>
        <v>0</v>
      </c>
      <c r="BA243" s="251">
        <f t="shared" si="261"/>
        <v>0</v>
      </c>
      <c r="BB243" s="278"/>
      <c r="BC243" s="210">
        <f>SUM(BC245:BC261)</f>
        <v>302429.9614221456</v>
      </c>
      <c r="BD243" s="270">
        <f t="shared" si="289"/>
        <v>2.7235963311653792E-2</v>
      </c>
      <c r="BE243" s="210">
        <f>SUM(BE245:BE261)</f>
        <v>1293728.1683058452</v>
      </c>
      <c r="BF243" s="251">
        <f t="shared" si="290"/>
        <v>2.7235963916888123E-2</v>
      </c>
      <c r="BG243" s="210">
        <f>SUM(BG245:BG261)</f>
        <v>1596158.1297279908</v>
      </c>
      <c r="BH243" s="4"/>
      <c r="BI243" s="199">
        <f t="shared" si="262"/>
        <v>1211044.9234633017</v>
      </c>
      <c r="BJ243" s="199">
        <f t="shared" si="263"/>
        <v>2422089.8469266035</v>
      </c>
      <c r="BK243" s="199">
        <f t="shared" si="271"/>
        <v>3633134.7703899052</v>
      </c>
      <c r="BL243" s="251">
        <f t="shared" si="264"/>
        <v>1.5329708383728061E-2</v>
      </c>
      <c r="BM243" s="210">
        <v>541970</v>
      </c>
      <c r="BN243" s="251">
        <f t="shared" si="265"/>
        <v>2.3403950097252681E-2</v>
      </c>
      <c r="BT243" s="210">
        <f>'Detailed Budget'!$AD$12</f>
        <v>194045122715</v>
      </c>
      <c r="BU243" s="210">
        <f>'Detailed Budget'!$AD$24</f>
        <v>194045122715</v>
      </c>
      <c r="BV243" s="596">
        <f>AV243/34743979</f>
        <v>6.3282964798015789E-2</v>
      </c>
      <c r="BW243" s="278">
        <v>1</v>
      </c>
      <c r="BX243" s="613">
        <f t="shared" si="294"/>
        <v>12279750670</v>
      </c>
      <c r="BY243" s="613">
        <f t="shared" si="295"/>
        <v>12279750670</v>
      </c>
      <c r="BZ243" s="613">
        <f>BX243+BY243</f>
        <v>24559501340</v>
      </c>
      <c r="CA243" s="210">
        <f>'Detailed Budget'!$AD$96</f>
        <v>71050111380.677719</v>
      </c>
      <c r="CB243" s="613">
        <f t="shared" si="266"/>
        <v>0</v>
      </c>
      <c r="CE243" s="210">
        <f>'Detailed Budget'!$AD$175</f>
        <v>4330586076.5988197</v>
      </c>
      <c r="CF243" s="613">
        <f>SUM(CF245:CF261)</f>
        <v>117947683.50020422</v>
      </c>
      <c r="CG243" s="613">
        <f>'Detailed Budget'!$AD$176</f>
        <v>20662817754.37001</v>
      </c>
      <c r="CH243" s="613">
        <f>SUM(CH245:CH261)</f>
        <v>562771758.77925694</v>
      </c>
      <c r="CI243" s="613">
        <f>SUM(CI245:CI261)</f>
        <v>680719442.27946103</v>
      </c>
      <c r="CJ243" s="616">
        <f>'Detailed Budget'!$AD$178</f>
        <v>46025131033.061455</v>
      </c>
      <c r="CK243" s="613">
        <f t="shared" ref="CK243:CL243" si="317">SUM(CK245:CK261)</f>
        <v>849156126.95365775</v>
      </c>
      <c r="CL243" s="613">
        <f t="shared" si="317"/>
        <v>1529875569.2331188</v>
      </c>
      <c r="CM243" s="278">
        <f>'Detailed Budget'!$AD$189</f>
        <v>77498869683.252869</v>
      </c>
      <c r="CN243" s="275">
        <f t="shared" si="268"/>
        <v>0</v>
      </c>
      <c r="CO243" s="140">
        <f>'Detailed Budget'!$AD$191</f>
        <v>2684962805.4134097</v>
      </c>
      <c r="CP243" s="616">
        <f t="shared" si="269"/>
        <v>0</v>
      </c>
      <c r="CQ243" s="616">
        <f t="shared" si="270"/>
        <v>0</v>
      </c>
      <c r="CR243" s="210">
        <f>'Detailed Budget'!$AD$195</f>
        <v>18734176418</v>
      </c>
      <c r="CS243" s="616">
        <f>BN243*CR243</f>
        <v>438453730</v>
      </c>
      <c r="CW243" s="278"/>
      <c r="DH243" s="140">
        <f>'Detailed Budget'!$AD$163</f>
        <v>4928560000</v>
      </c>
      <c r="DI243" s="616">
        <f t="shared" si="314"/>
        <v>94080000</v>
      </c>
    </row>
    <row r="244" spans="1:113" s="213" customFormat="1">
      <c r="A244" s="214" t="s">
        <v>2330</v>
      </c>
      <c r="B244" s="215" t="s">
        <v>2318</v>
      </c>
      <c r="C244" s="208"/>
      <c r="D244" s="208"/>
      <c r="E244" s="208"/>
      <c r="F244" s="208"/>
      <c r="G244" s="208"/>
      <c r="H244" s="208"/>
      <c r="I244" s="208"/>
      <c r="J244" s="208"/>
      <c r="K244" s="208"/>
      <c r="L244" s="208"/>
      <c r="M244" s="208"/>
      <c r="N244" s="208"/>
      <c r="O244" s="208"/>
      <c r="P244" s="208"/>
      <c r="Q244" s="208"/>
      <c r="R244" s="208"/>
      <c r="S244" s="208"/>
      <c r="T244" s="208"/>
      <c r="U244" s="209"/>
      <c r="V244" s="866"/>
      <c r="W244" s="210"/>
      <c r="X244" s="211"/>
      <c r="Y244" s="212"/>
      <c r="Z244" s="210"/>
      <c r="AA244" s="212"/>
      <c r="AB244" s="210"/>
      <c r="AD244" s="210"/>
      <c r="AE244" s="199"/>
      <c r="AF244" s="199"/>
      <c r="AG244" s="614">
        <f t="shared" si="273"/>
        <v>0</v>
      </c>
      <c r="AH244" s="210"/>
      <c r="AI244" s="252"/>
      <c r="AJ244" s="199"/>
      <c r="AK244" s="199">
        <f t="shared" si="291"/>
        <v>0</v>
      </c>
      <c r="AL244" s="199">
        <f t="shared" si="292"/>
        <v>0</v>
      </c>
      <c r="AM244" s="199">
        <f t="shared" si="257"/>
        <v>0</v>
      </c>
      <c r="AN244" s="645">
        <f t="shared" si="258"/>
        <v>0</v>
      </c>
      <c r="AO244" s="210"/>
      <c r="AP244" s="250"/>
      <c r="AQ244" s="210"/>
      <c r="AR244" s="210"/>
      <c r="AS244" s="210"/>
      <c r="AT244" s="210"/>
      <c r="AU244" s="199"/>
      <c r="AV244" s="240"/>
      <c r="AW244" s="250">
        <f t="shared" si="260"/>
        <v>0</v>
      </c>
      <c r="AX244" s="199"/>
      <c r="AY244" s="210"/>
      <c r="AZ244" s="199"/>
      <c r="BA244" s="252">
        <f t="shared" si="261"/>
        <v>0</v>
      </c>
      <c r="BB244" s="284"/>
      <c r="BC244" s="269"/>
      <c r="BD244" s="270">
        <f t="shared" si="289"/>
        <v>0</v>
      </c>
      <c r="BE244" s="269"/>
      <c r="BF244" s="251">
        <f t="shared" si="290"/>
        <v>0</v>
      </c>
      <c r="BG244" s="204"/>
      <c r="BH244"/>
      <c r="BI244" s="199">
        <f t="shared" si="262"/>
        <v>0</v>
      </c>
      <c r="BJ244" s="199">
        <f t="shared" si="263"/>
        <v>0</v>
      </c>
      <c r="BK244" s="199">
        <f t="shared" si="271"/>
        <v>0</v>
      </c>
      <c r="BL244" s="251">
        <f t="shared" si="264"/>
        <v>0</v>
      </c>
      <c r="BM244" s="210"/>
      <c r="BN244" s="251">
        <f t="shared" si="265"/>
        <v>0</v>
      </c>
      <c r="BT244" s="210"/>
      <c r="BU244" s="210">
        <f>'Detailed Budget'!$AD$24</f>
        <v>194045122715</v>
      </c>
      <c r="BV244" s="596"/>
      <c r="BW244" s="278"/>
      <c r="BX244" s="275"/>
      <c r="BY244" s="275"/>
      <c r="CA244" s="210">
        <f>'Detailed Budget'!$AD$96</f>
        <v>71050111380.677719</v>
      </c>
      <c r="CB244" s="275"/>
      <c r="CE244" s="210"/>
      <c r="CF244" s="275"/>
      <c r="CG244" s="240"/>
      <c r="CH244" s="275"/>
      <c r="CI244" s="275"/>
      <c r="CJ244" s="275"/>
      <c r="CK244" s="275"/>
      <c r="CL244" s="275"/>
      <c r="CM244" s="278">
        <f>'Detailed Budget'!$AD$189</f>
        <v>77498869683.252869</v>
      </c>
      <c r="CN244" s="275">
        <f t="shared" si="268"/>
        <v>0</v>
      </c>
      <c r="CO244" s="140">
        <f>'Detailed Budget'!$AD$191</f>
        <v>2684962805.4134097</v>
      </c>
      <c r="CP244" s="616">
        <f t="shared" si="269"/>
        <v>0</v>
      </c>
      <c r="CQ244" s="616">
        <f t="shared" si="270"/>
        <v>0</v>
      </c>
      <c r="CR244" s="210"/>
      <c r="CS244" s="275"/>
      <c r="CW244" s="278"/>
      <c r="DH244" s="140"/>
      <c r="DI244" s="616"/>
    </row>
    <row r="245" spans="1:113" outlineLevel="1">
      <c r="A245" s="214" t="s">
        <v>644</v>
      </c>
      <c r="B245" s="215" t="s">
        <v>645</v>
      </c>
      <c r="C245" s="216" t="s">
        <v>234</v>
      </c>
      <c r="D245" s="217" t="s">
        <v>234</v>
      </c>
      <c r="E245" s="216"/>
      <c r="F245" s="216"/>
      <c r="G245" s="216"/>
      <c r="H245" s="216" t="s">
        <v>234</v>
      </c>
      <c r="I245" s="217" t="s">
        <v>234</v>
      </c>
      <c r="J245" s="217"/>
      <c r="K245" s="216" t="s">
        <v>234</v>
      </c>
      <c r="L245" s="216"/>
      <c r="M245" s="217"/>
      <c r="N245" s="216"/>
      <c r="O245" s="217"/>
      <c r="P245" s="216"/>
      <c r="Q245" s="217"/>
      <c r="R245" s="217" t="s">
        <v>234</v>
      </c>
      <c r="S245" s="217"/>
      <c r="T245" s="217"/>
      <c r="U245" s="218">
        <f t="shared" ref="U245:U260" si="318">COUNTA(C245:T245)</f>
        <v>6</v>
      </c>
      <c r="V245" s="867" t="s">
        <v>238</v>
      </c>
      <c r="W245" s="219">
        <v>87784</v>
      </c>
      <c r="X245" s="220">
        <v>2.91</v>
      </c>
      <c r="Y245" s="221">
        <f t="shared" si="297"/>
        <v>1.0290999999999999</v>
      </c>
      <c r="Z245" s="199">
        <v>19</v>
      </c>
      <c r="AA245" s="221">
        <f t="shared" si="298"/>
        <v>1.7246222540408234</v>
      </c>
      <c r="AB245" s="199">
        <f t="shared" si="299"/>
        <v>151394.23994871965</v>
      </c>
      <c r="AC245">
        <v>18.7</v>
      </c>
      <c r="AD245" s="199">
        <f t="shared" si="300"/>
        <v>28310.722870410573</v>
      </c>
      <c r="AE245" s="199">
        <f t="shared" si="301"/>
        <v>26895.186726890042</v>
      </c>
      <c r="AF245" s="199">
        <f t="shared" si="287"/>
        <v>26895.186726890042</v>
      </c>
      <c r="AG245" s="614">
        <f t="shared" si="273"/>
        <v>1.2435153621693138E-3</v>
      </c>
      <c r="AH245" s="199">
        <f>AB245*0.05</f>
        <v>7569.711997435983</v>
      </c>
      <c r="AI245" s="252">
        <f t="shared" si="256"/>
        <v>5.8641411920741862E-4</v>
      </c>
      <c r="AJ245" s="199">
        <f t="shared" si="274"/>
        <v>35880.434867846554</v>
      </c>
      <c r="AK245" s="199">
        <f t="shared" si="291"/>
        <v>6055.7695979487862</v>
      </c>
      <c r="AL245" s="199">
        <f t="shared" si="292"/>
        <v>6055.7695979487862</v>
      </c>
      <c r="AM245" s="199">
        <f t="shared" si="257"/>
        <v>12111.539195897572</v>
      </c>
      <c r="AN245" s="645">
        <f t="shared" si="258"/>
        <v>5.8641411920741862E-4</v>
      </c>
      <c r="AO245" s="199">
        <v>10</v>
      </c>
      <c r="AP245" s="250">
        <f t="shared" si="259"/>
        <v>1.1362345188046814E-3</v>
      </c>
      <c r="AQ245" s="199">
        <v>10</v>
      </c>
      <c r="AU245" s="199">
        <v>1</v>
      </c>
      <c r="AV245" s="199">
        <f t="shared" ref="AV245:AV261" si="319">W245/2294800*2198702</f>
        <v>84107.920676311653</v>
      </c>
      <c r="AW245" s="250">
        <f t="shared" si="260"/>
        <v>2.4207912592944998E-3</v>
      </c>
      <c r="AX245" s="199">
        <v>0</v>
      </c>
      <c r="AY245" s="199">
        <f t="shared" ref="AY245:AY261" si="320">AJ245/937966*355490</f>
        <v>13598.718707469963</v>
      </c>
      <c r="AZ245" s="199">
        <f t="shared" si="276"/>
        <v>0</v>
      </c>
      <c r="BA245" s="252">
        <f t="shared" si="261"/>
        <v>0</v>
      </c>
      <c r="BB245" s="284">
        <v>1</v>
      </c>
      <c r="BC245" s="199">
        <f t="shared" ref="BC245:BC260" si="321">AD245*BB245*0.18*4</f>
        <v>20383.720466695613</v>
      </c>
      <c r="BD245" s="270">
        <f t="shared" si="289"/>
        <v>1.8356986198566356E-3</v>
      </c>
      <c r="BE245" s="199">
        <f t="shared" ref="BE245:BE260" si="322">AD245*BB245*0.77*4</f>
        <v>87197.02644086456</v>
      </c>
      <c r="BF245" s="251">
        <f t="shared" si="290"/>
        <v>1.8356986606493113E-3</v>
      </c>
      <c r="BG245" s="204">
        <f t="shared" si="296"/>
        <v>107580.74690756017</v>
      </c>
      <c r="BH245" s="636">
        <v>0</v>
      </c>
      <c r="BI245" s="199">
        <f t="shared" si="262"/>
        <v>46326.63742430821</v>
      </c>
      <c r="BJ245" s="199">
        <f t="shared" si="263"/>
        <v>92653.27484861642</v>
      </c>
      <c r="BK245" s="199">
        <f t="shared" si="271"/>
        <v>138979.91227292462</v>
      </c>
      <c r="BL245" s="251">
        <f t="shared" si="264"/>
        <v>5.8641411920741851E-4</v>
      </c>
      <c r="BM245" s="199">
        <f t="shared" ref="BM245:BM261" si="323">AH245/197883*541970</f>
        <v>20732.234761199194</v>
      </c>
      <c r="BN245" s="251">
        <f t="shared" si="265"/>
        <v>8.9528237311222629E-4</v>
      </c>
      <c r="BT245" s="199">
        <f>'Detailed Budget'!$AD$12</f>
        <v>194045122715</v>
      </c>
      <c r="BU245" s="199">
        <f>'Detailed Budget'!$AD$24</f>
        <v>194045122715</v>
      </c>
      <c r="BV245" s="596">
        <f t="shared" ref="BV245:BV261" si="324">AV245/34743979</f>
        <v>2.4207912592944998E-3</v>
      </c>
      <c r="BW245" s="278"/>
      <c r="BX245" s="275">
        <f t="shared" si="294"/>
        <v>469742736.97720057</v>
      </c>
      <c r="BY245" s="275">
        <f t="shared" si="295"/>
        <v>469742736.97720057</v>
      </c>
      <c r="CA245" s="199">
        <f>'Detailed Budget'!$AD$96</f>
        <v>71050111380.677719</v>
      </c>
      <c r="CB245" s="275">
        <f t="shared" si="266"/>
        <v>0</v>
      </c>
      <c r="CE245" s="199">
        <f>'Detailed Budget'!$AD$175</f>
        <v>4330586076.5988197</v>
      </c>
      <c r="CF245" s="275">
        <f t="shared" ref="CF245:CF261" si="325">BB245*BD245*CE245</f>
        <v>7949650.8839828158</v>
      </c>
      <c r="CG245" s="199">
        <f>'Detailed Budget'!$AD$176</f>
        <v>20662817754.37001</v>
      </c>
      <c r="CH245" s="275">
        <f t="shared" ref="CH245:CH261" si="326">BB245*BF245*CG245</f>
        <v>37930706.876937836</v>
      </c>
      <c r="CI245" s="275">
        <f t="shared" si="293"/>
        <v>45880357.760920651</v>
      </c>
      <c r="CJ245" s="275">
        <f>'Detailed Budget'!$AD$178</f>
        <v>46025131033.061455</v>
      </c>
      <c r="CK245" s="275">
        <f t="shared" ref="CK245:CK261" si="327">BB245*AG245*CJ245</f>
        <v>57232957.485467538</v>
      </c>
      <c r="CL245" s="275">
        <f t="shared" si="288"/>
        <v>103113315.2463882</v>
      </c>
      <c r="CM245" s="278">
        <f>'Detailed Budget'!$AD$189</f>
        <v>77498869683.252869</v>
      </c>
      <c r="CN245" s="275">
        <f t="shared" si="268"/>
        <v>0</v>
      </c>
      <c r="CO245" s="140">
        <f>'Detailed Budget'!$AD$191</f>
        <v>2684962805.4134097</v>
      </c>
      <c r="CP245" s="616">
        <f t="shared" si="269"/>
        <v>0</v>
      </c>
      <c r="CQ245" s="616">
        <f t="shared" si="270"/>
        <v>0</v>
      </c>
      <c r="CR245" s="199">
        <f>'Detailed Budget'!$AD$195</f>
        <v>18734176418</v>
      </c>
      <c r="CS245" s="275">
        <f t="shared" ref="CS245:CS261" si="328">BN245*CR245</f>
        <v>16772377.921810146</v>
      </c>
      <c r="CW245" s="278"/>
      <c r="DH245" s="140">
        <f>'Detailed Budget'!$AD$163</f>
        <v>4928560000</v>
      </c>
      <c r="DI245" s="616">
        <f t="shared" ref="DI245:DI263" si="329">AP245*DH245</f>
        <v>5600000</v>
      </c>
    </row>
    <row r="246" spans="1:113" outlineLevel="1">
      <c r="A246" s="214" t="s">
        <v>646</v>
      </c>
      <c r="B246" s="215" t="s">
        <v>647</v>
      </c>
      <c r="C246" s="216" t="s">
        <v>234</v>
      </c>
      <c r="D246" s="217"/>
      <c r="E246" s="216"/>
      <c r="F246" s="216"/>
      <c r="G246" s="216" t="s">
        <v>234</v>
      </c>
      <c r="H246" s="216" t="s">
        <v>234</v>
      </c>
      <c r="I246" s="217" t="s">
        <v>234</v>
      </c>
      <c r="J246" s="217"/>
      <c r="K246" s="216" t="s">
        <v>234</v>
      </c>
      <c r="L246" s="216"/>
      <c r="M246" s="217"/>
      <c r="N246" s="216"/>
      <c r="O246" s="217"/>
      <c r="P246" s="216"/>
      <c r="Q246" s="217"/>
      <c r="R246" s="217" t="s">
        <v>234</v>
      </c>
      <c r="S246" s="217"/>
      <c r="T246" s="217"/>
      <c r="U246" s="218">
        <f t="shared" si="318"/>
        <v>6</v>
      </c>
      <c r="V246" s="867" t="s">
        <v>235</v>
      </c>
      <c r="W246" s="219">
        <v>211024</v>
      </c>
      <c r="X246" s="220">
        <v>2.91</v>
      </c>
      <c r="Y246" s="221">
        <f t="shared" si="297"/>
        <v>1.0290999999999999</v>
      </c>
      <c r="Z246" s="199">
        <v>19</v>
      </c>
      <c r="AA246" s="221">
        <f t="shared" si="298"/>
        <v>1.7246222540408234</v>
      </c>
      <c r="AB246" s="199">
        <f t="shared" si="299"/>
        <v>363936.68653671071</v>
      </c>
      <c r="AC246">
        <v>18.7</v>
      </c>
      <c r="AD246" s="199">
        <f t="shared" si="300"/>
        <v>68056.160382364906</v>
      </c>
      <c r="AE246" s="199">
        <f t="shared" si="301"/>
        <v>64653.35236324666</v>
      </c>
      <c r="AF246" s="199">
        <f t="shared" si="287"/>
        <v>0</v>
      </c>
      <c r="AG246" s="614">
        <f t="shared" si="273"/>
        <v>2.9892871797413804E-3</v>
      </c>
      <c r="AH246" s="199">
        <f t="shared" ref="AH246:AH260" si="330">AB246*0.05</f>
        <v>18196.834326835535</v>
      </c>
      <c r="AI246" s="252">
        <f t="shared" si="256"/>
        <v>1.409681184402924E-3</v>
      </c>
      <c r="AJ246" s="199">
        <f t="shared" si="274"/>
        <v>86252.994709200444</v>
      </c>
      <c r="AK246" s="199">
        <f t="shared" si="291"/>
        <v>14557.467461468428</v>
      </c>
      <c r="AL246" s="199">
        <f t="shared" si="292"/>
        <v>14557.467461468428</v>
      </c>
      <c r="AM246" s="199">
        <f t="shared" si="257"/>
        <v>29114.934922936856</v>
      </c>
      <c r="AN246" s="645">
        <f t="shared" si="258"/>
        <v>1.409681184402924E-3</v>
      </c>
      <c r="AO246" s="199">
        <v>11</v>
      </c>
      <c r="AP246" s="250">
        <f t="shared" si="259"/>
        <v>1.2498579706851495E-3</v>
      </c>
      <c r="AQ246" s="199">
        <v>11</v>
      </c>
      <c r="AU246" s="199">
        <v>1</v>
      </c>
      <c r="AV246" s="199">
        <f t="shared" si="319"/>
        <v>202187.07113822555</v>
      </c>
      <c r="AW246" s="250">
        <f t="shared" si="260"/>
        <v>5.819341277469272E-3</v>
      </c>
      <c r="AX246" s="199">
        <v>0</v>
      </c>
      <c r="AY246" s="199">
        <f t="shared" si="320"/>
        <v>32689.966469118994</v>
      </c>
      <c r="AZ246" s="199">
        <f t="shared" si="276"/>
        <v>0</v>
      </c>
      <c r="BA246" s="252">
        <f t="shared" si="261"/>
        <v>0</v>
      </c>
      <c r="BB246" s="284">
        <v>0</v>
      </c>
      <c r="BC246" s="199">
        <f t="shared" si="321"/>
        <v>0</v>
      </c>
      <c r="BD246" s="270">
        <f t="shared" si="289"/>
        <v>0</v>
      </c>
      <c r="BE246" s="199">
        <f t="shared" si="322"/>
        <v>0</v>
      </c>
      <c r="BF246" s="251">
        <f t="shared" si="290"/>
        <v>0</v>
      </c>
      <c r="BG246" s="204">
        <f t="shared" si="296"/>
        <v>0</v>
      </c>
      <c r="BH246" s="636">
        <v>1</v>
      </c>
      <c r="BI246" s="199">
        <f t="shared" si="262"/>
        <v>111364.62608023349</v>
      </c>
      <c r="BJ246" s="199">
        <f t="shared" si="263"/>
        <v>222729.25216046697</v>
      </c>
      <c r="BK246" s="199">
        <f t="shared" si="271"/>
        <v>334093.87824070046</v>
      </c>
      <c r="BL246" s="251">
        <f t="shared" si="264"/>
        <v>1.4096811844029242E-3</v>
      </c>
      <c r="BM246" s="199">
        <f t="shared" si="323"/>
        <v>49838.229156193585</v>
      </c>
      <c r="BN246" s="251">
        <f t="shared" si="265"/>
        <v>2.1521697291492117E-3</v>
      </c>
      <c r="BT246" s="199">
        <f>'Detailed Budget'!$AD$12</f>
        <v>194045122715</v>
      </c>
      <c r="BU246" s="199">
        <f>'Detailed Budget'!$AD$24</f>
        <v>194045122715</v>
      </c>
      <c r="BV246" s="596">
        <f t="shared" si="324"/>
        <v>5.819341277469272E-3</v>
      </c>
      <c r="BW246" s="278"/>
      <c r="BX246" s="275">
        <f t="shared" si="294"/>
        <v>1129214792.3069897</v>
      </c>
      <c r="BY246" s="275">
        <f t="shared" si="295"/>
        <v>1129214792.3069897</v>
      </c>
      <c r="CA246" s="199">
        <f>'Detailed Budget'!$AD$96</f>
        <v>71050111380.677719</v>
      </c>
      <c r="CB246" s="275">
        <f t="shared" si="266"/>
        <v>0</v>
      </c>
      <c r="CE246" s="199">
        <f>'Detailed Budget'!$AD$175</f>
        <v>4330586076.5988197</v>
      </c>
      <c r="CF246" s="275">
        <f t="shared" si="325"/>
        <v>0</v>
      </c>
      <c r="CG246" s="199">
        <f>'Detailed Budget'!$AD$176</f>
        <v>20662817754.37001</v>
      </c>
      <c r="CH246" s="275">
        <f t="shared" si="326"/>
        <v>0</v>
      </c>
      <c r="CI246" s="275">
        <f t="shared" si="293"/>
        <v>0</v>
      </c>
      <c r="CJ246" s="275">
        <f>'Detailed Budget'!$AD$178</f>
        <v>46025131033.061455</v>
      </c>
      <c r="CK246" s="275">
        <f t="shared" si="327"/>
        <v>0</v>
      </c>
      <c r="CL246" s="275">
        <f t="shared" si="288"/>
        <v>0</v>
      </c>
      <c r="CM246" s="278">
        <f>'Detailed Budget'!$AD$189</f>
        <v>77498869683.252869</v>
      </c>
      <c r="CN246" s="275">
        <f t="shared" si="268"/>
        <v>109248698.40497579</v>
      </c>
      <c r="CO246" s="140">
        <f>'Detailed Budget'!$AD$191</f>
        <v>2684962805.4134097</v>
      </c>
      <c r="CP246" s="616">
        <f t="shared" si="269"/>
        <v>3784941.547612973</v>
      </c>
      <c r="CQ246" s="616">
        <f t="shared" si="270"/>
        <v>113033639.95258877</v>
      </c>
      <c r="CR246" s="199">
        <f>'Detailed Budget'!$AD$195</f>
        <v>18734176418</v>
      </c>
      <c r="CS246" s="275">
        <f t="shared" si="328"/>
        <v>40319127.38736061</v>
      </c>
      <c r="CW246" s="278"/>
      <c r="DH246" s="140">
        <f>'Detailed Budget'!$AD$163</f>
        <v>4928560000</v>
      </c>
      <c r="DI246" s="616">
        <f t="shared" si="329"/>
        <v>6160000</v>
      </c>
    </row>
    <row r="247" spans="1:113" outlineLevel="1">
      <c r="A247" s="214" t="s">
        <v>648</v>
      </c>
      <c r="B247" s="215" t="s">
        <v>649</v>
      </c>
      <c r="C247" s="216" t="s">
        <v>234</v>
      </c>
      <c r="D247" s="217"/>
      <c r="E247" s="216"/>
      <c r="F247" s="216"/>
      <c r="G247" s="216" t="s">
        <v>234</v>
      </c>
      <c r="H247" s="216" t="s">
        <v>234</v>
      </c>
      <c r="I247" s="217" t="s">
        <v>234</v>
      </c>
      <c r="J247" s="217"/>
      <c r="K247" s="216" t="s">
        <v>234</v>
      </c>
      <c r="L247" s="216"/>
      <c r="M247" s="217"/>
      <c r="N247" s="216"/>
      <c r="O247" s="217"/>
      <c r="P247" s="216"/>
      <c r="Q247" s="217"/>
      <c r="R247" s="217" t="s">
        <v>234</v>
      </c>
      <c r="S247" s="217"/>
      <c r="T247" s="217"/>
      <c r="U247" s="218">
        <f t="shared" si="318"/>
        <v>6</v>
      </c>
      <c r="V247" s="867" t="s">
        <v>235</v>
      </c>
      <c r="W247" s="219">
        <v>133105</v>
      </c>
      <c r="X247" s="220">
        <v>2.91</v>
      </c>
      <c r="Y247" s="221">
        <f t="shared" si="297"/>
        <v>1.0290999999999999</v>
      </c>
      <c r="Z247" s="199">
        <v>19</v>
      </c>
      <c r="AA247" s="221">
        <f t="shared" si="298"/>
        <v>1.7246222540408234</v>
      </c>
      <c r="AB247" s="199">
        <f t="shared" si="299"/>
        <v>229555.8451241038</v>
      </c>
      <c r="AC247">
        <v>18.7</v>
      </c>
      <c r="AD247" s="199">
        <f t="shared" si="300"/>
        <v>42926.943038207406</v>
      </c>
      <c r="AE247" s="199">
        <f t="shared" si="301"/>
        <v>40780.595886297036</v>
      </c>
      <c r="AF247" s="199">
        <f t="shared" si="287"/>
        <v>0</v>
      </c>
      <c r="AG247" s="614">
        <f t="shared" si="273"/>
        <v>1.8855157236118943E-3</v>
      </c>
      <c r="AH247" s="199">
        <f t="shared" si="330"/>
        <v>11477.79225620519</v>
      </c>
      <c r="AI247" s="252">
        <f t="shared" si="256"/>
        <v>8.8916717553430514E-4</v>
      </c>
      <c r="AJ247" s="199">
        <f t="shared" si="274"/>
        <v>54404.735294412596</v>
      </c>
      <c r="AK247" s="199">
        <f t="shared" si="291"/>
        <v>9182.233804964153</v>
      </c>
      <c r="AL247" s="199">
        <f t="shared" si="292"/>
        <v>9182.233804964153</v>
      </c>
      <c r="AM247" s="199">
        <f t="shared" si="257"/>
        <v>18364.467609928306</v>
      </c>
      <c r="AN247" s="645">
        <f t="shared" si="258"/>
        <v>8.8916717553430525E-4</v>
      </c>
      <c r="AO247" s="199">
        <v>10</v>
      </c>
      <c r="AP247" s="250">
        <f t="shared" si="259"/>
        <v>1.1362345188046814E-3</v>
      </c>
      <c r="AQ247" s="199">
        <v>10</v>
      </c>
      <c r="AU247" s="199">
        <v>1</v>
      </c>
      <c r="AV247" s="199">
        <f t="shared" si="319"/>
        <v>127531.03961565279</v>
      </c>
      <c r="AW247" s="250">
        <f t="shared" si="260"/>
        <v>3.6705939643715759E-3</v>
      </c>
      <c r="AX247" s="199">
        <v>0</v>
      </c>
      <c r="AY247" s="199">
        <f t="shared" si="320"/>
        <v>20619.446067139677</v>
      </c>
      <c r="AZ247" s="199">
        <f t="shared" si="276"/>
        <v>0</v>
      </c>
      <c r="BA247" s="252">
        <f t="shared" si="261"/>
        <v>0</v>
      </c>
      <c r="BB247" s="284">
        <v>0</v>
      </c>
      <c r="BC247" s="199">
        <f t="shared" si="321"/>
        <v>0</v>
      </c>
      <c r="BD247" s="270">
        <f t="shared" si="289"/>
        <v>0</v>
      </c>
      <c r="BE247" s="199">
        <f t="shared" si="322"/>
        <v>0</v>
      </c>
      <c r="BF247" s="251">
        <f t="shared" si="290"/>
        <v>0</v>
      </c>
      <c r="BG247" s="204">
        <f t="shared" si="296"/>
        <v>0</v>
      </c>
      <c r="BH247" s="636">
        <v>1</v>
      </c>
      <c r="BI247" s="199">
        <f t="shared" si="262"/>
        <v>70244.088607975777</v>
      </c>
      <c r="BJ247" s="199">
        <f t="shared" si="263"/>
        <v>140488.17721595155</v>
      </c>
      <c r="BK247" s="199">
        <f t="shared" si="271"/>
        <v>210732.26582392733</v>
      </c>
      <c r="BL247" s="251">
        <f t="shared" si="264"/>
        <v>8.8916717553430536E-4</v>
      </c>
      <c r="BM247" s="199">
        <f t="shared" si="323"/>
        <v>31435.843751588196</v>
      </c>
      <c r="BN247" s="251">
        <f t="shared" si="265"/>
        <v>1.3574974969596152E-3</v>
      </c>
      <c r="BT247" s="199">
        <f>'Detailed Budget'!$AD$12</f>
        <v>194045122715</v>
      </c>
      <c r="BU247" s="199">
        <f>'Detailed Budget'!$AD$24</f>
        <v>194045122715</v>
      </c>
      <c r="BV247" s="596">
        <f t="shared" si="324"/>
        <v>3.6705939643715759E-3</v>
      </c>
      <c r="BW247" s="278"/>
      <c r="BX247" s="275">
        <f t="shared" si="294"/>
        <v>712260856.25342083</v>
      </c>
      <c r="BY247" s="275">
        <f t="shared" si="295"/>
        <v>712260856.25342083</v>
      </c>
      <c r="CA247" s="199">
        <f>'Detailed Budget'!$AD$96</f>
        <v>71050111380.677719</v>
      </c>
      <c r="CB247" s="275">
        <f t="shared" si="266"/>
        <v>0</v>
      </c>
      <c r="CE247" s="199">
        <f>'Detailed Budget'!$AD$175</f>
        <v>4330586076.5988197</v>
      </c>
      <c r="CF247" s="275">
        <f t="shared" si="325"/>
        <v>0</v>
      </c>
      <c r="CG247" s="199">
        <f>'Detailed Budget'!$AD$176</f>
        <v>20662817754.37001</v>
      </c>
      <c r="CH247" s="275">
        <f t="shared" si="326"/>
        <v>0</v>
      </c>
      <c r="CI247" s="275">
        <f t="shared" si="293"/>
        <v>0</v>
      </c>
      <c r="CJ247" s="275">
        <f>'Detailed Budget'!$AD$178</f>
        <v>46025131033.061455</v>
      </c>
      <c r="CK247" s="275">
        <f t="shared" si="327"/>
        <v>0</v>
      </c>
      <c r="CL247" s="275">
        <f t="shared" si="288"/>
        <v>0</v>
      </c>
      <c r="CM247" s="278">
        <f>'Detailed Budget'!$AD$189</f>
        <v>77498869683.252869</v>
      </c>
      <c r="CN247" s="275">
        <f t="shared" si="268"/>
        <v>68909451.063359156</v>
      </c>
      <c r="CO247" s="140">
        <f>'Detailed Budget'!$AD$191</f>
        <v>2684962805.4134097</v>
      </c>
      <c r="CP247" s="616">
        <f t="shared" si="269"/>
        <v>2387380.7941041058</v>
      </c>
      <c r="CQ247" s="616">
        <f t="shared" si="270"/>
        <v>71296831.857463256</v>
      </c>
      <c r="CR247" s="199">
        <f>'Detailed Budget'!$AD$195</f>
        <v>18734176418</v>
      </c>
      <c r="CS247" s="275">
        <f t="shared" si="328"/>
        <v>25431597.595034849</v>
      </c>
      <c r="CW247" s="278"/>
      <c r="DH247" s="140">
        <f>'Detailed Budget'!$AD$163</f>
        <v>4928560000</v>
      </c>
      <c r="DI247" s="616">
        <f t="shared" si="329"/>
        <v>5600000</v>
      </c>
    </row>
    <row r="248" spans="1:113" outlineLevel="1">
      <c r="A248" s="214" t="s">
        <v>650</v>
      </c>
      <c r="B248" s="215" t="s">
        <v>651</v>
      </c>
      <c r="C248" s="216" t="s">
        <v>234</v>
      </c>
      <c r="D248" s="217"/>
      <c r="E248" s="216"/>
      <c r="F248" s="216"/>
      <c r="G248" s="216" t="s">
        <v>234</v>
      </c>
      <c r="H248" s="216" t="s">
        <v>234</v>
      </c>
      <c r="I248" s="217" t="s">
        <v>234</v>
      </c>
      <c r="J248" s="217"/>
      <c r="K248" s="216" t="s">
        <v>234</v>
      </c>
      <c r="L248" s="216"/>
      <c r="M248" s="217"/>
      <c r="N248" s="216"/>
      <c r="O248" s="217"/>
      <c r="P248" s="216"/>
      <c r="Q248" s="217"/>
      <c r="R248" s="217" t="s">
        <v>234</v>
      </c>
      <c r="S248" s="217"/>
      <c r="T248" s="217"/>
      <c r="U248" s="218">
        <f t="shared" si="318"/>
        <v>6</v>
      </c>
      <c r="V248" s="867" t="s">
        <v>235</v>
      </c>
      <c r="W248" s="219">
        <v>87166</v>
      </c>
      <c r="X248" s="220">
        <v>2.91</v>
      </c>
      <c r="Y248" s="221">
        <f t="shared" si="297"/>
        <v>1.0290999999999999</v>
      </c>
      <c r="Z248" s="199">
        <v>19</v>
      </c>
      <c r="AA248" s="221">
        <f t="shared" si="298"/>
        <v>1.7246222540408234</v>
      </c>
      <c r="AB248" s="199">
        <f t="shared" si="299"/>
        <v>150328.42339572241</v>
      </c>
      <c r="AC248">
        <v>18.7</v>
      </c>
      <c r="AD248" s="199">
        <f t="shared" si="300"/>
        <v>28111.415175000089</v>
      </c>
      <c r="AE248" s="199">
        <f t="shared" si="301"/>
        <v>26705.844416250082</v>
      </c>
      <c r="AF248" s="199">
        <f t="shared" si="287"/>
        <v>0</v>
      </c>
      <c r="AG248" s="614">
        <f t="shared" si="273"/>
        <v>1.2347610049536408E-3</v>
      </c>
      <c r="AH248" s="199">
        <f t="shared" si="330"/>
        <v>7516.421169786121</v>
      </c>
      <c r="AI248" s="252">
        <f t="shared" si="256"/>
        <v>5.8228575953287441E-4</v>
      </c>
      <c r="AJ248" s="199">
        <f t="shared" si="274"/>
        <v>35627.836344786207</v>
      </c>
      <c r="AK248" s="199">
        <f t="shared" si="291"/>
        <v>6013.1369358288966</v>
      </c>
      <c r="AL248" s="199">
        <f t="shared" si="292"/>
        <v>6013.1369358288966</v>
      </c>
      <c r="AM248" s="199">
        <f t="shared" si="257"/>
        <v>12026.273871657793</v>
      </c>
      <c r="AN248" s="645">
        <f t="shared" si="258"/>
        <v>5.8228575953287441E-4</v>
      </c>
      <c r="AO248" s="199">
        <v>10</v>
      </c>
      <c r="AP248" s="250">
        <f t="shared" si="259"/>
        <v>1.1362345188046814E-3</v>
      </c>
      <c r="AQ248" s="199">
        <v>10</v>
      </c>
      <c r="AU248" s="199">
        <v>1</v>
      </c>
      <c r="AV248" s="199">
        <f t="shared" si="319"/>
        <v>83515.800301551324</v>
      </c>
      <c r="AW248" s="250">
        <f t="shared" si="260"/>
        <v>2.4037488711799912E-3</v>
      </c>
      <c r="AX248" s="199">
        <v>0</v>
      </c>
      <c r="AY248" s="199">
        <f t="shared" si="320"/>
        <v>13502.983628626251</v>
      </c>
      <c r="AZ248" s="199">
        <f t="shared" si="276"/>
        <v>0</v>
      </c>
      <c r="BA248" s="252">
        <f t="shared" si="261"/>
        <v>0</v>
      </c>
      <c r="BB248" s="284">
        <v>0</v>
      </c>
      <c r="BC248" s="199">
        <f t="shared" si="321"/>
        <v>0</v>
      </c>
      <c r="BD248" s="270">
        <f t="shared" si="289"/>
        <v>0</v>
      </c>
      <c r="BE248" s="199">
        <f t="shared" si="322"/>
        <v>0</v>
      </c>
      <c r="BF248" s="251">
        <f t="shared" si="290"/>
        <v>0</v>
      </c>
      <c r="BG248" s="204">
        <f t="shared" si="296"/>
        <v>0</v>
      </c>
      <c r="BH248" s="636">
        <v>1</v>
      </c>
      <c r="BI248" s="199">
        <f t="shared" si="262"/>
        <v>46000.497559091062</v>
      </c>
      <c r="BJ248" s="199">
        <f t="shared" si="263"/>
        <v>92000.995118182123</v>
      </c>
      <c r="BK248" s="199">
        <f t="shared" si="271"/>
        <v>138001.49267727317</v>
      </c>
      <c r="BL248" s="251">
        <f t="shared" si="264"/>
        <v>5.8228575953287441E-4</v>
      </c>
      <c r="BM248" s="199">
        <f t="shared" si="323"/>
        <v>20586.27967732945</v>
      </c>
      <c r="BN248" s="251">
        <f t="shared" si="265"/>
        <v>8.8897957867835027E-4</v>
      </c>
      <c r="BT248" s="199">
        <f>'Detailed Budget'!$AD$12</f>
        <v>194045122715</v>
      </c>
      <c r="BU248" s="199">
        <f>'Detailed Budget'!$AD$24</f>
        <v>194045122715</v>
      </c>
      <c r="BV248" s="596">
        <f t="shared" si="324"/>
        <v>2.4037488711799912E-3</v>
      </c>
      <c r="BW248" s="278"/>
      <c r="BX248" s="275">
        <f t="shared" si="294"/>
        <v>466435744.68416411</v>
      </c>
      <c r="BY248" s="275">
        <f t="shared" si="295"/>
        <v>466435744.68416411</v>
      </c>
      <c r="CA248" s="199">
        <f>'Detailed Budget'!$AD$96</f>
        <v>71050111380.677719</v>
      </c>
      <c r="CB248" s="275">
        <f t="shared" si="266"/>
        <v>0</v>
      </c>
      <c r="CE248" s="199">
        <f>'Detailed Budget'!$AD$175</f>
        <v>4330586076.5988197</v>
      </c>
      <c r="CF248" s="275">
        <f t="shared" si="325"/>
        <v>0</v>
      </c>
      <c r="CG248" s="199">
        <f>'Detailed Budget'!$AD$176</f>
        <v>20662817754.37001</v>
      </c>
      <c r="CH248" s="275">
        <f t="shared" si="326"/>
        <v>0</v>
      </c>
      <c r="CI248" s="275">
        <f t="shared" si="293"/>
        <v>0</v>
      </c>
      <c r="CJ248" s="275">
        <f>'Detailed Budget'!$AD$178</f>
        <v>46025131033.061455</v>
      </c>
      <c r="CK248" s="275">
        <f t="shared" si="327"/>
        <v>0</v>
      </c>
      <c r="CL248" s="275">
        <f t="shared" si="288"/>
        <v>0</v>
      </c>
      <c r="CM248" s="278">
        <f>'Detailed Budget'!$AD$189</f>
        <v>77498869683.252869</v>
      </c>
      <c r="CN248" s="275">
        <f t="shared" si="268"/>
        <v>45126488.196452148</v>
      </c>
      <c r="CO248" s="140">
        <f>'Detailed Budget'!$AD$191</f>
        <v>2684962805.4134097</v>
      </c>
      <c r="CP248" s="616">
        <f t="shared" si="269"/>
        <v>1563415.6064676645</v>
      </c>
      <c r="CQ248" s="616">
        <f t="shared" si="270"/>
        <v>46689903.802919813</v>
      </c>
      <c r="CR248" s="199">
        <f>'Detailed Budget'!$AD$195</f>
        <v>18734176418</v>
      </c>
      <c r="CS248" s="275">
        <f t="shared" si="328"/>
        <v>16654300.258959526</v>
      </c>
      <c r="CW248" s="278"/>
      <c r="DH248" s="140">
        <f>'Detailed Budget'!$AD$163</f>
        <v>4928560000</v>
      </c>
      <c r="DI248" s="616">
        <f t="shared" si="329"/>
        <v>5600000</v>
      </c>
    </row>
    <row r="249" spans="1:113" outlineLevel="1">
      <c r="A249" s="214" t="s">
        <v>652</v>
      </c>
      <c r="B249" s="215" t="s">
        <v>653</v>
      </c>
      <c r="C249" s="216" t="s">
        <v>234</v>
      </c>
      <c r="D249" s="217" t="s">
        <v>234</v>
      </c>
      <c r="E249" s="216"/>
      <c r="F249" s="216"/>
      <c r="G249" s="216"/>
      <c r="H249" s="216" t="s">
        <v>234</v>
      </c>
      <c r="I249" s="217" t="s">
        <v>234</v>
      </c>
      <c r="J249" s="217"/>
      <c r="K249" s="216" t="s">
        <v>234</v>
      </c>
      <c r="L249" s="216"/>
      <c r="M249" s="217"/>
      <c r="N249" s="216"/>
      <c r="O249" s="217"/>
      <c r="P249" s="216"/>
      <c r="Q249" s="217"/>
      <c r="R249" s="217" t="s">
        <v>234</v>
      </c>
      <c r="S249" s="217"/>
      <c r="T249" s="217"/>
      <c r="U249" s="218">
        <f t="shared" si="318"/>
        <v>6</v>
      </c>
      <c r="V249" s="867" t="s">
        <v>238</v>
      </c>
      <c r="W249" s="219">
        <v>245086</v>
      </c>
      <c r="X249" s="220">
        <v>2.91</v>
      </c>
      <c r="Y249" s="221">
        <f t="shared" si="297"/>
        <v>1.0290999999999999</v>
      </c>
      <c r="Z249" s="199">
        <v>19</v>
      </c>
      <c r="AA249" s="221">
        <f t="shared" si="298"/>
        <v>1.7246222540408234</v>
      </c>
      <c r="AB249" s="199">
        <f t="shared" si="299"/>
        <v>422680.76975384925</v>
      </c>
      <c r="AC249">
        <v>18.7</v>
      </c>
      <c r="AD249" s="199">
        <f t="shared" si="300"/>
        <v>79041.303943969804</v>
      </c>
      <c r="AE249" s="199">
        <f t="shared" si="301"/>
        <v>75089.238746771312</v>
      </c>
      <c r="AF249" s="199">
        <f t="shared" si="287"/>
        <v>75089.238746771312</v>
      </c>
      <c r="AG249" s="614">
        <f t="shared" si="273"/>
        <v>3.4717967517158988E-3</v>
      </c>
      <c r="AH249" s="199">
        <f t="shared" si="330"/>
        <v>21134.038487692465</v>
      </c>
      <c r="AI249" s="252">
        <f t="shared" si="256"/>
        <v>1.6372219404455187E-3</v>
      </c>
      <c r="AJ249" s="199">
        <f t="shared" si="274"/>
        <v>100175.34243166227</v>
      </c>
      <c r="AK249" s="199">
        <f t="shared" si="291"/>
        <v>16907.230790153972</v>
      </c>
      <c r="AL249" s="199">
        <f t="shared" si="292"/>
        <v>16907.230790153972</v>
      </c>
      <c r="AM249" s="199">
        <f t="shared" si="257"/>
        <v>33814.461580307943</v>
      </c>
      <c r="AN249" s="645">
        <f t="shared" si="258"/>
        <v>1.6372219404455185E-3</v>
      </c>
      <c r="AO249" s="199">
        <v>12</v>
      </c>
      <c r="AP249" s="250">
        <f t="shared" si="259"/>
        <v>1.3634814225656176E-3</v>
      </c>
      <c r="AQ249" s="199">
        <v>12</v>
      </c>
      <c r="AU249" s="199">
        <v>1</v>
      </c>
      <c r="AV249" s="199">
        <f t="shared" si="319"/>
        <v>234822.67664807392</v>
      </c>
      <c r="AW249" s="250">
        <f t="shared" si="260"/>
        <v>6.7586581447126107E-3</v>
      </c>
      <c r="AX249" s="199">
        <v>0</v>
      </c>
      <c r="AY249" s="199">
        <f t="shared" si="320"/>
        <v>37966.549406941849</v>
      </c>
      <c r="AZ249" s="199">
        <f t="shared" si="276"/>
        <v>0</v>
      </c>
      <c r="BA249" s="252">
        <f t="shared" si="261"/>
        <v>0</v>
      </c>
      <c r="BB249" s="284">
        <v>1</v>
      </c>
      <c r="BC249" s="199">
        <f t="shared" si="321"/>
        <v>56909.738839658254</v>
      </c>
      <c r="BD249" s="270">
        <f t="shared" si="289"/>
        <v>5.1251256714911981E-3</v>
      </c>
      <c r="BE249" s="199">
        <f t="shared" si="322"/>
        <v>243447.21614742701</v>
      </c>
      <c r="BF249" s="251">
        <f t="shared" si="290"/>
        <v>5.1251257853811303E-3</v>
      </c>
      <c r="BG249" s="204">
        <f t="shared" si="296"/>
        <v>300356.95498708525</v>
      </c>
      <c r="BH249" s="636">
        <v>0</v>
      </c>
      <c r="BI249" s="199">
        <f t="shared" si="262"/>
        <v>129340.31554467787</v>
      </c>
      <c r="BJ249" s="199">
        <f t="shared" si="263"/>
        <v>258680.63108935574</v>
      </c>
      <c r="BK249" s="199">
        <f t="shared" si="271"/>
        <v>388020.94663403358</v>
      </c>
      <c r="BL249" s="251">
        <f t="shared" si="264"/>
        <v>1.6372219404455182E-3</v>
      </c>
      <c r="BM249" s="199">
        <f t="shared" si="323"/>
        <v>57882.763244819842</v>
      </c>
      <c r="BN249" s="251">
        <f t="shared" si="265"/>
        <v>2.4995577291600187E-3</v>
      </c>
      <c r="BT249" s="199">
        <f>'Detailed Budget'!$AD$12</f>
        <v>194045122715</v>
      </c>
      <c r="BU249" s="199">
        <f>'Detailed Budget'!$AD$24</f>
        <v>194045122715</v>
      </c>
      <c r="BV249" s="596">
        <f t="shared" si="324"/>
        <v>6.7586581447126107E-3</v>
      </c>
      <c r="BW249" s="278"/>
      <c r="BX249" s="275">
        <f t="shared" si="294"/>
        <v>1311484649.0794928</v>
      </c>
      <c r="BY249" s="275">
        <f t="shared" si="295"/>
        <v>1311484649.0794928</v>
      </c>
      <c r="CA249" s="199">
        <f>'Detailed Budget'!$AD$96</f>
        <v>71050111380.677719</v>
      </c>
      <c r="CB249" s="275">
        <f t="shared" si="266"/>
        <v>0</v>
      </c>
      <c r="CE249" s="199">
        <f>'Detailed Budget'!$AD$175</f>
        <v>4330586076.5988197</v>
      </c>
      <c r="CF249" s="275">
        <f t="shared" si="325"/>
        <v>22194797.873778958</v>
      </c>
      <c r="CG249" s="199">
        <f>'Detailed Budget'!$AD$176</f>
        <v>20662817754.37001</v>
      </c>
      <c r="CH249" s="275">
        <f t="shared" si="326"/>
        <v>105899540.07155277</v>
      </c>
      <c r="CI249" s="275">
        <f t="shared" si="293"/>
        <v>128094337.94533172</v>
      </c>
      <c r="CJ249" s="275">
        <f>'Detailed Budget'!$AD$178</f>
        <v>46025131033.061455</v>
      </c>
      <c r="CK249" s="275">
        <f t="shared" si="327"/>
        <v>159789900.41788137</v>
      </c>
      <c r="CL249" s="275">
        <f t="shared" si="288"/>
        <v>287884238.36321306</v>
      </c>
      <c r="CM249" s="278">
        <f>'Detailed Budget'!$AD$189</f>
        <v>77498869683.252869</v>
      </c>
      <c r="CN249" s="275">
        <f t="shared" si="268"/>
        <v>0</v>
      </c>
      <c r="CO249" s="140">
        <f>'Detailed Budget'!$AD$191</f>
        <v>2684962805.4134097</v>
      </c>
      <c r="CP249" s="616">
        <f t="shared" si="269"/>
        <v>0</v>
      </c>
      <c r="CQ249" s="616">
        <f t="shared" si="270"/>
        <v>0</v>
      </c>
      <c r="CR249" s="199">
        <f>'Detailed Budget'!$AD$195</f>
        <v>18734176418</v>
      </c>
      <c r="CS249" s="275">
        <f t="shared" si="328"/>
        <v>46827155.465059251</v>
      </c>
      <c r="CW249" s="278"/>
      <c r="DH249" s="140">
        <f>'Detailed Budget'!$AD$163</f>
        <v>4928560000</v>
      </c>
      <c r="DI249" s="616">
        <f t="shared" si="329"/>
        <v>6720000</v>
      </c>
    </row>
    <row r="250" spans="1:113" outlineLevel="1">
      <c r="A250" s="214" t="s">
        <v>654</v>
      </c>
      <c r="B250" s="215" t="s">
        <v>655</v>
      </c>
      <c r="C250" s="216" t="s">
        <v>234</v>
      </c>
      <c r="D250" s="217" t="s">
        <v>234</v>
      </c>
      <c r="E250" s="216"/>
      <c r="F250" s="216"/>
      <c r="G250" s="216"/>
      <c r="H250" s="216" t="s">
        <v>234</v>
      </c>
      <c r="I250" s="217" t="s">
        <v>234</v>
      </c>
      <c r="J250" s="217"/>
      <c r="K250" s="216" t="s">
        <v>234</v>
      </c>
      <c r="L250" s="216"/>
      <c r="M250" s="217"/>
      <c r="N250" s="216"/>
      <c r="O250" s="217"/>
      <c r="P250" s="216"/>
      <c r="Q250" s="217"/>
      <c r="R250" s="217" t="s">
        <v>234</v>
      </c>
      <c r="S250" s="217"/>
      <c r="T250" s="217"/>
      <c r="U250" s="218">
        <f t="shared" si="318"/>
        <v>6</v>
      </c>
      <c r="V250" s="867" t="s">
        <v>238</v>
      </c>
      <c r="W250" s="219">
        <v>84302</v>
      </c>
      <c r="X250" s="220">
        <v>2.91</v>
      </c>
      <c r="Y250" s="221">
        <f t="shared" si="297"/>
        <v>1.0290999999999999</v>
      </c>
      <c r="Z250" s="199">
        <v>19</v>
      </c>
      <c r="AA250" s="221">
        <f t="shared" si="298"/>
        <v>1.7246222540408234</v>
      </c>
      <c r="AB250" s="199">
        <f t="shared" si="299"/>
        <v>145389.10526014949</v>
      </c>
      <c r="AC250">
        <v>18.7</v>
      </c>
      <c r="AD250" s="199">
        <f t="shared" si="300"/>
        <v>27187.762683647954</v>
      </c>
      <c r="AE250" s="199">
        <f t="shared" si="301"/>
        <v>25828.374549465556</v>
      </c>
      <c r="AF250" s="199">
        <f t="shared" si="287"/>
        <v>25828.374549465556</v>
      </c>
      <c r="AG250" s="614">
        <f t="shared" si="273"/>
        <v>1.1941906504784187E-3</v>
      </c>
      <c r="AH250" s="199">
        <f t="shared" si="330"/>
        <v>7269.455263007475</v>
      </c>
      <c r="AI250" s="252">
        <f t="shared" si="256"/>
        <v>5.6315368492463095E-4</v>
      </c>
      <c r="AJ250" s="199">
        <f t="shared" si="274"/>
        <v>34457.21794665543</v>
      </c>
      <c r="AK250" s="199">
        <f t="shared" si="291"/>
        <v>5815.5642104059798</v>
      </c>
      <c r="AL250" s="199">
        <f t="shared" si="292"/>
        <v>5815.5642104059798</v>
      </c>
      <c r="AM250" s="199">
        <f t="shared" si="257"/>
        <v>11631.12842081196</v>
      </c>
      <c r="AN250" s="645">
        <f t="shared" si="258"/>
        <v>5.6315368492463084E-4</v>
      </c>
      <c r="AO250" s="199">
        <v>10</v>
      </c>
      <c r="AP250" s="250">
        <f t="shared" si="259"/>
        <v>1.1362345188046814E-3</v>
      </c>
      <c r="AQ250" s="199">
        <v>10</v>
      </c>
      <c r="AU250" s="199">
        <v>1</v>
      </c>
      <c r="AV250" s="199">
        <f t="shared" si="319"/>
        <v>80771.73435767823</v>
      </c>
      <c r="AW250" s="250">
        <f t="shared" si="260"/>
        <v>2.3247692602415583E-3</v>
      </c>
      <c r="AX250" s="199">
        <v>0</v>
      </c>
      <c r="AY250" s="199">
        <f t="shared" si="320"/>
        <v>13059.318149971894</v>
      </c>
      <c r="AZ250" s="199">
        <f t="shared" si="276"/>
        <v>0</v>
      </c>
      <c r="BA250" s="252">
        <f t="shared" si="261"/>
        <v>0</v>
      </c>
      <c r="BB250" s="284">
        <v>1</v>
      </c>
      <c r="BC250" s="199">
        <f t="shared" si="321"/>
        <v>19575.189132226526</v>
      </c>
      <c r="BD250" s="270">
        <f t="shared" si="289"/>
        <v>1.7628846378742605E-3</v>
      </c>
      <c r="BE250" s="199">
        <f t="shared" si="322"/>
        <v>83738.309065635694</v>
      </c>
      <c r="BF250" s="251">
        <f t="shared" si="290"/>
        <v>1.7628846770488726E-3</v>
      </c>
      <c r="BG250" s="204">
        <f t="shared" si="296"/>
        <v>103313.49819786222</v>
      </c>
      <c r="BH250" s="636">
        <v>0</v>
      </c>
      <c r="BI250" s="199">
        <f t="shared" si="262"/>
        <v>44489.066209605749</v>
      </c>
      <c r="BJ250" s="199">
        <f t="shared" si="263"/>
        <v>88978.132419211499</v>
      </c>
      <c r="BK250" s="199">
        <f t="shared" si="271"/>
        <v>133467.19862881725</v>
      </c>
      <c r="BL250" s="251">
        <f t="shared" si="264"/>
        <v>5.6315368492463095E-4</v>
      </c>
      <c r="BM250" s="199">
        <f t="shared" si="323"/>
        <v>19909.879418101413</v>
      </c>
      <c r="BN250" s="251">
        <f t="shared" si="265"/>
        <v>8.5977051191682885E-4</v>
      </c>
      <c r="BT250" s="199">
        <f>'Detailed Budget'!$AD$12</f>
        <v>194045122715</v>
      </c>
      <c r="BU250" s="199">
        <f>'Detailed Budget'!$AD$24</f>
        <v>194045122715</v>
      </c>
      <c r="BV250" s="596">
        <f t="shared" si="324"/>
        <v>2.3247692602415583E-3</v>
      </c>
      <c r="BW250" s="278"/>
      <c r="BX250" s="275">
        <f t="shared" si="294"/>
        <v>451110136.38763297</v>
      </c>
      <c r="BY250" s="275">
        <f t="shared" si="295"/>
        <v>451110136.38763297</v>
      </c>
      <c r="CA250" s="199">
        <f>'Detailed Budget'!$AD$96</f>
        <v>71050111380.677719</v>
      </c>
      <c r="CB250" s="275">
        <f t="shared" si="266"/>
        <v>0</v>
      </c>
      <c r="CE250" s="199">
        <f>'Detailed Budget'!$AD$175</f>
        <v>4330586076.5988197</v>
      </c>
      <c r="CF250" s="275">
        <f t="shared" si="325"/>
        <v>7634323.6674282253</v>
      </c>
      <c r="CG250" s="199">
        <f>'Detailed Budget'!$AD$176</f>
        <v>20662817754.37001</v>
      </c>
      <c r="CH250" s="275">
        <f t="shared" si="326"/>
        <v>36426164.803832285</v>
      </c>
      <c r="CI250" s="275">
        <f t="shared" si="293"/>
        <v>44060488.47126051</v>
      </c>
      <c r="CJ250" s="275">
        <f>'Detailed Budget'!$AD$178</f>
        <v>46025131033.061455</v>
      </c>
      <c r="CK250" s="275">
        <f t="shared" si="327"/>
        <v>54962781.166726112</v>
      </c>
      <c r="CL250" s="275">
        <f t="shared" si="288"/>
        <v>99023269.63798663</v>
      </c>
      <c r="CM250" s="278">
        <f>'Detailed Budget'!$AD$189</f>
        <v>77498869683.252869</v>
      </c>
      <c r="CN250" s="275">
        <f t="shared" si="268"/>
        <v>0</v>
      </c>
      <c r="CO250" s="140">
        <f>'Detailed Budget'!$AD$191</f>
        <v>2684962805.4134097</v>
      </c>
      <c r="CP250" s="616">
        <f t="shared" si="269"/>
        <v>0</v>
      </c>
      <c r="CQ250" s="616">
        <f t="shared" si="270"/>
        <v>0</v>
      </c>
      <c r="CR250" s="199">
        <f>'Detailed Budget'!$AD$195</f>
        <v>18734176418</v>
      </c>
      <c r="CS250" s="275">
        <f t="shared" si="328"/>
        <v>16107092.449244043</v>
      </c>
      <c r="CW250" s="278"/>
      <c r="DH250" s="140">
        <f>'Detailed Budget'!$AD$163</f>
        <v>4928560000</v>
      </c>
      <c r="DI250" s="616">
        <f t="shared" si="329"/>
        <v>5600000</v>
      </c>
    </row>
    <row r="251" spans="1:113" outlineLevel="1">
      <c r="A251" s="214" t="s">
        <v>656</v>
      </c>
      <c r="B251" s="215" t="s">
        <v>657</v>
      </c>
      <c r="C251" s="216" t="s">
        <v>234</v>
      </c>
      <c r="D251" s="217" t="s">
        <v>234</v>
      </c>
      <c r="E251" s="216"/>
      <c r="F251" s="216"/>
      <c r="G251" s="216"/>
      <c r="H251" s="216" t="s">
        <v>234</v>
      </c>
      <c r="I251" s="217" t="s">
        <v>234</v>
      </c>
      <c r="J251" s="217"/>
      <c r="K251" s="216" t="s">
        <v>234</v>
      </c>
      <c r="L251" s="216"/>
      <c r="M251" s="217"/>
      <c r="N251" s="216"/>
      <c r="O251" s="217"/>
      <c r="P251" s="216"/>
      <c r="Q251" s="217"/>
      <c r="R251" s="217" t="s">
        <v>234</v>
      </c>
      <c r="S251" s="217"/>
      <c r="T251" s="217"/>
      <c r="U251" s="218">
        <f t="shared" si="318"/>
        <v>6</v>
      </c>
      <c r="V251" s="867" t="s">
        <v>238</v>
      </c>
      <c r="W251" s="219">
        <v>140318</v>
      </c>
      <c r="X251" s="220">
        <v>2.91</v>
      </c>
      <c r="Y251" s="221">
        <f t="shared" si="297"/>
        <v>1.0290999999999999</v>
      </c>
      <c r="Z251" s="199">
        <v>19</v>
      </c>
      <c r="AA251" s="221">
        <f t="shared" si="298"/>
        <v>1.7246222540408234</v>
      </c>
      <c r="AB251" s="199">
        <f t="shared" si="299"/>
        <v>241995.54544250024</v>
      </c>
      <c r="AC251">
        <v>18.7</v>
      </c>
      <c r="AD251" s="199">
        <f t="shared" si="300"/>
        <v>45253.166997747539</v>
      </c>
      <c r="AE251" s="199">
        <f t="shared" si="301"/>
        <v>42990.508647860159</v>
      </c>
      <c r="AF251" s="199">
        <f t="shared" si="287"/>
        <v>42990.508647860159</v>
      </c>
      <c r="AG251" s="614">
        <f t="shared" si="273"/>
        <v>1.9876923880077662E-3</v>
      </c>
      <c r="AH251" s="199">
        <f t="shared" si="330"/>
        <v>12099.777272125013</v>
      </c>
      <c r="AI251" s="252">
        <f t="shared" si="256"/>
        <v>9.3735141231826482E-4</v>
      </c>
      <c r="AJ251" s="199">
        <f t="shared" si="274"/>
        <v>57352.944269872554</v>
      </c>
      <c r="AK251" s="199">
        <f t="shared" si="291"/>
        <v>9679.821817700009</v>
      </c>
      <c r="AL251" s="199">
        <f t="shared" si="292"/>
        <v>9679.821817700009</v>
      </c>
      <c r="AM251" s="199">
        <f t="shared" si="257"/>
        <v>19359.643635400018</v>
      </c>
      <c r="AN251" s="645">
        <f t="shared" si="258"/>
        <v>9.373514123182646E-4</v>
      </c>
      <c r="AO251" s="199">
        <v>10</v>
      </c>
      <c r="AP251" s="250">
        <f t="shared" si="259"/>
        <v>1.1362345188046814E-3</v>
      </c>
      <c r="AQ251" s="199">
        <v>10</v>
      </c>
      <c r="AU251" s="199">
        <v>1</v>
      </c>
      <c r="AV251" s="199">
        <f t="shared" si="319"/>
        <v>134441.98502527454</v>
      </c>
      <c r="AW251" s="250">
        <f t="shared" si="260"/>
        <v>3.8695045557468975E-3</v>
      </c>
      <c r="AX251" s="199">
        <v>0</v>
      </c>
      <c r="AY251" s="199">
        <f t="shared" si="320"/>
        <v>21736.820053708765</v>
      </c>
      <c r="AZ251" s="199">
        <f t="shared" si="276"/>
        <v>0</v>
      </c>
      <c r="BA251" s="252">
        <f t="shared" si="261"/>
        <v>0</v>
      </c>
      <c r="BB251" s="284">
        <v>1</v>
      </c>
      <c r="BC251" s="199">
        <f t="shared" si="321"/>
        <v>32582.280238378225</v>
      </c>
      <c r="BD251" s="270">
        <f t="shared" si="289"/>
        <v>2.934265457726275E-3</v>
      </c>
      <c r="BE251" s="199">
        <f t="shared" si="322"/>
        <v>139379.75435306242</v>
      </c>
      <c r="BF251" s="251">
        <f t="shared" si="290"/>
        <v>2.9342655229311725E-3</v>
      </c>
      <c r="BG251" s="204">
        <f t="shared" si="296"/>
        <v>171962.03459144064</v>
      </c>
      <c r="BH251" s="636">
        <v>0</v>
      </c>
      <c r="BI251" s="199">
        <f t="shared" si="262"/>
        <v>74050.636905405059</v>
      </c>
      <c r="BJ251" s="199">
        <f t="shared" si="263"/>
        <v>148101.27381081012</v>
      </c>
      <c r="BK251" s="199">
        <f t="shared" si="271"/>
        <v>222151.91071621518</v>
      </c>
      <c r="BL251" s="251">
        <f t="shared" si="264"/>
        <v>9.373514123182645E-4</v>
      </c>
      <c r="BM251" s="199">
        <f t="shared" si="323"/>
        <v>33139.361583226419</v>
      </c>
      <c r="BN251" s="251">
        <f t="shared" si="265"/>
        <v>1.4310606947776515E-3</v>
      </c>
      <c r="BT251" s="199">
        <f>'Detailed Budget'!$AD$12</f>
        <v>194045122715</v>
      </c>
      <c r="BU251" s="199">
        <f>'Detailed Budget'!$AD$24</f>
        <v>194045122715</v>
      </c>
      <c r="BV251" s="596">
        <f t="shared" si="324"/>
        <v>3.8695045557468975E-3</v>
      </c>
      <c r="BW251" s="278"/>
      <c r="BX251" s="275">
        <f t="shared" si="294"/>
        <v>750858486.36615825</v>
      </c>
      <c r="BY251" s="275">
        <f t="shared" si="295"/>
        <v>750858486.36615825</v>
      </c>
      <c r="CA251" s="199">
        <f>'Detailed Budget'!$AD$96</f>
        <v>71050111380.677719</v>
      </c>
      <c r="CB251" s="275">
        <f t="shared" si="266"/>
        <v>0</v>
      </c>
      <c r="CE251" s="199">
        <f>'Detailed Budget'!$AD$175</f>
        <v>4330586076.5988197</v>
      </c>
      <c r="CF251" s="275">
        <f t="shared" si="325"/>
        <v>12707089.136274269</v>
      </c>
      <c r="CG251" s="199">
        <f>'Detailed Budget'!$AD$176</f>
        <v>20662817754.37001</v>
      </c>
      <c r="CH251" s="275">
        <f t="shared" si="326"/>
        <v>60630193.743258037</v>
      </c>
      <c r="CI251" s="275">
        <f t="shared" si="293"/>
        <v>73337282.879532307</v>
      </c>
      <c r="CJ251" s="275">
        <f>'Detailed Budget'!$AD$178</f>
        <v>46025131033.061455</v>
      </c>
      <c r="CK251" s="275">
        <f t="shared" si="327"/>
        <v>91483802.611476272</v>
      </c>
      <c r="CL251" s="275">
        <f t="shared" si="288"/>
        <v>164821085.49100858</v>
      </c>
      <c r="CM251" s="278">
        <f>'Detailed Budget'!$AD$189</f>
        <v>77498869683.252869</v>
      </c>
      <c r="CN251" s="275">
        <f t="shared" si="268"/>
        <v>0</v>
      </c>
      <c r="CO251" s="140">
        <f>'Detailed Budget'!$AD$191</f>
        <v>2684962805.4134097</v>
      </c>
      <c r="CP251" s="616">
        <f t="shared" si="269"/>
        <v>0</v>
      </c>
      <c r="CQ251" s="616">
        <f t="shared" si="270"/>
        <v>0</v>
      </c>
      <c r="CR251" s="199">
        <f>'Detailed Budget'!$AD$195</f>
        <v>18734176418</v>
      </c>
      <c r="CS251" s="275">
        <f t="shared" si="328"/>
        <v>26809743.520830173</v>
      </c>
      <c r="CW251" s="278"/>
      <c r="DH251" s="140">
        <f>'Detailed Budget'!$AD$163</f>
        <v>4928560000</v>
      </c>
      <c r="DI251" s="616">
        <f t="shared" si="329"/>
        <v>5600000</v>
      </c>
    </row>
    <row r="252" spans="1:113" outlineLevel="1">
      <c r="A252" s="214" t="s">
        <v>658</v>
      </c>
      <c r="B252" s="215" t="s">
        <v>659</v>
      </c>
      <c r="C252" s="216" t="s">
        <v>234</v>
      </c>
      <c r="D252" s="217" t="s">
        <v>234</v>
      </c>
      <c r="E252" s="216"/>
      <c r="F252" s="216"/>
      <c r="G252" s="216"/>
      <c r="H252" s="216" t="s">
        <v>234</v>
      </c>
      <c r="I252" s="217" t="s">
        <v>234</v>
      </c>
      <c r="J252" s="217"/>
      <c r="K252" s="216" t="s">
        <v>234</v>
      </c>
      <c r="L252" s="216"/>
      <c r="M252" s="217"/>
      <c r="N252" s="216"/>
      <c r="O252" s="217"/>
      <c r="P252" s="216"/>
      <c r="Q252" s="217"/>
      <c r="R252" s="217" t="s">
        <v>234</v>
      </c>
      <c r="S252" s="217"/>
      <c r="T252" s="217"/>
      <c r="U252" s="218">
        <f t="shared" si="318"/>
        <v>6</v>
      </c>
      <c r="V252" s="867" t="s">
        <v>238</v>
      </c>
      <c r="W252" s="219">
        <v>193924</v>
      </c>
      <c r="X252" s="220">
        <v>2.91</v>
      </c>
      <c r="Y252" s="221">
        <f t="shared" si="297"/>
        <v>1.0290999999999999</v>
      </c>
      <c r="Z252" s="199">
        <v>19</v>
      </c>
      <c r="AA252" s="221">
        <f t="shared" si="298"/>
        <v>1.7246222540408234</v>
      </c>
      <c r="AB252" s="199">
        <f t="shared" si="299"/>
        <v>334445.64599261264</v>
      </c>
      <c r="AC252">
        <v>18.7</v>
      </c>
      <c r="AD252" s="199">
        <f t="shared" si="300"/>
        <v>62541.335800618559</v>
      </c>
      <c r="AE252" s="199">
        <f t="shared" si="301"/>
        <v>59414.269010587632</v>
      </c>
      <c r="AF252" s="199">
        <f t="shared" si="287"/>
        <v>59414.269010587632</v>
      </c>
      <c r="AG252" s="614">
        <f t="shared" si="273"/>
        <v>2.7470549655213027E-3</v>
      </c>
      <c r="AH252" s="199">
        <f t="shared" si="330"/>
        <v>16722.282299630631</v>
      </c>
      <c r="AI252" s="252">
        <f t="shared" si="256"/>
        <v>1.2954498730199061E-3</v>
      </c>
      <c r="AJ252" s="199">
        <f t="shared" si="274"/>
        <v>79263.618100249194</v>
      </c>
      <c r="AK252" s="199">
        <f t="shared" si="291"/>
        <v>13377.825839704507</v>
      </c>
      <c r="AL252" s="199">
        <f t="shared" si="292"/>
        <v>13377.825839704507</v>
      </c>
      <c r="AM252" s="199">
        <f t="shared" si="257"/>
        <v>26755.651679409013</v>
      </c>
      <c r="AN252" s="645">
        <f t="shared" si="258"/>
        <v>1.2954498730199061E-3</v>
      </c>
      <c r="AO252" s="199">
        <v>11</v>
      </c>
      <c r="AP252" s="250">
        <f t="shared" si="259"/>
        <v>1.2498579706851495E-3</v>
      </c>
      <c r="AQ252" s="199">
        <v>11</v>
      </c>
      <c r="AU252" s="199">
        <v>1</v>
      </c>
      <c r="AV252" s="199">
        <f t="shared" si="319"/>
        <v>185803.1578560223</v>
      </c>
      <c r="AW252" s="250">
        <f t="shared" si="260"/>
        <v>5.3477800529416137E-3</v>
      </c>
      <c r="AX252" s="199">
        <v>0</v>
      </c>
      <c r="AY252" s="199">
        <f t="shared" si="320"/>
        <v>30040.986132181322</v>
      </c>
      <c r="AZ252" s="199">
        <f t="shared" si="276"/>
        <v>0</v>
      </c>
      <c r="BA252" s="252">
        <f t="shared" si="261"/>
        <v>0</v>
      </c>
      <c r="BB252" s="284">
        <v>1</v>
      </c>
      <c r="BC252" s="199">
        <f t="shared" si="321"/>
        <v>45029.761776445361</v>
      </c>
      <c r="BD252" s="270">
        <f t="shared" si="289"/>
        <v>4.0552494663842857E-3</v>
      </c>
      <c r="BE252" s="199">
        <f t="shared" si="322"/>
        <v>192627.31426590515</v>
      </c>
      <c r="BF252" s="251">
        <f t="shared" si="290"/>
        <v>4.055249556499556E-3</v>
      </c>
      <c r="BG252" s="204">
        <f t="shared" si="296"/>
        <v>237657.0760423505</v>
      </c>
      <c r="BH252" s="636">
        <v>0</v>
      </c>
      <c r="BI252" s="199">
        <f t="shared" si="262"/>
        <v>102340.36767373947</v>
      </c>
      <c r="BJ252" s="199">
        <f t="shared" si="263"/>
        <v>204680.73534747894</v>
      </c>
      <c r="BK252" s="199">
        <f t="shared" si="271"/>
        <v>307021.10302121844</v>
      </c>
      <c r="BL252" s="251">
        <f t="shared" si="264"/>
        <v>1.2954498730199063E-3</v>
      </c>
      <c r="BM252" s="199">
        <f t="shared" si="323"/>
        <v>45799.66615591442</v>
      </c>
      <c r="BN252" s="251">
        <f t="shared" si="265"/>
        <v>1.9777720190856571E-3</v>
      </c>
      <c r="BT252" s="199">
        <f>'Detailed Budget'!$AD$12</f>
        <v>194045122715</v>
      </c>
      <c r="BU252" s="199">
        <f>'Detailed Budget'!$AD$24</f>
        <v>194045122715</v>
      </c>
      <c r="BV252" s="596">
        <f t="shared" si="324"/>
        <v>5.3477800529416137E-3</v>
      </c>
      <c r="BW252" s="278"/>
      <c r="BX252" s="275">
        <f t="shared" si="294"/>
        <v>1037710636.6258847</v>
      </c>
      <c r="BY252" s="275">
        <f t="shared" si="295"/>
        <v>1037710636.6258847</v>
      </c>
      <c r="CA252" s="199">
        <f>'Detailed Budget'!$AD$96</f>
        <v>71050111380.677719</v>
      </c>
      <c r="CB252" s="275">
        <f t="shared" si="266"/>
        <v>0</v>
      </c>
      <c r="CE252" s="199">
        <f>'Detailed Budget'!$AD$175</f>
        <v>4330586076.5988197</v>
      </c>
      <c r="CF252" s="275">
        <f t="shared" si="325"/>
        <v>17561606.876258582</v>
      </c>
      <c r="CG252" s="199">
        <f>'Detailed Budget'!$AD$176</f>
        <v>20662817754.37001</v>
      </c>
      <c r="CH252" s="275">
        <f t="shared" si="326"/>
        <v>83792882.53444013</v>
      </c>
      <c r="CI252" s="275">
        <f t="shared" si="293"/>
        <v>101354489.41069871</v>
      </c>
      <c r="CJ252" s="275">
        <f>'Detailed Budget'!$AD$178</f>
        <v>46025131033.061455</v>
      </c>
      <c r="CK252" s="275">
        <f t="shared" si="327"/>
        <v>126433564.74314007</v>
      </c>
      <c r="CL252" s="275">
        <f t="shared" si="288"/>
        <v>227788054.15383878</v>
      </c>
      <c r="CM252" s="278">
        <f>'Detailed Budget'!$AD$189</f>
        <v>77498869683.252869</v>
      </c>
      <c r="CN252" s="275">
        <f t="shared" si="268"/>
        <v>0</v>
      </c>
      <c r="CO252" s="140">
        <f>'Detailed Budget'!$AD$191</f>
        <v>2684962805.4134097</v>
      </c>
      <c r="CP252" s="616">
        <f t="shared" si="269"/>
        <v>0</v>
      </c>
      <c r="CQ252" s="616">
        <f t="shared" si="270"/>
        <v>0</v>
      </c>
      <c r="CR252" s="199">
        <f>'Detailed Budget'!$AD$195</f>
        <v>18734176418</v>
      </c>
      <c r="CS252" s="275">
        <f t="shared" si="328"/>
        <v>37051929.92013476</v>
      </c>
      <c r="CW252" s="278"/>
      <c r="DH252" s="140">
        <f>'Detailed Budget'!$AD$163</f>
        <v>4928560000</v>
      </c>
      <c r="DI252" s="616">
        <f t="shared" si="329"/>
        <v>6160000</v>
      </c>
    </row>
    <row r="253" spans="1:113" outlineLevel="1">
      <c r="A253" s="214" t="s">
        <v>660</v>
      </c>
      <c r="B253" s="215" t="s">
        <v>661</v>
      </c>
      <c r="C253" s="216" t="s">
        <v>234</v>
      </c>
      <c r="D253" s="217"/>
      <c r="E253" s="216"/>
      <c r="F253" s="216"/>
      <c r="G253" s="216" t="s">
        <v>234</v>
      </c>
      <c r="H253" s="216" t="s">
        <v>234</v>
      </c>
      <c r="I253" s="217" t="s">
        <v>234</v>
      </c>
      <c r="J253" s="217"/>
      <c r="K253" s="216" t="s">
        <v>234</v>
      </c>
      <c r="L253" s="216"/>
      <c r="M253" s="217"/>
      <c r="N253" s="216"/>
      <c r="O253" s="217"/>
      <c r="P253" s="216"/>
      <c r="Q253" s="217"/>
      <c r="R253" s="217" t="s">
        <v>234</v>
      </c>
      <c r="S253" s="217"/>
      <c r="T253" s="217"/>
      <c r="U253" s="218">
        <f t="shared" si="318"/>
        <v>6</v>
      </c>
      <c r="V253" s="867" t="s">
        <v>235</v>
      </c>
      <c r="W253" s="219">
        <v>91282</v>
      </c>
      <c r="X253" s="220">
        <v>2.91</v>
      </c>
      <c r="Y253" s="221">
        <f t="shared" si="297"/>
        <v>1.0290999999999999</v>
      </c>
      <c r="Z253" s="199">
        <v>19</v>
      </c>
      <c r="AA253" s="221">
        <f t="shared" si="298"/>
        <v>1.7246222540408234</v>
      </c>
      <c r="AB253" s="199">
        <f t="shared" si="299"/>
        <v>157426.96859335442</v>
      </c>
      <c r="AC253">
        <v>18.7</v>
      </c>
      <c r="AD253" s="199">
        <f t="shared" si="300"/>
        <v>29438.843126957276</v>
      </c>
      <c r="AE253" s="199">
        <f t="shared" si="301"/>
        <v>27966.900970609411</v>
      </c>
      <c r="AF253" s="199">
        <f t="shared" si="287"/>
        <v>0</v>
      </c>
      <c r="AG253" s="614">
        <f t="shared" si="273"/>
        <v>1.2930667238852103E-3</v>
      </c>
      <c r="AH253" s="199">
        <f t="shared" si="330"/>
        <v>7871.3484296677216</v>
      </c>
      <c r="AI253" s="252">
        <f t="shared" si="256"/>
        <v>6.0978143658857627E-4</v>
      </c>
      <c r="AJ253" s="199">
        <f t="shared" si="274"/>
        <v>37310.191556624995</v>
      </c>
      <c r="AK253" s="199">
        <f t="shared" si="291"/>
        <v>6297.0787437341769</v>
      </c>
      <c r="AL253" s="199">
        <f t="shared" si="292"/>
        <v>6297.0787437341769</v>
      </c>
      <c r="AM253" s="199">
        <f t="shared" si="257"/>
        <v>12594.157487468354</v>
      </c>
      <c r="AN253" s="645">
        <f t="shared" si="258"/>
        <v>6.0978143658857616E-4</v>
      </c>
      <c r="AO253" s="199">
        <v>10</v>
      </c>
      <c r="AP253" s="250">
        <f t="shared" si="259"/>
        <v>1.1362345188046814E-3</v>
      </c>
      <c r="AQ253" s="199">
        <v>10</v>
      </c>
      <c r="AU253" s="199">
        <v>1</v>
      </c>
      <c r="AV253" s="199">
        <f t="shared" si="319"/>
        <v>87459.43697228517</v>
      </c>
      <c r="AW253" s="250">
        <f t="shared" si="260"/>
        <v>2.5172544852241929E-3</v>
      </c>
      <c r="AX253" s="199">
        <v>0</v>
      </c>
      <c r="AY253" s="199">
        <f t="shared" si="320"/>
        <v>14140.59784306107</v>
      </c>
      <c r="AZ253" s="199">
        <f t="shared" si="276"/>
        <v>0</v>
      </c>
      <c r="BA253" s="252">
        <f t="shared" si="261"/>
        <v>0</v>
      </c>
      <c r="BB253" s="284">
        <v>0</v>
      </c>
      <c r="BC253" s="199">
        <f t="shared" si="321"/>
        <v>0</v>
      </c>
      <c r="BD253" s="270">
        <f t="shared" si="289"/>
        <v>0</v>
      </c>
      <c r="BE253" s="199">
        <f t="shared" si="322"/>
        <v>0</v>
      </c>
      <c r="BF253" s="251">
        <f t="shared" si="290"/>
        <v>0</v>
      </c>
      <c r="BG253" s="204">
        <f t="shared" si="296"/>
        <v>0</v>
      </c>
      <c r="BH253" s="636">
        <v>1</v>
      </c>
      <c r="BI253" s="199">
        <f t="shared" si="262"/>
        <v>48172.652389566458</v>
      </c>
      <c r="BJ253" s="199">
        <f t="shared" si="263"/>
        <v>96345.304779132915</v>
      </c>
      <c r="BK253" s="199">
        <f t="shared" si="271"/>
        <v>144517.95716869936</v>
      </c>
      <c r="BL253" s="251">
        <f t="shared" si="264"/>
        <v>6.0978143658857616E-4</v>
      </c>
      <c r="BM253" s="199">
        <f t="shared" si="323"/>
        <v>21558.368876694891</v>
      </c>
      <c r="BN253" s="251">
        <f t="shared" si="265"/>
        <v>9.3095741345154269E-4</v>
      </c>
      <c r="BT253" s="199">
        <f>'Detailed Budget'!$AD$12</f>
        <v>194045122715</v>
      </c>
      <c r="BU253" s="199">
        <f>'Detailed Budget'!$AD$24</f>
        <v>194045122715</v>
      </c>
      <c r="BV253" s="596">
        <f t="shared" si="324"/>
        <v>2.5172544852241929E-3</v>
      </c>
      <c r="BW253" s="278"/>
      <c r="BX253" s="275">
        <f t="shared" si="294"/>
        <v>488460955.49021268</v>
      </c>
      <c r="BY253" s="275">
        <f t="shared" si="295"/>
        <v>488460955.49021268</v>
      </c>
      <c r="CA253" s="199">
        <f>'Detailed Budget'!$AD$96</f>
        <v>71050111380.677719</v>
      </c>
      <c r="CB253" s="275">
        <f t="shared" si="266"/>
        <v>0</v>
      </c>
      <c r="CE253" s="199">
        <f>'Detailed Budget'!$AD$175</f>
        <v>4330586076.5988197</v>
      </c>
      <c r="CF253" s="275">
        <f t="shared" si="325"/>
        <v>0</v>
      </c>
      <c r="CG253" s="199">
        <f>'Detailed Budget'!$AD$176</f>
        <v>20662817754.37001</v>
      </c>
      <c r="CH253" s="275">
        <f t="shared" si="326"/>
        <v>0</v>
      </c>
      <c r="CI253" s="275">
        <f t="shared" si="293"/>
        <v>0</v>
      </c>
      <c r="CJ253" s="275">
        <f>'Detailed Budget'!$AD$178</f>
        <v>46025131033.061455</v>
      </c>
      <c r="CK253" s="275">
        <f t="shared" si="327"/>
        <v>0</v>
      </c>
      <c r="CL253" s="275">
        <f t="shared" si="288"/>
        <v>0</v>
      </c>
      <c r="CM253" s="278">
        <f>'Detailed Budget'!$AD$189</f>
        <v>77498869683.252869</v>
      </c>
      <c r="CN253" s="275">
        <f t="shared" si="268"/>
        <v>47257372.089444786</v>
      </c>
      <c r="CO253" s="140">
        <f>'Detailed Budget'!$AD$191</f>
        <v>2684962805.4134097</v>
      </c>
      <c r="CP253" s="616">
        <f t="shared" si="269"/>
        <v>1637240.4766718827</v>
      </c>
      <c r="CQ253" s="616">
        <f t="shared" si="270"/>
        <v>48894612.566116668</v>
      </c>
      <c r="CR253" s="199">
        <f>'Detailed Budget'!$AD$195</f>
        <v>18734176418</v>
      </c>
      <c r="CS253" s="275">
        <f t="shared" si="328"/>
        <v>17440720.421246167</v>
      </c>
      <c r="CW253" s="278"/>
      <c r="DH253" s="140">
        <f>'Detailed Budget'!$AD$163</f>
        <v>4928560000</v>
      </c>
      <c r="DI253" s="616">
        <f t="shared" si="329"/>
        <v>5600000</v>
      </c>
    </row>
    <row r="254" spans="1:113" outlineLevel="1">
      <c r="A254" s="214" t="s">
        <v>662</v>
      </c>
      <c r="B254" s="215" t="s">
        <v>663</v>
      </c>
      <c r="C254" s="216" t="s">
        <v>234</v>
      </c>
      <c r="D254" s="217" t="s">
        <v>234</v>
      </c>
      <c r="E254" s="216"/>
      <c r="F254" s="216"/>
      <c r="G254" s="216"/>
      <c r="H254" s="216" t="s">
        <v>234</v>
      </c>
      <c r="I254" s="217" t="s">
        <v>234</v>
      </c>
      <c r="J254" s="217"/>
      <c r="K254" s="216" t="s">
        <v>234</v>
      </c>
      <c r="L254" s="216"/>
      <c r="M254" s="217"/>
      <c r="N254" s="216"/>
      <c r="O254" s="217"/>
      <c r="P254" s="216"/>
      <c r="Q254" s="217"/>
      <c r="R254" s="217" t="s">
        <v>234</v>
      </c>
      <c r="S254" s="217"/>
      <c r="T254" s="217"/>
      <c r="U254" s="218">
        <f t="shared" si="318"/>
        <v>6</v>
      </c>
      <c r="V254" s="867" t="s">
        <v>238</v>
      </c>
      <c r="W254" s="219">
        <v>95190</v>
      </c>
      <c r="X254" s="220">
        <v>2.91</v>
      </c>
      <c r="Y254" s="221">
        <f t="shared" si="297"/>
        <v>1.0290999999999999</v>
      </c>
      <c r="Z254" s="199">
        <v>19</v>
      </c>
      <c r="AA254" s="221">
        <f t="shared" si="298"/>
        <v>1.7246222540408234</v>
      </c>
      <c r="AB254" s="199">
        <f t="shared" si="299"/>
        <v>164166.79236214596</v>
      </c>
      <c r="AC254">
        <v>18.7</v>
      </c>
      <c r="AD254" s="199">
        <f t="shared" si="300"/>
        <v>30699.190171721293</v>
      </c>
      <c r="AE254" s="199">
        <f t="shared" si="301"/>
        <v>29164.230663135226</v>
      </c>
      <c r="AF254" s="199">
        <f t="shared" si="287"/>
        <v>29164.230663135226</v>
      </c>
      <c r="AG254" s="614">
        <f t="shared" si="273"/>
        <v>1.3484259924917636E-3</v>
      </c>
      <c r="AH254" s="199">
        <f t="shared" si="330"/>
        <v>8208.3396181072985</v>
      </c>
      <c r="AI254" s="252">
        <f t="shared" si="256"/>
        <v>6.3588763336546719E-4</v>
      </c>
      <c r="AJ254" s="199">
        <f t="shared" si="274"/>
        <v>38907.529789828593</v>
      </c>
      <c r="AK254" s="199">
        <f t="shared" si="291"/>
        <v>6566.671694485839</v>
      </c>
      <c r="AL254" s="199">
        <f t="shared" si="292"/>
        <v>6566.671694485839</v>
      </c>
      <c r="AM254" s="199">
        <f t="shared" si="257"/>
        <v>13133.343388971678</v>
      </c>
      <c r="AN254" s="645">
        <f t="shared" si="258"/>
        <v>6.3588763336546719E-4</v>
      </c>
      <c r="AO254" s="199">
        <v>10</v>
      </c>
      <c r="AP254" s="250">
        <f t="shared" si="259"/>
        <v>1.1362345188046814E-3</v>
      </c>
      <c r="AQ254" s="199">
        <v>10</v>
      </c>
      <c r="AU254" s="199">
        <v>1</v>
      </c>
      <c r="AV254" s="199">
        <f t="shared" si="319"/>
        <v>91203.78393759804</v>
      </c>
      <c r="AW254" s="250">
        <f t="shared" si="260"/>
        <v>2.6250241498706303E-3</v>
      </c>
      <c r="AX254" s="199">
        <v>0</v>
      </c>
      <c r="AY254" s="199">
        <f t="shared" si="320"/>
        <v>14745.990542286359</v>
      </c>
      <c r="AZ254" s="199">
        <f t="shared" si="276"/>
        <v>0</v>
      </c>
      <c r="BA254" s="252">
        <f t="shared" si="261"/>
        <v>0</v>
      </c>
      <c r="BB254" s="284">
        <v>1</v>
      </c>
      <c r="BC254" s="199">
        <f t="shared" si="321"/>
        <v>22103.416923639332</v>
      </c>
      <c r="BD254" s="270">
        <f t="shared" si="289"/>
        <v>1.9905694844636053E-3</v>
      </c>
      <c r="BE254" s="199">
        <f t="shared" si="322"/>
        <v>94553.505728901582</v>
      </c>
      <c r="BF254" s="251">
        <f t="shared" si="290"/>
        <v>1.9905695286978027E-3</v>
      </c>
      <c r="BG254" s="204">
        <f t="shared" si="296"/>
        <v>116656.92265254092</v>
      </c>
      <c r="BH254" s="636">
        <v>0</v>
      </c>
      <c r="BI254" s="199">
        <f t="shared" si="262"/>
        <v>50235.038462816658</v>
      </c>
      <c r="BJ254" s="199">
        <f t="shared" si="263"/>
        <v>100470.07692563332</v>
      </c>
      <c r="BK254" s="199">
        <f t="shared" si="271"/>
        <v>150705.11538844998</v>
      </c>
      <c r="BL254" s="251">
        <f t="shared" si="264"/>
        <v>6.3588763336546708E-4</v>
      </c>
      <c r="BM254" s="199">
        <f t="shared" si="323"/>
        <v>22481.334034887343</v>
      </c>
      <c r="BN254" s="251">
        <f t="shared" si="265"/>
        <v>9.7081391935378641E-4</v>
      </c>
      <c r="BT254" s="199">
        <f>'Detailed Budget'!$AD$12</f>
        <v>194045122715</v>
      </c>
      <c r="BU254" s="199">
        <f>'Detailed Budget'!$AD$24</f>
        <v>194045122715</v>
      </c>
      <c r="BV254" s="596">
        <f t="shared" si="324"/>
        <v>2.6250241498706303E-3</v>
      </c>
      <c r="BW254" s="278"/>
      <c r="BX254" s="275">
        <f t="shared" si="294"/>
        <v>509373133.29148501</v>
      </c>
      <c r="BY254" s="275">
        <f t="shared" si="295"/>
        <v>509373133.29148501</v>
      </c>
      <c r="CA254" s="199">
        <f>'Detailed Budget'!$AD$96</f>
        <v>71050111380.677719</v>
      </c>
      <c r="CB254" s="275">
        <f t="shared" si="266"/>
        <v>0</v>
      </c>
      <c r="CE254" s="199">
        <f>'Detailed Budget'!$AD$175</f>
        <v>4330586076.5988197</v>
      </c>
      <c r="CF254" s="275">
        <f t="shared" si="325"/>
        <v>8620332.4939205796</v>
      </c>
      <c r="CG254" s="199">
        <f>'Detailed Budget'!$AD$176</f>
        <v>20662817754.37001</v>
      </c>
      <c r="CH254" s="275">
        <f t="shared" si="326"/>
        <v>41130775.3988849</v>
      </c>
      <c r="CI254" s="275">
        <f t="shared" si="293"/>
        <v>49751107.892805479</v>
      </c>
      <c r="CJ254" s="275">
        <f>'Detailed Budget'!$AD$178</f>
        <v>46025131033.061455</v>
      </c>
      <c r="CK254" s="275">
        <f t="shared" si="327"/>
        <v>62061482.992819361</v>
      </c>
      <c r="CL254" s="275">
        <f t="shared" si="288"/>
        <v>111812590.88562484</v>
      </c>
      <c r="CM254" s="278">
        <f>'Detailed Budget'!$AD$189</f>
        <v>77498869683.252869</v>
      </c>
      <c r="CN254" s="275">
        <f t="shared" si="268"/>
        <v>0</v>
      </c>
      <c r="CO254" s="140">
        <f>'Detailed Budget'!$AD$191</f>
        <v>2684962805.4134097</v>
      </c>
      <c r="CP254" s="616">
        <f t="shared" si="269"/>
        <v>0</v>
      </c>
      <c r="CQ254" s="616">
        <f t="shared" si="270"/>
        <v>0</v>
      </c>
      <c r="CR254" s="199">
        <f>'Detailed Budget'!$AD$195</f>
        <v>18734176418</v>
      </c>
      <c r="CS254" s="275">
        <f t="shared" si="328"/>
        <v>18187399.234223858</v>
      </c>
      <c r="CW254" s="278"/>
      <c r="DH254" s="140">
        <f>'Detailed Budget'!$AD$163</f>
        <v>4928560000</v>
      </c>
      <c r="DI254" s="616">
        <f t="shared" si="329"/>
        <v>5600000</v>
      </c>
    </row>
    <row r="255" spans="1:113" outlineLevel="1">
      <c r="A255" s="214" t="s">
        <v>664</v>
      </c>
      <c r="B255" s="215" t="s">
        <v>665</v>
      </c>
      <c r="C255" s="216" t="s">
        <v>234</v>
      </c>
      <c r="D255" s="217"/>
      <c r="E255" s="216"/>
      <c r="F255" s="216"/>
      <c r="G255" s="216" t="s">
        <v>234</v>
      </c>
      <c r="H255" s="216" t="s">
        <v>234</v>
      </c>
      <c r="I255" s="217" t="s">
        <v>234</v>
      </c>
      <c r="J255" s="217"/>
      <c r="K255" s="216" t="s">
        <v>234</v>
      </c>
      <c r="L255" s="216"/>
      <c r="M255" s="217"/>
      <c r="N255" s="216"/>
      <c r="O255" s="217"/>
      <c r="P255" s="216"/>
      <c r="Q255" s="217"/>
      <c r="R255" s="217" t="s">
        <v>234</v>
      </c>
      <c r="S255" s="217"/>
      <c r="T255" s="217"/>
      <c r="U255" s="218">
        <f t="shared" si="318"/>
        <v>6</v>
      </c>
      <c r="V255" s="867" t="s">
        <v>235</v>
      </c>
      <c r="W255" s="219">
        <v>224357</v>
      </c>
      <c r="X255" s="220">
        <v>2.91</v>
      </c>
      <c r="Y255" s="221">
        <f t="shared" si="297"/>
        <v>1.0290999999999999</v>
      </c>
      <c r="Z255" s="199">
        <v>19</v>
      </c>
      <c r="AA255" s="221">
        <f t="shared" si="298"/>
        <v>1.7246222540408234</v>
      </c>
      <c r="AB255" s="199">
        <f t="shared" si="299"/>
        <v>386931.075049837</v>
      </c>
      <c r="AC255">
        <v>18.7</v>
      </c>
      <c r="AD255" s="199">
        <f t="shared" si="300"/>
        <v>72356.111034319518</v>
      </c>
      <c r="AE255" s="199">
        <f t="shared" si="301"/>
        <v>68738.305482603537</v>
      </c>
      <c r="AF255" s="199">
        <f t="shared" si="287"/>
        <v>0</v>
      </c>
      <c r="AG255" s="614">
        <f t="shared" si="273"/>
        <v>3.1781574787002271E-3</v>
      </c>
      <c r="AH255" s="199">
        <f t="shared" si="330"/>
        <v>19346.553752491851</v>
      </c>
      <c r="AI255" s="252">
        <f t="shared" si="256"/>
        <v>1.4987482063134375E-3</v>
      </c>
      <c r="AJ255" s="199">
        <f t="shared" si="274"/>
        <v>91702.664786811365</v>
      </c>
      <c r="AK255" s="199">
        <f t="shared" si="291"/>
        <v>15477.24300199348</v>
      </c>
      <c r="AL255" s="199">
        <f t="shared" si="292"/>
        <v>15477.24300199348</v>
      </c>
      <c r="AM255" s="199">
        <f t="shared" si="257"/>
        <v>30954.48600398696</v>
      </c>
      <c r="AN255" s="645">
        <f t="shared" si="258"/>
        <v>1.4987482063134375E-3</v>
      </c>
      <c r="AO255" s="199">
        <v>11</v>
      </c>
      <c r="AP255" s="250">
        <f t="shared" si="259"/>
        <v>1.2498579706851495E-3</v>
      </c>
      <c r="AQ255" s="199">
        <v>11</v>
      </c>
      <c r="AU255" s="199">
        <v>1</v>
      </c>
      <c r="AV255" s="199">
        <f t="shared" si="319"/>
        <v>214961.73288042529</v>
      </c>
      <c r="AW255" s="250">
        <f t="shared" si="260"/>
        <v>6.1870211492018601E-3</v>
      </c>
      <c r="AX255" s="199">
        <v>0</v>
      </c>
      <c r="AY255" s="199">
        <f t="shared" si="320"/>
        <v>34755.396576276296</v>
      </c>
      <c r="AZ255" s="199">
        <f t="shared" si="276"/>
        <v>0</v>
      </c>
      <c r="BA255" s="252">
        <f t="shared" si="261"/>
        <v>0</v>
      </c>
      <c r="BB255" s="284">
        <v>0</v>
      </c>
      <c r="BC255" s="199">
        <f t="shared" si="321"/>
        <v>0</v>
      </c>
      <c r="BD255" s="270">
        <f t="shared" si="289"/>
        <v>0</v>
      </c>
      <c r="BE255" s="199">
        <f t="shared" si="322"/>
        <v>0</v>
      </c>
      <c r="BF255" s="251">
        <f t="shared" si="290"/>
        <v>0</v>
      </c>
      <c r="BG255" s="204">
        <f t="shared" si="296"/>
        <v>0</v>
      </c>
      <c r="BH255" s="636">
        <v>1</v>
      </c>
      <c r="BI255" s="199">
        <f t="shared" si="262"/>
        <v>118400.90896525013</v>
      </c>
      <c r="BJ255" s="199">
        <f t="shared" si="263"/>
        <v>236801.81793050026</v>
      </c>
      <c r="BK255" s="199">
        <f t="shared" si="271"/>
        <v>355202.72689575038</v>
      </c>
      <c r="BL255" s="251">
        <f t="shared" si="264"/>
        <v>1.4987482063134375E-3</v>
      </c>
      <c r="BM255" s="199">
        <f t="shared" si="323"/>
        <v>52987.127430036984</v>
      </c>
      <c r="BN255" s="251">
        <f t="shared" si="265"/>
        <v>2.2881489495163096E-3</v>
      </c>
      <c r="BT255" s="199">
        <f>'Detailed Budget'!$AD$12</f>
        <v>194045122715</v>
      </c>
      <c r="BU255" s="199">
        <f>'Detailed Budget'!$AD$24</f>
        <v>194045122715</v>
      </c>
      <c r="BV255" s="596">
        <f t="shared" si="324"/>
        <v>6.1870211492018601E-3</v>
      </c>
      <c r="BW255" s="278"/>
      <c r="BX255" s="275">
        <f t="shared" si="294"/>
        <v>1200561278.1371753</v>
      </c>
      <c r="BY255" s="275">
        <f t="shared" si="295"/>
        <v>1200561278.1371753</v>
      </c>
      <c r="CA255" s="199">
        <f>'Detailed Budget'!$AD$96</f>
        <v>71050111380.677719</v>
      </c>
      <c r="CB255" s="275">
        <f t="shared" si="266"/>
        <v>0</v>
      </c>
      <c r="CE255" s="199">
        <f>'Detailed Budget'!$AD$175</f>
        <v>4330586076.5988197</v>
      </c>
      <c r="CF255" s="275">
        <f t="shared" si="325"/>
        <v>0</v>
      </c>
      <c r="CG255" s="199">
        <f>'Detailed Budget'!$AD$176</f>
        <v>20662817754.37001</v>
      </c>
      <c r="CH255" s="275">
        <f t="shared" si="326"/>
        <v>0</v>
      </c>
      <c r="CI255" s="275">
        <f t="shared" si="293"/>
        <v>0</v>
      </c>
      <c r="CJ255" s="275">
        <f>'Detailed Budget'!$AD$178</f>
        <v>46025131033.061455</v>
      </c>
      <c r="CK255" s="275">
        <f t="shared" si="327"/>
        <v>0</v>
      </c>
      <c r="CL255" s="275">
        <f t="shared" si="288"/>
        <v>0</v>
      </c>
      <c r="CM255" s="278">
        <f>'Detailed Budget'!$AD$189</f>
        <v>77498869683.252869</v>
      </c>
      <c r="CN255" s="275">
        <f t="shared" si="268"/>
        <v>116151291.92909408</v>
      </c>
      <c r="CO255" s="140">
        <f>'Detailed Budget'!$AD$191</f>
        <v>2684962805.4134097</v>
      </c>
      <c r="CP255" s="616">
        <f t="shared" si="269"/>
        <v>4024083.1886316431</v>
      </c>
      <c r="CQ255" s="616">
        <f t="shared" si="270"/>
        <v>120175375.11772572</v>
      </c>
      <c r="CR255" s="199">
        <f>'Detailed Budget'!$AD$195</f>
        <v>18734176418</v>
      </c>
      <c r="CS255" s="275">
        <f t="shared" si="328"/>
        <v>42866586.090899922</v>
      </c>
      <c r="CW255" s="278"/>
      <c r="DH255" s="140">
        <f>'Detailed Budget'!$AD$163</f>
        <v>4928560000</v>
      </c>
      <c r="DI255" s="616">
        <f t="shared" si="329"/>
        <v>6160000</v>
      </c>
    </row>
    <row r="256" spans="1:113" outlineLevel="1">
      <c r="A256" s="214" t="s">
        <v>666</v>
      </c>
      <c r="B256" s="215" t="s">
        <v>667</v>
      </c>
      <c r="C256" s="216" t="s">
        <v>234</v>
      </c>
      <c r="D256" s="217"/>
      <c r="E256" s="216"/>
      <c r="F256" s="216"/>
      <c r="G256" s="216" t="s">
        <v>234</v>
      </c>
      <c r="H256" s="216" t="s">
        <v>234</v>
      </c>
      <c r="I256" s="217" t="s">
        <v>234</v>
      </c>
      <c r="J256" s="217"/>
      <c r="K256" s="216" t="s">
        <v>234</v>
      </c>
      <c r="L256" s="216"/>
      <c r="M256" s="217"/>
      <c r="N256" s="216"/>
      <c r="O256" s="217"/>
      <c r="P256" s="216"/>
      <c r="Q256" s="217"/>
      <c r="R256" s="217" t="s">
        <v>234</v>
      </c>
      <c r="S256" s="217"/>
      <c r="T256" s="217"/>
      <c r="U256" s="218">
        <f t="shared" si="318"/>
        <v>6</v>
      </c>
      <c r="V256" s="867" t="s">
        <v>235</v>
      </c>
      <c r="W256" s="219">
        <v>134576</v>
      </c>
      <c r="X256" s="220">
        <v>2.91</v>
      </c>
      <c r="Y256" s="221">
        <f t="shared" si="297"/>
        <v>1.0290999999999999</v>
      </c>
      <c r="Z256" s="199">
        <v>19</v>
      </c>
      <c r="AA256" s="221">
        <f t="shared" si="298"/>
        <v>1.7246222540408234</v>
      </c>
      <c r="AB256" s="199">
        <f t="shared" si="299"/>
        <v>232092.76445979785</v>
      </c>
      <c r="AC256">
        <v>18.7</v>
      </c>
      <c r="AD256" s="199">
        <f t="shared" si="300"/>
        <v>43401.346953982196</v>
      </c>
      <c r="AE256" s="199">
        <f t="shared" si="301"/>
        <v>41231.279606283082</v>
      </c>
      <c r="AF256" s="199">
        <f t="shared" si="287"/>
        <v>0</v>
      </c>
      <c r="AG256" s="614">
        <f t="shared" si="273"/>
        <v>1.9063533602854457E-3</v>
      </c>
      <c r="AH256" s="199">
        <f t="shared" si="330"/>
        <v>11604.638222989894</v>
      </c>
      <c r="AI256" s="252">
        <f t="shared" si="256"/>
        <v>8.989937403907041E-4</v>
      </c>
      <c r="AJ256" s="199">
        <f t="shared" si="274"/>
        <v>55005.985176972092</v>
      </c>
      <c r="AK256" s="199">
        <f t="shared" si="291"/>
        <v>9283.7105783919142</v>
      </c>
      <c r="AL256" s="199">
        <f t="shared" si="292"/>
        <v>9283.7105783919142</v>
      </c>
      <c r="AM256" s="199">
        <f t="shared" si="257"/>
        <v>18567.421156783828</v>
      </c>
      <c r="AN256" s="645">
        <f t="shared" si="258"/>
        <v>8.9899374039070399E-4</v>
      </c>
      <c r="AO256" s="199">
        <v>11</v>
      </c>
      <c r="AP256" s="250">
        <f t="shared" si="259"/>
        <v>1.2498579706851495E-3</v>
      </c>
      <c r="AQ256" s="199">
        <v>11</v>
      </c>
      <c r="AU256" s="199">
        <v>1</v>
      </c>
      <c r="AV256" s="199">
        <f t="shared" si="319"/>
        <v>128940.43940735576</v>
      </c>
      <c r="AW256" s="250">
        <f t="shared" si="260"/>
        <v>3.7111592603528733E-3</v>
      </c>
      <c r="AX256" s="199">
        <v>0</v>
      </c>
      <c r="AY256" s="199">
        <f t="shared" si="320"/>
        <v>20847.320340568644</v>
      </c>
      <c r="AZ256" s="199">
        <f t="shared" si="276"/>
        <v>0</v>
      </c>
      <c r="BA256" s="252">
        <f t="shared" si="261"/>
        <v>0</v>
      </c>
      <c r="BB256" s="284">
        <v>0</v>
      </c>
      <c r="BC256" s="199">
        <f t="shared" si="321"/>
        <v>0</v>
      </c>
      <c r="BD256" s="270">
        <f t="shared" si="289"/>
        <v>0</v>
      </c>
      <c r="BE256" s="199">
        <f t="shared" si="322"/>
        <v>0</v>
      </c>
      <c r="BF256" s="251">
        <f t="shared" si="290"/>
        <v>0</v>
      </c>
      <c r="BG256" s="204">
        <f t="shared" si="296"/>
        <v>0</v>
      </c>
      <c r="BH256" s="636">
        <v>1</v>
      </c>
      <c r="BI256" s="199">
        <f t="shared" si="262"/>
        <v>71020.385924698145</v>
      </c>
      <c r="BJ256" s="199">
        <f t="shared" si="263"/>
        <v>142040.77184939629</v>
      </c>
      <c r="BK256" s="199">
        <f t="shared" si="271"/>
        <v>213061.15777409443</v>
      </c>
      <c r="BL256" s="251">
        <f t="shared" si="264"/>
        <v>8.9899374039070399E-4</v>
      </c>
      <c r="BM256" s="199">
        <f t="shared" si="323"/>
        <v>31783.254638922157</v>
      </c>
      <c r="BN256" s="251">
        <f t="shared" si="265"/>
        <v>1.3724997795036792E-3</v>
      </c>
      <c r="BT256" s="199">
        <f>'Detailed Budget'!$AD$12</f>
        <v>194045122715</v>
      </c>
      <c r="BU256" s="199">
        <f>'Detailed Budget'!$AD$24</f>
        <v>194045122715</v>
      </c>
      <c r="BV256" s="596">
        <f t="shared" si="324"/>
        <v>3.7111592603528733E-3</v>
      </c>
      <c r="BW256" s="278"/>
      <c r="BX256" s="275">
        <f t="shared" si="294"/>
        <v>720132354.09008193</v>
      </c>
      <c r="BY256" s="275">
        <f t="shared" si="295"/>
        <v>720132354.09008193</v>
      </c>
      <c r="CA256" s="199">
        <f>'Detailed Budget'!$AD$96</f>
        <v>71050111380.677719</v>
      </c>
      <c r="CB256" s="275">
        <f t="shared" si="266"/>
        <v>0</v>
      </c>
      <c r="CE256" s="199">
        <f>'Detailed Budget'!$AD$175</f>
        <v>4330586076.5988197</v>
      </c>
      <c r="CF256" s="275">
        <f t="shared" si="325"/>
        <v>0</v>
      </c>
      <c r="CG256" s="199">
        <f>'Detailed Budget'!$AD$176</f>
        <v>20662817754.37001</v>
      </c>
      <c r="CH256" s="275">
        <f t="shared" si="326"/>
        <v>0</v>
      </c>
      <c r="CI256" s="275">
        <f t="shared" si="293"/>
        <v>0</v>
      </c>
      <c r="CJ256" s="275">
        <f>'Detailed Budget'!$AD$178</f>
        <v>46025131033.061455</v>
      </c>
      <c r="CK256" s="275">
        <f t="shared" si="327"/>
        <v>0</v>
      </c>
      <c r="CL256" s="275">
        <f t="shared" si="288"/>
        <v>0</v>
      </c>
      <c r="CM256" s="278">
        <f>'Detailed Budget'!$AD$189</f>
        <v>77498869683.252869</v>
      </c>
      <c r="CN256" s="275">
        <f t="shared" si="268"/>
        <v>69670998.732599229</v>
      </c>
      <c r="CO256" s="140">
        <f>'Detailed Budget'!$AD$191</f>
        <v>2684962805.4134097</v>
      </c>
      <c r="CP256" s="616">
        <f t="shared" si="269"/>
        <v>2413764.7552485191</v>
      </c>
      <c r="CQ256" s="616">
        <f t="shared" si="270"/>
        <v>72084763.487847745</v>
      </c>
      <c r="CR256" s="199">
        <f>'Detailed Budget'!$AD$195</f>
        <v>18734176418</v>
      </c>
      <c r="CS256" s="275">
        <f t="shared" si="328"/>
        <v>25712653.002888028</v>
      </c>
      <c r="CW256" s="278"/>
      <c r="DH256" s="140">
        <f>'Detailed Budget'!$AD$163</f>
        <v>4928560000</v>
      </c>
      <c r="DI256" s="616">
        <f t="shared" si="329"/>
        <v>6160000</v>
      </c>
    </row>
    <row r="257" spans="1:113" outlineLevel="1">
      <c r="A257" s="214" t="s">
        <v>668</v>
      </c>
      <c r="B257" s="215" t="s">
        <v>669</v>
      </c>
      <c r="C257" s="216" t="s">
        <v>234</v>
      </c>
      <c r="D257" s="217"/>
      <c r="E257" s="216"/>
      <c r="F257" s="216"/>
      <c r="G257" s="216" t="s">
        <v>234</v>
      </c>
      <c r="H257" s="216" t="s">
        <v>234</v>
      </c>
      <c r="I257" s="217" t="s">
        <v>234</v>
      </c>
      <c r="J257" s="217"/>
      <c r="K257" s="216" t="s">
        <v>234</v>
      </c>
      <c r="L257" s="216"/>
      <c r="M257" s="217"/>
      <c r="N257" s="216"/>
      <c r="O257" s="217"/>
      <c r="P257" s="216"/>
      <c r="Q257" s="217"/>
      <c r="R257" s="217" t="s">
        <v>234</v>
      </c>
      <c r="S257" s="217"/>
      <c r="T257" s="217"/>
      <c r="U257" s="218">
        <f t="shared" si="318"/>
        <v>6</v>
      </c>
      <c r="V257" s="867" t="s">
        <v>235</v>
      </c>
      <c r="W257" s="219">
        <v>90889</v>
      </c>
      <c r="X257" s="220">
        <v>2.91</v>
      </c>
      <c r="Y257" s="221">
        <f t="shared" si="297"/>
        <v>1.0290999999999999</v>
      </c>
      <c r="Z257" s="199">
        <v>19</v>
      </c>
      <c r="AA257" s="221">
        <f t="shared" si="298"/>
        <v>1.7246222540408234</v>
      </c>
      <c r="AB257" s="199">
        <f t="shared" ref="AB257:AB281" si="331">W257*AA257</f>
        <v>156749.19204751641</v>
      </c>
      <c r="AC257">
        <v>18.7</v>
      </c>
      <c r="AD257" s="199">
        <f t="shared" ref="AD257:AD281" si="332">AB257*AC257/100</f>
        <v>29312.098912885565</v>
      </c>
      <c r="AE257" s="199">
        <f t="shared" si="301"/>
        <v>27846.493967241287</v>
      </c>
      <c r="AF257" s="199">
        <f t="shared" si="287"/>
        <v>0</v>
      </c>
      <c r="AG257" s="614">
        <f t="shared" si="273"/>
        <v>1.2874996326461175E-3</v>
      </c>
      <c r="AH257" s="199">
        <f t="shared" si="330"/>
        <v>7837.4596023758204</v>
      </c>
      <c r="AI257" s="252">
        <f t="shared" si="256"/>
        <v>6.0715612048486132E-4</v>
      </c>
      <c r="AJ257" s="199">
        <f t="shared" si="274"/>
        <v>37149.558515261386</v>
      </c>
      <c r="AK257" s="199">
        <f t="shared" si="291"/>
        <v>6269.9676819006563</v>
      </c>
      <c r="AL257" s="199">
        <f t="shared" si="292"/>
        <v>6269.9676819006563</v>
      </c>
      <c r="AM257" s="199">
        <f t="shared" si="257"/>
        <v>12539.935363801313</v>
      </c>
      <c r="AN257" s="645">
        <f t="shared" si="258"/>
        <v>6.0715612048486132E-4</v>
      </c>
      <c r="AO257" s="199">
        <v>11</v>
      </c>
      <c r="AP257" s="250">
        <f t="shared" si="259"/>
        <v>1.2498579706851495E-3</v>
      </c>
      <c r="AQ257" s="199">
        <v>11</v>
      </c>
      <c r="AU257" s="199">
        <v>1</v>
      </c>
      <c r="AV257" s="199">
        <f t="shared" si="319"/>
        <v>87082.894403869621</v>
      </c>
      <c r="AW257" s="250">
        <f t="shared" si="260"/>
        <v>2.5064168500639958E-3</v>
      </c>
      <c r="AX257" s="199">
        <v>0</v>
      </c>
      <c r="AY257" s="199">
        <f t="shared" si="320"/>
        <v>14079.717768650751</v>
      </c>
      <c r="AZ257" s="199">
        <f t="shared" si="276"/>
        <v>0</v>
      </c>
      <c r="BA257" s="252">
        <f t="shared" si="261"/>
        <v>0</v>
      </c>
      <c r="BB257" s="284">
        <v>0</v>
      </c>
      <c r="BC257" s="199">
        <f t="shared" si="321"/>
        <v>0</v>
      </c>
      <c r="BD257" s="270">
        <f t="shared" si="289"/>
        <v>0</v>
      </c>
      <c r="BE257" s="199">
        <f t="shared" si="322"/>
        <v>0</v>
      </c>
      <c r="BF257" s="251">
        <f t="shared" si="290"/>
        <v>0</v>
      </c>
      <c r="BG257" s="204">
        <f t="shared" si="296"/>
        <v>0</v>
      </c>
      <c r="BH257" s="636">
        <v>1</v>
      </c>
      <c r="BI257" s="199">
        <f t="shared" si="262"/>
        <v>47965.252766540019</v>
      </c>
      <c r="BJ257" s="199">
        <f t="shared" si="263"/>
        <v>95930.505533080039</v>
      </c>
      <c r="BK257" s="199">
        <f t="shared" si="271"/>
        <v>143895.75829962007</v>
      </c>
      <c r="BL257" s="251">
        <f t="shared" si="264"/>
        <v>6.0715612048486132E-4</v>
      </c>
      <c r="BM257" s="199">
        <f t="shared" si="323"/>
        <v>21465.552779670936</v>
      </c>
      <c r="BN257" s="251">
        <f t="shared" si="265"/>
        <v>9.2694932572902962E-4</v>
      </c>
      <c r="BT257" s="199">
        <f>'Detailed Budget'!$AD$12</f>
        <v>194045122715</v>
      </c>
      <c r="BU257" s="199">
        <f>'Detailed Budget'!$AD$24</f>
        <v>194045122715</v>
      </c>
      <c r="BV257" s="596">
        <f t="shared" si="324"/>
        <v>2.5064168500639958E-3</v>
      </c>
      <c r="BW257" s="278"/>
      <c r="BX257" s="275">
        <f t="shared" si="294"/>
        <v>486357965.24561185</v>
      </c>
      <c r="BY257" s="275">
        <f t="shared" si="295"/>
        <v>486357965.24561185</v>
      </c>
      <c r="CA257" s="199">
        <f>'Detailed Budget'!$AD$96</f>
        <v>71050111380.677719</v>
      </c>
      <c r="CB257" s="275">
        <f t="shared" si="266"/>
        <v>0</v>
      </c>
      <c r="CE257" s="199">
        <f>'Detailed Budget'!$AD$175</f>
        <v>4330586076.5988197</v>
      </c>
      <c r="CF257" s="275">
        <f t="shared" si="325"/>
        <v>0</v>
      </c>
      <c r="CG257" s="199">
        <f>'Detailed Budget'!$AD$176</f>
        <v>20662817754.37001</v>
      </c>
      <c r="CH257" s="275">
        <f t="shared" si="326"/>
        <v>0</v>
      </c>
      <c r="CI257" s="275">
        <f t="shared" si="293"/>
        <v>0</v>
      </c>
      <c r="CJ257" s="275">
        <f>'Detailed Budget'!$AD$178</f>
        <v>46025131033.061455</v>
      </c>
      <c r="CK257" s="275">
        <f t="shared" si="327"/>
        <v>0</v>
      </c>
      <c r="CL257" s="275">
        <f t="shared" si="288"/>
        <v>0</v>
      </c>
      <c r="CM257" s="278">
        <f>'Detailed Budget'!$AD$189</f>
        <v>77498869683.252869</v>
      </c>
      <c r="CN257" s="275">
        <f t="shared" si="268"/>
        <v>47053913.058845647</v>
      </c>
      <c r="CO257" s="140">
        <f>'Detailed Budget'!$AD$191</f>
        <v>2684962805.4134097</v>
      </c>
      <c r="CP257" s="616">
        <f t="shared" si="269"/>
        <v>1630191.6005809554</v>
      </c>
      <c r="CQ257" s="616">
        <f t="shared" si="270"/>
        <v>48684104.6594266</v>
      </c>
      <c r="CR257" s="199">
        <f>'Detailed Budget'!$AD$195</f>
        <v>18734176418</v>
      </c>
      <c r="CS257" s="275">
        <f t="shared" si="328"/>
        <v>17365632.198753789</v>
      </c>
      <c r="CW257" s="278"/>
      <c r="DH257" s="140">
        <f>'Detailed Budget'!$AD$163</f>
        <v>4928560000</v>
      </c>
      <c r="DI257" s="616">
        <f t="shared" si="329"/>
        <v>6160000</v>
      </c>
    </row>
    <row r="258" spans="1:113" outlineLevel="1">
      <c r="A258" s="214" t="s">
        <v>670</v>
      </c>
      <c r="B258" s="215" t="s">
        <v>671</v>
      </c>
      <c r="C258" s="216" t="s">
        <v>234</v>
      </c>
      <c r="D258" s="217" t="s">
        <v>234</v>
      </c>
      <c r="E258" s="216"/>
      <c r="F258" s="216"/>
      <c r="G258" s="216"/>
      <c r="H258" s="216" t="s">
        <v>234</v>
      </c>
      <c r="I258" s="217" t="s">
        <v>234</v>
      </c>
      <c r="J258" s="217"/>
      <c r="K258" s="216" t="s">
        <v>234</v>
      </c>
      <c r="L258" s="216"/>
      <c r="M258" s="217"/>
      <c r="N258" s="216"/>
      <c r="O258" s="217"/>
      <c r="P258" s="216"/>
      <c r="Q258" s="217"/>
      <c r="R258" s="217" t="s">
        <v>234</v>
      </c>
      <c r="S258" s="217"/>
      <c r="T258" s="217"/>
      <c r="U258" s="218">
        <f t="shared" si="318"/>
        <v>6</v>
      </c>
      <c r="V258" s="867" t="s">
        <v>238</v>
      </c>
      <c r="W258" s="219">
        <v>238283</v>
      </c>
      <c r="X258" s="220">
        <v>2.91</v>
      </c>
      <c r="Y258" s="221">
        <f t="shared" si="297"/>
        <v>1.0290999999999999</v>
      </c>
      <c r="Z258" s="199">
        <v>19</v>
      </c>
      <c r="AA258" s="221">
        <f t="shared" si="298"/>
        <v>1.7246222540408234</v>
      </c>
      <c r="AB258" s="199">
        <f t="shared" si="331"/>
        <v>410948.16455960949</v>
      </c>
      <c r="AC258">
        <v>18.7</v>
      </c>
      <c r="AD258" s="199">
        <f t="shared" si="332"/>
        <v>76847.306772646974</v>
      </c>
      <c r="AE258" s="199">
        <f t="shared" si="301"/>
        <v>73004.941434014618</v>
      </c>
      <c r="AF258" s="199">
        <f t="shared" si="287"/>
        <v>73004.941434014618</v>
      </c>
      <c r="AG258" s="614">
        <f t="shared" si="273"/>
        <v>3.3754279942106828E-3</v>
      </c>
      <c r="AH258" s="199">
        <f t="shared" si="330"/>
        <v>20547.408227980475</v>
      </c>
      <c r="AI258" s="252">
        <f t="shared" si="256"/>
        <v>1.5917765830572917E-3</v>
      </c>
      <c r="AJ258" s="199">
        <f t="shared" si="274"/>
        <v>97394.715000627446</v>
      </c>
      <c r="AK258" s="199">
        <f t="shared" si="291"/>
        <v>16437.926582384382</v>
      </c>
      <c r="AL258" s="199">
        <f t="shared" si="292"/>
        <v>16437.926582384382</v>
      </c>
      <c r="AM258" s="199">
        <f t="shared" si="257"/>
        <v>32875.853164768763</v>
      </c>
      <c r="AN258" s="645">
        <f t="shared" si="258"/>
        <v>1.5917765830572919E-3</v>
      </c>
      <c r="AO258" s="199">
        <v>10</v>
      </c>
      <c r="AP258" s="250">
        <f t="shared" si="259"/>
        <v>1.1362345188046814E-3</v>
      </c>
      <c r="AQ258" s="199">
        <v>10</v>
      </c>
      <c r="AU258" s="199">
        <v>1</v>
      </c>
      <c r="AV258" s="199">
        <f t="shared" si="319"/>
        <v>228304.56190779153</v>
      </c>
      <c r="AW258" s="250">
        <f t="shared" si="260"/>
        <v>6.5710539920540339E-3</v>
      </c>
      <c r="AX258" s="199">
        <v>0</v>
      </c>
      <c r="AY258" s="199">
        <f t="shared" si="320"/>
        <v>36912.688984006942</v>
      </c>
      <c r="AZ258" s="199">
        <f t="shared" si="276"/>
        <v>0</v>
      </c>
      <c r="BA258" s="252">
        <f t="shared" si="261"/>
        <v>0</v>
      </c>
      <c r="BB258" s="284">
        <v>1</v>
      </c>
      <c r="BC258" s="199">
        <f t="shared" si="321"/>
        <v>55330.060876305819</v>
      </c>
      <c r="BD258" s="270">
        <f t="shared" si="289"/>
        <v>4.9828644654526869E-3</v>
      </c>
      <c r="BE258" s="199">
        <f t="shared" si="322"/>
        <v>236689.70485975267</v>
      </c>
      <c r="BF258" s="251">
        <f t="shared" si="290"/>
        <v>4.9828645761813067E-3</v>
      </c>
      <c r="BG258" s="204">
        <f t="shared" si="296"/>
        <v>292019.76573605847</v>
      </c>
      <c r="BH258" s="636">
        <v>0</v>
      </c>
      <c r="BI258" s="199">
        <f t="shared" si="262"/>
        <v>125750.13835524052</v>
      </c>
      <c r="BJ258" s="199">
        <f t="shared" si="263"/>
        <v>251500.27671048103</v>
      </c>
      <c r="BK258" s="199">
        <f t="shared" si="271"/>
        <v>377250.41506572155</v>
      </c>
      <c r="BL258" s="251">
        <f t="shared" si="264"/>
        <v>1.5917765830572919E-3</v>
      </c>
      <c r="BM258" s="199">
        <f t="shared" si="323"/>
        <v>56276.076455878363</v>
      </c>
      <c r="BN258" s="251">
        <f t="shared" si="265"/>
        <v>2.4301759969049094E-3</v>
      </c>
      <c r="BT258" s="199">
        <f>'Detailed Budget'!$AD$12</f>
        <v>194045122715</v>
      </c>
      <c r="BU258" s="199">
        <f>'Detailed Budget'!$AD$24</f>
        <v>194045122715</v>
      </c>
      <c r="BV258" s="596">
        <f t="shared" si="324"/>
        <v>6.5710539920540339E-3</v>
      </c>
      <c r="BW258" s="278"/>
      <c r="BX258" s="275">
        <f t="shared" si="294"/>
        <v>1275080978.2550156</v>
      </c>
      <c r="BY258" s="275">
        <f t="shared" si="295"/>
        <v>1275080978.2550156</v>
      </c>
      <c r="CA258" s="199">
        <f>'Detailed Budget'!$AD$96</f>
        <v>71050111380.677719</v>
      </c>
      <c r="CB258" s="275">
        <f t="shared" si="266"/>
        <v>0</v>
      </c>
      <c r="CE258" s="199">
        <f>'Detailed Budget'!$AD$175</f>
        <v>4330586076.5988197</v>
      </c>
      <c r="CF258" s="275">
        <f t="shared" si="325"/>
        <v>21578723.475668427</v>
      </c>
      <c r="CG258" s="199">
        <f>'Detailed Budget'!$AD$176</f>
        <v>20662817754.37001</v>
      </c>
      <c r="CH258" s="275">
        <f t="shared" si="326"/>
        <v>102960022.63234051</v>
      </c>
      <c r="CI258" s="275">
        <f t="shared" si="293"/>
        <v>124538746.10800894</v>
      </c>
      <c r="CJ258" s="275">
        <f>'Detailed Budget'!$AD$178</f>
        <v>46025131033.061455</v>
      </c>
      <c r="CK258" s="275">
        <f t="shared" si="327"/>
        <v>155354515.72621047</v>
      </c>
      <c r="CL258" s="275">
        <f t="shared" si="288"/>
        <v>279893261.8342194</v>
      </c>
      <c r="CM258" s="278">
        <f>'Detailed Budget'!$AD$189</f>
        <v>77498869683.252869</v>
      </c>
      <c r="CN258" s="275">
        <f t="shared" si="268"/>
        <v>0</v>
      </c>
      <c r="CO258" s="140">
        <f>'Detailed Budget'!$AD$191</f>
        <v>2684962805.4134097</v>
      </c>
      <c r="CP258" s="616">
        <f t="shared" si="269"/>
        <v>0</v>
      </c>
      <c r="CQ258" s="616">
        <f t="shared" si="270"/>
        <v>0</v>
      </c>
      <c r="CR258" s="199">
        <f>'Detailed Budget'!$AD$195</f>
        <v>18734176418</v>
      </c>
      <c r="CS258" s="275">
        <f t="shared" si="328"/>
        <v>45527345.852805592</v>
      </c>
      <c r="CW258" s="278"/>
      <c r="DH258" s="140">
        <f>'Detailed Budget'!$AD$163</f>
        <v>4928560000</v>
      </c>
      <c r="DI258" s="616">
        <f t="shared" si="329"/>
        <v>5600000</v>
      </c>
    </row>
    <row r="259" spans="1:113" outlineLevel="1">
      <c r="A259" s="214" t="s">
        <v>672</v>
      </c>
      <c r="B259" s="215" t="s">
        <v>673</v>
      </c>
      <c r="C259" s="216" t="s">
        <v>234</v>
      </c>
      <c r="D259" s="217" t="s">
        <v>234</v>
      </c>
      <c r="E259" s="216"/>
      <c r="F259" s="216"/>
      <c r="G259" s="216"/>
      <c r="H259" s="216" t="s">
        <v>234</v>
      </c>
      <c r="I259" s="217" t="s">
        <v>234</v>
      </c>
      <c r="J259" s="217"/>
      <c r="K259" s="216" t="s">
        <v>234</v>
      </c>
      <c r="L259" s="216"/>
      <c r="M259" s="217"/>
      <c r="N259" s="216"/>
      <c r="O259" s="217"/>
      <c r="P259" s="216"/>
      <c r="Q259" s="217"/>
      <c r="R259" s="217" t="s">
        <v>234</v>
      </c>
      <c r="S259" s="217"/>
      <c r="T259" s="217"/>
      <c r="U259" s="218">
        <f t="shared" si="318"/>
        <v>6</v>
      </c>
      <c r="V259" s="867" t="s">
        <v>238</v>
      </c>
      <c r="W259" s="219">
        <v>89865</v>
      </c>
      <c r="X259" s="220">
        <v>2.91</v>
      </c>
      <c r="Y259" s="221">
        <f t="shared" si="297"/>
        <v>1.0290999999999999</v>
      </c>
      <c r="Z259" s="199">
        <v>19</v>
      </c>
      <c r="AA259" s="221">
        <f t="shared" si="298"/>
        <v>1.7246222540408234</v>
      </c>
      <c r="AB259" s="199">
        <f t="shared" si="331"/>
        <v>154983.17885937859</v>
      </c>
      <c r="AC259">
        <v>18.7</v>
      </c>
      <c r="AD259" s="199">
        <f t="shared" si="332"/>
        <v>28981.854446703797</v>
      </c>
      <c r="AE259" s="199">
        <f t="shared" si="301"/>
        <v>27532.761724368607</v>
      </c>
      <c r="AF259" s="199">
        <f t="shared" si="287"/>
        <v>27532.761724368607</v>
      </c>
      <c r="AG259" s="614">
        <f t="shared" si="273"/>
        <v>1.2729940310460381E-3</v>
      </c>
      <c r="AH259" s="199">
        <f t="shared" si="330"/>
        <v>7749.1589429689302</v>
      </c>
      <c r="AI259" s="252">
        <f t="shared" si="256"/>
        <v>6.0031560218917648E-4</v>
      </c>
      <c r="AJ259" s="199">
        <f t="shared" si="274"/>
        <v>36731.013389672727</v>
      </c>
      <c r="AK259" s="199">
        <f t="shared" si="291"/>
        <v>6199.3271543751434</v>
      </c>
      <c r="AL259" s="199">
        <f t="shared" si="292"/>
        <v>6199.3271543751434</v>
      </c>
      <c r="AM259" s="199">
        <f t="shared" si="257"/>
        <v>12398.654308750287</v>
      </c>
      <c r="AN259" s="645">
        <f t="shared" si="258"/>
        <v>6.0031560218917648E-4</v>
      </c>
      <c r="AO259" s="199">
        <v>11</v>
      </c>
      <c r="AP259" s="250">
        <f t="shared" si="259"/>
        <v>1.2498579706851495E-3</v>
      </c>
      <c r="AQ259" s="199">
        <v>11</v>
      </c>
      <c r="AU259" s="199">
        <v>1</v>
      </c>
      <c r="AV259" s="199">
        <f t="shared" si="319"/>
        <v>86101.775854104926</v>
      </c>
      <c r="AW259" s="250">
        <f t="shared" si="260"/>
        <v>2.4781783299519301E-3</v>
      </c>
      <c r="AX259" s="199">
        <v>0</v>
      </c>
      <c r="AY259" s="199">
        <f t="shared" si="320"/>
        <v>13921.08877069612</v>
      </c>
      <c r="AZ259" s="199">
        <f t="shared" si="276"/>
        <v>0</v>
      </c>
      <c r="BA259" s="252">
        <f t="shared" si="261"/>
        <v>0</v>
      </c>
      <c r="BB259" s="284">
        <v>1</v>
      </c>
      <c r="BC259" s="199">
        <f t="shared" si="321"/>
        <v>20866.935201626733</v>
      </c>
      <c r="BD259" s="270">
        <f t="shared" si="289"/>
        <v>1.8792155344187615E-3</v>
      </c>
      <c r="BE259" s="199">
        <f t="shared" si="322"/>
        <v>89264.111695847692</v>
      </c>
      <c r="BF259" s="251">
        <f t="shared" si="290"/>
        <v>1.8792155761784648E-3</v>
      </c>
      <c r="BG259" s="204">
        <f t="shared" si="296"/>
        <v>110131.04689747443</v>
      </c>
      <c r="BH259" s="636">
        <v>0</v>
      </c>
      <c r="BI259" s="199">
        <f t="shared" si="262"/>
        <v>47424.852730969847</v>
      </c>
      <c r="BJ259" s="199">
        <f t="shared" si="263"/>
        <v>94849.705461939695</v>
      </c>
      <c r="BK259" s="199">
        <f t="shared" si="271"/>
        <v>142274.55819290955</v>
      </c>
      <c r="BL259" s="251">
        <f t="shared" si="264"/>
        <v>6.0031560218917648E-4</v>
      </c>
      <c r="BM259" s="199">
        <f t="shared" si="323"/>
        <v>21223.711346203923</v>
      </c>
      <c r="BN259" s="251">
        <f t="shared" si="265"/>
        <v>9.1650586051820614E-4</v>
      </c>
      <c r="BT259" s="199">
        <f>'Detailed Budget'!$AD$12</f>
        <v>194045122715</v>
      </c>
      <c r="BU259" s="199">
        <f>'Detailed Budget'!$AD$24</f>
        <v>194045122715</v>
      </c>
      <c r="BV259" s="596">
        <f t="shared" si="324"/>
        <v>2.4781783299519301E-3</v>
      </c>
      <c r="BW259" s="278"/>
      <c r="BX259" s="275">
        <f t="shared" si="294"/>
        <v>480878418.14517605</v>
      </c>
      <c r="BY259" s="275">
        <f t="shared" si="295"/>
        <v>480878418.14517605</v>
      </c>
      <c r="CA259" s="199">
        <f>'Detailed Budget'!$AD$96</f>
        <v>71050111380.677719</v>
      </c>
      <c r="CB259" s="275">
        <f t="shared" si="266"/>
        <v>0</v>
      </c>
      <c r="CE259" s="199">
        <f>'Detailed Budget'!$AD$175</f>
        <v>4330586076.5988197</v>
      </c>
      <c r="CF259" s="275">
        <f t="shared" si="325"/>
        <v>8138104.6282820981</v>
      </c>
      <c r="CG259" s="199">
        <f>'Detailed Budget'!$AD$176</f>
        <v>20662817754.37001</v>
      </c>
      <c r="CH259" s="275">
        <f t="shared" si="326"/>
        <v>38829888.971749052</v>
      </c>
      <c r="CI259" s="275">
        <f t="shared" si="293"/>
        <v>46967993.600031152</v>
      </c>
      <c r="CJ259" s="275">
        <f>'Detailed Budget'!$AD$178</f>
        <v>46025131033.061455</v>
      </c>
      <c r="CK259" s="275">
        <f t="shared" si="327"/>
        <v>58589717.083199002</v>
      </c>
      <c r="CL259" s="275">
        <f t="shared" si="288"/>
        <v>105557710.68323016</v>
      </c>
      <c r="CM259" s="278">
        <f>'Detailed Budget'!$AD$189</f>
        <v>77498869683.252869</v>
      </c>
      <c r="CN259" s="275">
        <f t="shared" si="268"/>
        <v>0</v>
      </c>
      <c r="CO259" s="140">
        <f>'Detailed Budget'!$AD$191</f>
        <v>2684962805.4134097</v>
      </c>
      <c r="CP259" s="616">
        <f t="shared" si="269"/>
        <v>0</v>
      </c>
      <c r="CQ259" s="616">
        <f t="shared" si="270"/>
        <v>0</v>
      </c>
      <c r="CR259" s="199">
        <f>'Detailed Budget'!$AD$195</f>
        <v>18734176418</v>
      </c>
      <c r="CS259" s="275">
        <f t="shared" si="328"/>
        <v>17169982.479078975</v>
      </c>
      <c r="CW259" s="278"/>
      <c r="DH259" s="140">
        <f>'Detailed Budget'!$AD$163</f>
        <v>4928560000</v>
      </c>
      <c r="DI259" s="616">
        <f t="shared" si="329"/>
        <v>6160000</v>
      </c>
    </row>
    <row r="260" spans="1:113" outlineLevel="1">
      <c r="A260" s="214" t="s">
        <v>674</v>
      </c>
      <c r="B260" s="215" t="s">
        <v>675</v>
      </c>
      <c r="C260" s="216" t="s">
        <v>234</v>
      </c>
      <c r="D260" s="217" t="s">
        <v>234</v>
      </c>
      <c r="E260" s="216"/>
      <c r="F260" s="216"/>
      <c r="G260" s="216"/>
      <c r="H260" s="216" t="s">
        <v>234</v>
      </c>
      <c r="I260" s="217" t="s">
        <v>234</v>
      </c>
      <c r="J260" s="217"/>
      <c r="K260" s="216" t="s">
        <v>234</v>
      </c>
      <c r="L260" s="216"/>
      <c r="M260" s="217"/>
      <c r="N260" s="216"/>
      <c r="O260" s="217"/>
      <c r="P260" s="216"/>
      <c r="Q260" s="217"/>
      <c r="R260" s="217" t="s">
        <v>234</v>
      </c>
      <c r="S260" s="217"/>
      <c r="T260" s="217"/>
      <c r="U260" s="218">
        <f t="shared" si="318"/>
        <v>6</v>
      </c>
      <c r="V260" s="867" t="s">
        <v>238</v>
      </c>
      <c r="W260" s="219">
        <v>127685</v>
      </c>
      <c r="X260" s="220">
        <v>2.91</v>
      </c>
      <c r="Y260" s="221">
        <f t="shared" si="297"/>
        <v>1.0290999999999999</v>
      </c>
      <c r="Z260" s="199">
        <v>19</v>
      </c>
      <c r="AA260" s="221">
        <f t="shared" si="298"/>
        <v>1.7246222540408234</v>
      </c>
      <c r="AB260" s="199">
        <f t="shared" si="331"/>
        <v>220208.39250720254</v>
      </c>
      <c r="AC260">
        <v>18.7</v>
      </c>
      <c r="AD260" s="199">
        <f t="shared" si="332"/>
        <v>41178.969398846872</v>
      </c>
      <c r="AE260" s="199">
        <f t="shared" si="301"/>
        <v>39120.020928904523</v>
      </c>
      <c r="AF260" s="199">
        <f t="shared" si="287"/>
        <v>39120.020928904523</v>
      </c>
      <c r="AG260" s="614">
        <f t="shared" si="273"/>
        <v>1.8087380276427235E-3</v>
      </c>
      <c r="AH260" s="199">
        <f t="shared" si="330"/>
        <v>11010.419625360128</v>
      </c>
      <c r="AI260" s="252">
        <f t="shared" si="256"/>
        <v>8.529605259614422E-4</v>
      </c>
      <c r="AJ260" s="199">
        <f t="shared" si="274"/>
        <v>52189.389024206997</v>
      </c>
      <c r="AK260" s="199">
        <f t="shared" si="291"/>
        <v>8808.3357002881021</v>
      </c>
      <c r="AL260" s="199">
        <f t="shared" si="292"/>
        <v>8808.3357002881021</v>
      </c>
      <c r="AM260" s="199">
        <f t="shared" si="257"/>
        <v>17616.671400576204</v>
      </c>
      <c r="AN260" s="645">
        <f t="shared" si="258"/>
        <v>8.529605259614422E-4</v>
      </c>
      <c r="AO260" s="199">
        <v>10</v>
      </c>
      <c r="AP260" s="250">
        <f t="shared" si="259"/>
        <v>1.1362345188046814E-3</v>
      </c>
      <c r="AQ260" s="199">
        <v>10</v>
      </c>
      <c r="AU260" s="199">
        <v>1</v>
      </c>
      <c r="AV260" s="199">
        <f t="shared" si="319"/>
        <v>122338.00979170298</v>
      </c>
      <c r="AW260" s="250">
        <f t="shared" si="260"/>
        <v>3.521128359872166E-3</v>
      </c>
      <c r="AX260" s="199">
        <v>0</v>
      </c>
      <c r="AY260" s="199">
        <f t="shared" si="320"/>
        <v>19779.827738122007</v>
      </c>
      <c r="AZ260" s="199">
        <f t="shared" si="276"/>
        <v>0</v>
      </c>
      <c r="BA260" s="252">
        <f t="shared" si="261"/>
        <v>0</v>
      </c>
      <c r="BB260" s="284">
        <v>1</v>
      </c>
      <c r="BC260" s="199">
        <f t="shared" si="321"/>
        <v>29648.857967169748</v>
      </c>
      <c r="BD260" s="270">
        <f t="shared" si="289"/>
        <v>2.6700899739860854E-3</v>
      </c>
      <c r="BE260" s="199">
        <f t="shared" si="322"/>
        <v>126831.22574844837</v>
      </c>
      <c r="BF260" s="251">
        <f t="shared" si="290"/>
        <v>2.670090033320506E-3</v>
      </c>
      <c r="BG260" s="204">
        <f t="shared" si="296"/>
        <v>156480.08371561812</v>
      </c>
      <c r="BH260" s="636">
        <v>0</v>
      </c>
      <c r="BI260" s="199">
        <f t="shared" si="262"/>
        <v>67383.76810720397</v>
      </c>
      <c r="BJ260" s="199">
        <f t="shared" si="263"/>
        <v>134767.53621440794</v>
      </c>
      <c r="BK260" s="199">
        <f t="shared" si="271"/>
        <v>202151.30432161191</v>
      </c>
      <c r="BL260" s="251">
        <f t="shared" si="264"/>
        <v>8.5296052596144209E-4</v>
      </c>
      <c r="BM260" s="199">
        <f t="shared" si="323"/>
        <v>30155.784601792111</v>
      </c>
      <c r="BN260" s="251">
        <f t="shared" si="265"/>
        <v>1.302220561957015E-3</v>
      </c>
      <c r="BT260" s="199">
        <f>'Detailed Budget'!$AD$12</f>
        <v>194045122715</v>
      </c>
      <c r="BU260" s="199">
        <f>'Detailed Budget'!$AD$24</f>
        <v>194045122715</v>
      </c>
      <c r="BV260" s="596">
        <f t="shared" si="324"/>
        <v>3.521128359872166E-3</v>
      </c>
      <c r="BW260" s="278"/>
      <c r="BX260" s="275">
        <f t="shared" si="294"/>
        <v>683257784.68666112</v>
      </c>
      <c r="BY260" s="275">
        <f t="shared" si="295"/>
        <v>683257784.68666112</v>
      </c>
      <c r="CA260" s="199">
        <f>'Detailed Budget'!$AD$96</f>
        <v>71050111380.677719</v>
      </c>
      <c r="CB260" s="275">
        <f t="shared" si="266"/>
        <v>0</v>
      </c>
      <c r="CE260" s="199">
        <f>'Detailed Budget'!$AD$175</f>
        <v>4330586076.5988197</v>
      </c>
      <c r="CF260" s="275">
        <f t="shared" si="325"/>
        <v>11563054.464610247</v>
      </c>
      <c r="CG260" s="199">
        <f>'Detailed Budget'!$AD$176</f>
        <v>20662817754.37001</v>
      </c>
      <c r="CH260" s="275">
        <f t="shared" si="326"/>
        <v>55171583.746261366</v>
      </c>
      <c r="CI260" s="275">
        <f t="shared" si="293"/>
        <v>66734638.210871615</v>
      </c>
      <c r="CJ260" s="275">
        <f>'Detailed Budget'!$AD$178</f>
        <v>46025131033.061455</v>
      </c>
      <c r="CK260" s="275">
        <f t="shared" si="327"/>
        <v>83247404.726737484</v>
      </c>
      <c r="CL260" s="275">
        <f t="shared" si="288"/>
        <v>149982042.93760911</v>
      </c>
      <c r="CM260" s="278">
        <f>'Detailed Budget'!$AD$189</f>
        <v>77498869683.252869</v>
      </c>
      <c r="CN260" s="275">
        <f t="shared" si="268"/>
        <v>0</v>
      </c>
      <c r="CO260" s="140">
        <f>'Detailed Budget'!$AD$191</f>
        <v>2684962805.4134097</v>
      </c>
      <c r="CP260" s="616">
        <f t="shared" si="269"/>
        <v>0</v>
      </c>
      <c r="CQ260" s="616">
        <f t="shared" si="270"/>
        <v>0</v>
      </c>
      <c r="CR260" s="199">
        <f>'Detailed Budget'!$AD$195</f>
        <v>18734176418</v>
      </c>
      <c r="CS260" s="275">
        <f t="shared" si="328"/>
        <v>24396029.742849819</v>
      </c>
      <c r="CW260" s="278"/>
      <c r="DH260" s="140">
        <f>'Detailed Budget'!$AD$163</f>
        <v>4928560000</v>
      </c>
      <c r="DI260" s="616">
        <f t="shared" si="329"/>
        <v>5600000</v>
      </c>
    </row>
    <row r="261" spans="1:113" outlineLevel="1">
      <c r="A261" s="232" t="s">
        <v>676</v>
      </c>
      <c r="B261" s="233" t="s">
        <v>2362</v>
      </c>
      <c r="C261" s="234"/>
      <c r="D261" s="235"/>
      <c r="E261" s="234"/>
      <c r="F261" s="234"/>
      <c r="G261" s="234"/>
      <c r="H261" s="234"/>
      <c r="I261" s="235"/>
      <c r="J261" s="235"/>
      <c r="K261" s="234"/>
      <c r="L261" s="234"/>
      <c r="M261" s="235"/>
      <c r="N261" s="234"/>
      <c r="O261" s="235"/>
      <c r="P261" s="234"/>
      <c r="Q261" s="235"/>
      <c r="R261" s="235"/>
      <c r="S261" s="235"/>
      <c r="T261" s="235"/>
      <c r="U261" s="236"/>
      <c r="V261" s="867"/>
      <c r="W261" s="237">
        <v>19964</v>
      </c>
      <c r="X261" s="238">
        <v>2.91</v>
      </c>
      <c r="Y261" s="239">
        <f t="shared" si="297"/>
        <v>1.0290999999999999</v>
      </c>
      <c r="Z261" s="240">
        <v>19</v>
      </c>
      <c r="AA261" s="239">
        <f t="shared" si="298"/>
        <v>1.7246222540408234</v>
      </c>
      <c r="AB261" s="241">
        <f t="shared" si="331"/>
        <v>34430.358679671001</v>
      </c>
      <c r="AC261" s="242">
        <v>18.7</v>
      </c>
      <c r="AD261" s="241">
        <f t="shared" si="332"/>
        <v>6438.4770730984774</v>
      </c>
      <c r="AE261" s="634">
        <f t="shared" si="301"/>
        <v>6116.5532194435536</v>
      </c>
      <c r="AF261" s="199">
        <f t="shared" si="287"/>
        <v>0</v>
      </c>
      <c r="AG261" s="614">
        <f t="shared" si="273"/>
        <v>2.8280256869529969E-4</v>
      </c>
      <c r="AH261" s="241">
        <f>AB261*0.05</f>
        <v>1721.5179339835502</v>
      </c>
      <c r="AI261" s="252">
        <f t="shared" si="256"/>
        <v>1.3336338599126158E-4</v>
      </c>
      <c r="AJ261" s="199">
        <f t="shared" si="274"/>
        <v>8159.9950070820278</v>
      </c>
      <c r="AK261" s="199">
        <f t="shared" si="291"/>
        <v>1377.2143471868401</v>
      </c>
      <c r="AL261" s="199">
        <f t="shared" si="292"/>
        <v>1377.2143471868401</v>
      </c>
      <c r="AM261" s="199">
        <f t="shared" si="257"/>
        <v>2754.4286943736802</v>
      </c>
      <c r="AN261" s="645">
        <f t="shared" si="258"/>
        <v>1.3336338599126155E-4</v>
      </c>
      <c r="AO261" s="241"/>
      <c r="AP261" s="250">
        <f t="shared" si="259"/>
        <v>0</v>
      </c>
      <c r="AQ261" s="241"/>
      <c r="AR261" s="241"/>
      <c r="AS261" s="241"/>
      <c r="AT261" s="241"/>
      <c r="AV261" s="634">
        <f t="shared" si="319"/>
        <v>19127.97922607635</v>
      </c>
      <c r="AW261" s="250">
        <f t="shared" si="260"/>
        <v>5.5054083546609179E-4</v>
      </c>
      <c r="AX261" s="199">
        <v>0</v>
      </c>
      <c r="AY261" s="199">
        <f t="shared" si="320"/>
        <v>3092.6458155920254</v>
      </c>
      <c r="AZ261" s="199">
        <f t="shared" si="276"/>
        <v>0</v>
      </c>
      <c r="BA261" s="252">
        <f t="shared" si="261"/>
        <v>0</v>
      </c>
      <c r="BB261" s="284"/>
      <c r="BD261" s="270">
        <f t="shared" si="289"/>
        <v>0</v>
      </c>
      <c r="BF261" s="251">
        <f t="shared" si="290"/>
        <v>0</v>
      </c>
      <c r="BG261" s="199"/>
      <c r="BI261" s="199">
        <f t="shared" si="262"/>
        <v>10535.689755979329</v>
      </c>
      <c r="BJ261" s="199">
        <f t="shared" si="263"/>
        <v>21071.379511958658</v>
      </c>
      <c r="BK261" s="199">
        <f t="shared" si="271"/>
        <v>31607.069267937986</v>
      </c>
      <c r="BL261" s="251">
        <f t="shared" si="264"/>
        <v>1.3336338599126158E-4</v>
      </c>
      <c r="BM261" s="634">
        <f t="shared" si="323"/>
        <v>4714.9632595072071</v>
      </c>
      <c r="BN261" s="251">
        <f t="shared" si="265"/>
        <v>2.0360677682507616E-4</v>
      </c>
      <c r="BT261" s="199">
        <f>'Detailed Budget'!$AD$12</f>
        <v>194045122715</v>
      </c>
      <c r="BU261" s="199">
        <f>'Detailed Budget'!$AD$24</f>
        <v>194045122715</v>
      </c>
      <c r="BV261" s="596">
        <f t="shared" si="324"/>
        <v>5.5054083546609179E-4</v>
      </c>
      <c r="BW261" s="278"/>
      <c r="BX261" s="275">
        <f t="shared" si="294"/>
        <v>106829763.97763641</v>
      </c>
      <c r="BY261" s="275">
        <f t="shared" si="295"/>
        <v>106829763.97763641</v>
      </c>
      <c r="CA261" s="199">
        <f>'Detailed Budget'!$AD$96</f>
        <v>71050111380.677719</v>
      </c>
      <c r="CB261" s="275">
        <f t="shared" si="266"/>
        <v>0</v>
      </c>
      <c r="CE261" s="199">
        <f>'Detailed Budget'!$AD$175</f>
        <v>4330586076.5988197</v>
      </c>
      <c r="CF261" s="275">
        <f t="shared" si="325"/>
        <v>0</v>
      </c>
      <c r="CG261" s="199">
        <f>'Detailed Budget'!$AD$176</f>
        <v>20662817754.37001</v>
      </c>
      <c r="CH261" s="275">
        <f t="shared" si="326"/>
        <v>0</v>
      </c>
      <c r="CI261" s="275">
        <f t="shared" si="293"/>
        <v>0</v>
      </c>
      <c r="CJ261" s="275">
        <f>'Detailed Budget'!$AD$178</f>
        <v>46025131033.061455</v>
      </c>
      <c r="CK261" s="275">
        <f t="shared" si="327"/>
        <v>0</v>
      </c>
      <c r="CL261" s="275">
        <f t="shared" si="288"/>
        <v>0</v>
      </c>
      <c r="CM261" s="278">
        <f>'Detailed Budget'!$AD$189</f>
        <v>77498869683.252869</v>
      </c>
      <c r="CN261" s="275">
        <f t="shared" si="268"/>
        <v>0</v>
      </c>
      <c r="CO261" s="140">
        <f>'Detailed Budget'!$AD$191</f>
        <v>2684962805.4134097</v>
      </c>
      <c r="CP261" s="616">
        <f t="shared" si="269"/>
        <v>0</v>
      </c>
      <c r="CQ261" s="616">
        <f t="shared" si="270"/>
        <v>0</v>
      </c>
      <c r="CR261" s="199">
        <f>'Detailed Budget'!$AD$195</f>
        <v>18734176418</v>
      </c>
      <c r="CS261" s="275">
        <f t="shared" si="328"/>
        <v>3814405.2769413306</v>
      </c>
      <c r="CW261" s="278"/>
      <c r="DH261" s="140">
        <f>'Detailed Budget'!$AD$163</f>
        <v>4928560000</v>
      </c>
      <c r="DI261" s="616">
        <f t="shared" si="329"/>
        <v>0</v>
      </c>
    </row>
    <row r="262" spans="1:113" outlineLevel="1">
      <c r="A262" s="232"/>
      <c r="B262" s="233"/>
      <c r="C262" s="234"/>
      <c r="D262" s="235"/>
      <c r="E262" s="234"/>
      <c r="F262" s="234"/>
      <c r="G262" s="234"/>
      <c r="H262" s="234"/>
      <c r="I262" s="235"/>
      <c r="J262" s="235"/>
      <c r="K262" s="234"/>
      <c r="L262" s="234"/>
      <c r="M262" s="235"/>
      <c r="N262" s="234"/>
      <c r="O262" s="235"/>
      <c r="P262" s="234"/>
      <c r="Q262" s="235"/>
      <c r="R262" s="235"/>
      <c r="S262" s="235"/>
      <c r="T262" s="235"/>
      <c r="U262" s="236"/>
      <c r="V262" s="867"/>
      <c r="W262" s="237"/>
      <c r="X262" s="238"/>
      <c r="Y262" s="239"/>
      <c r="Z262" s="240"/>
      <c r="AA262" s="239"/>
      <c r="AB262" s="241"/>
      <c r="AC262" s="242"/>
      <c r="AD262" s="241"/>
      <c r="AE262" s="634"/>
      <c r="AF262" s="199">
        <f t="shared" si="287"/>
        <v>0</v>
      </c>
      <c r="AG262" s="614">
        <f t="shared" si="273"/>
        <v>0</v>
      </c>
      <c r="AH262" s="241"/>
      <c r="AJ262" s="199"/>
      <c r="AK262" s="199">
        <f t="shared" si="291"/>
        <v>0</v>
      </c>
      <c r="AL262" s="199">
        <f t="shared" si="292"/>
        <v>0</v>
      </c>
      <c r="AM262" s="199">
        <f t="shared" si="257"/>
        <v>0</v>
      </c>
      <c r="AN262" s="645">
        <f t="shared" si="258"/>
        <v>0</v>
      </c>
      <c r="AO262" s="241"/>
      <c r="AP262" s="250">
        <f t="shared" si="259"/>
        <v>0</v>
      </c>
      <c r="AQ262" s="241"/>
      <c r="AR262" s="241"/>
      <c r="AS262" s="241"/>
      <c r="AT262" s="241"/>
      <c r="AW262" s="250">
        <f t="shared" si="260"/>
        <v>0</v>
      </c>
      <c r="AX262" s="199"/>
      <c r="BA262" s="252">
        <f t="shared" si="261"/>
        <v>0</v>
      </c>
      <c r="BB262" s="284"/>
      <c r="BD262" s="270"/>
      <c r="BF262" s="251"/>
      <c r="BG262" s="199"/>
      <c r="BI262" s="199">
        <f t="shared" si="262"/>
        <v>0</v>
      </c>
      <c r="BJ262" s="199">
        <f t="shared" si="263"/>
        <v>0</v>
      </c>
      <c r="BK262" s="199">
        <f t="shared" si="271"/>
        <v>0</v>
      </c>
      <c r="BL262" s="251">
        <f t="shared" si="264"/>
        <v>0</v>
      </c>
      <c r="BN262" s="251">
        <f t="shared" si="265"/>
        <v>0</v>
      </c>
      <c r="BT262" s="199"/>
      <c r="BU262" s="199"/>
      <c r="BV262" s="596"/>
      <c r="BW262" s="278"/>
      <c r="BX262" s="275"/>
      <c r="BY262" s="275"/>
      <c r="CA262" s="199">
        <f>'Detailed Budget'!$AD$96</f>
        <v>71050111380.677719</v>
      </c>
      <c r="CB262" s="275">
        <f t="shared" si="266"/>
        <v>0</v>
      </c>
      <c r="CE262" s="199"/>
      <c r="CF262" s="275"/>
      <c r="CG262" s="199"/>
      <c r="CH262" s="275"/>
      <c r="CI262" s="275"/>
      <c r="CJ262" s="275"/>
      <c r="CK262" s="275"/>
      <c r="CL262" s="275">
        <f t="shared" si="288"/>
        <v>0</v>
      </c>
      <c r="CM262" s="278">
        <f>'Detailed Budget'!$AD$189</f>
        <v>77498869683.252869</v>
      </c>
      <c r="CN262" s="275">
        <f t="shared" si="268"/>
        <v>0</v>
      </c>
      <c r="CO262" s="140">
        <f>'Detailed Budget'!$AD$191</f>
        <v>2684962805.4134097</v>
      </c>
      <c r="CP262" s="616">
        <f t="shared" si="269"/>
        <v>0</v>
      </c>
      <c r="CQ262" s="616">
        <f t="shared" si="270"/>
        <v>0</v>
      </c>
      <c r="CR262" s="199"/>
      <c r="CS262" s="275"/>
      <c r="CW262" s="278"/>
      <c r="DH262" s="140">
        <f>'Detailed Budget'!$AD$163</f>
        <v>4928560000</v>
      </c>
      <c r="DI262" s="616">
        <f t="shared" si="329"/>
        <v>0</v>
      </c>
    </row>
    <row r="263" spans="1:113" s="213" customFormat="1">
      <c r="A263" s="206">
        <v>2.6</v>
      </c>
      <c r="B263" s="207" t="s">
        <v>677</v>
      </c>
      <c r="C263" s="208">
        <f t="shared" ref="C263:T263" si="333">COUNTA(C265:C281)</f>
        <v>17</v>
      </c>
      <c r="D263" s="208">
        <f t="shared" si="333"/>
        <v>17</v>
      </c>
      <c r="E263" s="208">
        <f t="shared" si="333"/>
        <v>0</v>
      </c>
      <c r="F263" s="208">
        <f t="shared" si="333"/>
        <v>0</v>
      </c>
      <c r="G263" s="208">
        <f t="shared" si="333"/>
        <v>0</v>
      </c>
      <c r="H263" s="208">
        <f t="shared" si="333"/>
        <v>17</v>
      </c>
      <c r="I263" s="208">
        <f t="shared" si="333"/>
        <v>17</v>
      </c>
      <c r="J263" s="208">
        <f t="shared" si="333"/>
        <v>0</v>
      </c>
      <c r="K263" s="208">
        <f t="shared" si="333"/>
        <v>17</v>
      </c>
      <c r="L263" s="208">
        <f t="shared" si="333"/>
        <v>0</v>
      </c>
      <c r="M263" s="208">
        <f t="shared" si="333"/>
        <v>0</v>
      </c>
      <c r="N263" s="208">
        <f t="shared" si="333"/>
        <v>0</v>
      </c>
      <c r="O263" s="208">
        <f t="shared" si="333"/>
        <v>0</v>
      </c>
      <c r="P263" s="208">
        <f t="shared" si="333"/>
        <v>0</v>
      </c>
      <c r="Q263" s="208">
        <f t="shared" si="333"/>
        <v>0</v>
      </c>
      <c r="R263" s="208">
        <f t="shared" si="333"/>
        <v>17</v>
      </c>
      <c r="S263" s="208">
        <f t="shared" si="333"/>
        <v>2</v>
      </c>
      <c r="T263" s="208">
        <f t="shared" si="333"/>
        <v>0</v>
      </c>
      <c r="U263" s="209">
        <f>SUM(C263:T263)</f>
        <v>104</v>
      </c>
      <c r="V263" s="867"/>
      <c r="W263" s="210">
        <f>SUM(W265:W281)</f>
        <v>2321339</v>
      </c>
      <c r="X263" s="211">
        <v>3.53</v>
      </c>
      <c r="Y263" s="212">
        <f t="shared" si="297"/>
        <v>1.0352999999999999</v>
      </c>
      <c r="Z263" s="210">
        <v>19</v>
      </c>
      <c r="AA263" s="212">
        <f t="shared" si="298"/>
        <v>1.9331166712483931</v>
      </c>
      <c r="AB263" s="210">
        <f t="shared" si="331"/>
        <v>4487419.1205190737</v>
      </c>
      <c r="AC263" s="213">
        <v>18.899999999999999</v>
      </c>
      <c r="AD263" s="210">
        <f t="shared" si="332"/>
        <v>848122.21377810498</v>
      </c>
      <c r="AE263" s="210">
        <f t="shared" si="301"/>
        <v>805716.10308919975</v>
      </c>
      <c r="AF263" s="210">
        <f>SUM(AF265:AF281)</f>
        <v>805716.10308919963</v>
      </c>
      <c r="AG263" s="614">
        <f t="shared" si="273"/>
        <v>3.7252775446875247E-2</v>
      </c>
      <c r="AH263" s="210">
        <f>SUM(AH265:AH281)</f>
        <v>224370.9560259537</v>
      </c>
      <c r="AI263" s="252">
        <f t="shared" ref="AI263:AI325" si="334">AH263/12908475</f>
        <v>1.738167800812673E-2</v>
      </c>
      <c r="AJ263" s="210">
        <f>SUM(AJ265:AJ281)</f>
        <v>1072493.1698040587</v>
      </c>
      <c r="AK263" s="199">
        <f t="shared" si="291"/>
        <v>179496.76482076294</v>
      </c>
      <c r="AL263" s="199">
        <f t="shared" si="292"/>
        <v>179496.76482076294</v>
      </c>
      <c r="AM263" s="199">
        <f t="shared" ref="AM263:AM326" si="335">AK263+AL263</f>
        <v>358993.52964152588</v>
      </c>
      <c r="AN263" s="645">
        <f t="shared" ref="AN263:AN326" si="336">AM263/20653560</f>
        <v>1.738167800812673E-2</v>
      </c>
      <c r="AO263" s="210">
        <f>SUM(AO265:AO281)</f>
        <v>178</v>
      </c>
      <c r="AP263" s="250">
        <f t="shared" ref="AP263:AP326" si="337">AO263/8801</f>
        <v>2.0224974434723327E-2</v>
      </c>
      <c r="AQ263" s="210">
        <f>SUM(AQ265:AQ281)</f>
        <v>178</v>
      </c>
      <c r="AR263" s="210"/>
      <c r="AS263" s="210"/>
      <c r="AT263" s="210"/>
      <c r="AU263" s="199"/>
      <c r="AV263" s="210">
        <v>2493011</v>
      </c>
      <c r="AW263" s="250">
        <f t="shared" ref="AW263:AW326" si="338">AV263/34743979</f>
        <v>7.1753756240757569E-2</v>
      </c>
      <c r="AX263" s="199"/>
      <c r="AY263" s="210">
        <v>258686</v>
      </c>
      <c r="AZ263" s="210">
        <f>SUM(AZ265:AZ281)</f>
        <v>0</v>
      </c>
      <c r="BA263" s="252">
        <f t="shared" ref="BA263:BA326" si="339">AZ263/12721596</f>
        <v>0</v>
      </c>
      <c r="BB263" s="284"/>
      <c r="BC263" s="210">
        <f>SUM(BC265:BC281)</f>
        <v>610647.99392023543</v>
      </c>
      <c r="BD263" s="270">
        <f t="shared" si="289"/>
        <v>5.4993183481352861E-2</v>
      </c>
      <c r="BE263" s="210">
        <f>SUM(BE265:BE281)</f>
        <v>2612216.4184365631</v>
      </c>
      <c r="BF263" s="251">
        <f t="shared" si="290"/>
        <v>5.4993184703404835E-2</v>
      </c>
      <c r="BG263" s="210">
        <f>SUM(BG265:BG281)</f>
        <v>3222864.412356799</v>
      </c>
      <c r="BH263"/>
      <c r="BI263" s="199">
        <f t="shared" ref="BI263:BI326" si="340">AK263*0.85*0.75*12</f>
        <v>1373150.2508788365</v>
      </c>
      <c r="BJ263" s="199">
        <f t="shared" ref="BJ263:BJ326" si="341">AL263*0.85*0.75*2*12</f>
        <v>2746300.501757673</v>
      </c>
      <c r="BK263" s="199">
        <f t="shared" si="271"/>
        <v>4119450.7526365095</v>
      </c>
      <c r="BL263" s="251">
        <f t="shared" ref="BL263:BL326" si="342">BK263/236999601</f>
        <v>1.738167800812673E-2</v>
      </c>
      <c r="BM263" s="210">
        <v>555084</v>
      </c>
      <c r="BN263" s="251">
        <f t="shared" ref="BN263:BN326" si="343">BM263/23157202</f>
        <v>2.3970253401080149E-2</v>
      </c>
      <c r="BT263" s="210">
        <f>'Detailed Budget'!$AD$12</f>
        <v>194045122715</v>
      </c>
      <c r="BU263" s="210">
        <f>'Detailed Budget'!$AD$24</f>
        <v>194045122715</v>
      </c>
      <c r="BV263" s="596">
        <f>AV263/34743979</f>
        <v>7.1753756240757569E-2</v>
      </c>
      <c r="BW263" s="278">
        <v>1</v>
      </c>
      <c r="BX263" s="613">
        <f t="shared" si="294"/>
        <v>13923466435</v>
      </c>
      <c r="BY263" s="613">
        <f t="shared" si="295"/>
        <v>13923466435</v>
      </c>
      <c r="BZ263" s="613">
        <f>BX263+BY263</f>
        <v>27846932870</v>
      </c>
      <c r="CA263" s="210">
        <f>'Detailed Budget'!$AD$96</f>
        <v>71050111380.677719</v>
      </c>
      <c r="CB263" s="632">
        <f t="shared" ref="CB263:CB326" si="344">BA263*CA263</f>
        <v>0</v>
      </c>
      <c r="CE263" s="210">
        <f>'Detailed Budget'!$AD$175</f>
        <v>4330586076.5988197</v>
      </c>
      <c r="CF263" s="210">
        <f>SUM(CF265:CF281)</f>
        <v>238152714.69219095</v>
      </c>
      <c r="CG263" s="240">
        <f>'Detailed Budget'!$AD$176</f>
        <v>20662817754.37001</v>
      </c>
      <c r="CH263" s="210">
        <f>SUM(CH265:CH281)</f>
        <v>1136314153.2588625</v>
      </c>
      <c r="CI263" s="210">
        <f>SUM(CI265:CI281)</f>
        <v>1374466867.9510539</v>
      </c>
      <c r="CJ263" s="275">
        <f>'Detailed Budget'!$AD$178</f>
        <v>46025131033.061455</v>
      </c>
      <c r="CK263" s="210">
        <f t="shared" ref="CK263:CL263" si="345">SUM(CK265:CK281)</f>
        <v>1714563871.2876477</v>
      </c>
      <c r="CL263" s="210">
        <f t="shared" si="345"/>
        <v>3089030739.2387013</v>
      </c>
      <c r="CM263" s="278">
        <f>'Detailed Budget'!$AD$189</f>
        <v>77498869683.252869</v>
      </c>
      <c r="CN263" s="275">
        <f t="shared" ref="CN263:CN326" si="346">BH263*BL263*CM263</f>
        <v>0</v>
      </c>
      <c r="CO263" s="140">
        <f>'Detailed Budget'!$AD$191</f>
        <v>2684962805.4134097</v>
      </c>
      <c r="CP263" s="616">
        <f t="shared" ref="CP263:CP326" si="347">BH263*AN263*CO263</f>
        <v>0</v>
      </c>
      <c r="CQ263" s="616">
        <f t="shared" ref="CQ263:CQ326" si="348">CN263+CP263</f>
        <v>0</v>
      </c>
      <c r="CR263" s="210">
        <f>'Detailed Budget'!$AD$195</f>
        <v>18734176418</v>
      </c>
      <c r="CS263" s="275">
        <f>BN263*CR263</f>
        <v>449062956</v>
      </c>
      <c r="CW263" s="278"/>
      <c r="DH263" s="140">
        <f>'Detailed Budget'!$AD$163</f>
        <v>4928560000</v>
      </c>
      <c r="DI263" s="616">
        <f t="shared" si="329"/>
        <v>99680000</v>
      </c>
    </row>
    <row r="264" spans="1:113" s="213" customFormat="1">
      <c r="A264" s="214" t="s">
        <v>2331</v>
      </c>
      <c r="B264" s="215" t="s">
        <v>2318</v>
      </c>
      <c r="C264" s="208"/>
      <c r="D264" s="208"/>
      <c r="E264" s="208"/>
      <c r="F264" s="208"/>
      <c r="G264" s="208"/>
      <c r="H264" s="208"/>
      <c r="I264" s="208"/>
      <c r="J264" s="208"/>
      <c r="K264" s="208"/>
      <c r="L264" s="208"/>
      <c r="M264" s="208"/>
      <c r="N264" s="208"/>
      <c r="O264" s="208"/>
      <c r="P264" s="208"/>
      <c r="Q264" s="208"/>
      <c r="R264" s="208"/>
      <c r="S264" s="208"/>
      <c r="T264" s="208"/>
      <c r="U264" s="209"/>
      <c r="V264" s="867"/>
      <c r="W264" s="210"/>
      <c r="X264" s="211"/>
      <c r="Y264" s="212"/>
      <c r="Z264" s="210"/>
      <c r="AA264" s="212"/>
      <c r="AB264" s="210"/>
      <c r="AD264" s="210"/>
      <c r="AE264" s="199"/>
      <c r="AF264" s="199"/>
      <c r="AG264" s="614">
        <f t="shared" si="273"/>
        <v>0</v>
      </c>
      <c r="AH264" s="210"/>
      <c r="AI264" s="252"/>
      <c r="AJ264" s="199"/>
      <c r="AK264" s="199">
        <f t="shared" si="291"/>
        <v>0</v>
      </c>
      <c r="AL264" s="199">
        <f t="shared" si="292"/>
        <v>0</v>
      </c>
      <c r="AM264" s="199">
        <f t="shared" si="335"/>
        <v>0</v>
      </c>
      <c r="AN264" s="645">
        <f t="shared" si="336"/>
        <v>0</v>
      </c>
      <c r="AO264" s="210"/>
      <c r="AP264" s="250"/>
      <c r="AQ264" s="210"/>
      <c r="AR264" s="210"/>
      <c r="AS264" s="210"/>
      <c r="AT264" s="210"/>
      <c r="AU264" s="199"/>
      <c r="AV264" s="240"/>
      <c r="AW264" s="250">
        <f t="shared" si="338"/>
        <v>0</v>
      </c>
      <c r="AX264" s="199"/>
      <c r="AY264" s="210"/>
      <c r="AZ264" s="199"/>
      <c r="BA264" s="252">
        <f t="shared" si="339"/>
        <v>0</v>
      </c>
      <c r="BB264" s="284"/>
      <c r="BC264" s="269"/>
      <c r="BD264" s="270">
        <f t="shared" si="289"/>
        <v>0</v>
      </c>
      <c r="BE264" s="269"/>
      <c r="BF264" s="251">
        <f t="shared" si="290"/>
        <v>0</v>
      </c>
      <c r="BG264" s="204"/>
      <c r="BH264"/>
      <c r="BI264" s="199">
        <f t="shared" si="340"/>
        <v>0</v>
      </c>
      <c r="BJ264" s="199">
        <f t="shared" si="341"/>
        <v>0</v>
      </c>
      <c r="BK264" s="199">
        <f t="shared" ref="BK264:BK327" si="349">BI264+BJ264</f>
        <v>0</v>
      </c>
      <c r="BL264" s="251">
        <f t="shared" si="342"/>
        <v>0</v>
      </c>
      <c r="BM264" s="210"/>
      <c r="BN264" s="251">
        <f t="shared" si="343"/>
        <v>0</v>
      </c>
      <c r="BT264" s="210"/>
      <c r="BU264" s="210">
        <f>'Detailed Budget'!$AD$24</f>
        <v>194045122715</v>
      </c>
      <c r="BV264" s="596"/>
      <c r="BW264" s="278"/>
      <c r="BX264" s="275"/>
      <c r="BY264" s="275"/>
      <c r="CA264" s="210">
        <f>'Detailed Budget'!$AD$96</f>
        <v>71050111380.677719</v>
      </c>
      <c r="CB264" s="275"/>
      <c r="CE264" s="210"/>
      <c r="CF264" s="275"/>
      <c r="CG264" s="240"/>
      <c r="CH264" s="275"/>
      <c r="CI264" s="275"/>
      <c r="CJ264" s="275"/>
      <c r="CK264" s="275"/>
      <c r="CL264" s="275"/>
      <c r="CM264" s="278">
        <f>'Detailed Budget'!$AD$189</f>
        <v>77498869683.252869</v>
      </c>
      <c r="CN264" s="275">
        <f t="shared" si="346"/>
        <v>0</v>
      </c>
      <c r="CO264" s="140">
        <f>'Detailed Budget'!$AD$191</f>
        <v>2684962805.4134097</v>
      </c>
      <c r="CP264" s="616">
        <f t="shared" si="347"/>
        <v>0</v>
      </c>
      <c r="CQ264" s="616">
        <f t="shared" si="348"/>
        <v>0</v>
      </c>
      <c r="CR264" s="210"/>
      <c r="CS264" s="275"/>
      <c r="CW264" s="278"/>
      <c r="DH264" s="140"/>
      <c r="DI264" s="616"/>
    </row>
    <row r="265" spans="1:113" outlineLevel="1">
      <c r="A265" s="214" t="s">
        <v>678</v>
      </c>
      <c r="B265" s="215" t="s">
        <v>679</v>
      </c>
      <c r="C265" s="216" t="s">
        <v>234</v>
      </c>
      <c r="D265" s="217" t="s">
        <v>234</v>
      </c>
      <c r="E265" s="216"/>
      <c r="F265" s="216"/>
      <c r="G265" s="216"/>
      <c r="H265" s="216" t="s">
        <v>234</v>
      </c>
      <c r="I265" s="217" t="s">
        <v>234</v>
      </c>
      <c r="J265" s="217"/>
      <c r="K265" s="216" t="s">
        <v>234</v>
      </c>
      <c r="L265" s="216"/>
      <c r="M265" s="217"/>
      <c r="N265" s="216"/>
      <c r="O265" s="217"/>
      <c r="P265" s="216"/>
      <c r="Q265" s="217"/>
      <c r="R265" s="217" t="s">
        <v>234</v>
      </c>
      <c r="S265" s="217"/>
      <c r="T265" s="217"/>
      <c r="U265" s="218">
        <f t="shared" ref="U265:U281" si="350">COUNTA(C265:T265)</f>
        <v>6</v>
      </c>
      <c r="V265" s="867" t="s">
        <v>238</v>
      </c>
      <c r="W265" s="219">
        <v>139804</v>
      </c>
      <c r="X265" s="220">
        <v>3.53</v>
      </c>
      <c r="Y265" s="221">
        <f t="shared" si="297"/>
        <v>1.0352999999999999</v>
      </c>
      <c r="Z265" s="199">
        <v>19</v>
      </c>
      <c r="AA265" s="221">
        <f t="shared" si="298"/>
        <v>1.9331166712483931</v>
      </c>
      <c r="AB265" s="199">
        <f t="shared" si="331"/>
        <v>270257.44310721033</v>
      </c>
      <c r="AC265">
        <v>18.899999999999999</v>
      </c>
      <c r="AD265" s="199">
        <f t="shared" si="332"/>
        <v>51078.65674726275</v>
      </c>
      <c r="AE265" s="199">
        <f t="shared" si="301"/>
        <v>48524.723909899607</v>
      </c>
      <c r="AF265" s="199">
        <f t="shared" si="287"/>
        <v>48524.723909899607</v>
      </c>
      <c r="AG265" s="614">
        <f t="shared" ref="AG265:AG328" si="351">AE265/21628351</f>
        <v>2.243570206064235E-3</v>
      </c>
      <c r="AH265" s="199">
        <f>AB265*0.05</f>
        <v>13512.872155360517</v>
      </c>
      <c r="AI265" s="252">
        <f t="shared" si="334"/>
        <v>1.0468217318746419E-3</v>
      </c>
      <c r="AJ265" s="199">
        <f t="shared" ref="AJ265:AJ326" si="352">AD265+AH265</f>
        <v>64591.528902623264</v>
      </c>
      <c r="AK265" s="199">
        <f t="shared" si="291"/>
        <v>10810.297724288414</v>
      </c>
      <c r="AL265" s="199">
        <f t="shared" si="292"/>
        <v>10810.297724288414</v>
      </c>
      <c r="AM265" s="199">
        <f t="shared" si="335"/>
        <v>21620.595448576827</v>
      </c>
      <c r="AN265" s="645">
        <f t="shared" si="336"/>
        <v>1.0468217318746417E-3</v>
      </c>
      <c r="AO265" s="199">
        <v>10</v>
      </c>
      <c r="AP265" s="250">
        <f t="shared" si="337"/>
        <v>1.1362345188046814E-3</v>
      </c>
      <c r="AQ265" s="199">
        <v>10</v>
      </c>
      <c r="AU265" s="199">
        <v>1</v>
      </c>
      <c r="AV265" s="199">
        <f t="shared" ref="AV265:AV281" si="353">W265/2321339*2493011</f>
        <v>150143.04668297048</v>
      </c>
      <c r="AW265" s="250">
        <f t="shared" si="338"/>
        <v>4.3214119684728824E-3</v>
      </c>
      <c r="AX265" s="199">
        <v>0</v>
      </c>
      <c r="AY265" s="199">
        <f t="shared" ref="AY265:AY281" si="354">AJ265/1072493*258686</f>
        <v>15579.51823061223</v>
      </c>
      <c r="AZ265" s="199">
        <f t="shared" ref="AZ265:AZ326" si="355">AX265*AY265</f>
        <v>0</v>
      </c>
      <c r="BA265" s="252">
        <f t="shared" si="339"/>
        <v>0</v>
      </c>
      <c r="BB265" s="284">
        <v>1</v>
      </c>
      <c r="BC265" s="199">
        <f t="shared" ref="BC265:BC281" si="356">AD265*BB265*0.18*4</f>
        <v>36776.632858029181</v>
      </c>
      <c r="BD265" s="270">
        <f t="shared" si="289"/>
        <v>3.3119966637475424E-3</v>
      </c>
      <c r="BE265" s="199">
        <f t="shared" ref="BE265:BE281" si="357">AD265*BB265*0.77*4</f>
        <v>157322.26278156927</v>
      </c>
      <c r="BF265" s="251">
        <f t="shared" si="290"/>
        <v>3.311996737346337E-3</v>
      </c>
      <c r="BG265" s="199">
        <f t="shared" si="296"/>
        <v>194098.89563959846</v>
      </c>
      <c r="BH265" s="636">
        <v>0</v>
      </c>
      <c r="BI265" s="199">
        <f t="shared" si="340"/>
        <v>82698.777590806363</v>
      </c>
      <c r="BJ265" s="199">
        <f t="shared" si="341"/>
        <v>165397.55518161273</v>
      </c>
      <c r="BK265" s="199">
        <f t="shared" si="349"/>
        <v>248096.33277241909</v>
      </c>
      <c r="BL265" s="251">
        <f t="shared" si="342"/>
        <v>1.0468217318746417E-3</v>
      </c>
      <c r="BM265" s="199">
        <f t="shared" ref="BM265:BM281" si="358">AH265/224371*555084</f>
        <v>33430.252249560494</v>
      </c>
      <c r="BN265" s="251">
        <f t="shared" si="343"/>
        <v>1.4436222584041239E-3</v>
      </c>
      <c r="BT265" s="199">
        <f>'Detailed Budget'!$AD$12</f>
        <v>194045122715</v>
      </c>
      <c r="BU265" s="199">
        <f>'Detailed Budget'!$AD$24</f>
        <v>194045122715</v>
      </c>
      <c r="BV265" s="596">
        <f t="shared" ref="BV265:BV284" si="359">AV265/34743979</f>
        <v>4.3214119684728824E-3</v>
      </c>
      <c r="BW265" s="278"/>
      <c r="BX265" s="275">
        <f t="shared" si="294"/>
        <v>838548915.72439015</v>
      </c>
      <c r="BY265" s="275">
        <f t="shared" si="295"/>
        <v>838548915.72439015</v>
      </c>
      <c r="CA265" s="199">
        <f>'Detailed Budget'!$AD$96</f>
        <v>71050111380.677719</v>
      </c>
      <c r="CB265" s="275">
        <f t="shared" si="344"/>
        <v>0</v>
      </c>
      <c r="CE265" s="199">
        <f>'Detailed Budget'!$AD$175</f>
        <v>4330586076.5988197</v>
      </c>
      <c r="CF265" s="275">
        <f t="shared" ref="CF265:CF281" si="360">BB265*BD265*CE265</f>
        <v>14342886.637766849</v>
      </c>
      <c r="CG265" s="199">
        <f>'Detailed Budget'!$AD$176</f>
        <v>20662817754.37001</v>
      </c>
      <c r="CH265" s="275">
        <f t="shared" ref="CH265:CH281" si="361">BB265*BF265*CG265</f>
        <v>68435184.986855432</v>
      </c>
      <c r="CI265" s="275">
        <f t="shared" si="293"/>
        <v>82778071.624622285</v>
      </c>
      <c r="CJ265" s="275">
        <f>'Detailed Budget'!$AD$178</f>
        <v>46025131033.061455</v>
      </c>
      <c r="CK265" s="275">
        <f t="shared" ref="CK265:CK281" si="362">BB265*AG265*CJ265</f>
        <v>103260612.7159791</v>
      </c>
      <c r="CL265" s="275">
        <f t="shared" si="288"/>
        <v>186038684.34060138</v>
      </c>
      <c r="CM265" s="278">
        <f>'Detailed Budget'!$AD$189</f>
        <v>77498869683.252869</v>
      </c>
      <c r="CN265" s="275">
        <f t="shared" si="346"/>
        <v>0</v>
      </c>
      <c r="CO265" s="140">
        <f>'Detailed Budget'!$AD$191</f>
        <v>2684962805.4134097</v>
      </c>
      <c r="CP265" s="616">
        <f t="shared" si="347"/>
        <v>0</v>
      </c>
      <c r="CQ265" s="616">
        <f t="shared" si="348"/>
        <v>0</v>
      </c>
      <c r="CR265" s="199">
        <f>'Detailed Budget'!$AD$195</f>
        <v>18734176418</v>
      </c>
      <c r="CS265" s="275">
        <f t="shared" ref="CS265:CS281" si="363">BN265*CR265</f>
        <v>27045074.06989444</v>
      </c>
      <c r="CW265" s="278"/>
      <c r="DH265" s="140"/>
      <c r="DI265" s="616"/>
    </row>
    <row r="266" spans="1:113" outlineLevel="1">
      <c r="A266" s="214" t="s">
        <v>680</v>
      </c>
      <c r="B266" s="215" t="s">
        <v>681</v>
      </c>
      <c r="C266" s="216" t="s">
        <v>234</v>
      </c>
      <c r="D266" s="217" t="s">
        <v>234</v>
      </c>
      <c r="E266" s="216"/>
      <c r="F266" s="216"/>
      <c r="G266" s="216"/>
      <c r="H266" s="216" t="s">
        <v>234</v>
      </c>
      <c r="I266" s="217" t="s">
        <v>234</v>
      </c>
      <c r="J266" s="217"/>
      <c r="K266" s="216" t="s">
        <v>234</v>
      </c>
      <c r="L266" s="216"/>
      <c r="M266" s="217"/>
      <c r="N266" s="216"/>
      <c r="O266" s="217"/>
      <c r="P266" s="216"/>
      <c r="Q266" s="217"/>
      <c r="R266" s="217" t="s">
        <v>234</v>
      </c>
      <c r="S266" s="217"/>
      <c r="T266" s="217"/>
      <c r="U266" s="218">
        <f t="shared" si="350"/>
        <v>6</v>
      </c>
      <c r="V266" s="867" t="s">
        <v>238</v>
      </c>
      <c r="W266" s="219">
        <v>109692</v>
      </c>
      <c r="X266" s="220">
        <v>3.53</v>
      </c>
      <c r="Y266" s="221">
        <f t="shared" si="297"/>
        <v>1.0352999999999999</v>
      </c>
      <c r="Z266" s="199">
        <v>19</v>
      </c>
      <c r="AA266" s="221">
        <f t="shared" si="298"/>
        <v>1.9331166712483931</v>
      </c>
      <c r="AB266" s="199">
        <f t="shared" si="331"/>
        <v>212047.43390257875</v>
      </c>
      <c r="AC266">
        <v>18.899999999999999</v>
      </c>
      <c r="AD266" s="199">
        <f t="shared" si="332"/>
        <v>40076.96500758738</v>
      </c>
      <c r="AE266" s="199">
        <f t="shared" si="301"/>
        <v>38073.116757208008</v>
      </c>
      <c r="AF266" s="199">
        <f t="shared" si="287"/>
        <v>38073.116757208008</v>
      </c>
      <c r="AG266" s="614">
        <f t="shared" si="351"/>
        <v>1.7603337747389067E-3</v>
      </c>
      <c r="AH266" s="199">
        <f t="shared" ref="AH266:AH281" si="364">AB266*0.05</f>
        <v>10602.371695128939</v>
      </c>
      <c r="AI266" s="252">
        <f t="shared" si="334"/>
        <v>8.2134967105943488E-4</v>
      </c>
      <c r="AJ266" s="199">
        <f t="shared" si="352"/>
        <v>50679.336702716319</v>
      </c>
      <c r="AK266" s="199">
        <f t="shared" si="291"/>
        <v>8481.8973561031507</v>
      </c>
      <c r="AL266" s="199">
        <f t="shared" si="292"/>
        <v>8481.8973561031507</v>
      </c>
      <c r="AM266" s="199">
        <f t="shared" si="335"/>
        <v>16963.794712206301</v>
      </c>
      <c r="AN266" s="645">
        <f t="shared" si="336"/>
        <v>8.2134967105943488E-4</v>
      </c>
      <c r="AO266" s="199">
        <v>10</v>
      </c>
      <c r="AP266" s="250">
        <f t="shared" si="337"/>
        <v>1.1362345188046814E-3</v>
      </c>
      <c r="AQ266" s="199">
        <v>10</v>
      </c>
      <c r="AU266" s="199">
        <v>1</v>
      </c>
      <c r="AV266" s="199">
        <f t="shared" si="353"/>
        <v>117804.1477836714</v>
      </c>
      <c r="AW266" s="250">
        <f t="shared" si="338"/>
        <v>3.3906349006160579E-3</v>
      </c>
      <c r="AX266" s="199">
        <v>0</v>
      </c>
      <c r="AY266" s="199">
        <f t="shared" si="354"/>
        <v>12223.888542189901</v>
      </c>
      <c r="AZ266" s="199">
        <f t="shared" si="355"/>
        <v>0</v>
      </c>
      <c r="BA266" s="252">
        <f t="shared" si="339"/>
        <v>0</v>
      </c>
      <c r="BB266" s="284">
        <v>1</v>
      </c>
      <c r="BC266" s="199">
        <f t="shared" si="356"/>
        <v>28855.414805462911</v>
      </c>
      <c r="BD266" s="270">
        <f t="shared" si="289"/>
        <v>2.5986347889888372E-3</v>
      </c>
      <c r="BE266" s="199">
        <f t="shared" si="357"/>
        <v>123437.05222336913</v>
      </c>
      <c r="BF266" s="251">
        <f t="shared" si="290"/>
        <v>2.5986348467353895E-3</v>
      </c>
      <c r="BG266" s="199">
        <f t="shared" si="296"/>
        <v>152292.46702883203</v>
      </c>
      <c r="BH266" s="636">
        <v>0</v>
      </c>
      <c r="BI266" s="199">
        <f t="shared" si="340"/>
        <v>64886.514774189105</v>
      </c>
      <c r="BJ266" s="199">
        <f t="shared" si="341"/>
        <v>129773.02954837821</v>
      </c>
      <c r="BK266" s="199">
        <f t="shared" si="349"/>
        <v>194659.54432256732</v>
      </c>
      <c r="BL266" s="251">
        <f t="shared" si="342"/>
        <v>8.2134967105943488E-4</v>
      </c>
      <c r="BM266" s="199">
        <f t="shared" si="358"/>
        <v>26229.801935272171</v>
      </c>
      <c r="BN266" s="251">
        <f t="shared" si="343"/>
        <v>1.1326844208239049E-3</v>
      </c>
      <c r="BT266" s="199">
        <f>'Detailed Budget'!$AD$12</f>
        <v>194045122715</v>
      </c>
      <c r="BU266" s="199">
        <f>'Detailed Budget'!$AD$24</f>
        <v>194045122715</v>
      </c>
      <c r="BV266" s="596">
        <f t="shared" si="359"/>
        <v>3.3906349006160579E-3</v>
      </c>
      <c r="BW266" s="278"/>
      <c r="BX266" s="275">
        <f t="shared" si="294"/>
        <v>657936165.37180483</v>
      </c>
      <c r="BY266" s="275">
        <f t="shared" si="295"/>
        <v>657936165.37180483</v>
      </c>
      <c r="CA266" s="199">
        <f>'Detailed Budget'!$AD$96</f>
        <v>71050111380.677719</v>
      </c>
      <c r="CB266" s="275">
        <f t="shared" si="344"/>
        <v>0</v>
      </c>
      <c r="CE266" s="199">
        <f>'Detailed Budget'!$AD$175</f>
        <v>4330586076.5988197</v>
      </c>
      <c r="CF266" s="275">
        <f t="shared" si="360"/>
        <v>11253611.635360369</v>
      </c>
      <c r="CG266" s="199">
        <f>'Detailed Budget'!$AD$176</f>
        <v>20662817754.37001</v>
      </c>
      <c r="CH266" s="275">
        <f t="shared" si="361"/>
        <v>53695118.248248599</v>
      </c>
      <c r="CI266" s="275">
        <f t="shared" si="293"/>
        <v>64948729.883608967</v>
      </c>
      <c r="CJ266" s="275">
        <f>'Detailed Budget'!$AD$178</f>
        <v>46025131033.061455</v>
      </c>
      <c r="CK266" s="275">
        <f t="shared" si="362"/>
        <v>81019592.644281864</v>
      </c>
      <c r="CL266" s="275">
        <f t="shared" si="288"/>
        <v>145968322.52789083</v>
      </c>
      <c r="CM266" s="278">
        <f>'Detailed Budget'!$AD$189</f>
        <v>77498869683.252869</v>
      </c>
      <c r="CN266" s="275">
        <f t="shared" si="346"/>
        <v>0</v>
      </c>
      <c r="CO266" s="140">
        <f>'Detailed Budget'!$AD$191</f>
        <v>2684962805.4134097</v>
      </c>
      <c r="CP266" s="616">
        <f t="shared" si="347"/>
        <v>0</v>
      </c>
      <c r="CQ266" s="616">
        <f t="shared" si="348"/>
        <v>0</v>
      </c>
      <c r="CR266" s="199">
        <f>'Detailed Budget'!$AD$195</f>
        <v>18734176418</v>
      </c>
      <c r="CS266" s="275">
        <f t="shared" si="363"/>
        <v>21219909.765635189</v>
      </c>
      <c r="CW266" s="278"/>
      <c r="DH266" s="140"/>
      <c r="DI266" s="616"/>
    </row>
    <row r="267" spans="1:113" outlineLevel="1">
      <c r="A267" s="214" t="s">
        <v>682</v>
      </c>
      <c r="B267" s="215" t="s">
        <v>683</v>
      </c>
      <c r="C267" s="216" t="s">
        <v>234</v>
      </c>
      <c r="D267" s="217" t="s">
        <v>234</v>
      </c>
      <c r="E267" s="216"/>
      <c r="F267" s="216"/>
      <c r="G267" s="216"/>
      <c r="H267" s="216" t="s">
        <v>234</v>
      </c>
      <c r="I267" s="217" t="s">
        <v>234</v>
      </c>
      <c r="J267" s="217"/>
      <c r="K267" s="216" t="s">
        <v>234</v>
      </c>
      <c r="L267" s="216"/>
      <c r="M267" s="217"/>
      <c r="N267" s="216"/>
      <c r="O267" s="217"/>
      <c r="P267" s="216"/>
      <c r="Q267" s="217"/>
      <c r="R267" s="217" t="s">
        <v>234</v>
      </c>
      <c r="S267" s="217"/>
      <c r="T267" s="217"/>
      <c r="U267" s="218">
        <f t="shared" si="350"/>
        <v>6</v>
      </c>
      <c r="V267" s="867" t="s">
        <v>238</v>
      </c>
      <c r="W267" s="219">
        <v>87706</v>
      </c>
      <c r="X267" s="220">
        <v>3.53</v>
      </c>
      <c r="Y267" s="221">
        <f t="shared" si="297"/>
        <v>1.0352999999999999</v>
      </c>
      <c r="Z267" s="199">
        <v>19</v>
      </c>
      <c r="AA267" s="221">
        <f t="shared" si="298"/>
        <v>1.9331166712483931</v>
      </c>
      <c r="AB267" s="199">
        <f t="shared" si="331"/>
        <v>169545.93076851158</v>
      </c>
      <c r="AC267">
        <v>18.899999999999999</v>
      </c>
      <c r="AD267" s="199">
        <f t="shared" si="332"/>
        <v>32044.180915248686</v>
      </c>
      <c r="AE267" s="199">
        <f t="shared" si="301"/>
        <v>30441.971869486249</v>
      </c>
      <c r="AF267" s="199">
        <f t="shared" si="287"/>
        <v>30441.971869486249</v>
      </c>
      <c r="AG267" s="614">
        <f t="shared" si="351"/>
        <v>1.4075031364844343E-3</v>
      </c>
      <c r="AH267" s="199">
        <f t="shared" si="364"/>
        <v>8477.2965384255785</v>
      </c>
      <c r="AI267" s="252">
        <f t="shared" si="334"/>
        <v>6.5672331847298605E-4</v>
      </c>
      <c r="AJ267" s="199">
        <f t="shared" si="352"/>
        <v>40521.477453674263</v>
      </c>
      <c r="AK267" s="199">
        <f t="shared" si="291"/>
        <v>6781.8372307404634</v>
      </c>
      <c r="AL267" s="199">
        <f t="shared" si="292"/>
        <v>6781.8372307404634</v>
      </c>
      <c r="AM267" s="199">
        <f t="shared" si="335"/>
        <v>13563.674461480927</v>
      </c>
      <c r="AN267" s="645">
        <f t="shared" si="336"/>
        <v>6.5672331847298605E-4</v>
      </c>
      <c r="AO267" s="199">
        <v>11</v>
      </c>
      <c r="AP267" s="250">
        <f t="shared" si="337"/>
        <v>1.2498579706851495E-3</v>
      </c>
      <c r="AQ267" s="199">
        <v>11</v>
      </c>
      <c r="AU267" s="199">
        <v>1</v>
      </c>
      <c r="AV267" s="199">
        <f t="shared" si="353"/>
        <v>94192.198022779092</v>
      </c>
      <c r="AW267" s="250">
        <f t="shared" si="338"/>
        <v>2.7110365805476421E-3</v>
      </c>
      <c r="AX267" s="199">
        <v>0</v>
      </c>
      <c r="AY267" s="199">
        <f t="shared" si="354"/>
        <v>9773.8063713060874</v>
      </c>
      <c r="AZ267" s="199">
        <f t="shared" si="355"/>
        <v>0</v>
      </c>
      <c r="BA267" s="252">
        <f t="shared" si="339"/>
        <v>0</v>
      </c>
      <c r="BB267" s="284">
        <v>1</v>
      </c>
      <c r="BC267" s="199">
        <f t="shared" si="356"/>
        <v>23071.810258979054</v>
      </c>
      <c r="BD267" s="270">
        <f t="shared" si="289"/>
        <v>2.0777801736047751E-3</v>
      </c>
      <c r="BE267" s="199">
        <f t="shared" si="357"/>
        <v>98696.077218965947</v>
      </c>
      <c r="BF267" s="251">
        <f t="shared" si="290"/>
        <v>2.0777802197769579E-3</v>
      </c>
      <c r="BG267" s="199">
        <f t="shared" si="296"/>
        <v>121767.887477945</v>
      </c>
      <c r="BH267" s="636">
        <v>0</v>
      </c>
      <c r="BI267" s="199">
        <f t="shared" si="340"/>
        <v>51881.054815164549</v>
      </c>
      <c r="BJ267" s="199">
        <f t="shared" si="341"/>
        <v>103762.1096303291</v>
      </c>
      <c r="BK267" s="199">
        <f t="shared" si="349"/>
        <v>155643.16444549366</v>
      </c>
      <c r="BL267" s="251">
        <f t="shared" si="342"/>
        <v>6.5672331847298616E-4</v>
      </c>
      <c r="BM267" s="199">
        <f t="shared" si="358"/>
        <v>20972.459327343655</v>
      </c>
      <c r="BN267" s="251">
        <f t="shared" si="343"/>
        <v>9.0565601696369251E-4</v>
      </c>
      <c r="BT267" s="199">
        <f>'Detailed Budget'!$AD$12</f>
        <v>194045122715</v>
      </c>
      <c r="BU267" s="199">
        <f>'Detailed Budget'!$AD$24</f>
        <v>194045122715</v>
      </c>
      <c r="BV267" s="596">
        <f t="shared" si="359"/>
        <v>2.7110365805476421E-3</v>
      </c>
      <c r="BW267" s="278"/>
      <c r="BX267" s="275">
        <f t="shared" si="294"/>
        <v>526063425.95722121</v>
      </c>
      <c r="BY267" s="275">
        <f t="shared" si="295"/>
        <v>526063425.95722121</v>
      </c>
      <c r="CA267" s="199">
        <f>'Detailed Budget'!$AD$96</f>
        <v>71050111380.677719</v>
      </c>
      <c r="CB267" s="275">
        <f t="shared" si="344"/>
        <v>0</v>
      </c>
      <c r="CE267" s="199">
        <f>'Detailed Budget'!$AD$175</f>
        <v>4330586076.5988197</v>
      </c>
      <c r="CF267" s="275">
        <f t="shared" si="360"/>
        <v>8998005.8900459167</v>
      </c>
      <c r="CG267" s="199">
        <f>'Detailed Budget'!$AD$176</f>
        <v>20662817754.37001</v>
      </c>
      <c r="CH267" s="275">
        <f t="shared" si="361"/>
        <v>42932794.014886148</v>
      </c>
      <c r="CI267" s="275">
        <f t="shared" si="293"/>
        <v>51930799.904932067</v>
      </c>
      <c r="CJ267" s="275">
        <f>'Detailed Budget'!$AD$178</f>
        <v>46025131033.061455</v>
      </c>
      <c r="CK267" s="275">
        <f t="shared" si="362"/>
        <v>64780516.286141068</v>
      </c>
      <c r="CL267" s="275">
        <f t="shared" si="288"/>
        <v>116711316.19107313</v>
      </c>
      <c r="CM267" s="278">
        <f>'Detailed Budget'!$AD$189</f>
        <v>77498869683.252869</v>
      </c>
      <c r="CN267" s="275">
        <f t="shared" si="346"/>
        <v>0</v>
      </c>
      <c r="CO267" s="140">
        <f>'Detailed Budget'!$AD$191</f>
        <v>2684962805.4134097</v>
      </c>
      <c r="CP267" s="616">
        <f t="shared" si="347"/>
        <v>0</v>
      </c>
      <c r="CQ267" s="616">
        <f t="shared" si="348"/>
        <v>0</v>
      </c>
      <c r="CR267" s="199">
        <f>'Detailed Budget'!$AD$195</f>
        <v>18734176418</v>
      </c>
      <c r="CS267" s="275">
        <f t="shared" si="363"/>
        <v>16966719.595821016</v>
      </c>
      <c r="CW267" s="278"/>
      <c r="DH267" s="140"/>
      <c r="DI267" s="616"/>
    </row>
    <row r="268" spans="1:113" outlineLevel="1">
      <c r="A268" s="214" t="s">
        <v>684</v>
      </c>
      <c r="B268" s="215" t="s">
        <v>685</v>
      </c>
      <c r="C268" s="216" t="s">
        <v>234</v>
      </c>
      <c r="D268" s="217" t="s">
        <v>234</v>
      </c>
      <c r="E268" s="216"/>
      <c r="F268" s="216"/>
      <c r="G268" s="216"/>
      <c r="H268" s="216" t="s">
        <v>234</v>
      </c>
      <c r="I268" s="217" t="s">
        <v>234</v>
      </c>
      <c r="J268" s="217"/>
      <c r="K268" s="216" t="s">
        <v>234</v>
      </c>
      <c r="L268" s="216"/>
      <c r="M268" s="217"/>
      <c r="N268" s="216"/>
      <c r="O268" s="217"/>
      <c r="P268" s="216"/>
      <c r="Q268" s="217"/>
      <c r="R268" s="217" t="s">
        <v>234</v>
      </c>
      <c r="S268" s="217" t="s">
        <v>234</v>
      </c>
      <c r="T268" s="217"/>
      <c r="U268" s="218">
        <f t="shared" si="350"/>
        <v>7</v>
      </c>
      <c r="V268" s="867" t="s">
        <v>418</v>
      </c>
      <c r="W268" s="219">
        <v>136736</v>
      </c>
      <c r="X268" s="220">
        <v>3.53</v>
      </c>
      <c r="Y268" s="221">
        <f t="shared" si="297"/>
        <v>1.0352999999999999</v>
      </c>
      <c r="Z268" s="199">
        <v>19</v>
      </c>
      <c r="AA268" s="221">
        <f t="shared" si="298"/>
        <v>1.9331166712483931</v>
      </c>
      <c r="AB268" s="199">
        <f t="shared" si="331"/>
        <v>264326.64115982031</v>
      </c>
      <c r="AC268">
        <v>18.899999999999999</v>
      </c>
      <c r="AD268" s="199">
        <f t="shared" si="332"/>
        <v>49957.735179206036</v>
      </c>
      <c r="AE268" s="199">
        <f t="shared" si="301"/>
        <v>47459.848420245733</v>
      </c>
      <c r="AF268" s="199">
        <f t="shared" ref="AF268:AF331" si="365">AE268*BB268</f>
        <v>47459.848420245733</v>
      </c>
      <c r="AG268" s="614">
        <f t="shared" si="351"/>
        <v>2.1943350383136343E-3</v>
      </c>
      <c r="AH268" s="199">
        <f t="shared" si="364"/>
        <v>13216.332057991016</v>
      </c>
      <c r="AI268" s="252">
        <f t="shared" si="334"/>
        <v>1.0238492198335603E-3</v>
      </c>
      <c r="AJ268" s="199">
        <f t="shared" si="352"/>
        <v>63174.06723719705</v>
      </c>
      <c r="AK268" s="199">
        <f t="shared" si="291"/>
        <v>10573.065646392814</v>
      </c>
      <c r="AL268" s="199">
        <f t="shared" si="292"/>
        <v>10573.065646392814</v>
      </c>
      <c r="AM268" s="199">
        <f t="shared" si="335"/>
        <v>21146.131292785627</v>
      </c>
      <c r="AN268" s="645">
        <f t="shared" si="336"/>
        <v>1.0238492198335603E-3</v>
      </c>
      <c r="AO268" s="199">
        <v>10</v>
      </c>
      <c r="AP268" s="250">
        <f t="shared" si="337"/>
        <v>1.1362345188046814E-3</v>
      </c>
      <c r="AQ268" s="199">
        <v>10</v>
      </c>
      <c r="AU268" s="199">
        <v>1</v>
      </c>
      <c r="AV268" s="199">
        <f t="shared" si="353"/>
        <v>146848.15621328898</v>
      </c>
      <c r="AW268" s="250">
        <f t="shared" si="338"/>
        <v>4.2265785451139314E-3</v>
      </c>
      <c r="AX268" s="199">
        <v>0</v>
      </c>
      <c r="AY268" s="199">
        <f t="shared" si="354"/>
        <v>15237.625567086738</v>
      </c>
      <c r="AZ268" s="199">
        <f t="shared" si="355"/>
        <v>0</v>
      </c>
      <c r="BA268" s="252">
        <f t="shared" si="339"/>
        <v>0</v>
      </c>
      <c r="BB268" s="284">
        <v>1</v>
      </c>
      <c r="BC268" s="199">
        <f t="shared" si="356"/>
        <v>35969.569329028345</v>
      </c>
      <c r="BD268" s="270">
        <f t="shared" si="289"/>
        <v>3.2393148680594547E-3</v>
      </c>
      <c r="BE268" s="199">
        <f t="shared" si="357"/>
        <v>153869.82435195459</v>
      </c>
      <c r="BF268" s="251">
        <f t="shared" si="290"/>
        <v>3.2393149400431233E-3</v>
      </c>
      <c r="BG268" s="199">
        <f t="shared" si="296"/>
        <v>189839.39368098293</v>
      </c>
      <c r="BH268" s="636">
        <v>0</v>
      </c>
      <c r="BI268" s="199">
        <f t="shared" si="340"/>
        <v>80883.952194905025</v>
      </c>
      <c r="BJ268" s="199">
        <f t="shared" si="341"/>
        <v>161767.90438981005</v>
      </c>
      <c r="BK268" s="199">
        <f t="shared" si="349"/>
        <v>242651.85658471507</v>
      </c>
      <c r="BL268" s="251">
        <f t="shared" si="342"/>
        <v>1.0238492198335603E-3</v>
      </c>
      <c r="BM268" s="199">
        <f t="shared" si="358"/>
        <v>32696.625072214705</v>
      </c>
      <c r="BN268" s="251">
        <f t="shared" si="343"/>
        <v>1.411941955345672E-3</v>
      </c>
      <c r="BT268" s="199">
        <f>'Detailed Budget'!$AD$12</f>
        <v>194045122715</v>
      </c>
      <c r="BU268" s="199">
        <f>'Detailed Budget'!$AD$24</f>
        <v>194045122715</v>
      </c>
      <c r="BV268" s="596">
        <f t="shared" si="359"/>
        <v>4.2265785451139314E-3</v>
      </c>
      <c r="BW268" s="278"/>
      <c r="BX268" s="275">
        <f t="shared" si="294"/>
        <v>820146952.45121896</v>
      </c>
      <c r="BY268" s="275">
        <f t="shared" si="295"/>
        <v>820146952.45121896</v>
      </c>
      <c r="CA268" s="199">
        <f>'Detailed Budget'!$AD$96</f>
        <v>71050111380.677719</v>
      </c>
      <c r="CB268" s="275">
        <f t="shared" si="344"/>
        <v>0</v>
      </c>
      <c r="CE268" s="199">
        <f>'Detailed Budget'!$AD$175</f>
        <v>4330586076.5988197</v>
      </c>
      <c r="CF268" s="275">
        <f t="shared" si="360"/>
        <v>14028131.865337817</v>
      </c>
      <c r="CG268" s="199">
        <f>'Detailed Budget'!$AD$176</f>
        <v>20662817754.37001</v>
      </c>
      <c r="CH268" s="275">
        <f t="shared" si="361"/>
        <v>66933374.25511907</v>
      </c>
      <c r="CI268" s="275">
        <f t="shared" si="293"/>
        <v>80961506.120456889</v>
      </c>
      <c r="CJ268" s="275">
        <f>'Detailed Budget'!$AD$178</f>
        <v>46025131033.061455</v>
      </c>
      <c r="CK268" s="275">
        <f t="shared" si="362"/>
        <v>100994557.66882294</v>
      </c>
      <c r="CL268" s="275">
        <f t="shared" ref="CL268:CL331" si="366">CI268+CK268</f>
        <v>181956063.78927982</v>
      </c>
      <c r="CM268" s="278">
        <f>'Detailed Budget'!$AD$189</f>
        <v>77498869683.252869</v>
      </c>
      <c r="CN268" s="275">
        <f t="shared" si="346"/>
        <v>0</v>
      </c>
      <c r="CO268" s="140">
        <f>'Detailed Budget'!$AD$191</f>
        <v>2684962805.4134097</v>
      </c>
      <c r="CP268" s="616">
        <f t="shared" si="347"/>
        <v>0</v>
      </c>
      <c r="CQ268" s="616">
        <f t="shared" si="348"/>
        <v>0</v>
      </c>
      <c r="CR268" s="199">
        <f>'Detailed Budget'!$AD$195</f>
        <v>18734176418</v>
      </c>
      <c r="CS268" s="275">
        <f t="shared" si="363"/>
        <v>26451569.683421697</v>
      </c>
      <c r="CW268" s="278"/>
      <c r="DH268" s="140"/>
      <c r="DI268" s="616"/>
    </row>
    <row r="269" spans="1:113" outlineLevel="1">
      <c r="A269" s="214" t="s">
        <v>686</v>
      </c>
      <c r="B269" s="215" t="s">
        <v>687</v>
      </c>
      <c r="C269" s="216" t="s">
        <v>234</v>
      </c>
      <c r="D269" s="217" t="s">
        <v>234</v>
      </c>
      <c r="E269" s="216"/>
      <c r="F269" s="216"/>
      <c r="G269" s="216"/>
      <c r="H269" s="216" t="s">
        <v>234</v>
      </c>
      <c r="I269" s="217" t="s">
        <v>234</v>
      </c>
      <c r="J269" s="217"/>
      <c r="K269" s="216" t="s">
        <v>234</v>
      </c>
      <c r="L269" s="216"/>
      <c r="M269" s="217"/>
      <c r="N269" s="216"/>
      <c r="O269" s="217"/>
      <c r="P269" s="216"/>
      <c r="Q269" s="217"/>
      <c r="R269" s="217" t="s">
        <v>234</v>
      </c>
      <c r="S269" s="217"/>
      <c r="T269" s="217"/>
      <c r="U269" s="218">
        <f t="shared" si="350"/>
        <v>6</v>
      </c>
      <c r="V269" s="867" t="s">
        <v>238</v>
      </c>
      <c r="W269" s="219">
        <v>301954</v>
      </c>
      <c r="X269" s="220">
        <v>3.53</v>
      </c>
      <c r="Y269" s="221">
        <f t="shared" si="297"/>
        <v>1.0352999999999999</v>
      </c>
      <c r="Z269" s="199">
        <v>19</v>
      </c>
      <c r="AA269" s="221">
        <f t="shared" si="298"/>
        <v>1.9331166712483931</v>
      </c>
      <c r="AB269" s="199">
        <f t="shared" si="331"/>
        <v>583712.31135013734</v>
      </c>
      <c r="AC269">
        <v>18.899999999999999</v>
      </c>
      <c r="AD269" s="199">
        <f t="shared" si="332"/>
        <v>110321.62684517594</v>
      </c>
      <c r="AE269" s="199">
        <f t="shared" si="301"/>
        <v>104805.54550291714</v>
      </c>
      <c r="AF269" s="199">
        <f t="shared" si="365"/>
        <v>104805.54550291714</v>
      </c>
      <c r="AG269" s="614">
        <f t="shared" si="351"/>
        <v>4.8457483190890117E-3</v>
      </c>
      <c r="AH269" s="199">
        <f t="shared" si="364"/>
        <v>29185.615567506869</v>
      </c>
      <c r="AI269" s="252">
        <f t="shared" si="334"/>
        <v>2.2609654174878804E-3</v>
      </c>
      <c r="AJ269" s="199">
        <f t="shared" si="352"/>
        <v>139507.2424126828</v>
      </c>
      <c r="AK269" s="199">
        <f t="shared" si="291"/>
        <v>23348.492454005493</v>
      </c>
      <c r="AL269" s="199">
        <f t="shared" si="292"/>
        <v>23348.492454005493</v>
      </c>
      <c r="AM269" s="199">
        <f t="shared" si="335"/>
        <v>46696.984908010985</v>
      </c>
      <c r="AN269" s="645">
        <f t="shared" si="336"/>
        <v>2.2609654174878804E-3</v>
      </c>
      <c r="AO269" s="199">
        <v>13</v>
      </c>
      <c r="AP269" s="250">
        <f t="shared" si="337"/>
        <v>1.4771048744460858E-3</v>
      </c>
      <c r="AQ269" s="199">
        <v>13</v>
      </c>
      <c r="AU269" s="199">
        <v>1</v>
      </c>
      <c r="AV269" s="199">
        <f t="shared" si="353"/>
        <v>324284.66651962511</v>
      </c>
      <c r="AW269" s="250">
        <f t="shared" si="338"/>
        <v>9.3335500381123617E-3</v>
      </c>
      <c r="AX269" s="199">
        <v>0</v>
      </c>
      <c r="AY269" s="199">
        <f t="shared" si="354"/>
        <v>33649.236415312043</v>
      </c>
      <c r="AZ269" s="199">
        <f t="shared" si="355"/>
        <v>0</v>
      </c>
      <c r="BA269" s="252">
        <f t="shared" si="339"/>
        <v>0</v>
      </c>
      <c r="BB269" s="284">
        <v>1</v>
      </c>
      <c r="BC269" s="199">
        <f t="shared" si="356"/>
        <v>79431.571328526668</v>
      </c>
      <c r="BD269" s="270">
        <f t="shared" si="289"/>
        <v>7.1533764456326379E-3</v>
      </c>
      <c r="BE269" s="199">
        <f t="shared" si="357"/>
        <v>339790.61068314192</v>
      </c>
      <c r="BF269" s="251">
        <f t="shared" si="290"/>
        <v>7.1533766045941173E-3</v>
      </c>
      <c r="BG269" s="199">
        <f t="shared" si="296"/>
        <v>419222.18201166857</v>
      </c>
      <c r="BH269" s="636">
        <v>0</v>
      </c>
      <c r="BI269" s="199">
        <f t="shared" si="340"/>
        <v>178615.96727314201</v>
      </c>
      <c r="BJ269" s="199">
        <f t="shared" si="341"/>
        <v>357231.93454628403</v>
      </c>
      <c r="BK269" s="199">
        <f t="shared" si="349"/>
        <v>535847.9018194261</v>
      </c>
      <c r="BL269" s="251">
        <f t="shared" si="342"/>
        <v>2.2609654174878804E-3</v>
      </c>
      <c r="BM269" s="199">
        <f t="shared" si="358"/>
        <v>72203.931130466866</v>
      </c>
      <c r="BN269" s="251">
        <f t="shared" si="343"/>
        <v>3.1179902965162575E-3</v>
      </c>
      <c r="BT269" s="199">
        <f>'Detailed Budget'!$AD$12</f>
        <v>194045122715</v>
      </c>
      <c r="BU269" s="199">
        <f>'Detailed Budget'!$AD$24</f>
        <v>194045122715</v>
      </c>
      <c r="BV269" s="596">
        <f t="shared" si="359"/>
        <v>9.3335500381123617E-3</v>
      </c>
      <c r="BW269" s="278"/>
      <c r="BX269" s="275">
        <f t="shared" si="294"/>
        <v>1811129862.5121062</v>
      </c>
      <c r="BY269" s="275">
        <f t="shared" si="295"/>
        <v>1811129862.5121062</v>
      </c>
      <c r="CA269" s="199">
        <f>'Detailed Budget'!$AD$96</f>
        <v>71050111380.677719</v>
      </c>
      <c r="CB269" s="275">
        <f t="shared" si="344"/>
        <v>0</v>
      </c>
      <c r="CE269" s="199">
        <f>'Detailed Budget'!$AD$175</f>
        <v>4330586076.5988197</v>
      </c>
      <c r="CF269" s="275">
        <f t="shared" si="360"/>
        <v>30978312.436126657</v>
      </c>
      <c r="CG269" s="199">
        <f>'Detailed Budget'!$AD$176</f>
        <v>20662817754.37001</v>
      </c>
      <c r="CH269" s="275">
        <f t="shared" si="361"/>
        <v>147808917.1091024</v>
      </c>
      <c r="CI269" s="275">
        <f t="shared" si="293"/>
        <v>178787229.54522905</v>
      </c>
      <c r="CJ269" s="275">
        <f>'Detailed Budget'!$AD$178</f>
        <v>46025131033.061455</v>
      </c>
      <c r="CK269" s="275">
        <f t="shared" si="362"/>
        <v>223026201.33930907</v>
      </c>
      <c r="CL269" s="275">
        <f t="shared" si="366"/>
        <v>401813430.88453811</v>
      </c>
      <c r="CM269" s="278">
        <f>'Detailed Budget'!$AD$189</f>
        <v>77498869683.252869</v>
      </c>
      <c r="CN269" s="275">
        <f t="shared" si="346"/>
        <v>0</v>
      </c>
      <c r="CO269" s="140">
        <f>'Detailed Budget'!$AD$191</f>
        <v>2684962805.4134097</v>
      </c>
      <c r="CP269" s="616">
        <f t="shared" si="347"/>
        <v>0</v>
      </c>
      <c r="CQ269" s="616">
        <f t="shared" si="348"/>
        <v>0</v>
      </c>
      <c r="CR269" s="199">
        <f>'Detailed Budget'!$AD$195</f>
        <v>18734176418</v>
      </c>
      <c r="CS269" s="275">
        <f t="shared" si="363"/>
        <v>58412980.284547701</v>
      </c>
      <c r="CW269" s="278"/>
      <c r="DH269" s="140"/>
      <c r="DI269" s="616"/>
    </row>
    <row r="270" spans="1:113" outlineLevel="1">
      <c r="A270" s="214" t="s">
        <v>688</v>
      </c>
      <c r="B270" s="215" t="s">
        <v>689</v>
      </c>
      <c r="C270" s="216" t="s">
        <v>234</v>
      </c>
      <c r="D270" s="217" t="s">
        <v>234</v>
      </c>
      <c r="E270" s="216"/>
      <c r="F270" s="216"/>
      <c r="G270" s="216"/>
      <c r="H270" s="216" t="s">
        <v>234</v>
      </c>
      <c r="I270" s="217" t="s">
        <v>234</v>
      </c>
      <c r="J270" s="217"/>
      <c r="K270" s="216" t="s">
        <v>234</v>
      </c>
      <c r="L270" s="216"/>
      <c r="M270" s="217"/>
      <c r="N270" s="216"/>
      <c r="O270" s="217"/>
      <c r="P270" s="216"/>
      <c r="Q270" s="217"/>
      <c r="R270" s="217" t="s">
        <v>234</v>
      </c>
      <c r="S270" s="217"/>
      <c r="T270" s="217"/>
      <c r="U270" s="218">
        <f t="shared" si="350"/>
        <v>6</v>
      </c>
      <c r="V270" s="867" t="s">
        <v>238</v>
      </c>
      <c r="W270" s="219">
        <v>155740</v>
      </c>
      <c r="X270" s="220">
        <v>3.53</v>
      </c>
      <c r="Y270" s="221">
        <f t="shared" si="297"/>
        <v>1.0352999999999999</v>
      </c>
      <c r="Z270" s="199">
        <v>19</v>
      </c>
      <c r="AA270" s="221">
        <f t="shared" si="298"/>
        <v>1.9331166712483931</v>
      </c>
      <c r="AB270" s="199">
        <f t="shared" si="331"/>
        <v>301063.59038022475</v>
      </c>
      <c r="AC270">
        <v>18.899999999999999</v>
      </c>
      <c r="AD270" s="199">
        <f t="shared" si="332"/>
        <v>56901.018581862474</v>
      </c>
      <c r="AE270" s="199">
        <f t="shared" si="301"/>
        <v>54055.967652769345</v>
      </c>
      <c r="AF270" s="199">
        <f t="shared" si="365"/>
        <v>54055.967652769345</v>
      </c>
      <c r="AG270" s="614">
        <f t="shared" si="351"/>
        <v>2.4993106341195102E-3</v>
      </c>
      <c r="AH270" s="199">
        <f t="shared" si="364"/>
        <v>15053.179519011239</v>
      </c>
      <c r="AI270" s="252">
        <f t="shared" si="334"/>
        <v>1.1661470095430512E-3</v>
      </c>
      <c r="AJ270" s="199">
        <f t="shared" si="352"/>
        <v>71954.198100873706</v>
      </c>
      <c r="AK270" s="199">
        <f t="shared" si="291"/>
        <v>12042.54361520899</v>
      </c>
      <c r="AL270" s="199">
        <f t="shared" si="292"/>
        <v>12042.54361520899</v>
      </c>
      <c r="AM270" s="199">
        <f t="shared" si="335"/>
        <v>24085.087230417979</v>
      </c>
      <c r="AN270" s="645">
        <f t="shared" si="336"/>
        <v>1.1661470095430512E-3</v>
      </c>
      <c r="AO270" s="199">
        <v>11</v>
      </c>
      <c r="AP270" s="250">
        <f t="shared" si="337"/>
        <v>1.2498579706851495E-3</v>
      </c>
      <c r="AQ270" s="199">
        <v>11</v>
      </c>
      <c r="AU270" s="199">
        <v>1</v>
      </c>
      <c r="AV270" s="199">
        <f t="shared" si="353"/>
        <v>167257.57553722226</v>
      </c>
      <c r="AW270" s="250">
        <f t="shared" si="338"/>
        <v>4.8140017450857388E-3</v>
      </c>
      <c r="AX270" s="199">
        <v>0</v>
      </c>
      <c r="AY270" s="199">
        <f t="shared" si="354"/>
        <v>17355.398767099286</v>
      </c>
      <c r="AZ270" s="199">
        <f t="shared" si="355"/>
        <v>0</v>
      </c>
      <c r="BA270" s="252">
        <f t="shared" si="339"/>
        <v>0</v>
      </c>
      <c r="BB270" s="284">
        <v>1</v>
      </c>
      <c r="BC270" s="199">
        <f t="shared" si="356"/>
        <v>40968.733378940982</v>
      </c>
      <c r="BD270" s="270">
        <f t="shared" si="289"/>
        <v>3.6895250523020962E-3</v>
      </c>
      <c r="BE270" s="199">
        <f t="shared" si="357"/>
        <v>175255.13723213642</v>
      </c>
      <c r="BF270" s="251">
        <f t="shared" si="290"/>
        <v>3.6895251342902819E-3</v>
      </c>
      <c r="BG270" s="199">
        <f t="shared" si="296"/>
        <v>216223.87061107741</v>
      </c>
      <c r="BH270" s="636">
        <v>0</v>
      </c>
      <c r="BI270" s="199">
        <f t="shared" si="340"/>
        <v>92125.458656348754</v>
      </c>
      <c r="BJ270" s="199">
        <f t="shared" si="341"/>
        <v>184250.91731269751</v>
      </c>
      <c r="BK270" s="199">
        <f t="shared" si="349"/>
        <v>276376.37596904626</v>
      </c>
      <c r="BL270" s="251">
        <f t="shared" si="342"/>
        <v>1.166147009543051E-3</v>
      </c>
      <c r="BM270" s="199">
        <f t="shared" si="358"/>
        <v>37240.905019502679</v>
      </c>
      <c r="BN270" s="251">
        <f t="shared" si="343"/>
        <v>1.6081780959332945E-3</v>
      </c>
      <c r="BT270" s="199">
        <f>'Detailed Budget'!$AD$12</f>
        <v>194045122715</v>
      </c>
      <c r="BU270" s="199">
        <f>'Detailed Budget'!$AD$24</f>
        <v>194045122715</v>
      </c>
      <c r="BV270" s="596">
        <f t="shared" si="359"/>
        <v>4.8140017450857388E-3</v>
      </c>
      <c r="BW270" s="278"/>
      <c r="BX270" s="275">
        <f t="shared" si="294"/>
        <v>934133559.37538636</v>
      </c>
      <c r="BY270" s="275">
        <f t="shared" si="295"/>
        <v>934133559.37538636</v>
      </c>
      <c r="CA270" s="199">
        <f>'Detailed Budget'!$AD$96</f>
        <v>71050111380.677719</v>
      </c>
      <c r="CB270" s="275">
        <f t="shared" si="344"/>
        <v>0</v>
      </c>
      <c r="CE270" s="199">
        <f>'Detailed Budget'!$AD$175</f>
        <v>4330586076.5988197</v>
      </c>
      <c r="CF270" s="275">
        <f t="shared" si="360"/>
        <v>15977805.82076199</v>
      </c>
      <c r="CG270" s="199">
        <f>'Detailed Budget'!$AD$176</f>
        <v>20662817754.37001</v>
      </c>
      <c r="CH270" s="275">
        <f t="shared" si="361"/>
        <v>76235985.450007632</v>
      </c>
      <c r="CI270" s="275">
        <f t="shared" si="293"/>
        <v>92213791.270769626</v>
      </c>
      <c r="CJ270" s="275">
        <f>'Detailed Budget'!$AD$178</f>
        <v>46025131033.061455</v>
      </c>
      <c r="CK270" s="275">
        <f t="shared" si="362"/>
        <v>115031099.42767437</v>
      </c>
      <c r="CL270" s="275">
        <f t="shared" si="366"/>
        <v>207244890.69844401</v>
      </c>
      <c r="CM270" s="278">
        <f>'Detailed Budget'!$AD$189</f>
        <v>77498869683.252869</v>
      </c>
      <c r="CN270" s="275">
        <f t="shared" si="346"/>
        <v>0</v>
      </c>
      <c r="CO270" s="140">
        <f>'Detailed Budget'!$AD$191</f>
        <v>2684962805.4134097</v>
      </c>
      <c r="CP270" s="616">
        <f t="shared" si="347"/>
        <v>0</v>
      </c>
      <c r="CQ270" s="616">
        <f t="shared" si="348"/>
        <v>0</v>
      </c>
      <c r="CR270" s="199">
        <f>'Detailed Budget'!$AD$195</f>
        <v>18734176418</v>
      </c>
      <c r="CS270" s="275">
        <f t="shared" si="363"/>
        <v>30127892.160777669</v>
      </c>
      <c r="CW270" s="278"/>
      <c r="DH270" s="140"/>
      <c r="DI270" s="616"/>
    </row>
    <row r="271" spans="1:113" outlineLevel="1">
      <c r="A271" s="214" t="s">
        <v>690</v>
      </c>
      <c r="B271" s="215" t="s">
        <v>691</v>
      </c>
      <c r="C271" s="216" t="s">
        <v>234</v>
      </c>
      <c r="D271" s="217" t="s">
        <v>234</v>
      </c>
      <c r="E271" s="216"/>
      <c r="F271" s="216"/>
      <c r="G271" s="216"/>
      <c r="H271" s="216" t="s">
        <v>234</v>
      </c>
      <c r="I271" s="217" t="s">
        <v>234</v>
      </c>
      <c r="J271" s="217"/>
      <c r="K271" s="216" t="s">
        <v>234</v>
      </c>
      <c r="L271" s="216"/>
      <c r="M271" s="217"/>
      <c r="N271" s="216"/>
      <c r="O271" s="217"/>
      <c r="P271" s="216"/>
      <c r="Q271" s="217"/>
      <c r="R271" s="217" t="s">
        <v>234</v>
      </c>
      <c r="S271" s="217"/>
      <c r="T271" s="217"/>
      <c r="U271" s="218">
        <f t="shared" si="350"/>
        <v>6</v>
      </c>
      <c r="V271" s="867" t="s">
        <v>238</v>
      </c>
      <c r="W271" s="219">
        <v>129797</v>
      </c>
      <c r="X271" s="220">
        <v>3.53</v>
      </c>
      <c r="Y271" s="221">
        <f t="shared" si="297"/>
        <v>1.0352999999999999</v>
      </c>
      <c r="Z271" s="199">
        <v>19</v>
      </c>
      <c r="AA271" s="221">
        <f t="shared" si="298"/>
        <v>1.9331166712483931</v>
      </c>
      <c r="AB271" s="199">
        <f t="shared" si="331"/>
        <v>250912.74457802769</v>
      </c>
      <c r="AC271">
        <v>18.899999999999999</v>
      </c>
      <c r="AD271" s="199">
        <f t="shared" si="332"/>
        <v>47422.508725247237</v>
      </c>
      <c r="AE271" s="199">
        <f t="shared" si="301"/>
        <v>45051.383288984871</v>
      </c>
      <c r="AF271" s="199">
        <f t="shared" si="365"/>
        <v>45051.383288984871</v>
      </c>
      <c r="AG271" s="614">
        <f t="shared" si="351"/>
        <v>2.0829781840041744E-3</v>
      </c>
      <c r="AH271" s="199">
        <f t="shared" si="364"/>
        <v>12545.637228901385</v>
      </c>
      <c r="AI271" s="252">
        <f t="shared" si="334"/>
        <v>9.7189150762591126E-4</v>
      </c>
      <c r="AJ271" s="199">
        <f t="shared" si="352"/>
        <v>59968.145954148626</v>
      </c>
      <c r="AK271" s="199">
        <f t="shared" si="291"/>
        <v>10036.509783121108</v>
      </c>
      <c r="AL271" s="199">
        <f t="shared" si="292"/>
        <v>10036.509783121108</v>
      </c>
      <c r="AM271" s="199">
        <f t="shared" si="335"/>
        <v>20073.019566242216</v>
      </c>
      <c r="AN271" s="645">
        <f t="shared" si="336"/>
        <v>9.7189150762591126E-4</v>
      </c>
      <c r="AO271" s="199">
        <v>10</v>
      </c>
      <c r="AP271" s="250">
        <f t="shared" si="337"/>
        <v>1.1362345188046814E-3</v>
      </c>
      <c r="AQ271" s="199">
        <v>10</v>
      </c>
      <c r="AU271" s="199">
        <v>1</v>
      </c>
      <c r="AV271" s="199">
        <f t="shared" si="353"/>
        <v>139395.99031722639</v>
      </c>
      <c r="AW271" s="250">
        <f t="shared" si="338"/>
        <v>4.0120905644464725E-3</v>
      </c>
      <c r="AX271" s="199">
        <v>0</v>
      </c>
      <c r="AY271" s="199">
        <f t="shared" si="354"/>
        <v>14464.355295833997</v>
      </c>
      <c r="AZ271" s="199">
        <f t="shared" si="355"/>
        <v>0</v>
      </c>
      <c r="BA271" s="252">
        <f t="shared" si="339"/>
        <v>0</v>
      </c>
      <c r="BB271" s="284">
        <v>1</v>
      </c>
      <c r="BC271" s="199">
        <f t="shared" si="356"/>
        <v>34144.206282178013</v>
      </c>
      <c r="BD271" s="270">
        <f t="shared" si="289"/>
        <v>3.0749279774859081E-3</v>
      </c>
      <c r="BE271" s="199">
        <f t="shared" si="357"/>
        <v>146061.32687376149</v>
      </c>
      <c r="BF271" s="251">
        <f t="shared" si="290"/>
        <v>3.0749280458165903E-3</v>
      </c>
      <c r="BG271" s="199">
        <f t="shared" si="296"/>
        <v>180205.53315593948</v>
      </c>
      <c r="BH271" s="636">
        <v>0</v>
      </c>
      <c r="BI271" s="199">
        <f t="shared" si="340"/>
        <v>76779.299840876469</v>
      </c>
      <c r="BJ271" s="199">
        <f t="shared" si="341"/>
        <v>153558.59968175294</v>
      </c>
      <c r="BK271" s="199">
        <f t="shared" si="349"/>
        <v>230337.89952262939</v>
      </c>
      <c r="BL271" s="251">
        <f t="shared" si="342"/>
        <v>9.7189150762591115E-4</v>
      </c>
      <c r="BM271" s="199">
        <f t="shared" si="358"/>
        <v>31037.355520844925</v>
      </c>
      <c r="BN271" s="251">
        <f t="shared" si="343"/>
        <v>1.3402895358793747E-3</v>
      </c>
      <c r="BT271" s="199">
        <f>'Detailed Budget'!$AD$12</f>
        <v>194045122715</v>
      </c>
      <c r="BU271" s="199">
        <f>'Detailed Budget'!$AD$24</f>
        <v>194045122715</v>
      </c>
      <c r="BV271" s="596">
        <f t="shared" si="359"/>
        <v>4.0120905644464725E-3</v>
      </c>
      <c r="BW271" s="278"/>
      <c r="BX271" s="275">
        <f t="shared" si="294"/>
        <v>778526605.92170942</v>
      </c>
      <c r="BY271" s="275">
        <f t="shared" si="295"/>
        <v>778526605.92170942</v>
      </c>
      <c r="CA271" s="199">
        <f>'Detailed Budget'!$AD$96</f>
        <v>71050111380.677719</v>
      </c>
      <c r="CB271" s="275">
        <f t="shared" si="344"/>
        <v>0</v>
      </c>
      <c r="CE271" s="199">
        <f>'Detailed Budget'!$AD$175</f>
        <v>4330586076.5988197</v>
      </c>
      <c r="CF271" s="275">
        <f t="shared" si="360"/>
        <v>13316240.285844643</v>
      </c>
      <c r="CG271" s="199">
        <f>'Detailed Budget'!$AD$176</f>
        <v>20662817754.37001</v>
      </c>
      <c r="CH271" s="275">
        <f t="shared" si="361"/>
        <v>63536677.818509325</v>
      </c>
      <c r="CI271" s="275">
        <f t="shared" si="293"/>
        <v>76852918.104353964</v>
      </c>
      <c r="CJ271" s="275">
        <f>'Detailed Budget'!$AD$178</f>
        <v>46025131033.061455</v>
      </c>
      <c r="CK271" s="275">
        <f t="shared" si="362"/>
        <v>95869343.857800514</v>
      </c>
      <c r="CL271" s="275">
        <f t="shared" si="366"/>
        <v>172722261.96215448</v>
      </c>
      <c r="CM271" s="278">
        <f>'Detailed Budget'!$AD$189</f>
        <v>77498869683.252869</v>
      </c>
      <c r="CN271" s="275">
        <f t="shared" si="346"/>
        <v>0</v>
      </c>
      <c r="CO271" s="140">
        <f>'Detailed Budget'!$AD$191</f>
        <v>2684962805.4134097</v>
      </c>
      <c r="CP271" s="616">
        <f t="shared" si="347"/>
        <v>0</v>
      </c>
      <c r="CQ271" s="616">
        <f t="shared" si="348"/>
        <v>0</v>
      </c>
      <c r="CR271" s="199">
        <f>'Detailed Budget'!$AD$195</f>
        <v>18734176418</v>
      </c>
      <c r="CS271" s="275">
        <f t="shared" si="363"/>
        <v>25109220.616363544</v>
      </c>
      <c r="CW271" s="278"/>
      <c r="DH271" s="140"/>
      <c r="DI271" s="616"/>
    </row>
    <row r="272" spans="1:113" outlineLevel="1">
      <c r="A272" s="214" t="s">
        <v>692</v>
      </c>
      <c r="B272" s="215" t="s">
        <v>693</v>
      </c>
      <c r="C272" s="216" t="s">
        <v>234</v>
      </c>
      <c r="D272" s="217" t="s">
        <v>234</v>
      </c>
      <c r="E272" s="216"/>
      <c r="F272" s="216"/>
      <c r="G272" s="216"/>
      <c r="H272" s="216" t="s">
        <v>234</v>
      </c>
      <c r="I272" s="217" t="s">
        <v>234</v>
      </c>
      <c r="J272" s="217"/>
      <c r="K272" s="216" t="s">
        <v>234</v>
      </c>
      <c r="L272" s="216"/>
      <c r="M272" s="217"/>
      <c r="N272" s="216"/>
      <c r="O272" s="217"/>
      <c r="P272" s="216"/>
      <c r="Q272" s="217"/>
      <c r="R272" s="217" t="s">
        <v>234</v>
      </c>
      <c r="S272" s="217"/>
      <c r="T272" s="217"/>
      <c r="U272" s="218">
        <f t="shared" si="350"/>
        <v>6</v>
      </c>
      <c r="V272" s="867" t="s">
        <v>238</v>
      </c>
      <c r="W272" s="219">
        <v>103516</v>
      </c>
      <c r="X272" s="220">
        <v>3.53</v>
      </c>
      <c r="Y272" s="221">
        <f t="shared" si="297"/>
        <v>1.0352999999999999</v>
      </c>
      <c r="Z272" s="199">
        <v>19</v>
      </c>
      <c r="AA272" s="221">
        <f t="shared" si="298"/>
        <v>1.9331166712483931</v>
      </c>
      <c r="AB272" s="199">
        <f t="shared" si="331"/>
        <v>200108.50534094867</v>
      </c>
      <c r="AC272">
        <v>18.899999999999999</v>
      </c>
      <c r="AD272" s="199">
        <f t="shared" si="332"/>
        <v>37820.507509439296</v>
      </c>
      <c r="AE272" s="199">
        <f t="shared" si="301"/>
        <v>35929.482133967329</v>
      </c>
      <c r="AF272" s="199">
        <f t="shared" si="365"/>
        <v>35929.482133967329</v>
      </c>
      <c r="AG272" s="614">
        <f t="shared" si="351"/>
        <v>1.6612215204925853E-3</v>
      </c>
      <c r="AH272" s="199">
        <f t="shared" si="364"/>
        <v>10005.425267047434</v>
      </c>
      <c r="AI272" s="252">
        <f t="shared" si="334"/>
        <v>7.7510513573814371E-4</v>
      </c>
      <c r="AJ272" s="199">
        <f t="shared" si="352"/>
        <v>47825.932776486734</v>
      </c>
      <c r="AK272" s="199">
        <f t="shared" si="291"/>
        <v>8004.3402136379473</v>
      </c>
      <c r="AL272" s="199">
        <f t="shared" si="292"/>
        <v>8004.3402136379473</v>
      </c>
      <c r="AM272" s="199">
        <f t="shared" si="335"/>
        <v>16008.680427275895</v>
      </c>
      <c r="AN272" s="645">
        <f t="shared" si="336"/>
        <v>7.7510513573814371E-4</v>
      </c>
      <c r="AO272" s="199">
        <v>12</v>
      </c>
      <c r="AP272" s="250">
        <f t="shared" si="337"/>
        <v>1.3634814225656176E-3</v>
      </c>
      <c r="AQ272" s="199">
        <v>12</v>
      </c>
      <c r="AU272" s="199">
        <v>1</v>
      </c>
      <c r="AV272" s="199">
        <f t="shared" si="353"/>
        <v>111171.40868955375</v>
      </c>
      <c r="AW272" s="250">
        <f t="shared" si="338"/>
        <v>3.1997316337761357E-3</v>
      </c>
      <c r="AX272" s="199">
        <v>0</v>
      </c>
      <c r="AY272" s="199">
        <f t="shared" si="354"/>
        <v>11535.645683671824</v>
      </c>
      <c r="AZ272" s="199">
        <f t="shared" si="355"/>
        <v>0</v>
      </c>
      <c r="BA272" s="252">
        <f t="shared" si="339"/>
        <v>0</v>
      </c>
      <c r="BB272" s="284">
        <v>1</v>
      </c>
      <c r="BC272" s="199">
        <f t="shared" si="356"/>
        <v>27230.76540679629</v>
      </c>
      <c r="BD272" s="270">
        <f t="shared" si="289"/>
        <v>2.4523235861956066E-3</v>
      </c>
      <c r="BE272" s="199">
        <f t="shared" si="357"/>
        <v>116487.16312907303</v>
      </c>
      <c r="BF272" s="251">
        <f t="shared" si="290"/>
        <v>2.4523236406908491E-3</v>
      </c>
      <c r="BG272" s="199">
        <f t="shared" si="296"/>
        <v>143717.92853586932</v>
      </c>
      <c r="BH272" s="636">
        <v>0</v>
      </c>
      <c r="BI272" s="199">
        <f t="shared" si="340"/>
        <v>61233.202634330293</v>
      </c>
      <c r="BJ272" s="199">
        <f t="shared" si="341"/>
        <v>122466.40526866059</v>
      </c>
      <c r="BK272" s="199">
        <f t="shared" si="349"/>
        <v>183699.60790299089</v>
      </c>
      <c r="BL272" s="251">
        <f t="shared" si="342"/>
        <v>7.7510513573814371E-4</v>
      </c>
      <c r="BM272" s="199">
        <f t="shared" si="358"/>
        <v>24752.98268908976</v>
      </c>
      <c r="BN272" s="251">
        <f t="shared" si="343"/>
        <v>1.0689107729461339E-3</v>
      </c>
      <c r="BT272" s="199">
        <f>'Detailed Budget'!$AD$12</f>
        <v>194045122715</v>
      </c>
      <c r="BU272" s="199">
        <f>'Detailed Budget'!$AD$24</f>
        <v>194045122715</v>
      </c>
      <c r="BV272" s="596">
        <f t="shared" si="359"/>
        <v>3.1997316337761357E-3</v>
      </c>
      <c r="BW272" s="278"/>
      <c r="BX272" s="275">
        <f t="shared" si="294"/>
        <v>620892317.53115773</v>
      </c>
      <c r="BY272" s="275">
        <f t="shared" si="295"/>
        <v>620892317.53115773</v>
      </c>
      <c r="CA272" s="199">
        <f>'Detailed Budget'!$AD$96</f>
        <v>71050111380.677719</v>
      </c>
      <c r="CB272" s="275">
        <f t="shared" si="344"/>
        <v>0</v>
      </c>
      <c r="CE272" s="199">
        <f>'Detailed Budget'!$AD$175</f>
        <v>4330586076.5988197</v>
      </c>
      <c r="CF272" s="275">
        <f t="shared" si="360"/>
        <v>10619998.377693579</v>
      </c>
      <c r="CG272" s="199">
        <f>'Detailed Budget'!$AD$176</f>
        <v>20662817754.37001</v>
      </c>
      <c r="CH272" s="275">
        <f t="shared" si="361"/>
        <v>50671916.462328181</v>
      </c>
      <c r="CI272" s="275">
        <f t="shared" si="293"/>
        <v>61291914.840021759</v>
      </c>
      <c r="CJ272" s="275">
        <f>'Detailed Budget'!$AD$178</f>
        <v>46025131033.061455</v>
      </c>
      <c r="CK272" s="275">
        <f t="shared" si="362"/>
        <v>76457938.155612826</v>
      </c>
      <c r="CL272" s="275">
        <f t="shared" si="366"/>
        <v>137749852.99563459</v>
      </c>
      <c r="CM272" s="278">
        <f>'Detailed Budget'!$AD$189</f>
        <v>77498869683.252869</v>
      </c>
      <c r="CN272" s="275">
        <f t="shared" si="346"/>
        <v>0</v>
      </c>
      <c r="CO272" s="140">
        <f>'Detailed Budget'!$AD$191</f>
        <v>2684962805.4134097</v>
      </c>
      <c r="CP272" s="616">
        <f t="shared" si="347"/>
        <v>0</v>
      </c>
      <c r="CQ272" s="616">
        <f t="shared" si="348"/>
        <v>0</v>
      </c>
      <c r="CR272" s="199">
        <f>'Detailed Budget'!$AD$195</f>
        <v>18734176418</v>
      </c>
      <c r="CS272" s="275">
        <f t="shared" si="363"/>
        <v>20025162.995473616</v>
      </c>
      <c r="CW272" s="278"/>
      <c r="DH272" s="140"/>
      <c r="DI272" s="616"/>
    </row>
    <row r="273" spans="1:113" outlineLevel="1">
      <c r="A273" s="214" t="s">
        <v>694</v>
      </c>
      <c r="B273" s="215" t="s">
        <v>695</v>
      </c>
      <c r="C273" s="216" t="s">
        <v>234</v>
      </c>
      <c r="D273" s="217" t="s">
        <v>234</v>
      </c>
      <c r="E273" s="216"/>
      <c r="F273" s="216"/>
      <c r="G273" s="216"/>
      <c r="H273" s="216" t="s">
        <v>234</v>
      </c>
      <c r="I273" s="217" t="s">
        <v>234</v>
      </c>
      <c r="J273" s="217"/>
      <c r="K273" s="216" t="s">
        <v>234</v>
      </c>
      <c r="L273" s="216"/>
      <c r="M273" s="217"/>
      <c r="N273" s="216"/>
      <c r="O273" s="217"/>
      <c r="P273" s="216"/>
      <c r="Q273" s="217"/>
      <c r="R273" s="217" t="s">
        <v>234</v>
      </c>
      <c r="S273" s="217" t="s">
        <v>234</v>
      </c>
      <c r="T273" s="217"/>
      <c r="U273" s="218">
        <f t="shared" si="350"/>
        <v>7</v>
      </c>
      <c r="V273" s="867" t="s">
        <v>418</v>
      </c>
      <c r="W273" s="219">
        <v>232458</v>
      </c>
      <c r="X273" s="220">
        <v>3.53</v>
      </c>
      <c r="Y273" s="221">
        <f t="shared" si="297"/>
        <v>1.0352999999999999</v>
      </c>
      <c r="Z273" s="199">
        <v>19</v>
      </c>
      <c r="AA273" s="221">
        <f t="shared" si="298"/>
        <v>1.9331166712483931</v>
      </c>
      <c r="AB273" s="199">
        <f t="shared" si="331"/>
        <v>449368.435165059</v>
      </c>
      <c r="AC273">
        <v>18.899999999999999</v>
      </c>
      <c r="AD273" s="199">
        <f t="shared" si="332"/>
        <v>84930.634246196147</v>
      </c>
      <c r="AE273" s="199">
        <f t="shared" si="301"/>
        <v>80684.10253388634</v>
      </c>
      <c r="AF273" s="199">
        <f t="shared" si="365"/>
        <v>80684.10253388634</v>
      </c>
      <c r="AG273" s="614">
        <f t="shared" si="351"/>
        <v>3.7304786913198488E-3</v>
      </c>
      <c r="AH273" s="199">
        <f t="shared" si="364"/>
        <v>22468.421758252953</v>
      </c>
      <c r="AI273" s="252">
        <f t="shared" si="334"/>
        <v>1.7405945906277041E-3</v>
      </c>
      <c r="AJ273" s="199">
        <f t="shared" si="352"/>
        <v>107399.0560044491</v>
      </c>
      <c r="AK273" s="199">
        <f t="shared" ref="AK273:AK336" si="367">AB273*0.04</f>
        <v>17974.737406602359</v>
      </c>
      <c r="AL273" s="199">
        <f t="shared" ref="AL273:AL336" si="368">AB273*0.04</f>
        <v>17974.737406602359</v>
      </c>
      <c r="AM273" s="199">
        <f t="shared" si="335"/>
        <v>35949.474813204717</v>
      </c>
      <c r="AN273" s="645">
        <f t="shared" si="336"/>
        <v>1.7405945906277037E-3</v>
      </c>
      <c r="AO273" s="199">
        <v>10</v>
      </c>
      <c r="AP273" s="250">
        <f t="shared" si="337"/>
        <v>1.1362345188046814E-3</v>
      </c>
      <c r="AQ273" s="199">
        <v>10</v>
      </c>
      <c r="AU273" s="199">
        <v>1</v>
      </c>
      <c r="AV273" s="199">
        <f t="shared" si="353"/>
        <v>249649.16844889955</v>
      </c>
      <c r="AW273" s="250">
        <f t="shared" si="338"/>
        <v>7.1853937181144264E-3</v>
      </c>
      <c r="AX273" s="199">
        <v>0</v>
      </c>
      <c r="AY273" s="199">
        <f t="shared" si="354"/>
        <v>25904.721244396856</v>
      </c>
      <c r="AZ273" s="199">
        <f t="shared" si="355"/>
        <v>0</v>
      </c>
      <c r="BA273" s="252">
        <f t="shared" si="339"/>
        <v>0</v>
      </c>
      <c r="BB273" s="284">
        <v>1</v>
      </c>
      <c r="BC273" s="199">
        <f t="shared" si="356"/>
        <v>61150.056657261222</v>
      </c>
      <c r="BD273" s="270">
        <f t="shared" si="289"/>
        <v>5.5069963696419717E-3</v>
      </c>
      <c r="BE273" s="199">
        <f t="shared" si="357"/>
        <v>261586.35347828415</v>
      </c>
      <c r="BF273" s="251">
        <f t="shared" si="290"/>
        <v>5.5069964920177886E-3</v>
      </c>
      <c r="BG273" s="199">
        <f t="shared" si="296"/>
        <v>322736.41013554536</v>
      </c>
      <c r="BH273" s="636">
        <v>0</v>
      </c>
      <c r="BI273" s="199">
        <f t="shared" si="340"/>
        <v>137506.74116050801</v>
      </c>
      <c r="BJ273" s="199">
        <f t="shared" si="341"/>
        <v>275013.48232101602</v>
      </c>
      <c r="BK273" s="199">
        <f t="shared" si="349"/>
        <v>412520.22348152404</v>
      </c>
      <c r="BL273" s="251">
        <f t="shared" si="342"/>
        <v>1.7405945906277035E-3</v>
      </c>
      <c r="BM273" s="199">
        <f t="shared" si="358"/>
        <v>55585.888654318434</v>
      </c>
      <c r="BN273" s="251">
        <f t="shared" si="343"/>
        <v>2.4003715411869894E-3</v>
      </c>
      <c r="BT273" s="199">
        <f>'Detailed Budget'!$AD$12</f>
        <v>194045122715</v>
      </c>
      <c r="BU273" s="199">
        <f>'Detailed Budget'!$AD$24</f>
        <v>194045122715</v>
      </c>
      <c r="BV273" s="596">
        <f t="shared" si="359"/>
        <v>7.1853937181144264E-3</v>
      </c>
      <c r="BW273" s="278"/>
      <c r="BX273" s="275">
        <f t="shared" si="294"/>
        <v>1394290605.7871039</v>
      </c>
      <c r="BY273" s="275">
        <f t="shared" si="295"/>
        <v>1394290605.7871039</v>
      </c>
      <c r="CA273" s="199">
        <f>'Detailed Budget'!$AD$96</f>
        <v>71050111380.677719</v>
      </c>
      <c r="CB273" s="275">
        <f t="shared" si="344"/>
        <v>0</v>
      </c>
      <c r="CE273" s="199">
        <f>'Detailed Budget'!$AD$175</f>
        <v>4330586076.5988197</v>
      </c>
      <c r="CF273" s="275">
        <f t="shared" si="360"/>
        <v>23848521.802251771</v>
      </c>
      <c r="CG273" s="199">
        <f>'Detailed Budget'!$AD$176</f>
        <v>20662817754.37001</v>
      </c>
      <c r="CH273" s="275">
        <f t="shared" si="361"/>
        <v>113790064.88851853</v>
      </c>
      <c r="CI273" s="275">
        <f t="shared" si="293"/>
        <v>137638586.6907703</v>
      </c>
      <c r="CJ273" s="275">
        <f>'Detailed Budget'!$AD$178</f>
        <v>46025131033.061455</v>
      </c>
      <c r="CK273" s="275">
        <f t="shared" si="362"/>
        <v>171695770.58403966</v>
      </c>
      <c r="CL273" s="275">
        <f t="shared" si="366"/>
        <v>309334357.27480996</v>
      </c>
      <c r="CM273" s="278">
        <f>'Detailed Budget'!$AD$189</f>
        <v>77498869683.252869</v>
      </c>
      <c r="CN273" s="275">
        <f t="shared" si="346"/>
        <v>0</v>
      </c>
      <c r="CO273" s="140">
        <f>'Detailed Budget'!$AD$191</f>
        <v>2684962805.4134097</v>
      </c>
      <c r="CP273" s="616">
        <f t="shared" si="347"/>
        <v>0</v>
      </c>
      <c r="CQ273" s="616">
        <f t="shared" si="348"/>
        <v>0</v>
      </c>
      <c r="CR273" s="199">
        <f>'Detailed Budget'!$AD$195</f>
        <v>18734176418</v>
      </c>
      <c r="CS273" s="275">
        <f t="shared" si="363"/>
        <v>44968983.92134361</v>
      </c>
      <c r="CW273" s="278"/>
      <c r="DH273" s="140"/>
      <c r="DI273" s="616"/>
    </row>
    <row r="274" spans="1:113" outlineLevel="1">
      <c r="A274" s="214" t="s">
        <v>696</v>
      </c>
      <c r="B274" s="215" t="s">
        <v>697</v>
      </c>
      <c r="C274" s="216" t="s">
        <v>234</v>
      </c>
      <c r="D274" s="217" t="s">
        <v>234</v>
      </c>
      <c r="E274" s="216"/>
      <c r="F274" s="216"/>
      <c r="G274" s="216"/>
      <c r="H274" s="216" t="s">
        <v>234</v>
      </c>
      <c r="I274" s="217" t="s">
        <v>234</v>
      </c>
      <c r="J274" s="217"/>
      <c r="K274" s="216" t="s">
        <v>234</v>
      </c>
      <c r="L274" s="216"/>
      <c r="M274" s="217"/>
      <c r="N274" s="216"/>
      <c r="O274" s="217"/>
      <c r="P274" s="216"/>
      <c r="Q274" s="217"/>
      <c r="R274" s="217" t="s">
        <v>234</v>
      </c>
      <c r="S274" s="217"/>
      <c r="T274" s="217"/>
      <c r="U274" s="218">
        <f t="shared" si="350"/>
        <v>6</v>
      </c>
      <c r="V274" s="867" t="s">
        <v>238</v>
      </c>
      <c r="W274" s="219">
        <v>105514</v>
      </c>
      <c r="X274" s="220">
        <v>3.53</v>
      </c>
      <c r="Y274" s="221">
        <f t="shared" si="297"/>
        <v>1.0352999999999999</v>
      </c>
      <c r="Z274" s="199">
        <v>19</v>
      </c>
      <c r="AA274" s="221">
        <f t="shared" si="298"/>
        <v>1.9331166712483931</v>
      </c>
      <c r="AB274" s="199">
        <f t="shared" si="331"/>
        <v>203970.87245010296</v>
      </c>
      <c r="AC274">
        <v>18.899999999999999</v>
      </c>
      <c r="AD274" s="199">
        <f t="shared" si="332"/>
        <v>38550.494893069459</v>
      </c>
      <c r="AE274" s="199">
        <f t="shared" si="301"/>
        <v>36622.970148415981</v>
      </c>
      <c r="AF274" s="199">
        <f t="shared" si="365"/>
        <v>36622.970148415981</v>
      </c>
      <c r="AG274" s="614">
        <f t="shared" si="351"/>
        <v>1.6932853618112625E-3</v>
      </c>
      <c r="AH274" s="199">
        <f t="shared" si="364"/>
        <v>10198.543622505149</v>
      </c>
      <c r="AI274" s="252">
        <f t="shared" si="334"/>
        <v>7.9006572213256398E-4</v>
      </c>
      <c r="AJ274" s="199">
        <f t="shared" si="352"/>
        <v>48749.038515574604</v>
      </c>
      <c r="AK274" s="199">
        <f t="shared" si="367"/>
        <v>8158.8348980041192</v>
      </c>
      <c r="AL274" s="199">
        <f t="shared" si="368"/>
        <v>8158.8348980041192</v>
      </c>
      <c r="AM274" s="199">
        <f t="shared" si="335"/>
        <v>16317.669796008238</v>
      </c>
      <c r="AN274" s="645">
        <f t="shared" si="336"/>
        <v>7.9006572213256398E-4</v>
      </c>
      <c r="AO274" s="199">
        <v>10</v>
      </c>
      <c r="AP274" s="250">
        <f t="shared" si="337"/>
        <v>1.1362345188046814E-3</v>
      </c>
      <c r="AQ274" s="199">
        <v>10</v>
      </c>
      <c r="AU274" s="199">
        <v>1</v>
      </c>
      <c r="AV274" s="199">
        <f t="shared" si="353"/>
        <v>113317.16851954842</v>
      </c>
      <c r="AW274" s="250">
        <f t="shared" si="338"/>
        <v>3.2614908188710458E-3</v>
      </c>
      <c r="AX274" s="199">
        <v>0</v>
      </c>
      <c r="AY274" s="199">
        <f t="shared" si="354"/>
        <v>11758.299380452769</v>
      </c>
      <c r="AZ274" s="199">
        <f t="shared" si="355"/>
        <v>0</v>
      </c>
      <c r="BA274" s="252">
        <f t="shared" si="339"/>
        <v>0</v>
      </c>
      <c r="BB274" s="284">
        <v>1</v>
      </c>
      <c r="BC274" s="199">
        <f t="shared" si="356"/>
        <v>27756.356323010008</v>
      </c>
      <c r="BD274" s="270">
        <f t="shared" ref="BD274:BD338" si="369">BC274/11104067</f>
        <v>2.4996567764774841E-3</v>
      </c>
      <c r="BE274" s="199">
        <f t="shared" si="357"/>
        <v>118735.52427065394</v>
      </c>
      <c r="BF274" s="251">
        <f t="shared" ref="BF274:BF338" si="370">BE274/47500730</f>
        <v>2.4996568320245593E-3</v>
      </c>
      <c r="BG274" s="199">
        <f t="shared" si="296"/>
        <v>146491.88059366395</v>
      </c>
      <c r="BH274" s="636">
        <v>0</v>
      </c>
      <c r="BI274" s="199">
        <f t="shared" si="340"/>
        <v>62415.086969731514</v>
      </c>
      <c r="BJ274" s="199">
        <f t="shared" si="341"/>
        <v>124830.17393946303</v>
      </c>
      <c r="BK274" s="199">
        <f t="shared" si="349"/>
        <v>187245.26090919453</v>
      </c>
      <c r="BL274" s="251">
        <f t="shared" si="342"/>
        <v>7.9006572213256398E-4</v>
      </c>
      <c r="BM274" s="199">
        <f t="shared" si="358"/>
        <v>25230.749019056155</v>
      </c>
      <c r="BN274" s="251">
        <f t="shared" si="343"/>
        <v>1.0895422089014103E-3</v>
      </c>
      <c r="BT274" s="199">
        <f>'Detailed Budget'!$AD$12</f>
        <v>194045122715</v>
      </c>
      <c r="BU274" s="199">
        <f>'Detailed Budget'!$AD$24</f>
        <v>194045122715</v>
      </c>
      <c r="BV274" s="596">
        <f t="shared" si="359"/>
        <v>3.2614908188710458E-3</v>
      </c>
      <c r="BW274" s="278"/>
      <c r="BX274" s="275">
        <f t="shared" si="294"/>
        <v>632876386.18167794</v>
      </c>
      <c r="BY274" s="275">
        <f t="shared" si="295"/>
        <v>632876386.18167794</v>
      </c>
      <c r="CA274" s="199">
        <f>'Detailed Budget'!$AD$96</f>
        <v>71050111380.677719</v>
      </c>
      <c r="CB274" s="275">
        <f t="shared" si="344"/>
        <v>0</v>
      </c>
      <c r="CE274" s="199">
        <f>'Detailed Budget'!$AD$175</f>
        <v>4330586076.5988197</v>
      </c>
      <c r="CF274" s="275">
        <f t="shared" si="360"/>
        <v>10824978.832489282</v>
      </c>
      <c r="CG274" s="199">
        <f>'Detailed Budget'!$AD$176</f>
        <v>20662817754.37001</v>
      </c>
      <c r="CH274" s="275">
        <f t="shared" si="361"/>
        <v>51649953.56858936</v>
      </c>
      <c r="CI274" s="275">
        <f t="shared" si="293"/>
        <v>62474932.401078641</v>
      </c>
      <c r="CJ274" s="275">
        <f>'Detailed Budget'!$AD$178</f>
        <v>46025131033.061455</v>
      </c>
      <c r="CK274" s="275">
        <f t="shared" si="362"/>
        <v>77933680.653728232</v>
      </c>
      <c r="CL274" s="275">
        <f t="shared" si="366"/>
        <v>140408613.05480689</v>
      </c>
      <c r="CM274" s="278">
        <f>'Detailed Budget'!$AD$189</f>
        <v>77498869683.252869</v>
      </c>
      <c r="CN274" s="275">
        <f t="shared" si="346"/>
        <v>0</v>
      </c>
      <c r="CO274" s="140">
        <f>'Detailed Budget'!$AD$191</f>
        <v>2684962805.4134097</v>
      </c>
      <c r="CP274" s="616">
        <f t="shared" si="347"/>
        <v>0</v>
      </c>
      <c r="CQ274" s="616">
        <f t="shared" si="348"/>
        <v>0</v>
      </c>
      <c r="CR274" s="199">
        <f>'Detailed Budget'!$AD$195</f>
        <v>18734176418</v>
      </c>
      <c r="CS274" s="275">
        <f t="shared" si="363"/>
        <v>20411675.956416428</v>
      </c>
      <c r="CW274" s="278"/>
      <c r="DH274" s="140"/>
      <c r="DI274" s="616"/>
    </row>
    <row r="275" spans="1:113" outlineLevel="1">
      <c r="A275" s="214" t="s">
        <v>698</v>
      </c>
      <c r="B275" s="215" t="s">
        <v>699</v>
      </c>
      <c r="C275" s="216" t="s">
        <v>234</v>
      </c>
      <c r="D275" s="217" t="s">
        <v>234</v>
      </c>
      <c r="E275" s="216"/>
      <c r="F275" s="216"/>
      <c r="G275" s="216"/>
      <c r="H275" s="216" t="s">
        <v>234</v>
      </c>
      <c r="I275" s="217" t="s">
        <v>234</v>
      </c>
      <c r="J275" s="217"/>
      <c r="K275" s="216" t="s">
        <v>234</v>
      </c>
      <c r="L275" s="216"/>
      <c r="M275" s="217"/>
      <c r="N275" s="216"/>
      <c r="O275" s="217"/>
      <c r="P275" s="216"/>
      <c r="Q275" s="217"/>
      <c r="R275" s="217" t="s">
        <v>234</v>
      </c>
      <c r="S275" s="217"/>
      <c r="T275" s="217"/>
      <c r="U275" s="218">
        <f t="shared" si="350"/>
        <v>6</v>
      </c>
      <c r="V275" s="867" t="s">
        <v>238</v>
      </c>
      <c r="W275" s="219">
        <v>60994</v>
      </c>
      <c r="X275" s="220">
        <v>3.53</v>
      </c>
      <c r="Y275" s="221">
        <f t="shared" si="297"/>
        <v>1.0352999999999999</v>
      </c>
      <c r="Z275" s="199">
        <v>19</v>
      </c>
      <c r="AA275" s="221">
        <f t="shared" si="298"/>
        <v>1.9331166712483931</v>
      </c>
      <c r="AB275" s="199">
        <f t="shared" si="331"/>
        <v>117908.5182461245</v>
      </c>
      <c r="AC275">
        <v>18.899999999999999</v>
      </c>
      <c r="AD275" s="199">
        <f t="shared" si="332"/>
        <v>22284.709948517528</v>
      </c>
      <c r="AE275" s="199">
        <f t="shared" si="301"/>
        <v>21170.47445109165</v>
      </c>
      <c r="AF275" s="199">
        <f t="shared" si="365"/>
        <v>21170.47445109165</v>
      </c>
      <c r="AG275" s="614">
        <f t="shared" si="351"/>
        <v>9.7882979849419163E-4</v>
      </c>
      <c r="AH275" s="199">
        <f t="shared" si="364"/>
        <v>5895.4259123062257</v>
      </c>
      <c r="AI275" s="252">
        <f t="shared" si="334"/>
        <v>4.5670971298361932E-4</v>
      </c>
      <c r="AJ275" s="199">
        <f t="shared" si="352"/>
        <v>28180.135860823753</v>
      </c>
      <c r="AK275" s="199">
        <f t="shared" si="367"/>
        <v>4716.3407298449802</v>
      </c>
      <c r="AL275" s="199">
        <f t="shared" si="368"/>
        <v>4716.3407298449802</v>
      </c>
      <c r="AM275" s="199">
        <f t="shared" si="335"/>
        <v>9432.6814596899603</v>
      </c>
      <c r="AN275" s="645">
        <f t="shared" si="336"/>
        <v>4.5670971298361932E-4</v>
      </c>
      <c r="AO275" s="199">
        <v>10</v>
      </c>
      <c r="AP275" s="250">
        <f t="shared" si="337"/>
        <v>1.1362345188046814E-3</v>
      </c>
      <c r="AQ275" s="199">
        <v>10</v>
      </c>
      <c r="AU275" s="199">
        <v>1</v>
      </c>
      <c r="AV275" s="199">
        <f t="shared" si="353"/>
        <v>65504.742277625119</v>
      </c>
      <c r="AW275" s="250">
        <f t="shared" si="338"/>
        <v>1.8853552230625374E-3</v>
      </c>
      <c r="AX275" s="199">
        <v>0</v>
      </c>
      <c r="AY275" s="199">
        <f t="shared" si="354"/>
        <v>6797.0668575860664</v>
      </c>
      <c r="AZ275" s="199">
        <f t="shared" si="355"/>
        <v>0</v>
      </c>
      <c r="BA275" s="252">
        <f t="shared" si="339"/>
        <v>0</v>
      </c>
      <c r="BB275" s="284">
        <v>1</v>
      </c>
      <c r="BC275" s="199">
        <f t="shared" si="356"/>
        <v>16044.99116293262</v>
      </c>
      <c r="BD275" s="270">
        <f t="shared" si="369"/>
        <v>1.4449652692957113E-3</v>
      </c>
      <c r="BE275" s="199">
        <f t="shared" si="357"/>
        <v>68636.90664143399</v>
      </c>
      <c r="BF275" s="251">
        <f t="shared" si="370"/>
        <v>1.4449653014055571E-3</v>
      </c>
      <c r="BG275" s="199">
        <f t="shared" si="296"/>
        <v>84681.897804366614</v>
      </c>
      <c r="BH275" s="636">
        <v>0</v>
      </c>
      <c r="BI275" s="199">
        <f t="shared" si="340"/>
        <v>36080.006583314098</v>
      </c>
      <c r="BJ275" s="199">
        <f t="shared" si="341"/>
        <v>72160.013166628196</v>
      </c>
      <c r="BK275" s="199">
        <f t="shared" si="349"/>
        <v>108240.01974994229</v>
      </c>
      <c r="BL275" s="251">
        <f t="shared" si="342"/>
        <v>4.5670971298361932E-4</v>
      </c>
      <c r="BM275" s="199">
        <f t="shared" si="358"/>
        <v>14585.024789774921</v>
      </c>
      <c r="BN275" s="251">
        <f t="shared" si="343"/>
        <v>6.2982672905711676E-4</v>
      </c>
      <c r="BT275" s="199">
        <f>'Detailed Budget'!$AD$12</f>
        <v>194045122715</v>
      </c>
      <c r="BU275" s="199">
        <f>'Detailed Budget'!$AD$24</f>
        <v>194045122715</v>
      </c>
      <c r="BV275" s="596">
        <f t="shared" si="359"/>
        <v>1.8853552230625374E-3</v>
      </c>
      <c r="BW275" s="278"/>
      <c r="BX275" s="275">
        <f t="shared" si="294"/>
        <v>365843985.62053627</v>
      </c>
      <c r="BY275" s="275">
        <f t="shared" si="295"/>
        <v>365843985.62053627</v>
      </c>
      <c r="CA275" s="199">
        <f>'Detailed Budget'!$AD$96</f>
        <v>71050111380.677719</v>
      </c>
      <c r="CB275" s="275">
        <f t="shared" si="344"/>
        <v>0</v>
      </c>
      <c r="CE275" s="199">
        <f>'Detailed Budget'!$AD$175</f>
        <v>4330586076.5988197</v>
      </c>
      <c r="CF275" s="275">
        <f t="shared" si="360"/>
        <v>6257546.4763808716</v>
      </c>
      <c r="CG275" s="199">
        <f>'Detailed Budget'!$AD$176</f>
        <v>20662817754.37001</v>
      </c>
      <c r="CH275" s="275">
        <f t="shared" si="361"/>
        <v>29857054.684331357</v>
      </c>
      <c r="CI275" s="275">
        <f t="shared" si="293"/>
        <v>36114601.160712227</v>
      </c>
      <c r="CJ275" s="275">
        <f>'Detailed Budget'!$AD$178</f>
        <v>46025131033.061455</v>
      </c>
      <c r="CK275" s="275">
        <f t="shared" si="362"/>
        <v>45050769.734760307</v>
      </c>
      <c r="CL275" s="275">
        <f t="shared" si="366"/>
        <v>81165370.895472527</v>
      </c>
      <c r="CM275" s="278">
        <f>'Detailed Budget'!$AD$189</f>
        <v>77498869683.252869</v>
      </c>
      <c r="CN275" s="275">
        <f t="shared" si="346"/>
        <v>0</v>
      </c>
      <c r="CO275" s="140">
        <f>'Detailed Budget'!$AD$191</f>
        <v>2684962805.4134097</v>
      </c>
      <c r="CP275" s="616">
        <f t="shared" si="347"/>
        <v>0</v>
      </c>
      <c r="CQ275" s="616">
        <f t="shared" si="348"/>
        <v>0</v>
      </c>
      <c r="CR275" s="199">
        <f>'Detailed Budget'!$AD$195</f>
        <v>18734176418</v>
      </c>
      <c r="CS275" s="275">
        <f t="shared" si="363"/>
        <v>11799285.054927912</v>
      </c>
      <c r="CW275" s="278"/>
      <c r="DH275" s="140"/>
      <c r="DI275" s="616"/>
    </row>
    <row r="276" spans="1:113" outlineLevel="1">
      <c r="A276" s="214" t="s">
        <v>700</v>
      </c>
      <c r="B276" s="215" t="s">
        <v>701</v>
      </c>
      <c r="C276" s="216" t="s">
        <v>234</v>
      </c>
      <c r="D276" s="217" t="s">
        <v>234</v>
      </c>
      <c r="E276" s="216"/>
      <c r="F276" s="216"/>
      <c r="G276" s="216"/>
      <c r="H276" s="216" t="s">
        <v>234</v>
      </c>
      <c r="I276" s="217" t="s">
        <v>234</v>
      </c>
      <c r="J276" s="217"/>
      <c r="K276" s="216" t="s">
        <v>234</v>
      </c>
      <c r="L276" s="216"/>
      <c r="M276" s="217"/>
      <c r="N276" s="216"/>
      <c r="O276" s="217"/>
      <c r="P276" s="216"/>
      <c r="Q276" s="217"/>
      <c r="R276" s="217" t="s">
        <v>234</v>
      </c>
      <c r="S276" s="217"/>
      <c r="T276" s="217"/>
      <c r="U276" s="218">
        <f t="shared" si="350"/>
        <v>6</v>
      </c>
      <c r="V276" s="867" t="s">
        <v>238</v>
      </c>
      <c r="W276" s="219">
        <v>87517</v>
      </c>
      <c r="X276" s="220">
        <v>3.53</v>
      </c>
      <c r="Y276" s="221">
        <f t="shared" si="297"/>
        <v>1.0352999999999999</v>
      </c>
      <c r="Z276" s="199">
        <v>19</v>
      </c>
      <c r="AA276" s="221">
        <f t="shared" si="298"/>
        <v>1.9331166712483931</v>
      </c>
      <c r="AB276" s="199">
        <f t="shared" si="331"/>
        <v>169180.57171764562</v>
      </c>
      <c r="AC276">
        <v>18.899999999999999</v>
      </c>
      <c r="AD276" s="199">
        <f t="shared" si="332"/>
        <v>31975.128054635021</v>
      </c>
      <c r="AE276" s="199">
        <f t="shared" si="301"/>
        <v>30376.371651903268</v>
      </c>
      <c r="AF276" s="199">
        <f t="shared" si="365"/>
        <v>30376.371651903268</v>
      </c>
      <c r="AG276" s="614">
        <f t="shared" si="351"/>
        <v>1.4044700704137485E-3</v>
      </c>
      <c r="AH276" s="199">
        <f t="shared" si="364"/>
        <v>8459.0285858822808</v>
      </c>
      <c r="AI276" s="252">
        <f t="shared" si="334"/>
        <v>6.5530812786810842E-4</v>
      </c>
      <c r="AJ276" s="199">
        <f t="shared" si="352"/>
        <v>40434.1566405173</v>
      </c>
      <c r="AK276" s="199">
        <f t="shared" si="367"/>
        <v>6767.222868705825</v>
      </c>
      <c r="AL276" s="199">
        <f t="shared" si="368"/>
        <v>6767.222868705825</v>
      </c>
      <c r="AM276" s="199">
        <f t="shared" si="335"/>
        <v>13534.44573741165</v>
      </c>
      <c r="AN276" s="645">
        <f t="shared" si="336"/>
        <v>6.5530812786810842E-4</v>
      </c>
      <c r="AO276" s="199">
        <v>11</v>
      </c>
      <c r="AP276" s="250">
        <f t="shared" si="337"/>
        <v>1.2498579706851495E-3</v>
      </c>
      <c r="AQ276" s="199">
        <v>11</v>
      </c>
      <c r="AU276" s="199">
        <v>1</v>
      </c>
      <c r="AV276" s="199">
        <f t="shared" si="353"/>
        <v>93989.220741563389</v>
      </c>
      <c r="AW276" s="250">
        <f t="shared" si="338"/>
        <v>2.7051944954710971E-3</v>
      </c>
      <c r="AX276" s="199">
        <v>0</v>
      </c>
      <c r="AY276" s="199">
        <f t="shared" si="354"/>
        <v>9752.7445351241076</v>
      </c>
      <c r="AZ276" s="199">
        <f t="shared" si="355"/>
        <v>0</v>
      </c>
      <c r="BA276" s="252">
        <f t="shared" si="339"/>
        <v>0</v>
      </c>
      <c r="BB276" s="284">
        <v>1</v>
      </c>
      <c r="BC276" s="199">
        <f t="shared" si="356"/>
        <v>23022.092199337214</v>
      </c>
      <c r="BD276" s="270">
        <f t="shared" si="369"/>
        <v>2.073302709659192E-3</v>
      </c>
      <c r="BE276" s="199">
        <f t="shared" si="357"/>
        <v>98483.394408275868</v>
      </c>
      <c r="BF276" s="251">
        <f t="shared" si="370"/>
        <v>2.0733027557318776E-3</v>
      </c>
      <c r="BG276" s="199">
        <f t="shared" si="296"/>
        <v>121505.48660761309</v>
      </c>
      <c r="BH276" s="636">
        <v>0</v>
      </c>
      <c r="BI276" s="199">
        <f t="shared" si="340"/>
        <v>51769.254945599561</v>
      </c>
      <c r="BJ276" s="199">
        <f t="shared" si="341"/>
        <v>103538.50989119912</v>
      </c>
      <c r="BK276" s="199">
        <f t="shared" si="349"/>
        <v>155307.76483679868</v>
      </c>
      <c r="BL276" s="251">
        <f t="shared" si="342"/>
        <v>6.5530812786810842E-4</v>
      </c>
      <c r="BM276" s="199">
        <f t="shared" si="358"/>
        <v>20927.265215049538</v>
      </c>
      <c r="BN276" s="251">
        <f t="shared" si="343"/>
        <v>9.0370439464359891E-4</v>
      </c>
      <c r="BT276" s="199">
        <f>'Detailed Budget'!$AD$12</f>
        <v>194045122715</v>
      </c>
      <c r="BU276" s="199">
        <f>'Detailed Budget'!$AD$24</f>
        <v>194045122715</v>
      </c>
      <c r="BV276" s="596">
        <f t="shared" si="359"/>
        <v>2.7051944954710971E-3</v>
      </c>
      <c r="BW276" s="278"/>
      <c r="BX276" s="275">
        <f t="shared" si="294"/>
        <v>524929797.84163153</v>
      </c>
      <c r="BY276" s="275">
        <f t="shared" si="295"/>
        <v>524929797.84163153</v>
      </c>
      <c r="CA276" s="199">
        <f>'Detailed Budget'!$AD$96</f>
        <v>71050111380.677719</v>
      </c>
      <c r="CB276" s="275">
        <f t="shared" si="344"/>
        <v>0</v>
      </c>
      <c r="CE276" s="199">
        <f>'Detailed Budget'!$AD$175</f>
        <v>4330586076.5988197</v>
      </c>
      <c r="CF276" s="275">
        <f t="shared" si="360"/>
        <v>8978615.8470247015</v>
      </c>
      <c r="CG276" s="199">
        <f>'Detailed Budget'!$AD$176</f>
        <v>20662817754.37001</v>
      </c>
      <c r="CH276" s="275">
        <f t="shared" si="361"/>
        <v>42840276.991320908</v>
      </c>
      <c r="CI276" s="275">
        <f t="shared" si="293"/>
        <v>51818892.83834561</v>
      </c>
      <c r="CJ276" s="275">
        <f>'Detailed Budget'!$AD$178</f>
        <v>46025131033.061455</v>
      </c>
      <c r="CK276" s="275">
        <f t="shared" si="362"/>
        <v>64640919.022805825</v>
      </c>
      <c r="CL276" s="275">
        <f t="shared" si="366"/>
        <v>116459811.86115143</v>
      </c>
      <c r="CM276" s="278">
        <f>'Detailed Budget'!$AD$189</f>
        <v>77498869683.252869</v>
      </c>
      <c r="CN276" s="275">
        <f t="shared" si="346"/>
        <v>0</v>
      </c>
      <c r="CO276" s="140">
        <f>'Detailed Budget'!$AD$191</f>
        <v>2684962805.4134097</v>
      </c>
      <c r="CP276" s="616">
        <f t="shared" si="347"/>
        <v>0</v>
      </c>
      <c r="CQ276" s="616">
        <f t="shared" si="348"/>
        <v>0</v>
      </c>
      <c r="CR276" s="199">
        <f>'Detailed Budget'!$AD$195</f>
        <v>18734176418</v>
      </c>
      <c r="CS276" s="275">
        <f t="shared" si="363"/>
        <v>16930157.558975074</v>
      </c>
      <c r="CW276" s="278"/>
      <c r="DH276" s="140"/>
      <c r="DI276" s="616"/>
    </row>
    <row r="277" spans="1:113" outlineLevel="1">
      <c r="A277" s="214" t="s">
        <v>702</v>
      </c>
      <c r="B277" s="215" t="s">
        <v>703</v>
      </c>
      <c r="C277" s="216" t="s">
        <v>234</v>
      </c>
      <c r="D277" s="217" t="s">
        <v>234</v>
      </c>
      <c r="E277" s="216"/>
      <c r="F277" s="216"/>
      <c r="G277" s="216"/>
      <c r="H277" s="216" t="s">
        <v>234</v>
      </c>
      <c r="I277" s="217" t="s">
        <v>234</v>
      </c>
      <c r="J277" s="217"/>
      <c r="K277" s="216" t="s">
        <v>234</v>
      </c>
      <c r="L277" s="216"/>
      <c r="M277" s="217"/>
      <c r="N277" s="216"/>
      <c r="O277" s="217"/>
      <c r="P277" s="216"/>
      <c r="Q277" s="217"/>
      <c r="R277" s="217" t="s">
        <v>234</v>
      </c>
      <c r="S277" s="217"/>
      <c r="T277" s="217"/>
      <c r="U277" s="218">
        <f t="shared" si="350"/>
        <v>6</v>
      </c>
      <c r="V277" s="867" t="s">
        <v>238</v>
      </c>
      <c r="W277" s="219">
        <v>150699</v>
      </c>
      <c r="X277" s="220">
        <v>3.53</v>
      </c>
      <c r="Y277" s="221">
        <f t="shared" si="297"/>
        <v>1.0352999999999999</v>
      </c>
      <c r="Z277" s="199">
        <v>19</v>
      </c>
      <c r="AA277" s="221">
        <f t="shared" si="298"/>
        <v>1.9331166712483931</v>
      </c>
      <c r="AB277" s="199">
        <f t="shared" si="331"/>
        <v>291318.74924046162</v>
      </c>
      <c r="AC277">
        <v>18.899999999999999</v>
      </c>
      <c r="AD277" s="199">
        <f t="shared" si="332"/>
        <v>55059.243606447242</v>
      </c>
      <c r="AE277" s="199">
        <f t="shared" si="301"/>
        <v>52306.281426124879</v>
      </c>
      <c r="AF277" s="199">
        <f t="shared" si="365"/>
        <v>52306.281426124879</v>
      </c>
      <c r="AG277" s="614">
        <f t="shared" si="351"/>
        <v>2.4184128242659311E-3</v>
      </c>
      <c r="AH277" s="199">
        <f t="shared" si="364"/>
        <v>14565.937462023081</v>
      </c>
      <c r="AI277" s="252">
        <f t="shared" si="334"/>
        <v>1.1284011056320038E-3</v>
      </c>
      <c r="AJ277" s="199">
        <f t="shared" si="352"/>
        <v>69625.181068470323</v>
      </c>
      <c r="AK277" s="199">
        <f t="shared" si="367"/>
        <v>11652.749969618466</v>
      </c>
      <c r="AL277" s="199">
        <f t="shared" si="368"/>
        <v>11652.749969618466</v>
      </c>
      <c r="AM277" s="199">
        <f t="shared" si="335"/>
        <v>23305.499939236932</v>
      </c>
      <c r="AN277" s="645">
        <f t="shared" si="336"/>
        <v>1.128401105632004E-3</v>
      </c>
      <c r="AO277" s="199">
        <v>10</v>
      </c>
      <c r="AP277" s="250">
        <f t="shared" si="337"/>
        <v>1.1362345188046814E-3</v>
      </c>
      <c r="AQ277" s="199">
        <v>10</v>
      </c>
      <c r="AU277" s="199">
        <v>1</v>
      </c>
      <c r="AV277" s="199">
        <f t="shared" si="353"/>
        <v>161843.77408426773</v>
      </c>
      <c r="AW277" s="250">
        <f t="shared" si="338"/>
        <v>4.6581818992081402E-3</v>
      </c>
      <c r="AX277" s="199">
        <v>0</v>
      </c>
      <c r="AY277" s="199">
        <f t="shared" si="354"/>
        <v>16793.638363959777</v>
      </c>
      <c r="AZ277" s="199">
        <f t="shared" si="355"/>
        <v>0</v>
      </c>
      <c r="BA277" s="252">
        <f t="shared" si="339"/>
        <v>0</v>
      </c>
      <c r="BB277" s="284">
        <v>1</v>
      </c>
      <c r="BC277" s="199">
        <f t="shared" si="356"/>
        <v>39642.655396642011</v>
      </c>
      <c r="BD277" s="270">
        <f t="shared" si="369"/>
        <v>3.5701023234677898E-3</v>
      </c>
      <c r="BE277" s="199">
        <f t="shared" si="357"/>
        <v>169582.4703078575</v>
      </c>
      <c r="BF277" s="251">
        <f t="shared" si="370"/>
        <v>3.5701024028021778E-3</v>
      </c>
      <c r="BG277" s="199">
        <f t="shared" si="296"/>
        <v>209225.12570449951</v>
      </c>
      <c r="BH277" s="636">
        <v>0</v>
      </c>
      <c r="BI277" s="199">
        <f t="shared" si="340"/>
        <v>89143.537267581269</v>
      </c>
      <c r="BJ277" s="199">
        <f t="shared" si="341"/>
        <v>178287.07453516254</v>
      </c>
      <c r="BK277" s="199">
        <f t="shared" si="349"/>
        <v>267430.61180274381</v>
      </c>
      <c r="BL277" s="251">
        <f t="shared" si="342"/>
        <v>1.128401105632004E-3</v>
      </c>
      <c r="BM277" s="199">
        <f t="shared" si="358"/>
        <v>36035.489569372243</v>
      </c>
      <c r="BN277" s="251">
        <f t="shared" si="343"/>
        <v>1.5561245080201072E-3</v>
      </c>
      <c r="BT277" s="199">
        <f>'Detailed Budget'!$AD$12</f>
        <v>194045122715</v>
      </c>
      <c r="BU277" s="199">
        <f>'Detailed Budget'!$AD$24</f>
        <v>194045122715</v>
      </c>
      <c r="BV277" s="596">
        <f t="shared" si="359"/>
        <v>4.6581818992081402E-3</v>
      </c>
      <c r="BW277" s="278"/>
      <c r="BX277" s="275">
        <f t="shared" si="294"/>
        <v>903897478.26063538</v>
      </c>
      <c r="BY277" s="275">
        <f t="shared" si="295"/>
        <v>903897478.26063538</v>
      </c>
      <c r="CA277" s="199">
        <f>'Detailed Budget'!$AD$96</f>
        <v>71050111380.677719</v>
      </c>
      <c r="CB277" s="275">
        <f t="shared" si="344"/>
        <v>0</v>
      </c>
      <c r="CE277" s="199">
        <f>'Detailed Budget'!$AD$175</f>
        <v>4330586076.5988197</v>
      </c>
      <c r="CF277" s="275">
        <f t="shared" si="360"/>
        <v>15460635.414042706</v>
      </c>
      <c r="CG277" s="199">
        <f>'Detailed Budget'!$AD$176</f>
        <v>20662817754.37001</v>
      </c>
      <c r="CH277" s="275">
        <f t="shared" si="361"/>
        <v>73768375.313539878</v>
      </c>
      <c r="CI277" s="275">
        <f t="shared" si="293"/>
        <v>89229010.727582589</v>
      </c>
      <c r="CJ277" s="275">
        <f>'Detailed Budget'!$AD$178</f>
        <v>46025131033.061455</v>
      </c>
      <c r="CK277" s="275">
        <f t="shared" si="362"/>
        <v>111307767.1288757</v>
      </c>
      <c r="CL277" s="275">
        <f t="shared" si="366"/>
        <v>200536777.85645831</v>
      </c>
      <c r="CM277" s="278">
        <f>'Detailed Budget'!$AD$189</f>
        <v>77498869683.252869</v>
      </c>
      <c r="CN277" s="275">
        <f t="shared" si="346"/>
        <v>0</v>
      </c>
      <c r="CO277" s="140">
        <f>'Detailed Budget'!$AD$191</f>
        <v>2684962805.4134097</v>
      </c>
      <c r="CP277" s="616">
        <f t="shared" si="347"/>
        <v>0</v>
      </c>
      <c r="CQ277" s="616">
        <f t="shared" si="348"/>
        <v>0</v>
      </c>
      <c r="CR277" s="199">
        <f>'Detailed Budget'!$AD$195</f>
        <v>18734176418</v>
      </c>
      <c r="CS277" s="275">
        <f t="shared" si="363"/>
        <v>29152711.061622143</v>
      </c>
      <c r="CW277" s="278"/>
      <c r="DH277" s="140"/>
      <c r="DI277" s="616"/>
    </row>
    <row r="278" spans="1:113" outlineLevel="1">
      <c r="A278" s="214" t="s">
        <v>704</v>
      </c>
      <c r="B278" s="215" t="s">
        <v>705</v>
      </c>
      <c r="C278" s="216" t="s">
        <v>234</v>
      </c>
      <c r="D278" s="217" t="s">
        <v>234</v>
      </c>
      <c r="E278" s="216"/>
      <c r="F278" s="216"/>
      <c r="G278" s="216"/>
      <c r="H278" s="216" t="s">
        <v>234</v>
      </c>
      <c r="I278" s="217" t="s">
        <v>234</v>
      </c>
      <c r="J278" s="217"/>
      <c r="K278" s="216" t="s">
        <v>234</v>
      </c>
      <c r="L278" s="216"/>
      <c r="M278" s="217"/>
      <c r="N278" s="216"/>
      <c r="O278" s="217"/>
      <c r="P278" s="216"/>
      <c r="Q278" s="217"/>
      <c r="R278" s="217" t="s">
        <v>234</v>
      </c>
      <c r="S278" s="217"/>
      <c r="T278" s="217"/>
      <c r="U278" s="218">
        <f t="shared" si="350"/>
        <v>6</v>
      </c>
      <c r="V278" s="867" t="s">
        <v>238</v>
      </c>
      <c r="W278" s="219">
        <v>204866</v>
      </c>
      <c r="X278" s="220">
        <v>3.53</v>
      </c>
      <c r="Y278" s="221">
        <f t="shared" si="297"/>
        <v>1.0352999999999999</v>
      </c>
      <c r="Z278" s="199">
        <v>19</v>
      </c>
      <c r="AA278" s="221">
        <f t="shared" si="298"/>
        <v>1.9331166712483931</v>
      </c>
      <c r="AB278" s="199">
        <f t="shared" si="331"/>
        <v>396029.87997197331</v>
      </c>
      <c r="AC278">
        <v>18.899999999999999</v>
      </c>
      <c r="AD278" s="199">
        <f t="shared" si="332"/>
        <v>74849.647314702946</v>
      </c>
      <c r="AE278" s="199">
        <f t="shared" si="301"/>
        <v>71107.164948967795</v>
      </c>
      <c r="AF278" s="199">
        <f t="shared" si="365"/>
        <v>71107.164948967795</v>
      </c>
      <c r="AG278" s="614">
        <f t="shared" si="351"/>
        <v>3.2876831409369947E-3</v>
      </c>
      <c r="AH278" s="199">
        <f t="shared" si="364"/>
        <v>19801.493998598668</v>
      </c>
      <c r="AI278" s="252">
        <f t="shared" si="334"/>
        <v>1.5339917378775314E-3</v>
      </c>
      <c r="AJ278" s="199">
        <f t="shared" si="352"/>
        <v>94651.141313301618</v>
      </c>
      <c r="AK278" s="199">
        <f t="shared" si="367"/>
        <v>15841.195198878933</v>
      </c>
      <c r="AL278" s="199">
        <f t="shared" si="368"/>
        <v>15841.195198878933</v>
      </c>
      <c r="AM278" s="199">
        <f t="shared" si="335"/>
        <v>31682.390397757867</v>
      </c>
      <c r="AN278" s="645">
        <f t="shared" si="336"/>
        <v>1.5339917378775314E-3</v>
      </c>
      <c r="AO278" s="199">
        <v>10</v>
      </c>
      <c r="AP278" s="250">
        <f t="shared" si="337"/>
        <v>1.1362345188046814E-3</v>
      </c>
      <c r="AQ278" s="199">
        <v>10</v>
      </c>
      <c r="AU278" s="199">
        <v>1</v>
      </c>
      <c r="AV278" s="199">
        <f t="shared" si="353"/>
        <v>220016.63329914332</v>
      </c>
      <c r="AW278" s="250">
        <f t="shared" si="338"/>
        <v>6.3325111179448768E-3</v>
      </c>
      <c r="AX278" s="199">
        <v>0</v>
      </c>
      <c r="AY278" s="199">
        <f t="shared" si="354"/>
        <v>22829.916038400941</v>
      </c>
      <c r="AZ278" s="199">
        <f t="shared" si="355"/>
        <v>0</v>
      </c>
      <c r="BA278" s="252">
        <f t="shared" si="339"/>
        <v>0</v>
      </c>
      <c r="BB278" s="284">
        <v>1</v>
      </c>
      <c r="BC278" s="199">
        <f t="shared" si="356"/>
        <v>53891.746066586122</v>
      </c>
      <c r="BD278" s="270">
        <f t="shared" si="369"/>
        <v>4.8533340141577062E-3</v>
      </c>
      <c r="BE278" s="199">
        <f t="shared" si="357"/>
        <v>230536.91372928509</v>
      </c>
      <c r="BF278" s="251">
        <f t="shared" si="370"/>
        <v>4.8533341220079167E-3</v>
      </c>
      <c r="BG278" s="199">
        <f t="shared" si="296"/>
        <v>284428.65979587124</v>
      </c>
      <c r="BH278" s="636">
        <v>0</v>
      </c>
      <c r="BI278" s="199">
        <f t="shared" si="340"/>
        <v>121185.14327142383</v>
      </c>
      <c r="BJ278" s="199">
        <f t="shared" si="341"/>
        <v>242370.28654284767</v>
      </c>
      <c r="BK278" s="199">
        <f t="shared" si="349"/>
        <v>363555.42981427151</v>
      </c>
      <c r="BL278" s="251">
        <f t="shared" si="342"/>
        <v>1.5339917378775314E-3</v>
      </c>
      <c r="BM278" s="199">
        <f t="shared" si="358"/>
        <v>48988.026503951682</v>
      </c>
      <c r="BN278" s="251">
        <f t="shared" si="343"/>
        <v>2.1154553345413525E-3</v>
      </c>
      <c r="BT278" s="199">
        <f>'Detailed Budget'!$AD$12</f>
        <v>194045122715</v>
      </c>
      <c r="BU278" s="199">
        <f>'Detailed Budget'!$AD$24</f>
        <v>194045122715</v>
      </c>
      <c r="BV278" s="596">
        <f t="shared" si="359"/>
        <v>6.3325111179448768E-3</v>
      </c>
      <c r="BW278" s="278"/>
      <c r="BX278" s="275">
        <f t="shared" si="294"/>
        <v>1228792896.9757154</v>
      </c>
      <c r="BY278" s="275">
        <f t="shared" si="295"/>
        <v>1228792896.9757154</v>
      </c>
      <c r="CA278" s="199">
        <f>'Detailed Budget'!$AD$96</f>
        <v>71050111380.677719</v>
      </c>
      <c r="CB278" s="275">
        <f t="shared" si="344"/>
        <v>0</v>
      </c>
      <c r="CE278" s="199">
        <f>'Detailed Budget'!$AD$175</f>
        <v>4330586076.5988197</v>
      </c>
      <c r="CF278" s="275">
        <f t="shared" si="360"/>
        <v>21017780.706794821</v>
      </c>
      <c r="CG278" s="199">
        <f>'Detailed Budget'!$AD$176</f>
        <v>20662817754.37001</v>
      </c>
      <c r="CH278" s="275">
        <f t="shared" si="361"/>
        <v>100283558.46411496</v>
      </c>
      <c r="CI278" s="275">
        <f t="shared" si="293"/>
        <v>121301339.17090979</v>
      </c>
      <c r="CJ278" s="275">
        <f>'Detailed Budget'!$AD$178</f>
        <v>46025131033.061455</v>
      </c>
      <c r="CK278" s="275">
        <f t="shared" si="362"/>
        <v>151316047.35681224</v>
      </c>
      <c r="CL278" s="275">
        <f t="shared" si="366"/>
        <v>272617386.527722</v>
      </c>
      <c r="CM278" s="278">
        <f>'Detailed Budget'!$AD$189</f>
        <v>77498869683.252869</v>
      </c>
      <c r="CN278" s="275">
        <f t="shared" si="346"/>
        <v>0</v>
      </c>
      <c r="CO278" s="140">
        <f>'Detailed Budget'!$AD$191</f>
        <v>2684962805.4134097</v>
      </c>
      <c r="CP278" s="616">
        <f t="shared" si="347"/>
        <v>0</v>
      </c>
      <c r="CQ278" s="616">
        <f t="shared" si="348"/>
        <v>0</v>
      </c>
      <c r="CR278" s="199">
        <f>'Detailed Budget'!$AD$195</f>
        <v>18734176418</v>
      </c>
      <c r="CS278" s="275">
        <f t="shared" si="363"/>
        <v>39631313.441696905</v>
      </c>
      <c r="CW278" s="278"/>
      <c r="DH278" s="140"/>
      <c r="DI278" s="616"/>
    </row>
    <row r="279" spans="1:113" outlineLevel="1">
      <c r="A279" s="214" t="s">
        <v>706</v>
      </c>
      <c r="B279" s="215" t="s">
        <v>707</v>
      </c>
      <c r="C279" s="216" t="s">
        <v>234</v>
      </c>
      <c r="D279" s="217" t="s">
        <v>234</v>
      </c>
      <c r="E279" s="216"/>
      <c r="F279" s="216"/>
      <c r="G279" s="216"/>
      <c r="H279" s="216" t="s">
        <v>234</v>
      </c>
      <c r="I279" s="217" t="s">
        <v>234</v>
      </c>
      <c r="J279" s="217"/>
      <c r="K279" s="216" t="s">
        <v>234</v>
      </c>
      <c r="L279" s="216"/>
      <c r="M279" s="217"/>
      <c r="N279" s="216"/>
      <c r="O279" s="217"/>
      <c r="P279" s="216"/>
      <c r="Q279" s="217"/>
      <c r="R279" s="217" t="s">
        <v>234</v>
      </c>
      <c r="S279" s="217"/>
      <c r="T279" s="217"/>
      <c r="U279" s="218">
        <f t="shared" si="350"/>
        <v>6</v>
      </c>
      <c r="V279" s="867" t="s">
        <v>238</v>
      </c>
      <c r="W279" s="219">
        <v>77667</v>
      </c>
      <c r="X279" s="220">
        <v>3.53</v>
      </c>
      <c r="Y279" s="221">
        <f t="shared" si="297"/>
        <v>1.0352999999999999</v>
      </c>
      <c r="Z279" s="199">
        <v>19</v>
      </c>
      <c r="AA279" s="221">
        <f t="shared" si="298"/>
        <v>1.9331166712483931</v>
      </c>
      <c r="AB279" s="199">
        <f t="shared" si="331"/>
        <v>150139.37250584894</v>
      </c>
      <c r="AC279">
        <v>18.899999999999999</v>
      </c>
      <c r="AD279" s="199">
        <f t="shared" si="332"/>
        <v>28376.341403605449</v>
      </c>
      <c r="AE279" s="199">
        <f t="shared" si="301"/>
        <v>26957.524333425175</v>
      </c>
      <c r="AF279" s="199">
        <f t="shared" si="365"/>
        <v>26957.524333425175</v>
      </c>
      <c r="AG279" s="614">
        <f t="shared" si="351"/>
        <v>1.2463975794282779E-3</v>
      </c>
      <c r="AH279" s="199">
        <f t="shared" si="364"/>
        <v>7506.9686252924475</v>
      </c>
      <c r="AI279" s="252">
        <f t="shared" si="334"/>
        <v>5.8155348523295338E-4</v>
      </c>
      <c r="AJ279" s="199">
        <f t="shared" si="352"/>
        <v>35883.310028897897</v>
      </c>
      <c r="AK279" s="199">
        <f t="shared" si="367"/>
        <v>6005.5749002339571</v>
      </c>
      <c r="AL279" s="199">
        <f t="shared" si="368"/>
        <v>6005.5749002339571</v>
      </c>
      <c r="AM279" s="199">
        <f t="shared" si="335"/>
        <v>12011.149800467914</v>
      </c>
      <c r="AN279" s="645">
        <f t="shared" si="336"/>
        <v>5.8155348523295327E-4</v>
      </c>
      <c r="AO279" s="199">
        <v>10</v>
      </c>
      <c r="AP279" s="250">
        <f t="shared" si="337"/>
        <v>1.1362345188046814E-3</v>
      </c>
      <c r="AQ279" s="199">
        <v>10</v>
      </c>
      <c r="AU279" s="199">
        <v>1</v>
      </c>
      <c r="AV279" s="199">
        <f t="shared" si="353"/>
        <v>83410.775133231291</v>
      </c>
      <c r="AW279" s="250">
        <f t="shared" si="338"/>
        <v>2.4007260404236169E-3</v>
      </c>
      <c r="AX279" s="199">
        <v>0</v>
      </c>
      <c r="AY279" s="199">
        <f t="shared" si="354"/>
        <v>8655.0774113541829</v>
      </c>
      <c r="AZ279" s="199">
        <f t="shared" si="355"/>
        <v>0</v>
      </c>
      <c r="BA279" s="252">
        <f t="shared" si="339"/>
        <v>0</v>
      </c>
      <c r="BB279" s="284">
        <v>1</v>
      </c>
      <c r="BC279" s="199">
        <f t="shared" si="356"/>
        <v>20430.965810595924</v>
      </c>
      <c r="BD279" s="270">
        <f t="shared" si="369"/>
        <v>1.8399533982094961E-3</v>
      </c>
      <c r="BE279" s="199">
        <f t="shared" si="357"/>
        <v>87399.131523104792</v>
      </c>
      <c r="BF279" s="251">
        <f t="shared" si="370"/>
        <v>1.8399534390967211E-3</v>
      </c>
      <c r="BG279" s="199">
        <f t="shared" si="296"/>
        <v>107830.09733370072</v>
      </c>
      <c r="BH279" s="636">
        <v>0</v>
      </c>
      <c r="BI279" s="199">
        <f t="shared" si="340"/>
        <v>45942.647986789772</v>
      </c>
      <c r="BJ279" s="199">
        <f t="shared" si="341"/>
        <v>91885.295973579545</v>
      </c>
      <c r="BK279" s="199">
        <f t="shared" si="349"/>
        <v>137827.94396036933</v>
      </c>
      <c r="BL279" s="251">
        <f t="shared" si="342"/>
        <v>5.8155348523295338E-4</v>
      </c>
      <c r="BM279" s="199">
        <f t="shared" si="358"/>
        <v>18571.910685435432</v>
      </c>
      <c r="BN279" s="251">
        <f t="shared" si="343"/>
        <v>8.0199286103025021E-4</v>
      </c>
      <c r="BT279" s="199">
        <f>'Detailed Budget'!$AD$12</f>
        <v>194045122715</v>
      </c>
      <c r="BU279" s="199">
        <f>'Detailed Budget'!$AD$24</f>
        <v>194045122715</v>
      </c>
      <c r="BV279" s="596">
        <f t="shared" si="359"/>
        <v>2.4007260404236169E-3</v>
      </c>
      <c r="BW279" s="278"/>
      <c r="BX279" s="275">
        <f t="shared" si="294"/>
        <v>465849179.11909682</v>
      </c>
      <c r="BY279" s="275">
        <f t="shared" si="295"/>
        <v>465849179.11909682</v>
      </c>
      <c r="CA279" s="199">
        <f>'Detailed Budget'!$AD$96</f>
        <v>71050111380.677719</v>
      </c>
      <c r="CB279" s="275">
        <f t="shared" si="344"/>
        <v>0</v>
      </c>
      <c r="CE279" s="199">
        <f>'Detailed Budget'!$AD$175</f>
        <v>4330586076.5988197</v>
      </c>
      <c r="CF279" s="275">
        <f t="shared" si="360"/>
        <v>7968076.5678767273</v>
      </c>
      <c r="CG279" s="199">
        <f>'Detailed Budget'!$AD$176</f>
        <v>20662817754.37001</v>
      </c>
      <c r="CH279" s="275">
        <f t="shared" si="361"/>
        <v>38018622.58858189</v>
      </c>
      <c r="CI279" s="275">
        <f t="shared" si="293"/>
        <v>45986699.156458616</v>
      </c>
      <c r="CJ279" s="275">
        <f>'Detailed Budget'!$AD$178</f>
        <v>46025131033.061455</v>
      </c>
      <c r="CK279" s="275">
        <f t="shared" si="362"/>
        <v>57365611.912477113</v>
      </c>
      <c r="CL279" s="275">
        <f t="shared" si="366"/>
        <v>103352311.06893572</v>
      </c>
      <c r="CM279" s="278">
        <f>'Detailed Budget'!$AD$189</f>
        <v>77498869683.252869</v>
      </c>
      <c r="CN279" s="275">
        <f t="shared" si="346"/>
        <v>0</v>
      </c>
      <c r="CO279" s="140">
        <f>'Detailed Budget'!$AD$191</f>
        <v>2684962805.4134097</v>
      </c>
      <c r="CP279" s="616">
        <f t="shared" si="347"/>
        <v>0</v>
      </c>
      <c r="CQ279" s="616">
        <f t="shared" si="348"/>
        <v>0</v>
      </c>
      <c r="CR279" s="199">
        <f>'Detailed Budget'!$AD$195</f>
        <v>18734176418</v>
      </c>
      <c r="CS279" s="275">
        <f t="shared" si="363"/>
        <v>15024675.744517265</v>
      </c>
      <c r="CW279" s="278"/>
      <c r="DH279" s="140"/>
      <c r="DI279" s="616"/>
    </row>
    <row r="280" spans="1:113" outlineLevel="1">
      <c r="A280" s="214" t="s">
        <v>708</v>
      </c>
      <c r="B280" s="215" t="s">
        <v>709</v>
      </c>
      <c r="C280" s="216" t="s">
        <v>234</v>
      </c>
      <c r="D280" s="217" t="s">
        <v>234</v>
      </c>
      <c r="E280" s="216"/>
      <c r="F280" s="216"/>
      <c r="G280" s="216"/>
      <c r="H280" s="216" t="s">
        <v>234</v>
      </c>
      <c r="I280" s="217" t="s">
        <v>234</v>
      </c>
      <c r="J280" s="217"/>
      <c r="K280" s="216" t="s">
        <v>234</v>
      </c>
      <c r="L280" s="216"/>
      <c r="M280" s="217"/>
      <c r="N280" s="216"/>
      <c r="O280" s="217"/>
      <c r="P280" s="216"/>
      <c r="Q280" s="217"/>
      <c r="R280" s="217" t="s">
        <v>234</v>
      </c>
      <c r="S280" s="217"/>
      <c r="T280" s="217"/>
      <c r="U280" s="218">
        <f t="shared" si="350"/>
        <v>6</v>
      </c>
      <c r="V280" s="867" t="s">
        <v>238</v>
      </c>
      <c r="W280" s="219">
        <v>125940</v>
      </c>
      <c r="X280" s="220">
        <v>3.53</v>
      </c>
      <c r="Y280" s="221">
        <f t="shared" si="297"/>
        <v>1.0352999999999999</v>
      </c>
      <c r="Z280" s="199">
        <v>19</v>
      </c>
      <c r="AA280" s="221">
        <f t="shared" si="298"/>
        <v>1.9331166712483931</v>
      </c>
      <c r="AB280" s="199">
        <f t="shared" si="331"/>
        <v>243456.71357702263</v>
      </c>
      <c r="AC280">
        <v>18.899999999999999</v>
      </c>
      <c r="AD280" s="199">
        <f t="shared" si="332"/>
        <v>46013.318866057278</v>
      </c>
      <c r="AE280" s="199">
        <f t="shared" si="301"/>
        <v>43712.652922754409</v>
      </c>
      <c r="AF280" s="199">
        <f t="shared" si="365"/>
        <v>43712.652922754409</v>
      </c>
      <c r="AG280" s="614">
        <f t="shared" si="351"/>
        <v>2.0210811690061074E-3</v>
      </c>
      <c r="AH280" s="199">
        <f t="shared" si="364"/>
        <v>12172.835678851132</v>
      </c>
      <c r="AI280" s="252">
        <f t="shared" si="334"/>
        <v>9.4301113639303879E-4</v>
      </c>
      <c r="AJ280" s="199">
        <f t="shared" si="352"/>
        <v>58186.154544908408</v>
      </c>
      <c r="AK280" s="199">
        <f t="shared" si="367"/>
        <v>9738.2685430809051</v>
      </c>
      <c r="AL280" s="199">
        <f t="shared" si="368"/>
        <v>9738.2685430809051</v>
      </c>
      <c r="AM280" s="199">
        <f t="shared" si="335"/>
        <v>19476.53708616181</v>
      </c>
      <c r="AN280" s="645">
        <f t="shared" si="336"/>
        <v>9.4301113639303879E-4</v>
      </c>
      <c r="AO280" s="199">
        <v>10</v>
      </c>
      <c r="AP280" s="250">
        <f t="shared" si="337"/>
        <v>1.1362345188046814E-3</v>
      </c>
      <c r="AQ280" s="199">
        <v>10</v>
      </c>
      <c r="AU280" s="199">
        <v>1</v>
      </c>
      <c r="AV280" s="199">
        <f t="shared" si="353"/>
        <v>135253.75024500946</v>
      </c>
      <c r="AW280" s="250">
        <f t="shared" si="338"/>
        <v>3.8928687541806731E-3</v>
      </c>
      <c r="AX280" s="199">
        <v>0</v>
      </c>
      <c r="AY280" s="199">
        <f t="shared" si="354"/>
        <v>14034.537824120229</v>
      </c>
      <c r="AZ280" s="199">
        <f t="shared" si="355"/>
        <v>0</v>
      </c>
      <c r="BA280" s="252">
        <f t="shared" si="339"/>
        <v>0</v>
      </c>
      <c r="BB280" s="284">
        <v>1</v>
      </c>
      <c r="BC280" s="199">
        <f t="shared" si="356"/>
        <v>33129.589583561239</v>
      </c>
      <c r="BD280" s="270">
        <f t="shared" si="369"/>
        <v>2.9835545465964172E-3</v>
      </c>
      <c r="BE280" s="199">
        <f t="shared" si="357"/>
        <v>141721.02210745643</v>
      </c>
      <c r="BF280" s="251">
        <f t="shared" si="370"/>
        <v>2.9835546128966109E-3</v>
      </c>
      <c r="BG280" s="199">
        <f t="shared" si="296"/>
        <v>174850.61169101766</v>
      </c>
      <c r="BH280" s="636">
        <v>0</v>
      </c>
      <c r="BI280" s="199">
        <f t="shared" si="340"/>
        <v>74497.754354568926</v>
      </c>
      <c r="BJ280" s="199">
        <f t="shared" si="341"/>
        <v>148995.50870913785</v>
      </c>
      <c r="BK280" s="199">
        <f t="shared" si="349"/>
        <v>223493.26306370678</v>
      </c>
      <c r="BL280" s="251">
        <f t="shared" si="342"/>
        <v>9.4301113639303879E-4</v>
      </c>
      <c r="BM280" s="199">
        <f t="shared" si="358"/>
        <v>30115.060858842728</v>
      </c>
      <c r="BN280" s="251">
        <f t="shared" si="343"/>
        <v>1.3004619840878326E-3</v>
      </c>
      <c r="BT280" s="199">
        <f>'Detailed Budget'!$AD$12</f>
        <v>194045122715</v>
      </c>
      <c r="BU280" s="199">
        <f>'Detailed Budget'!$AD$24</f>
        <v>194045122715</v>
      </c>
      <c r="BV280" s="596">
        <f t="shared" si="359"/>
        <v>3.8928687541806731E-3</v>
      </c>
      <c r="BW280" s="278"/>
      <c r="BX280" s="275">
        <f t="shared" si="294"/>
        <v>755392195.11837792</v>
      </c>
      <c r="BY280" s="275">
        <f t="shared" si="295"/>
        <v>755392195.11837792</v>
      </c>
      <c r="CA280" s="199">
        <f>'Detailed Budget'!$AD$96</f>
        <v>71050111380.677719</v>
      </c>
      <c r="CB280" s="275">
        <f t="shared" si="344"/>
        <v>0</v>
      </c>
      <c r="CE280" s="199">
        <f>'Detailed Budget'!$AD$175</f>
        <v>4330586076.5988197</v>
      </c>
      <c r="CF280" s="275">
        <f t="shared" si="360"/>
        <v>12920539.778263548</v>
      </c>
      <c r="CG280" s="199">
        <f>'Detailed Budget'!$AD$176</f>
        <v>20662817754.37001</v>
      </c>
      <c r="CH280" s="275">
        <f t="shared" si="361"/>
        <v>61648645.226492636</v>
      </c>
      <c r="CI280" s="275">
        <f t="shared" si="293"/>
        <v>74569185.004756182</v>
      </c>
      <c r="CJ280" s="275">
        <f>'Detailed Budget'!$AD$178</f>
        <v>46025131033.061455</v>
      </c>
      <c r="CK280" s="275">
        <f t="shared" si="362"/>
        <v>93020525.63195911</v>
      </c>
      <c r="CL280" s="275">
        <f t="shared" si="366"/>
        <v>167589710.63671529</v>
      </c>
      <c r="CM280" s="278">
        <f>'Detailed Budget'!$AD$189</f>
        <v>77498869683.252869</v>
      </c>
      <c r="CN280" s="275">
        <f t="shared" si="346"/>
        <v>0</v>
      </c>
      <c r="CO280" s="140">
        <f>'Detailed Budget'!$AD$191</f>
        <v>2684962805.4134097</v>
      </c>
      <c r="CP280" s="616">
        <f t="shared" si="347"/>
        <v>0</v>
      </c>
      <c r="CQ280" s="616">
        <f t="shared" si="348"/>
        <v>0</v>
      </c>
      <c r="CR280" s="199">
        <f>'Detailed Budget'!$AD$195</f>
        <v>18734176418</v>
      </c>
      <c r="CS280" s="275">
        <f t="shared" si="363"/>
        <v>24363084.234803766</v>
      </c>
      <c r="CW280" s="278"/>
      <c r="DH280" s="140"/>
      <c r="DI280" s="616"/>
    </row>
    <row r="281" spans="1:113" outlineLevel="1">
      <c r="A281" s="214" t="s">
        <v>710</v>
      </c>
      <c r="B281" s="215" t="s">
        <v>711</v>
      </c>
      <c r="C281" s="216" t="s">
        <v>234</v>
      </c>
      <c r="D281" s="217" t="s">
        <v>234</v>
      </c>
      <c r="E281" s="216"/>
      <c r="F281" s="216"/>
      <c r="G281" s="216"/>
      <c r="H281" s="216" t="s">
        <v>234</v>
      </c>
      <c r="I281" s="217" t="s">
        <v>234</v>
      </c>
      <c r="J281" s="217"/>
      <c r="K281" s="216" t="s">
        <v>234</v>
      </c>
      <c r="L281" s="216"/>
      <c r="M281" s="217"/>
      <c r="N281" s="216"/>
      <c r="O281" s="217"/>
      <c r="P281" s="216"/>
      <c r="Q281" s="217"/>
      <c r="R281" s="217" t="s">
        <v>234</v>
      </c>
      <c r="S281" s="217"/>
      <c r="T281" s="217"/>
      <c r="U281" s="218">
        <f t="shared" si="350"/>
        <v>6</v>
      </c>
      <c r="V281" s="867" t="s">
        <v>238</v>
      </c>
      <c r="W281" s="219">
        <v>110739</v>
      </c>
      <c r="X281" s="220">
        <v>3.53</v>
      </c>
      <c r="Y281" s="221">
        <f t="shared" si="297"/>
        <v>1.0352999999999999</v>
      </c>
      <c r="Z281" s="199">
        <v>19</v>
      </c>
      <c r="AA281" s="221">
        <f t="shared" si="298"/>
        <v>1.9331166712483931</v>
      </c>
      <c r="AB281" s="199">
        <f t="shared" si="331"/>
        <v>214071.40705737582</v>
      </c>
      <c r="AC281">
        <v>18.899999999999999</v>
      </c>
      <c r="AD281" s="199">
        <f t="shared" si="332"/>
        <v>40459.495933844031</v>
      </c>
      <c r="AE281" s="199">
        <f t="shared" si="301"/>
        <v>38436.521137151831</v>
      </c>
      <c r="AF281" s="199">
        <f t="shared" si="365"/>
        <v>38436.521137151831</v>
      </c>
      <c r="AG281" s="614">
        <f t="shared" si="351"/>
        <v>1.7771359978923881E-3</v>
      </c>
      <c r="AH281" s="199">
        <f t="shared" si="364"/>
        <v>10703.570352868792</v>
      </c>
      <c r="AI281" s="252">
        <f t="shared" si="334"/>
        <v>8.2918937774359804E-4</v>
      </c>
      <c r="AJ281" s="199">
        <f t="shared" si="352"/>
        <v>51163.066286712827</v>
      </c>
      <c r="AK281" s="199">
        <f t="shared" si="367"/>
        <v>8562.8562822950335</v>
      </c>
      <c r="AL281" s="199">
        <f t="shared" si="368"/>
        <v>8562.8562822950335</v>
      </c>
      <c r="AM281" s="199">
        <f t="shared" si="335"/>
        <v>17125.712564590067</v>
      </c>
      <c r="AN281" s="645">
        <f t="shared" si="336"/>
        <v>8.2918937774359804E-4</v>
      </c>
      <c r="AO281" s="199">
        <v>10</v>
      </c>
      <c r="AP281" s="250">
        <f t="shared" si="337"/>
        <v>1.1362345188046814E-3</v>
      </c>
      <c r="AQ281" s="199">
        <v>10</v>
      </c>
      <c r="AU281" s="199">
        <v>1</v>
      </c>
      <c r="AV281" s="199">
        <f t="shared" si="353"/>
        <v>118928.57748437433</v>
      </c>
      <c r="AW281" s="250">
        <f t="shared" si="338"/>
        <v>3.4229981973099375E-3</v>
      </c>
      <c r="AX281" s="199">
        <v>0</v>
      </c>
      <c r="AY281" s="199">
        <f t="shared" si="354"/>
        <v>12340.564428340878</v>
      </c>
      <c r="AZ281" s="199">
        <f t="shared" si="355"/>
        <v>0</v>
      </c>
      <c r="BA281" s="252">
        <f t="shared" si="339"/>
        <v>0</v>
      </c>
      <c r="BB281" s="284">
        <v>1</v>
      </c>
      <c r="BC281" s="199">
        <f t="shared" si="356"/>
        <v>29130.8370723677</v>
      </c>
      <c r="BD281" s="270">
        <f t="shared" si="369"/>
        <v>2.6234385178302419E-3</v>
      </c>
      <c r="BE281" s="199">
        <f t="shared" si="357"/>
        <v>124615.24747623962</v>
      </c>
      <c r="BF281" s="251">
        <f t="shared" si="370"/>
        <v>2.62343857612798E-3</v>
      </c>
      <c r="BG281" s="199">
        <f t="shared" si="296"/>
        <v>153746.08454860732</v>
      </c>
      <c r="BH281" s="636">
        <v>0</v>
      </c>
      <c r="BI281" s="199">
        <f t="shared" si="340"/>
        <v>65505.850559557002</v>
      </c>
      <c r="BJ281" s="199">
        <f t="shared" si="341"/>
        <v>131011.701119114</v>
      </c>
      <c r="BK281" s="199">
        <f t="shared" si="349"/>
        <v>196517.55167867101</v>
      </c>
      <c r="BL281" s="251">
        <f t="shared" si="342"/>
        <v>8.2918937774359804E-4</v>
      </c>
      <c r="BM281" s="199">
        <f t="shared" si="358"/>
        <v>26480.162970044348</v>
      </c>
      <c r="BN281" s="251">
        <f t="shared" si="343"/>
        <v>1.1434957889145825E-3</v>
      </c>
      <c r="BT281" s="199">
        <f>'Detailed Budget'!$AD$12</f>
        <v>194045122715</v>
      </c>
      <c r="BU281" s="199">
        <f>'Detailed Budget'!$AD$24</f>
        <v>194045122715</v>
      </c>
      <c r="BV281" s="596">
        <f t="shared" si="359"/>
        <v>3.4229981973099375E-3</v>
      </c>
      <c r="BW281" s="278"/>
      <c r="BX281" s="275">
        <f t="shared" si="294"/>
        <v>664216105.25023055</v>
      </c>
      <c r="BY281" s="275">
        <f t="shared" si="295"/>
        <v>664216105.25023055</v>
      </c>
      <c r="CA281" s="199">
        <f>'Detailed Budget'!$AD$96</f>
        <v>71050111380.677719</v>
      </c>
      <c r="CB281" s="275">
        <f t="shared" si="344"/>
        <v>0</v>
      </c>
      <c r="CE281" s="199">
        <f>'Detailed Budget'!$AD$175</f>
        <v>4330586076.5988197</v>
      </c>
      <c r="CF281" s="275">
        <f t="shared" si="360"/>
        <v>11361026.31812869</v>
      </c>
      <c r="CG281" s="199">
        <f>'Detailed Budget'!$AD$176</f>
        <v>20662817754.37001</v>
      </c>
      <c r="CH281" s="275">
        <f t="shared" si="361"/>
        <v>54207633.188316405</v>
      </c>
      <c r="CI281" s="275">
        <f t="shared" si="293"/>
        <v>65568659.506445095</v>
      </c>
      <c r="CJ281" s="275">
        <f>'Detailed Budget'!$AD$178</f>
        <v>46025131033.061455</v>
      </c>
      <c r="CK281" s="275">
        <f t="shared" si="362"/>
        <v>81792917.166567594</v>
      </c>
      <c r="CL281" s="275">
        <f t="shared" si="366"/>
        <v>147361576.67301267</v>
      </c>
      <c r="CM281" s="278">
        <f>'Detailed Budget'!$AD$189</f>
        <v>77498869683.252869</v>
      </c>
      <c r="CN281" s="275">
        <f t="shared" si="346"/>
        <v>0</v>
      </c>
      <c r="CO281" s="140">
        <f>'Detailed Budget'!$AD$191</f>
        <v>2684962805.4134097</v>
      </c>
      <c r="CP281" s="616">
        <f t="shared" si="347"/>
        <v>0</v>
      </c>
      <c r="CQ281" s="616">
        <f t="shared" si="348"/>
        <v>0</v>
      </c>
      <c r="CR281" s="199">
        <f>'Detailed Budget'!$AD$195</f>
        <v>18734176418</v>
      </c>
      <c r="CS281" s="275">
        <f t="shared" si="363"/>
        <v>21422451.842765879</v>
      </c>
      <c r="CW281" s="278"/>
      <c r="DH281" s="140"/>
      <c r="DI281" s="616"/>
    </row>
    <row r="282" spans="1:113">
      <c r="A282" s="224"/>
      <c r="B282" s="225"/>
      <c r="C282" s="226"/>
      <c r="D282" s="226"/>
      <c r="E282" s="226"/>
      <c r="F282" s="226"/>
      <c r="G282" s="226"/>
      <c r="H282" s="226"/>
      <c r="I282" s="226"/>
      <c r="J282" s="226"/>
      <c r="K282" s="226"/>
      <c r="L282" s="226"/>
      <c r="M282" s="226"/>
      <c r="N282" s="226"/>
      <c r="O282" s="226"/>
      <c r="P282" s="226"/>
      <c r="Q282" s="226"/>
      <c r="R282" s="226"/>
      <c r="S282" s="226"/>
      <c r="T282" s="226"/>
      <c r="U282" s="227"/>
      <c r="V282" s="867"/>
      <c r="X282" s="220"/>
      <c r="Y282" s="221">
        <f t="shared" si="297"/>
        <v>1</v>
      </c>
      <c r="Z282" s="199">
        <v>19</v>
      </c>
      <c r="AA282" s="221">
        <f t="shared" si="298"/>
        <v>1</v>
      </c>
      <c r="AG282" s="614">
        <f t="shared" si="351"/>
        <v>0</v>
      </c>
      <c r="AJ282" s="199"/>
      <c r="AK282" s="199">
        <f t="shared" si="367"/>
        <v>0</v>
      </c>
      <c r="AL282" s="199">
        <f t="shared" si="368"/>
        <v>0</v>
      </c>
      <c r="AM282" s="199">
        <f t="shared" si="335"/>
        <v>0</v>
      </c>
      <c r="AN282" s="645">
        <f t="shared" si="336"/>
        <v>0</v>
      </c>
      <c r="AP282" s="250"/>
      <c r="AW282" s="250">
        <f t="shared" si="338"/>
        <v>0</v>
      </c>
      <c r="AX282" s="199"/>
      <c r="AZ282" s="199">
        <f t="shared" si="355"/>
        <v>0</v>
      </c>
      <c r="BA282" s="252">
        <f t="shared" si="339"/>
        <v>0</v>
      </c>
      <c r="BB282" s="284"/>
      <c r="BC282" s="199">
        <f>AD282*BB282*0.18</f>
        <v>0</v>
      </c>
      <c r="BD282" s="270">
        <f t="shared" si="369"/>
        <v>0</v>
      </c>
      <c r="BF282" s="251">
        <f t="shared" si="370"/>
        <v>0</v>
      </c>
      <c r="BI282" s="199">
        <f t="shared" si="340"/>
        <v>0</v>
      </c>
      <c r="BJ282" s="199">
        <f t="shared" si="341"/>
        <v>0</v>
      </c>
      <c r="BK282" s="199">
        <f t="shared" si="349"/>
        <v>0</v>
      </c>
      <c r="BL282" s="251">
        <f t="shared" si="342"/>
        <v>0</v>
      </c>
      <c r="BN282" s="251">
        <f t="shared" si="343"/>
        <v>0</v>
      </c>
      <c r="BT282" s="199">
        <f>'Detailed Budget'!$AD$12</f>
        <v>194045122715</v>
      </c>
      <c r="BU282" s="199">
        <f>'Detailed Budget'!$AD$24</f>
        <v>194045122715</v>
      </c>
      <c r="BV282" s="596">
        <f t="shared" si="359"/>
        <v>0</v>
      </c>
      <c r="BW282" s="278"/>
      <c r="BX282" s="275"/>
      <c r="BY282" s="275"/>
      <c r="CA282" s="199">
        <f>'Detailed Budget'!$AD$96</f>
        <v>71050111380.677719</v>
      </c>
      <c r="CB282" s="275">
        <f t="shared" si="344"/>
        <v>0</v>
      </c>
      <c r="CE282" s="199"/>
      <c r="CF282" s="275"/>
      <c r="CG282" s="199"/>
      <c r="CH282" s="275"/>
      <c r="CI282" s="275"/>
      <c r="CJ282" s="275"/>
      <c r="CK282" s="275"/>
      <c r="CL282" s="275"/>
      <c r="CM282" s="278">
        <f>'Detailed Budget'!$AD$189</f>
        <v>77498869683.252869</v>
      </c>
      <c r="CN282" s="275">
        <f t="shared" si="346"/>
        <v>0</v>
      </c>
      <c r="CO282" s="140">
        <f>'Detailed Budget'!$AD$191</f>
        <v>2684962805.4134097</v>
      </c>
      <c r="CP282" s="616">
        <f t="shared" si="347"/>
        <v>0</v>
      </c>
      <c r="CQ282" s="616">
        <f t="shared" si="348"/>
        <v>0</v>
      </c>
      <c r="CR282" s="199"/>
      <c r="CS282" s="275"/>
      <c r="CW282" s="278"/>
      <c r="DH282" s="140"/>
      <c r="DI282" s="616"/>
    </row>
    <row r="283" spans="1:113" s="4" customFormat="1">
      <c r="A283" s="201">
        <v>3</v>
      </c>
      <c r="B283" s="202" t="s">
        <v>2364</v>
      </c>
      <c r="C283" s="200">
        <f t="shared" ref="C283:T283" si="371">C474+C448+C424+C387+C340+C314+C284</f>
        <v>186</v>
      </c>
      <c r="D283" s="200">
        <f t="shared" si="371"/>
        <v>159</v>
      </c>
      <c r="E283" s="200">
        <f t="shared" si="371"/>
        <v>0</v>
      </c>
      <c r="F283" s="200">
        <f t="shared" si="371"/>
        <v>0</v>
      </c>
      <c r="G283" s="200">
        <f t="shared" si="371"/>
        <v>0</v>
      </c>
      <c r="H283" s="200">
        <f t="shared" si="371"/>
        <v>186</v>
      </c>
      <c r="I283" s="200">
        <f t="shared" si="371"/>
        <v>171</v>
      </c>
      <c r="J283" s="200">
        <f t="shared" si="371"/>
        <v>15</v>
      </c>
      <c r="K283" s="200">
        <f t="shared" si="371"/>
        <v>168</v>
      </c>
      <c r="L283" s="200">
        <f t="shared" si="371"/>
        <v>15</v>
      </c>
      <c r="M283" s="200">
        <f t="shared" si="371"/>
        <v>3</v>
      </c>
      <c r="N283" s="200">
        <f t="shared" si="371"/>
        <v>0</v>
      </c>
      <c r="O283" s="200">
        <f t="shared" si="371"/>
        <v>0</v>
      </c>
      <c r="P283" s="200">
        <f t="shared" si="371"/>
        <v>0</v>
      </c>
      <c r="Q283" s="200">
        <f t="shared" si="371"/>
        <v>17</v>
      </c>
      <c r="R283" s="200">
        <f t="shared" si="371"/>
        <v>169</v>
      </c>
      <c r="S283" s="200">
        <f t="shared" si="371"/>
        <v>11</v>
      </c>
      <c r="T283" s="200">
        <f t="shared" si="371"/>
        <v>0</v>
      </c>
      <c r="U283" s="203">
        <f>SUM(C283:T283)</f>
        <v>1100</v>
      </c>
      <c r="V283" s="865"/>
      <c r="W283" s="204">
        <f>W284+W314+W340+W387+W424+W448+W474</f>
        <v>35915467</v>
      </c>
      <c r="X283" s="205">
        <f>AVERAGE(X284,X314,X340,X387,X424,X448,X474)</f>
        <v>3.1114285714285712</v>
      </c>
      <c r="Y283" s="243"/>
      <c r="Z283" s="204"/>
      <c r="AA283" s="243"/>
      <c r="AB283" s="204">
        <f>AB284+AB314+AB340+AB387+AB424+AB448+AB474</f>
        <v>64630150.587962806</v>
      </c>
      <c r="AC283" s="4">
        <v>19.899999999999999</v>
      </c>
      <c r="AD283" s="204">
        <f>AD284+AD314+AD340+AD387+AD424+AD448+AD474</f>
        <v>12842130.776701795</v>
      </c>
      <c r="AE283" s="204">
        <f t="shared" si="301"/>
        <v>12200024.237866705</v>
      </c>
      <c r="AF283" s="204">
        <f>AF284+AF314+AF340+AF387+AF424+AF448+AF474</f>
        <v>10763873.801990401</v>
      </c>
      <c r="AG283" s="614">
        <f t="shared" si="351"/>
        <v>0.56407556164899975</v>
      </c>
      <c r="AH283" s="204">
        <f>AH284+AH314+AH340+AH387+AH424+AH448+AH474</f>
        <v>3231507.529398141</v>
      </c>
      <c r="AI283" s="252">
        <f t="shared" si="334"/>
        <v>0.2503399920903237</v>
      </c>
      <c r="AJ283" s="204">
        <f>AJ284+AJ314+AJ340+AJ387+AJ424+AJ448+AJ474</f>
        <v>16073638.306099936</v>
      </c>
      <c r="AK283" s="199">
        <f t="shared" si="367"/>
        <v>2585206.0235185125</v>
      </c>
      <c r="AL283" s="199">
        <f t="shared" si="368"/>
        <v>2585206.0235185125</v>
      </c>
      <c r="AM283" s="199">
        <f t="shared" si="335"/>
        <v>5170412.047037025</v>
      </c>
      <c r="AN283" s="645">
        <f t="shared" si="336"/>
        <v>0.25033999209032365</v>
      </c>
      <c r="AO283" s="204">
        <f t="shared" ref="AO283:AQ283" si="372">AO284+AO314+AO340+AO387+AO424+AO448+AO474</f>
        <v>2003</v>
      </c>
      <c r="AP283" s="250">
        <f t="shared" si="337"/>
        <v>0.22758777411657766</v>
      </c>
      <c r="AQ283" s="204">
        <f t="shared" si="372"/>
        <v>2003</v>
      </c>
      <c r="AR283" s="204"/>
      <c r="AS283" s="204"/>
      <c r="AT283" s="204"/>
      <c r="AU283" s="199"/>
      <c r="AV283" s="204">
        <f>AV284+AV314+AV340+AV387+AV424+AV448+AV474</f>
        <v>15818227</v>
      </c>
      <c r="AW283" s="250">
        <f t="shared" si="338"/>
        <v>0.45527966154941552</v>
      </c>
      <c r="AX283" s="199"/>
      <c r="AY283" s="204">
        <f>AY284+AY314+AY340+AY387+AY424+AY448+AY474</f>
        <v>4799463</v>
      </c>
      <c r="AZ283" s="204">
        <f>AZ284+AZ314+AZ340+AZ387+AZ424+AZ448+AZ474</f>
        <v>2799812.1755782519</v>
      </c>
      <c r="BA283" s="252">
        <f t="shared" si="339"/>
        <v>0.22008340585397082</v>
      </c>
      <c r="BB283" s="284"/>
      <c r="BC283" s="204">
        <f>BC284+BC314+BC340+BC387+BC424+BC448+BC474</f>
        <v>6656688.3356774095</v>
      </c>
      <c r="BD283" s="270">
        <f t="shared" si="369"/>
        <v>0.59948200381692662</v>
      </c>
      <c r="BE283" s="204">
        <f>BE284+BE314+BE340+BE387+BE424+BE448+BE474</f>
        <v>28475833.435953368</v>
      </c>
      <c r="BF283" s="251">
        <f t="shared" si="370"/>
        <v>0.59948201713854432</v>
      </c>
      <c r="BG283" s="204">
        <f>BG284+BG314+BG340+BG387+BG424+BG448+BG474</f>
        <v>35132521.771630771</v>
      </c>
      <c r="BH283"/>
      <c r="BI283" s="199">
        <f t="shared" si="340"/>
        <v>19776826.079916619</v>
      </c>
      <c r="BJ283" s="199">
        <f t="shared" si="341"/>
        <v>39553652.159833238</v>
      </c>
      <c r="BK283" s="199">
        <f t="shared" si="349"/>
        <v>59330478.239749856</v>
      </c>
      <c r="BL283" s="251">
        <f t="shared" si="342"/>
        <v>0.25033999209032365</v>
      </c>
      <c r="BM283" s="204">
        <f t="shared" ref="BM283" si="373">BM284+BM314+BM340+BM387+BM424+BM448+BM474</f>
        <v>6190986</v>
      </c>
      <c r="BN283" s="251">
        <f t="shared" si="343"/>
        <v>0.26734602911007987</v>
      </c>
      <c r="BT283" s="204">
        <f>'Detailed Budget'!$AD$12</f>
        <v>194045122715</v>
      </c>
      <c r="BU283" s="204">
        <f>'Detailed Budget'!$AD$24</f>
        <v>194045122715</v>
      </c>
      <c r="BV283" s="596">
        <f t="shared" si="359"/>
        <v>0.45527966154941552</v>
      </c>
      <c r="BW283" s="278"/>
      <c r="BX283" s="613">
        <f t="shared" si="294"/>
        <v>88344797795</v>
      </c>
      <c r="BY283" s="613">
        <f t="shared" si="295"/>
        <v>88344797795</v>
      </c>
      <c r="BZ283" s="613">
        <f>BX283+BY283</f>
        <v>176689595590</v>
      </c>
      <c r="CA283" s="204">
        <f>'Detailed Budget'!$AD$96</f>
        <v>71050111380.677719</v>
      </c>
      <c r="CB283" s="275">
        <f t="shared" si="344"/>
        <v>15636950498.963526</v>
      </c>
      <c r="CE283" s="204"/>
      <c r="CF283" s="204">
        <f t="shared" ref="CF283" si="374">CF284+CF314+CF340+CF387+CF424+CF448+CF474</f>
        <v>3181574448.7663212</v>
      </c>
      <c r="CG283" s="199"/>
      <c r="CH283" s="204">
        <f t="shared" ref="CH283:CI283" si="375">CH284+CH314+CH340+CH387+CH424+CH448+CH474</f>
        <v>15180461328.994795</v>
      </c>
      <c r="CI283" s="204">
        <f t="shared" si="375"/>
        <v>18362035777.761116</v>
      </c>
      <c r="CJ283" s="275">
        <f>'Detailed Budget'!$AD$178</f>
        <v>46025131033.061455</v>
      </c>
      <c r="CK283" s="204">
        <f t="shared" ref="CK283" si="376">CK284+CK314+CK340+CK387+CK424+CK448+CK474</f>
        <v>22905523502.921955</v>
      </c>
      <c r="CL283" s="204">
        <f t="shared" ref="CL283" si="377">CL284+CL314+CL340+CL387+CL424+CL448+CL474</f>
        <v>41267559280.683075</v>
      </c>
      <c r="CM283" s="278">
        <f>'Detailed Budget'!$AD$189</f>
        <v>77498869683.252869</v>
      </c>
      <c r="CN283" s="275">
        <f t="shared" si="346"/>
        <v>0</v>
      </c>
      <c r="CO283" s="140">
        <f>'Detailed Budget'!$AD$191</f>
        <v>2684962805.4134097</v>
      </c>
      <c r="CP283" s="616">
        <f t="shared" si="347"/>
        <v>0</v>
      </c>
      <c r="CQ283" s="616">
        <f t="shared" si="348"/>
        <v>0</v>
      </c>
      <c r="CR283" s="204">
        <f>'Detailed Budget'!$AD$195</f>
        <v>18734176418</v>
      </c>
      <c r="CS283" s="275">
        <f>BN283*CR283</f>
        <v>5008507674</v>
      </c>
      <c r="CW283" s="278"/>
      <c r="DH283" s="140">
        <f>'Detailed Budget'!$AD$163</f>
        <v>4928560000</v>
      </c>
      <c r="DI283" s="616">
        <f>AP283*DH283</f>
        <v>1121680000</v>
      </c>
    </row>
    <row r="284" spans="1:113" s="213" customFormat="1" collapsed="1">
      <c r="A284" s="206">
        <v>3.1</v>
      </c>
      <c r="B284" s="207" t="s">
        <v>712</v>
      </c>
      <c r="C284" s="208">
        <f t="shared" ref="C284:T284" si="378">COUNTA(C286:C312)</f>
        <v>27</v>
      </c>
      <c r="D284" s="208">
        <f t="shared" si="378"/>
        <v>0</v>
      </c>
      <c r="E284" s="208">
        <f t="shared" si="378"/>
        <v>0</v>
      </c>
      <c r="F284" s="208">
        <f t="shared" si="378"/>
        <v>0</v>
      </c>
      <c r="G284" s="208">
        <f t="shared" si="378"/>
        <v>0</v>
      </c>
      <c r="H284" s="208">
        <f t="shared" si="378"/>
        <v>27</v>
      </c>
      <c r="I284" s="208">
        <f t="shared" si="378"/>
        <v>27</v>
      </c>
      <c r="J284" s="208">
        <f t="shared" si="378"/>
        <v>0</v>
      </c>
      <c r="K284" s="208">
        <f t="shared" si="378"/>
        <v>27</v>
      </c>
      <c r="L284" s="208">
        <f t="shared" si="378"/>
        <v>0</v>
      </c>
      <c r="M284" s="208">
        <f t="shared" si="378"/>
        <v>0</v>
      </c>
      <c r="N284" s="208">
        <f t="shared" si="378"/>
        <v>0</v>
      </c>
      <c r="O284" s="208">
        <f t="shared" si="378"/>
        <v>0</v>
      </c>
      <c r="P284" s="208">
        <f t="shared" si="378"/>
        <v>0</v>
      </c>
      <c r="Q284" s="208">
        <f t="shared" si="378"/>
        <v>0</v>
      </c>
      <c r="R284" s="208">
        <f t="shared" si="378"/>
        <v>27</v>
      </c>
      <c r="S284" s="208">
        <f t="shared" si="378"/>
        <v>3</v>
      </c>
      <c r="T284" s="208">
        <f t="shared" si="378"/>
        <v>0</v>
      </c>
      <c r="U284" s="209">
        <f>SUM(C284:T284)</f>
        <v>138</v>
      </c>
      <c r="V284" s="866"/>
      <c r="W284" s="210">
        <f>SUM(W286:W312)</f>
        <v>4361002</v>
      </c>
      <c r="X284" s="211">
        <v>2.91</v>
      </c>
      <c r="Y284" s="212">
        <f t="shared" ref="Y284:Y352" si="379">1+X284/100</f>
        <v>1.0290999999999999</v>
      </c>
      <c r="Z284" s="210">
        <v>19</v>
      </c>
      <c r="AA284" s="212">
        <f t="shared" ref="AA284:AA352" si="380">POWER(Y284,Z284)</f>
        <v>1.7246222540408234</v>
      </c>
      <c r="AB284" s="210">
        <f t="shared" ref="AB284:AB318" si="381">W284*AA284</f>
        <v>7521081.0991165387</v>
      </c>
      <c r="AC284" s="213">
        <v>20.100000000000001</v>
      </c>
      <c r="AD284" s="210">
        <f t="shared" ref="AD284:AD318" si="382">AB284*AC284/100</f>
        <v>1511737.3009224245</v>
      </c>
      <c r="AE284" s="210">
        <f t="shared" si="301"/>
        <v>1436150.4358763034</v>
      </c>
      <c r="AF284" s="210">
        <f>SUM(AF286:AF312)</f>
        <v>0</v>
      </c>
      <c r="AG284" s="614">
        <f t="shared" si="351"/>
        <v>6.6401291336371571E-2</v>
      </c>
      <c r="AH284" s="210">
        <f>SUM(AH286:AH312)</f>
        <v>376054.0549558269</v>
      </c>
      <c r="AI284" s="252">
        <f t="shared" si="334"/>
        <v>2.9132337859880963E-2</v>
      </c>
      <c r="AJ284" s="210">
        <f>SUM(AJ286:AJ312)</f>
        <v>1887791.3558782511</v>
      </c>
      <c r="AK284" s="199">
        <f t="shared" si="367"/>
        <v>300843.24396466155</v>
      </c>
      <c r="AL284" s="199">
        <f t="shared" si="368"/>
        <v>300843.24396466155</v>
      </c>
      <c r="AM284" s="199">
        <f t="shared" si="335"/>
        <v>601686.48792932311</v>
      </c>
      <c r="AN284" s="645">
        <f t="shared" si="336"/>
        <v>2.9132337859880966E-2</v>
      </c>
      <c r="AO284" s="210">
        <f>SUM(AO286:AO312)</f>
        <v>287</v>
      </c>
      <c r="AP284" s="250">
        <f t="shared" si="337"/>
        <v>3.2609930689694352E-2</v>
      </c>
      <c r="AQ284" s="210">
        <f>SUM(AQ286:AQ312)</f>
        <v>287</v>
      </c>
      <c r="AR284" s="210"/>
      <c r="AS284" s="210"/>
      <c r="AT284" s="210"/>
      <c r="AU284" s="199"/>
      <c r="AV284" s="199"/>
      <c r="AW284" s="250">
        <f t="shared" si="338"/>
        <v>0</v>
      </c>
      <c r="AX284" s="199"/>
      <c r="AY284" s="210">
        <v>638542</v>
      </c>
      <c r="AZ284" s="210">
        <f>SUM(AZ286:AZ312)</f>
        <v>638542.1203751954</v>
      </c>
      <c r="BA284" s="252">
        <f t="shared" si="339"/>
        <v>5.0193554360254439E-2</v>
      </c>
      <c r="BB284" s="284"/>
      <c r="BC284" s="210">
        <f>SUM(BC286:BC312)</f>
        <v>0</v>
      </c>
      <c r="BD284" s="652">
        <f t="shared" si="369"/>
        <v>0</v>
      </c>
      <c r="BE284" s="210">
        <f>AD284*BB284*0.77</f>
        <v>0</v>
      </c>
      <c r="BF284" s="653">
        <f t="shared" si="370"/>
        <v>0</v>
      </c>
      <c r="BG284" s="210">
        <f t="shared" ref="BG284:BG351" si="383">BC284+BE284</f>
        <v>0</v>
      </c>
      <c r="BH284"/>
      <c r="BI284" s="199">
        <f t="shared" si="340"/>
        <v>2301450.8163296608</v>
      </c>
      <c r="BJ284" s="199">
        <f t="shared" si="341"/>
        <v>4602901.6326593217</v>
      </c>
      <c r="BK284" s="199">
        <f t="shared" si="349"/>
        <v>6904352.4489889825</v>
      </c>
      <c r="BL284" s="251">
        <f t="shared" si="342"/>
        <v>2.9132337859880963E-2</v>
      </c>
      <c r="BM284" s="210">
        <v>904530</v>
      </c>
      <c r="BN284" s="251">
        <f t="shared" si="343"/>
        <v>3.9060418439153401E-2</v>
      </c>
      <c r="BT284" s="210">
        <f>'Detailed Budget'!$AD$12</f>
        <v>194045122715</v>
      </c>
      <c r="BU284" s="210">
        <f>'Detailed Budget'!$AD$24</f>
        <v>194045122715</v>
      </c>
      <c r="BV284" s="596">
        <f t="shared" si="359"/>
        <v>0</v>
      </c>
      <c r="BW284" s="278"/>
      <c r="BX284" s="613">
        <f t="shared" si="294"/>
        <v>0</v>
      </c>
      <c r="BY284" s="613">
        <f t="shared" si="295"/>
        <v>0</v>
      </c>
      <c r="CA284" s="210">
        <f>'Detailed Budget'!$AD$96</f>
        <v>71050111380.677719</v>
      </c>
      <c r="CB284" s="613">
        <f t="shared" si="344"/>
        <v>3566257627.8881798</v>
      </c>
      <c r="CE284" s="210"/>
      <c r="CF284" s="613">
        <f>SUM(CF286:CF312)</f>
        <v>0</v>
      </c>
      <c r="CG284" s="632"/>
      <c r="CH284" s="613">
        <f>SUM(CH286:CH312)</f>
        <v>0</v>
      </c>
      <c r="CI284" s="613">
        <f>SUM(CI286:CI312)</f>
        <v>0</v>
      </c>
      <c r="CJ284" s="275">
        <f>'Detailed Budget'!$AD$178</f>
        <v>46025131033.061455</v>
      </c>
      <c r="CK284" s="613">
        <f>SUM(CK286:CK312)</f>
        <v>0</v>
      </c>
      <c r="CL284" s="613">
        <f>SUM(CL286:CL312)</f>
        <v>0</v>
      </c>
      <c r="CM284" s="278">
        <f>'Detailed Budget'!$AD$189</f>
        <v>77498869683.252869</v>
      </c>
      <c r="CN284" s="275">
        <f t="shared" si="346"/>
        <v>0</v>
      </c>
      <c r="CO284" s="140">
        <f>'Detailed Budget'!$AD$191</f>
        <v>2684962805.4134097</v>
      </c>
      <c r="CP284" s="616">
        <f t="shared" si="347"/>
        <v>0</v>
      </c>
      <c r="CQ284" s="616">
        <f t="shared" si="348"/>
        <v>0</v>
      </c>
      <c r="CR284" s="210">
        <f>'Detailed Budget'!$AD$195</f>
        <v>18734176418</v>
      </c>
      <c r="CS284" s="275">
        <f>BN284*CR284</f>
        <v>731764770</v>
      </c>
      <c r="CW284" s="278"/>
      <c r="DH284" s="140">
        <f>'Detailed Budget'!$AD$163</f>
        <v>4928560000</v>
      </c>
      <c r="DI284" s="616">
        <f>AP284*DH284</f>
        <v>160720000</v>
      </c>
    </row>
    <row r="285" spans="1:113" s="213" customFormat="1">
      <c r="A285" s="214" t="s">
        <v>2332</v>
      </c>
      <c r="B285" s="215" t="s">
        <v>2318</v>
      </c>
      <c r="C285" s="208"/>
      <c r="D285" s="208"/>
      <c r="E285" s="208"/>
      <c r="F285" s="208"/>
      <c r="G285" s="208"/>
      <c r="H285" s="208"/>
      <c r="I285" s="208"/>
      <c r="J285" s="208"/>
      <c r="K285" s="208"/>
      <c r="L285" s="208"/>
      <c r="M285" s="208"/>
      <c r="N285" s="208"/>
      <c r="O285" s="208"/>
      <c r="P285" s="208"/>
      <c r="Q285" s="208"/>
      <c r="R285" s="208"/>
      <c r="S285" s="208"/>
      <c r="T285" s="208"/>
      <c r="U285" s="209"/>
      <c r="V285" s="866"/>
      <c r="W285" s="210"/>
      <c r="X285" s="211"/>
      <c r="Y285" s="212"/>
      <c r="Z285" s="210"/>
      <c r="AA285" s="212"/>
      <c r="AB285" s="210"/>
      <c r="AD285" s="210"/>
      <c r="AE285" s="199"/>
      <c r="AF285" s="199"/>
      <c r="AG285" s="614">
        <f t="shared" si="351"/>
        <v>0</v>
      </c>
      <c r="AH285" s="210"/>
      <c r="AI285" s="252"/>
      <c r="AJ285" s="199"/>
      <c r="AK285" s="199">
        <f t="shared" si="367"/>
        <v>0</v>
      </c>
      <c r="AL285" s="199">
        <f t="shared" si="368"/>
        <v>0</v>
      </c>
      <c r="AM285" s="199">
        <f t="shared" si="335"/>
        <v>0</v>
      </c>
      <c r="AN285" s="645">
        <f t="shared" si="336"/>
        <v>0</v>
      </c>
      <c r="AO285" s="210"/>
      <c r="AP285" s="250"/>
      <c r="AQ285" s="210"/>
      <c r="AR285" s="210"/>
      <c r="AS285" s="210"/>
      <c r="AT285" s="210"/>
      <c r="AU285" s="199"/>
      <c r="AV285" s="199"/>
      <c r="AW285" s="250">
        <f t="shared" si="338"/>
        <v>0</v>
      </c>
      <c r="AX285" s="199"/>
      <c r="AY285" s="210"/>
      <c r="AZ285" s="199"/>
      <c r="BA285" s="252">
        <f t="shared" si="339"/>
        <v>0</v>
      </c>
      <c r="BB285" s="284"/>
      <c r="BC285" s="199"/>
      <c r="BD285" s="270">
        <f t="shared" si="369"/>
        <v>0</v>
      </c>
      <c r="BE285" s="199"/>
      <c r="BF285" s="251">
        <f t="shared" si="370"/>
        <v>0</v>
      </c>
      <c r="BG285" s="204"/>
      <c r="BH285"/>
      <c r="BI285" s="199">
        <f t="shared" si="340"/>
        <v>0</v>
      </c>
      <c r="BJ285" s="199">
        <f t="shared" si="341"/>
        <v>0</v>
      </c>
      <c r="BK285" s="199">
        <f t="shared" si="349"/>
        <v>0</v>
      </c>
      <c r="BL285" s="251">
        <f t="shared" si="342"/>
        <v>0</v>
      </c>
      <c r="BM285" s="210"/>
      <c r="BN285" s="251">
        <f t="shared" si="343"/>
        <v>0</v>
      </c>
      <c r="BT285" s="210"/>
      <c r="BU285" s="210">
        <f>'Detailed Budget'!$AD$24</f>
        <v>194045122715</v>
      </c>
      <c r="BV285" s="596"/>
      <c r="BW285" s="278"/>
      <c r="BX285" s="275"/>
      <c r="BY285" s="275"/>
      <c r="CA285" s="210">
        <f>'Detailed Budget'!$AD$96</f>
        <v>71050111380.677719</v>
      </c>
      <c r="CB285" s="275">
        <f t="shared" si="344"/>
        <v>0</v>
      </c>
      <c r="CE285" s="210"/>
      <c r="CF285" s="275"/>
      <c r="CG285" s="240"/>
      <c r="CH285" s="275"/>
      <c r="CI285" s="275"/>
      <c r="CJ285" s="275"/>
      <c r="CK285" s="275"/>
      <c r="CL285" s="275"/>
      <c r="CM285" s="278">
        <f>'Detailed Budget'!$AD$189</f>
        <v>77498869683.252869</v>
      </c>
      <c r="CN285" s="275">
        <f t="shared" si="346"/>
        <v>0</v>
      </c>
      <c r="CO285" s="140">
        <f>'Detailed Budget'!$AD$191</f>
        <v>2684962805.4134097</v>
      </c>
      <c r="CP285" s="616">
        <f t="shared" si="347"/>
        <v>0</v>
      </c>
      <c r="CQ285" s="616">
        <f t="shared" si="348"/>
        <v>0</v>
      </c>
      <c r="CR285" s="210"/>
      <c r="CS285" s="275"/>
      <c r="CW285" s="278"/>
      <c r="DH285" s="140"/>
      <c r="DI285" s="616"/>
    </row>
    <row r="286" spans="1:113" outlineLevel="1">
      <c r="A286" s="214" t="s">
        <v>713</v>
      </c>
      <c r="B286" s="215" t="s">
        <v>714</v>
      </c>
      <c r="C286" s="216" t="s">
        <v>234</v>
      </c>
      <c r="D286" s="217"/>
      <c r="E286" s="216"/>
      <c r="F286" s="216"/>
      <c r="G286" s="216"/>
      <c r="H286" s="216" t="s">
        <v>234</v>
      </c>
      <c r="I286" s="217" t="s">
        <v>234</v>
      </c>
      <c r="J286" s="217"/>
      <c r="K286" s="216" t="s">
        <v>234</v>
      </c>
      <c r="L286" s="216"/>
      <c r="M286" s="217"/>
      <c r="N286" s="216"/>
      <c r="O286" s="217"/>
      <c r="P286" s="216"/>
      <c r="Q286" s="217"/>
      <c r="R286" s="217" t="s">
        <v>234</v>
      </c>
      <c r="S286" s="217"/>
      <c r="T286" s="217"/>
      <c r="U286" s="218">
        <f t="shared" ref="U286:U312" si="384">COUNTA(C286:T286)</f>
        <v>5</v>
      </c>
      <c r="V286" s="867" t="s">
        <v>487</v>
      </c>
      <c r="W286" s="219">
        <v>132268</v>
      </c>
      <c r="X286" s="220">
        <v>2.91</v>
      </c>
      <c r="Y286" s="221">
        <f t="shared" si="379"/>
        <v>1.0290999999999999</v>
      </c>
      <c r="Z286" s="199">
        <v>19</v>
      </c>
      <c r="AA286" s="221">
        <f t="shared" si="380"/>
        <v>1.7246222540408234</v>
      </c>
      <c r="AB286" s="199">
        <f t="shared" si="381"/>
        <v>228112.33629747163</v>
      </c>
      <c r="AC286">
        <v>20.100000000000001</v>
      </c>
      <c r="AD286" s="199">
        <f t="shared" si="382"/>
        <v>45850.579595791802</v>
      </c>
      <c r="AE286" s="199">
        <f t="shared" si="301"/>
        <v>43558.050616002212</v>
      </c>
      <c r="AF286" s="199">
        <f t="shared" si="365"/>
        <v>0</v>
      </c>
      <c r="AG286" s="614">
        <f t="shared" si="351"/>
        <v>2.0139330370587297E-3</v>
      </c>
      <c r="AH286" s="199">
        <f>AB286*0.05</f>
        <v>11405.616814873581</v>
      </c>
      <c r="AI286" s="252">
        <f t="shared" si="334"/>
        <v>8.8357585345082059E-4</v>
      </c>
      <c r="AJ286" s="199">
        <f t="shared" si="352"/>
        <v>57256.196410665383</v>
      </c>
      <c r="AK286" s="199">
        <f t="shared" si="367"/>
        <v>9124.4934518988648</v>
      </c>
      <c r="AL286" s="199">
        <f t="shared" si="368"/>
        <v>9124.4934518988648</v>
      </c>
      <c r="AM286" s="199">
        <f t="shared" si="335"/>
        <v>18248.98690379773</v>
      </c>
      <c r="AN286" s="645">
        <f t="shared" si="336"/>
        <v>8.8357585345082059E-4</v>
      </c>
      <c r="AO286" s="199">
        <v>10</v>
      </c>
      <c r="AP286" s="250">
        <f t="shared" si="337"/>
        <v>1.1362345188046814E-3</v>
      </c>
      <c r="AQ286" s="199">
        <v>10</v>
      </c>
      <c r="AU286" s="199">
        <v>0</v>
      </c>
      <c r="AW286" s="250">
        <f t="shared" si="338"/>
        <v>0</v>
      </c>
      <c r="AX286" s="199">
        <v>1</v>
      </c>
      <c r="AY286" s="199">
        <f t="shared" ref="AY286:AY312" si="385">AJ286/1887791*638542</f>
        <v>19366.808173393714</v>
      </c>
      <c r="AZ286" s="199">
        <f t="shared" si="355"/>
        <v>19366.808173393714</v>
      </c>
      <c r="BA286" s="252">
        <f t="shared" si="339"/>
        <v>1.5223567996809294E-3</v>
      </c>
      <c r="BB286" s="284">
        <v>0</v>
      </c>
      <c r="BC286" s="199">
        <f t="shared" ref="BC286:BC312" si="386">AD286*BB286*0.18*4</f>
        <v>0</v>
      </c>
      <c r="BD286" s="270">
        <f t="shared" si="369"/>
        <v>0</v>
      </c>
      <c r="BE286" s="199">
        <f t="shared" ref="BE286:BE312" si="387">AD286*BB286*0.77*4</f>
        <v>0</v>
      </c>
      <c r="BF286" s="251">
        <f t="shared" si="370"/>
        <v>0</v>
      </c>
      <c r="BG286" s="204">
        <f t="shared" si="383"/>
        <v>0</v>
      </c>
      <c r="BH286" s="636">
        <v>0</v>
      </c>
      <c r="BI286" s="199">
        <f t="shared" si="340"/>
        <v>69802.374907026329</v>
      </c>
      <c r="BJ286" s="199">
        <f t="shared" si="341"/>
        <v>139604.74981405266</v>
      </c>
      <c r="BK286" s="199">
        <f t="shared" si="349"/>
        <v>209407.12472107899</v>
      </c>
      <c r="BL286" s="251">
        <f t="shared" si="342"/>
        <v>8.835758534508207E-4</v>
      </c>
      <c r="BM286" s="199">
        <f t="shared" ref="BM286:BM312" si="388">AH286/376054*904530</f>
        <v>27434.151950404997</v>
      </c>
      <c r="BN286" s="251">
        <f t="shared" si="343"/>
        <v>1.1846919999404504E-3</v>
      </c>
      <c r="BT286" s="199">
        <f>'Detailed Budget'!$AD$12</f>
        <v>194045122715</v>
      </c>
      <c r="BU286" s="199">
        <f>'Detailed Budget'!$AD$24</f>
        <v>194045122715</v>
      </c>
      <c r="BV286" s="596">
        <f t="shared" ref="BV286:BV312" si="389">AV286/34743979</f>
        <v>0</v>
      </c>
      <c r="BW286" s="278"/>
      <c r="BX286" s="275">
        <f t="shared" si="294"/>
        <v>0</v>
      </c>
      <c r="BY286" s="275">
        <f t="shared" si="295"/>
        <v>0</v>
      </c>
      <c r="CA286" s="199">
        <f>'Detailed Budget'!$AD$96</f>
        <v>71050111380.677719</v>
      </c>
      <c r="CB286" s="275">
        <f t="shared" si="344"/>
        <v>108163620.17846212</v>
      </c>
      <c r="CE286" s="199">
        <f>'Detailed Budget'!$AD$175</f>
        <v>4330586076.5988197</v>
      </c>
      <c r="CF286" s="275">
        <f t="shared" ref="CF286:CF312" si="390">BB286*BD286*CE286</f>
        <v>0</v>
      </c>
      <c r="CG286" s="199">
        <f>'Detailed Budget'!$AD$176</f>
        <v>20662817754.37001</v>
      </c>
      <c r="CH286" s="275">
        <f t="shared" ref="CH286:CH312" si="391">BB286*BF286*CG286</f>
        <v>0</v>
      </c>
      <c r="CI286" s="275">
        <f t="shared" ref="CI286:CI312" si="392">CF286+CH286</f>
        <v>0</v>
      </c>
      <c r="CJ286" s="275">
        <f>'Detailed Budget'!$AD$178</f>
        <v>46025131033.061455</v>
      </c>
      <c r="CK286" s="275">
        <f t="shared" ref="CK286:CK312" si="393">BB286*AG286*CJ286</f>
        <v>0</v>
      </c>
      <c r="CL286" s="275">
        <f t="shared" si="366"/>
        <v>0</v>
      </c>
      <c r="CM286" s="278">
        <f>'Detailed Budget'!$AD$189</f>
        <v>77498869683.252869</v>
      </c>
      <c r="CN286" s="275">
        <f t="shared" si="346"/>
        <v>0</v>
      </c>
      <c r="CO286" s="140">
        <f>'Detailed Budget'!$AD$191</f>
        <v>2684962805.4134097</v>
      </c>
      <c r="CP286" s="616">
        <f t="shared" si="347"/>
        <v>0</v>
      </c>
      <c r="CQ286" s="616">
        <f t="shared" si="348"/>
        <v>0</v>
      </c>
      <c r="CR286" s="199">
        <f>'Detailed Budget'!$AD$195</f>
        <v>18734176418</v>
      </c>
      <c r="CS286" s="275">
        <f t="shared" ref="CS286:CS312" si="394">BN286*CR286</f>
        <v>22194228.927877642</v>
      </c>
      <c r="CW286" s="278"/>
      <c r="DH286" s="140">
        <f>'Detailed Budget'!$AD$163</f>
        <v>4928560000</v>
      </c>
      <c r="DI286" s="616">
        <f t="shared" ref="DI286:DI314" si="395">AP286*DH286</f>
        <v>5600000</v>
      </c>
    </row>
    <row r="287" spans="1:113" outlineLevel="1">
      <c r="A287" s="214" t="s">
        <v>715</v>
      </c>
      <c r="B287" s="215" t="s">
        <v>716</v>
      </c>
      <c r="C287" s="216" t="s">
        <v>234</v>
      </c>
      <c r="D287" s="217"/>
      <c r="E287" s="216"/>
      <c r="F287" s="216"/>
      <c r="G287" s="216"/>
      <c r="H287" s="216" t="s">
        <v>234</v>
      </c>
      <c r="I287" s="217" t="s">
        <v>234</v>
      </c>
      <c r="J287" s="217"/>
      <c r="K287" s="216" t="s">
        <v>234</v>
      </c>
      <c r="L287" s="216"/>
      <c r="M287" s="217"/>
      <c r="N287" s="216"/>
      <c r="O287" s="217"/>
      <c r="P287" s="216"/>
      <c r="Q287" s="217"/>
      <c r="R287" s="217" t="s">
        <v>234</v>
      </c>
      <c r="S287" s="217"/>
      <c r="T287" s="217"/>
      <c r="U287" s="218">
        <f t="shared" si="384"/>
        <v>5</v>
      </c>
      <c r="V287" s="867" t="s">
        <v>487</v>
      </c>
      <c r="W287" s="219">
        <v>212955</v>
      </c>
      <c r="X287" s="220">
        <v>2.91</v>
      </c>
      <c r="Y287" s="221">
        <f t="shared" si="379"/>
        <v>1.0290999999999999</v>
      </c>
      <c r="Z287" s="199">
        <v>19</v>
      </c>
      <c r="AA287" s="221">
        <f t="shared" si="380"/>
        <v>1.7246222540408234</v>
      </c>
      <c r="AB287" s="199">
        <f t="shared" si="381"/>
        <v>367266.93210926355</v>
      </c>
      <c r="AC287">
        <v>20.100000000000001</v>
      </c>
      <c r="AD287" s="199">
        <f t="shared" si="382"/>
        <v>73820.65335396197</v>
      </c>
      <c r="AE287" s="199">
        <f t="shared" si="301"/>
        <v>70129.620686263865</v>
      </c>
      <c r="AF287" s="199">
        <f t="shared" si="365"/>
        <v>0</v>
      </c>
      <c r="AG287" s="614">
        <f t="shared" si="351"/>
        <v>3.2424857857292896E-3</v>
      </c>
      <c r="AH287" s="199">
        <f t="shared" ref="AH287:AH312" si="396">AB287*0.05</f>
        <v>18363.346605463179</v>
      </c>
      <c r="AI287" s="252">
        <f t="shared" si="334"/>
        <v>1.4225806383374626E-3</v>
      </c>
      <c r="AJ287" s="199">
        <f t="shared" si="352"/>
        <v>92183.999959425157</v>
      </c>
      <c r="AK287" s="199">
        <f t="shared" si="367"/>
        <v>14690.677284370542</v>
      </c>
      <c r="AL287" s="199">
        <f t="shared" si="368"/>
        <v>14690.677284370542</v>
      </c>
      <c r="AM287" s="199">
        <f t="shared" si="335"/>
        <v>29381.354568741084</v>
      </c>
      <c r="AN287" s="645">
        <f t="shared" si="336"/>
        <v>1.4225806383374626E-3</v>
      </c>
      <c r="AO287" s="199">
        <v>11</v>
      </c>
      <c r="AP287" s="250">
        <f t="shared" si="337"/>
        <v>1.2498579706851495E-3</v>
      </c>
      <c r="AQ287" s="199">
        <v>11</v>
      </c>
      <c r="AU287" s="199">
        <v>0</v>
      </c>
      <c r="AW287" s="250">
        <f t="shared" si="338"/>
        <v>0</v>
      </c>
      <c r="AX287" s="199">
        <v>1</v>
      </c>
      <c r="AY287" s="199">
        <f t="shared" si="385"/>
        <v>31181.076560960009</v>
      </c>
      <c r="AZ287" s="199">
        <f t="shared" si="355"/>
        <v>31181.076560960009</v>
      </c>
      <c r="BA287" s="252">
        <f t="shared" si="339"/>
        <v>2.4510349614120753E-3</v>
      </c>
      <c r="BB287" s="284">
        <v>0</v>
      </c>
      <c r="BC287" s="199">
        <f t="shared" si="386"/>
        <v>0</v>
      </c>
      <c r="BD287" s="270">
        <f>BC287/11104067</f>
        <v>0</v>
      </c>
      <c r="BE287" s="199">
        <f t="shared" si="387"/>
        <v>0</v>
      </c>
      <c r="BF287" s="251">
        <f t="shared" si="370"/>
        <v>0</v>
      </c>
      <c r="BG287" s="204">
        <f t="shared" si="383"/>
        <v>0</v>
      </c>
      <c r="BH287" s="636">
        <v>0</v>
      </c>
      <c r="BI287" s="199">
        <f t="shared" si="340"/>
        <v>112383.68122543464</v>
      </c>
      <c r="BJ287" s="199">
        <f t="shared" si="341"/>
        <v>224767.36245086929</v>
      </c>
      <c r="BK287" s="199">
        <f t="shared" si="349"/>
        <v>337151.04367630393</v>
      </c>
      <c r="BL287" s="251">
        <f t="shared" si="342"/>
        <v>1.4225806383374626E-3</v>
      </c>
      <c r="BM287" s="199">
        <f t="shared" si="388"/>
        <v>44169.714735223155</v>
      </c>
      <c r="BN287" s="251">
        <f t="shared" si="343"/>
        <v>1.9073856476798515E-3</v>
      </c>
      <c r="BT287" s="199">
        <f>'Detailed Budget'!$AD$12</f>
        <v>194045122715</v>
      </c>
      <c r="BU287" s="199">
        <f>'Detailed Budget'!$AD$24</f>
        <v>194045122715</v>
      </c>
      <c r="BV287" s="596">
        <f t="shared" si="389"/>
        <v>0</v>
      </c>
      <c r="BW287" s="278"/>
      <c r="BX287" s="275">
        <f t="shared" si="294"/>
        <v>0</v>
      </c>
      <c r="BY287" s="275">
        <f t="shared" si="295"/>
        <v>0</v>
      </c>
      <c r="CA287" s="199">
        <f>'Detailed Budget'!$AD$96</f>
        <v>71050111380.677719</v>
      </c>
      <c r="CB287" s="275">
        <f t="shared" si="344"/>
        <v>174146307.00626308</v>
      </c>
      <c r="CE287" s="199">
        <f>'Detailed Budget'!$AD$175</f>
        <v>4330586076.5988197</v>
      </c>
      <c r="CF287" s="275">
        <f t="shared" si="390"/>
        <v>0</v>
      </c>
      <c r="CG287" s="199">
        <f>'Detailed Budget'!$AD$176</f>
        <v>20662817754.37001</v>
      </c>
      <c r="CH287" s="275">
        <f t="shared" si="391"/>
        <v>0</v>
      </c>
      <c r="CI287" s="275">
        <f t="shared" si="392"/>
        <v>0</v>
      </c>
      <c r="CJ287" s="275">
        <f>'Detailed Budget'!$AD$178</f>
        <v>46025131033.061455</v>
      </c>
      <c r="CK287" s="275">
        <f t="shared" si="393"/>
        <v>0</v>
      </c>
      <c r="CL287" s="275">
        <f t="shared" si="366"/>
        <v>0</v>
      </c>
      <c r="CM287" s="278">
        <f>'Detailed Budget'!$AD$189</f>
        <v>77498869683.252869</v>
      </c>
      <c r="CN287" s="275">
        <f t="shared" si="346"/>
        <v>0</v>
      </c>
      <c r="CO287" s="140">
        <f>'Detailed Budget'!$AD$191</f>
        <v>2684962805.4134097</v>
      </c>
      <c r="CP287" s="616">
        <f t="shared" si="347"/>
        <v>0</v>
      </c>
      <c r="CQ287" s="616">
        <f t="shared" si="348"/>
        <v>0</v>
      </c>
      <c r="CR287" s="199">
        <f>'Detailed Budget'!$AD$195</f>
        <v>18734176418</v>
      </c>
      <c r="CS287" s="275">
        <f t="shared" si="394"/>
        <v>35733299.220795535</v>
      </c>
      <c r="CW287" s="278"/>
      <c r="DH287" s="140">
        <f>'Detailed Budget'!$AD$163</f>
        <v>4928560000</v>
      </c>
      <c r="DI287" s="616">
        <f t="shared" si="395"/>
        <v>6160000</v>
      </c>
    </row>
    <row r="288" spans="1:113" outlineLevel="1">
      <c r="A288" s="214" t="s">
        <v>717</v>
      </c>
      <c r="B288" s="215" t="s">
        <v>718</v>
      </c>
      <c r="C288" s="216" t="s">
        <v>234</v>
      </c>
      <c r="D288" s="217"/>
      <c r="E288" s="216"/>
      <c r="F288" s="216"/>
      <c r="G288" s="216"/>
      <c r="H288" s="216" t="s">
        <v>234</v>
      </c>
      <c r="I288" s="217" t="s">
        <v>234</v>
      </c>
      <c r="J288" s="217"/>
      <c r="K288" s="216" t="s">
        <v>234</v>
      </c>
      <c r="L288" s="216"/>
      <c r="M288" s="217"/>
      <c r="N288" s="216"/>
      <c r="O288" s="217"/>
      <c r="P288" s="216"/>
      <c r="Q288" s="217"/>
      <c r="R288" s="217" t="s">
        <v>234</v>
      </c>
      <c r="S288" s="217"/>
      <c r="T288" s="217"/>
      <c r="U288" s="218">
        <f t="shared" si="384"/>
        <v>5</v>
      </c>
      <c r="V288" s="867" t="s">
        <v>487</v>
      </c>
      <c r="W288" s="219">
        <v>142015</v>
      </c>
      <c r="X288" s="220">
        <v>2.91</v>
      </c>
      <c r="Y288" s="221">
        <f t="shared" si="379"/>
        <v>1.0290999999999999</v>
      </c>
      <c r="Z288" s="199">
        <v>19</v>
      </c>
      <c r="AA288" s="221">
        <f t="shared" si="380"/>
        <v>1.7246222540408234</v>
      </c>
      <c r="AB288" s="199">
        <f t="shared" si="381"/>
        <v>244922.22940760752</v>
      </c>
      <c r="AC288">
        <v>20.100000000000001</v>
      </c>
      <c r="AD288" s="199">
        <f t="shared" si="382"/>
        <v>49229.368110929114</v>
      </c>
      <c r="AE288" s="199">
        <f t="shared" si="301"/>
        <v>46767.899705382653</v>
      </c>
      <c r="AF288" s="199">
        <f t="shared" si="365"/>
        <v>0</v>
      </c>
      <c r="AG288" s="614">
        <f t="shared" si="351"/>
        <v>2.1623423674501422E-3</v>
      </c>
      <c r="AH288" s="199">
        <f t="shared" si="396"/>
        <v>12246.111470380376</v>
      </c>
      <c r="AI288" s="252">
        <f t="shared" si="334"/>
        <v>9.4868770093914086E-4</v>
      </c>
      <c r="AJ288" s="199">
        <f t="shared" si="352"/>
        <v>61475.47958130949</v>
      </c>
      <c r="AK288" s="199">
        <f t="shared" si="367"/>
        <v>9796.8891763043011</v>
      </c>
      <c r="AL288" s="199">
        <f t="shared" si="368"/>
        <v>9796.8891763043011</v>
      </c>
      <c r="AM288" s="199">
        <f t="shared" si="335"/>
        <v>19593.778352608602</v>
      </c>
      <c r="AN288" s="645">
        <f t="shared" si="336"/>
        <v>9.4868770093914086E-4</v>
      </c>
      <c r="AO288" s="199">
        <v>11</v>
      </c>
      <c r="AP288" s="250">
        <f t="shared" si="337"/>
        <v>1.2498579706851495E-3</v>
      </c>
      <c r="AQ288" s="199">
        <v>11</v>
      </c>
      <c r="AU288" s="199">
        <v>0</v>
      </c>
      <c r="AW288" s="250">
        <f t="shared" si="338"/>
        <v>0</v>
      </c>
      <c r="AX288" s="199">
        <v>1</v>
      </c>
      <c r="AY288" s="199">
        <f t="shared" si="385"/>
        <v>20793.973317389755</v>
      </c>
      <c r="AZ288" s="199">
        <f t="shared" si="355"/>
        <v>20793.973317389755</v>
      </c>
      <c r="BA288" s="252">
        <f t="shared" si="339"/>
        <v>1.634541241318287E-3</v>
      </c>
      <c r="BB288" s="284">
        <v>0</v>
      </c>
      <c r="BC288" s="199">
        <f t="shared" si="386"/>
        <v>0</v>
      </c>
      <c r="BD288" s="270">
        <f t="shared" si="369"/>
        <v>0</v>
      </c>
      <c r="BE288" s="199">
        <f t="shared" si="387"/>
        <v>0</v>
      </c>
      <c r="BF288" s="251">
        <f t="shared" si="370"/>
        <v>0</v>
      </c>
      <c r="BG288" s="204">
        <f t="shared" si="383"/>
        <v>0</v>
      </c>
      <c r="BH288" s="636">
        <v>0</v>
      </c>
      <c r="BI288" s="199">
        <f t="shared" si="340"/>
        <v>74946.202198727915</v>
      </c>
      <c r="BJ288" s="199">
        <f t="shared" si="341"/>
        <v>149892.40439745583</v>
      </c>
      <c r="BK288" s="199">
        <f t="shared" si="349"/>
        <v>224838.60659618373</v>
      </c>
      <c r="BL288" s="251">
        <f t="shared" si="342"/>
        <v>9.4868770093914096E-4</v>
      </c>
      <c r="BM288" s="199">
        <f t="shared" si="388"/>
        <v>29455.810091910102</v>
      </c>
      <c r="BN288" s="251">
        <f t="shared" si="343"/>
        <v>1.2719934857376165E-3</v>
      </c>
      <c r="BT288" s="199">
        <f>'Detailed Budget'!$AD$12</f>
        <v>194045122715</v>
      </c>
      <c r="BU288" s="199">
        <f>'Detailed Budget'!$AD$24</f>
        <v>194045122715</v>
      </c>
      <c r="BV288" s="596">
        <f t="shared" si="389"/>
        <v>0</v>
      </c>
      <c r="BW288" s="278"/>
      <c r="BX288" s="275">
        <f t="shared" si="294"/>
        <v>0</v>
      </c>
      <c r="BY288" s="275">
        <f t="shared" si="295"/>
        <v>0</v>
      </c>
      <c r="CA288" s="199">
        <f>'Detailed Budget'!$AD$96</f>
        <v>71050111380.677719</v>
      </c>
      <c r="CB288" s="275">
        <f t="shared" si="344"/>
        <v>116134337.25197551</v>
      </c>
      <c r="CE288" s="199">
        <f>'Detailed Budget'!$AD$175</f>
        <v>4330586076.5988197</v>
      </c>
      <c r="CF288" s="275">
        <f t="shared" si="390"/>
        <v>0</v>
      </c>
      <c r="CG288" s="199">
        <f>'Detailed Budget'!$AD$176</f>
        <v>20662817754.37001</v>
      </c>
      <c r="CH288" s="275">
        <f t="shared" si="391"/>
        <v>0</v>
      </c>
      <c r="CI288" s="275">
        <f t="shared" si="392"/>
        <v>0</v>
      </c>
      <c r="CJ288" s="275">
        <f>'Detailed Budget'!$AD$178</f>
        <v>46025131033.061455</v>
      </c>
      <c r="CK288" s="275">
        <f t="shared" si="393"/>
        <v>0</v>
      </c>
      <c r="CL288" s="275">
        <f t="shared" si="366"/>
        <v>0</v>
      </c>
      <c r="CM288" s="278">
        <f>'Detailed Budget'!$AD$189</f>
        <v>77498869683.252869</v>
      </c>
      <c r="CN288" s="275">
        <f t="shared" si="346"/>
        <v>0</v>
      </c>
      <c r="CO288" s="140">
        <f>'Detailed Budget'!$AD$191</f>
        <v>2684962805.4134097</v>
      </c>
      <c r="CP288" s="616">
        <f t="shared" si="347"/>
        <v>0</v>
      </c>
      <c r="CQ288" s="616">
        <f t="shared" si="348"/>
        <v>0</v>
      </c>
      <c r="CR288" s="199">
        <f>'Detailed Budget'!$AD$195</f>
        <v>18734176418</v>
      </c>
      <c r="CS288" s="275">
        <f t="shared" si="394"/>
        <v>23829750.364355274</v>
      </c>
      <c r="CW288" s="278"/>
      <c r="DH288" s="140">
        <f>'Detailed Budget'!$AD$163</f>
        <v>4928560000</v>
      </c>
      <c r="DI288" s="616">
        <f t="shared" si="395"/>
        <v>6160000</v>
      </c>
    </row>
    <row r="289" spans="1:113" outlineLevel="1">
      <c r="A289" s="214" t="s">
        <v>719</v>
      </c>
      <c r="B289" s="215" t="s">
        <v>720</v>
      </c>
      <c r="C289" s="216" t="s">
        <v>234</v>
      </c>
      <c r="D289" s="217"/>
      <c r="E289" s="216"/>
      <c r="F289" s="216"/>
      <c r="G289" s="216"/>
      <c r="H289" s="216" t="s">
        <v>234</v>
      </c>
      <c r="I289" s="217" t="s">
        <v>234</v>
      </c>
      <c r="J289" s="217"/>
      <c r="K289" s="216" t="s">
        <v>234</v>
      </c>
      <c r="L289" s="216"/>
      <c r="M289" s="217"/>
      <c r="N289" s="216"/>
      <c r="O289" s="217"/>
      <c r="P289" s="216"/>
      <c r="Q289" s="217"/>
      <c r="R289" s="217" t="s">
        <v>234</v>
      </c>
      <c r="S289" s="217" t="s">
        <v>234</v>
      </c>
      <c r="T289" s="217"/>
      <c r="U289" s="218">
        <f t="shared" si="384"/>
        <v>6</v>
      </c>
      <c r="V289" s="867" t="s">
        <v>721</v>
      </c>
      <c r="W289" s="219">
        <v>314108</v>
      </c>
      <c r="X289" s="220">
        <v>2.91</v>
      </c>
      <c r="Y289" s="221">
        <f t="shared" si="379"/>
        <v>1.0290999999999999</v>
      </c>
      <c r="Z289" s="199">
        <v>19</v>
      </c>
      <c r="AA289" s="221">
        <f t="shared" si="380"/>
        <v>1.7246222540408234</v>
      </c>
      <c r="AB289" s="199">
        <f t="shared" si="381"/>
        <v>541717.64697225497</v>
      </c>
      <c r="AC289">
        <v>20.100000000000001</v>
      </c>
      <c r="AD289" s="199">
        <f t="shared" si="382"/>
        <v>108885.24704142327</v>
      </c>
      <c r="AE289" s="199">
        <f t="shared" si="301"/>
        <v>103440.9846893521</v>
      </c>
      <c r="AF289" s="199">
        <f t="shared" si="365"/>
        <v>0</v>
      </c>
      <c r="AG289" s="614">
        <f t="shared" si="351"/>
        <v>4.7826570176039817E-3</v>
      </c>
      <c r="AH289" s="199">
        <f t="shared" si="396"/>
        <v>27085.882348612751</v>
      </c>
      <c r="AI289" s="252">
        <f t="shared" si="334"/>
        <v>2.0983022664267277E-3</v>
      </c>
      <c r="AJ289" s="199">
        <f t="shared" si="352"/>
        <v>135971.12939003602</v>
      </c>
      <c r="AK289" s="199">
        <f t="shared" si="367"/>
        <v>21668.7058788902</v>
      </c>
      <c r="AL289" s="199">
        <f t="shared" si="368"/>
        <v>21668.7058788902</v>
      </c>
      <c r="AM289" s="199">
        <f t="shared" si="335"/>
        <v>43337.411757780399</v>
      </c>
      <c r="AN289" s="645">
        <f t="shared" si="336"/>
        <v>2.0983022664267273E-3</v>
      </c>
      <c r="AO289" s="199">
        <v>11</v>
      </c>
      <c r="AP289" s="250">
        <f t="shared" si="337"/>
        <v>1.2498579706851495E-3</v>
      </c>
      <c r="AQ289" s="199">
        <v>11</v>
      </c>
      <c r="AU289" s="199">
        <v>0</v>
      </c>
      <c r="AW289" s="250">
        <f t="shared" si="338"/>
        <v>0</v>
      </c>
      <c r="AX289" s="199">
        <v>1</v>
      </c>
      <c r="AY289" s="199">
        <f t="shared" si="385"/>
        <v>45991.996414313013</v>
      </c>
      <c r="AZ289" s="199">
        <f t="shared" si="355"/>
        <v>45991.996414313013</v>
      </c>
      <c r="BA289" s="252">
        <f t="shared" si="339"/>
        <v>3.6152693745590578E-3</v>
      </c>
      <c r="BB289" s="284">
        <v>0</v>
      </c>
      <c r="BC289" s="199">
        <f t="shared" si="386"/>
        <v>0</v>
      </c>
      <c r="BD289" s="270">
        <f t="shared" si="369"/>
        <v>0</v>
      </c>
      <c r="BE289" s="199">
        <f t="shared" si="387"/>
        <v>0</v>
      </c>
      <c r="BF289" s="251">
        <f t="shared" si="370"/>
        <v>0</v>
      </c>
      <c r="BG289" s="204">
        <f t="shared" si="383"/>
        <v>0</v>
      </c>
      <c r="BH289" s="636">
        <v>0</v>
      </c>
      <c r="BI289" s="199">
        <f t="shared" si="340"/>
        <v>165765.59997351002</v>
      </c>
      <c r="BJ289" s="199">
        <f t="shared" si="341"/>
        <v>331531.19994702004</v>
      </c>
      <c r="BK289" s="199">
        <f t="shared" si="349"/>
        <v>497296.79992053006</v>
      </c>
      <c r="BL289" s="251">
        <f t="shared" si="342"/>
        <v>2.0983022664267273E-3</v>
      </c>
      <c r="BM289" s="199">
        <f t="shared" si="388"/>
        <v>65150.199601096363</v>
      </c>
      <c r="BN289" s="251">
        <f t="shared" si="343"/>
        <v>2.8133882323562389E-3</v>
      </c>
      <c r="BT289" s="199">
        <f>'Detailed Budget'!$AD$12</f>
        <v>194045122715</v>
      </c>
      <c r="BU289" s="199">
        <f>'Detailed Budget'!$AD$24</f>
        <v>194045122715</v>
      </c>
      <c r="BV289" s="596">
        <f t="shared" si="389"/>
        <v>0</v>
      </c>
      <c r="BW289" s="278"/>
      <c r="BX289" s="275">
        <f t="shared" si="294"/>
        <v>0</v>
      </c>
      <c r="BY289" s="275">
        <f t="shared" si="295"/>
        <v>0</v>
      </c>
      <c r="CA289" s="199">
        <f>'Detailed Budget'!$AD$96</f>
        <v>71050111380.677719</v>
      </c>
      <c r="CB289" s="275">
        <f t="shared" si="344"/>
        <v>256865291.73357412</v>
      </c>
      <c r="CE289" s="199">
        <f>'Detailed Budget'!$AD$175</f>
        <v>4330586076.5988197</v>
      </c>
      <c r="CF289" s="275">
        <f t="shared" si="390"/>
        <v>0</v>
      </c>
      <c r="CG289" s="199">
        <f>'Detailed Budget'!$AD$176</f>
        <v>20662817754.37001</v>
      </c>
      <c r="CH289" s="275">
        <f t="shared" si="391"/>
        <v>0</v>
      </c>
      <c r="CI289" s="275">
        <f t="shared" si="392"/>
        <v>0</v>
      </c>
      <c r="CJ289" s="275">
        <f>'Detailed Budget'!$AD$178</f>
        <v>46025131033.061455</v>
      </c>
      <c r="CK289" s="275">
        <f t="shared" si="393"/>
        <v>0</v>
      </c>
      <c r="CL289" s="275">
        <f t="shared" si="366"/>
        <v>0</v>
      </c>
      <c r="CM289" s="278">
        <f>'Detailed Budget'!$AD$189</f>
        <v>77498869683.252869</v>
      </c>
      <c r="CN289" s="275">
        <f t="shared" si="346"/>
        <v>0</v>
      </c>
      <c r="CO289" s="140">
        <f>'Detailed Budget'!$AD$191</f>
        <v>2684962805.4134097</v>
      </c>
      <c r="CP289" s="616">
        <f t="shared" si="347"/>
        <v>0</v>
      </c>
      <c r="CQ289" s="616">
        <f t="shared" si="348"/>
        <v>0</v>
      </c>
      <c r="CR289" s="199">
        <f>'Detailed Budget'!$AD$195</f>
        <v>18734176418</v>
      </c>
      <c r="CS289" s="275">
        <f t="shared" si="394"/>
        <v>52706511.477286957</v>
      </c>
      <c r="CW289" s="278"/>
      <c r="DH289" s="140">
        <f>'Detailed Budget'!$AD$163</f>
        <v>4928560000</v>
      </c>
      <c r="DI289" s="616">
        <f t="shared" si="395"/>
        <v>6160000</v>
      </c>
    </row>
    <row r="290" spans="1:113" outlineLevel="1">
      <c r="A290" s="214" t="s">
        <v>722</v>
      </c>
      <c r="B290" s="215" t="s">
        <v>723</v>
      </c>
      <c r="C290" s="216" t="s">
        <v>234</v>
      </c>
      <c r="D290" s="217"/>
      <c r="E290" s="216"/>
      <c r="F290" s="216"/>
      <c r="G290" s="216"/>
      <c r="H290" s="216" t="s">
        <v>234</v>
      </c>
      <c r="I290" s="217" t="s">
        <v>234</v>
      </c>
      <c r="J290" s="217"/>
      <c r="K290" s="216" t="s">
        <v>234</v>
      </c>
      <c r="L290" s="216"/>
      <c r="M290" s="217"/>
      <c r="N290" s="216"/>
      <c r="O290" s="217"/>
      <c r="P290" s="216"/>
      <c r="Q290" s="217"/>
      <c r="R290" s="217" t="s">
        <v>234</v>
      </c>
      <c r="S290" s="217"/>
      <c r="T290" s="217"/>
      <c r="U290" s="218">
        <f t="shared" si="384"/>
        <v>5</v>
      </c>
      <c r="V290" s="867" t="s">
        <v>487</v>
      </c>
      <c r="W290" s="219">
        <v>97284</v>
      </c>
      <c r="X290" s="220">
        <v>2.91</v>
      </c>
      <c r="Y290" s="221">
        <f t="shared" si="379"/>
        <v>1.0290999999999999</v>
      </c>
      <c r="Z290" s="199">
        <v>19</v>
      </c>
      <c r="AA290" s="221">
        <f t="shared" si="380"/>
        <v>1.7246222540408234</v>
      </c>
      <c r="AB290" s="199">
        <f t="shared" si="381"/>
        <v>167778.15136210746</v>
      </c>
      <c r="AC290">
        <v>20.100000000000001</v>
      </c>
      <c r="AD290" s="199">
        <f t="shared" si="382"/>
        <v>33723.4084237836</v>
      </c>
      <c r="AE290" s="199">
        <f t="shared" si="301"/>
        <v>32037.238002594419</v>
      </c>
      <c r="AF290" s="199">
        <f t="shared" si="365"/>
        <v>0</v>
      </c>
      <c r="AG290" s="614">
        <f t="shared" si="351"/>
        <v>1.4812612391298077E-3</v>
      </c>
      <c r="AH290" s="199">
        <f t="shared" si="396"/>
        <v>8388.9075681053728</v>
      </c>
      <c r="AI290" s="252">
        <f t="shared" si="334"/>
        <v>6.4987595886465072E-4</v>
      </c>
      <c r="AJ290" s="199">
        <f t="shared" si="352"/>
        <v>42112.315991888972</v>
      </c>
      <c r="AK290" s="199">
        <f t="shared" si="367"/>
        <v>6711.126054484298</v>
      </c>
      <c r="AL290" s="199">
        <f t="shared" si="368"/>
        <v>6711.126054484298</v>
      </c>
      <c r="AM290" s="199">
        <f t="shared" si="335"/>
        <v>13422.252108968596</v>
      </c>
      <c r="AN290" s="645">
        <f t="shared" si="336"/>
        <v>6.4987595886465072E-4</v>
      </c>
      <c r="AO290" s="199">
        <v>10</v>
      </c>
      <c r="AP290" s="250">
        <f t="shared" si="337"/>
        <v>1.1362345188046814E-3</v>
      </c>
      <c r="AQ290" s="199">
        <v>10</v>
      </c>
      <c r="AU290" s="199">
        <v>0</v>
      </c>
      <c r="AW290" s="250">
        <f t="shared" si="338"/>
        <v>0</v>
      </c>
      <c r="AX290" s="199">
        <v>1</v>
      </c>
      <c r="AY290" s="199">
        <f t="shared" si="385"/>
        <v>14244.417140505899</v>
      </c>
      <c r="AZ290" s="199">
        <f t="shared" si="355"/>
        <v>14244.417140505899</v>
      </c>
      <c r="BA290" s="252">
        <f t="shared" si="339"/>
        <v>1.1197036237045963E-3</v>
      </c>
      <c r="BB290" s="284">
        <v>0</v>
      </c>
      <c r="BC290" s="199">
        <f t="shared" si="386"/>
        <v>0</v>
      </c>
      <c r="BD290" s="270">
        <f t="shared" si="369"/>
        <v>0</v>
      </c>
      <c r="BE290" s="199">
        <f t="shared" si="387"/>
        <v>0</v>
      </c>
      <c r="BF290" s="251">
        <f t="shared" si="370"/>
        <v>0</v>
      </c>
      <c r="BG290" s="204">
        <f t="shared" si="383"/>
        <v>0</v>
      </c>
      <c r="BH290" s="636">
        <v>0</v>
      </c>
      <c r="BI290" s="199">
        <f t="shared" si="340"/>
        <v>51340.114316804887</v>
      </c>
      <c r="BJ290" s="199">
        <f t="shared" si="341"/>
        <v>102680.22863360977</v>
      </c>
      <c r="BK290" s="199">
        <f t="shared" si="349"/>
        <v>154020.34295041466</v>
      </c>
      <c r="BL290" s="251">
        <f t="shared" si="342"/>
        <v>6.4987595886465083E-4</v>
      </c>
      <c r="BM290" s="199">
        <f t="shared" si="388"/>
        <v>20178.002527770885</v>
      </c>
      <c r="BN290" s="251">
        <f t="shared" si="343"/>
        <v>8.7134890164065957E-4</v>
      </c>
      <c r="BT290" s="199">
        <f>'Detailed Budget'!$AD$12</f>
        <v>194045122715</v>
      </c>
      <c r="BU290" s="199">
        <f>'Detailed Budget'!$AD$24</f>
        <v>194045122715</v>
      </c>
      <c r="BV290" s="596">
        <f t="shared" si="389"/>
        <v>0</v>
      </c>
      <c r="BW290" s="278"/>
      <c r="BX290" s="275">
        <f t="shared" ref="BX290:BX357" si="397">BT290*BV290</f>
        <v>0</v>
      </c>
      <c r="BY290" s="275">
        <f t="shared" ref="BY290:BY357" si="398">BU290*BV290</f>
        <v>0</v>
      </c>
      <c r="CA290" s="199">
        <f>'Detailed Budget'!$AD$96</f>
        <v>71050111380.677719</v>
      </c>
      <c r="CB290" s="275">
        <f t="shared" si="344"/>
        <v>79555067.177560017</v>
      </c>
      <c r="CE290" s="199">
        <f>'Detailed Budget'!$AD$175</f>
        <v>4330586076.5988197</v>
      </c>
      <c r="CF290" s="275">
        <f t="shared" si="390"/>
        <v>0</v>
      </c>
      <c r="CG290" s="199">
        <f>'Detailed Budget'!$AD$176</f>
        <v>20662817754.37001</v>
      </c>
      <c r="CH290" s="275">
        <f t="shared" si="391"/>
        <v>0</v>
      </c>
      <c r="CI290" s="275">
        <f t="shared" si="392"/>
        <v>0</v>
      </c>
      <c r="CJ290" s="275">
        <f>'Detailed Budget'!$AD$178</f>
        <v>46025131033.061455</v>
      </c>
      <c r="CK290" s="275">
        <f t="shared" si="393"/>
        <v>0</v>
      </c>
      <c r="CL290" s="275">
        <f t="shared" si="366"/>
        <v>0</v>
      </c>
      <c r="CM290" s="278">
        <f>'Detailed Budget'!$AD$189</f>
        <v>77498869683.252869</v>
      </c>
      <c r="CN290" s="275">
        <f t="shared" si="346"/>
        <v>0</v>
      </c>
      <c r="CO290" s="140">
        <f>'Detailed Budget'!$AD$191</f>
        <v>2684962805.4134097</v>
      </c>
      <c r="CP290" s="616">
        <f t="shared" si="347"/>
        <v>0</v>
      </c>
      <c r="CQ290" s="616">
        <f t="shared" si="348"/>
        <v>0</v>
      </c>
      <c r="CR290" s="199">
        <f>'Detailed Budget'!$AD$195</f>
        <v>18734176418</v>
      </c>
      <c r="CS290" s="275">
        <f t="shared" si="394"/>
        <v>16324004.044966646</v>
      </c>
      <c r="CW290" s="278"/>
      <c r="DH290" s="140">
        <f>'Detailed Budget'!$AD$163</f>
        <v>4928560000</v>
      </c>
      <c r="DI290" s="616">
        <f t="shared" si="395"/>
        <v>5600000</v>
      </c>
    </row>
    <row r="291" spans="1:113" outlineLevel="1">
      <c r="A291" s="214" t="s">
        <v>724</v>
      </c>
      <c r="B291" s="215" t="s">
        <v>725</v>
      </c>
      <c r="C291" s="216" t="s">
        <v>234</v>
      </c>
      <c r="D291" s="217"/>
      <c r="E291" s="216"/>
      <c r="F291" s="216"/>
      <c r="G291" s="216"/>
      <c r="H291" s="216" t="s">
        <v>234</v>
      </c>
      <c r="I291" s="217" t="s">
        <v>234</v>
      </c>
      <c r="J291" s="217"/>
      <c r="K291" s="216" t="s">
        <v>234</v>
      </c>
      <c r="L291" s="216"/>
      <c r="M291" s="217"/>
      <c r="N291" s="216"/>
      <c r="O291" s="217"/>
      <c r="P291" s="216"/>
      <c r="Q291" s="217"/>
      <c r="R291" s="217" t="s">
        <v>234</v>
      </c>
      <c r="S291" s="217"/>
      <c r="T291" s="217"/>
      <c r="U291" s="218">
        <f t="shared" si="384"/>
        <v>5</v>
      </c>
      <c r="V291" s="867" t="s">
        <v>487</v>
      </c>
      <c r="W291" s="219">
        <v>251135</v>
      </c>
      <c r="X291" s="220">
        <v>2.91</v>
      </c>
      <c r="Y291" s="221">
        <f t="shared" si="379"/>
        <v>1.0290999999999999</v>
      </c>
      <c r="Z291" s="199">
        <v>19</v>
      </c>
      <c r="AA291" s="221">
        <f t="shared" si="380"/>
        <v>1.7246222540408234</v>
      </c>
      <c r="AB291" s="199">
        <f t="shared" si="381"/>
        <v>433113.00976854219</v>
      </c>
      <c r="AC291">
        <v>20.100000000000001</v>
      </c>
      <c r="AD291" s="199">
        <f t="shared" si="382"/>
        <v>87055.714963476988</v>
      </c>
      <c r="AE291" s="199">
        <f t="shared" si="301"/>
        <v>82702.929215303142</v>
      </c>
      <c r="AF291" s="199">
        <f t="shared" si="365"/>
        <v>0</v>
      </c>
      <c r="AG291" s="614">
        <f t="shared" si="351"/>
        <v>3.8238203742533652E-3</v>
      </c>
      <c r="AH291" s="199">
        <f t="shared" si="396"/>
        <v>21655.650488427113</v>
      </c>
      <c r="AI291" s="252">
        <f t="shared" si="334"/>
        <v>1.6776304318230552E-3</v>
      </c>
      <c r="AJ291" s="199">
        <f t="shared" si="352"/>
        <v>108711.3654519041</v>
      </c>
      <c r="AK291" s="199">
        <f t="shared" si="367"/>
        <v>17324.520390741687</v>
      </c>
      <c r="AL291" s="199">
        <f t="shared" si="368"/>
        <v>17324.520390741687</v>
      </c>
      <c r="AM291" s="199">
        <f t="shared" si="335"/>
        <v>34649.040781483374</v>
      </c>
      <c r="AN291" s="645">
        <f t="shared" si="336"/>
        <v>1.677630431823055E-3</v>
      </c>
      <c r="AO291" s="199">
        <v>11</v>
      </c>
      <c r="AP291" s="250">
        <f t="shared" si="337"/>
        <v>1.2498579706851495E-3</v>
      </c>
      <c r="AQ291" s="199">
        <v>11</v>
      </c>
      <c r="AU291" s="199">
        <v>0</v>
      </c>
      <c r="AW291" s="250">
        <f t="shared" si="338"/>
        <v>0</v>
      </c>
      <c r="AX291" s="199">
        <v>1</v>
      </c>
      <c r="AY291" s="199">
        <f t="shared" si="385"/>
        <v>36771.428997378287</v>
      </c>
      <c r="AZ291" s="199">
        <f t="shared" si="355"/>
        <v>36771.428997378287</v>
      </c>
      <c r="BA291" s="252">
        <f t="shared" si="339"/>
        <v>2.8904729404532485E-3</v>
      </c>
      <c r="BB291" s="284">
        <v>0</v>
      </c>
      <c r="BC291" s="199">
        <f t="shared" si="386"/>
        <v>0</v>
      </c>
      <c r="BD291" s="270">
        <f t="shared" si="369"/>
        <v>0</v>
      </c>
      <c r="BE291" s="199">
        <f t="shared" si="387"/>
        <v>0</v>
      </c>
      <c r="BF291" s="251">
        <f t="shared" si="370"/>
        <v>0</v>
      </c>
      <c r="BG291" s="204">
        <f t="shared" si="383"/>
        <v>0</v>
      </c>
      <c r="BH291" s="636">
        <v>0</v>
      </c>
      <c r="BI291" s="199">
        <f t="shared" si="340"/>
        <v>132532.5809891739</v>
      </c>
      <c r="BJ291" s="199">
        <f t="shared" si="341"/>
        <v>265065.16197834781</v>
      </c>
      <c r="BK291" s="199">
        <f t="shared" si="349"/>
        <v>397597.74296752171</v>
      </c>
      <c r="BL291" s="251">
        <f t="shared" si="342"/>
        <v>1.6776304318230548E-3</v>
      </c>
      <c r="BM291" s="199">
        <f t="shared" si="388"/>
        <v>52088.757296284508</v>
      </c>
      <c r="BN291" s="251">
        <f t="shared" si="343"/>
        <v>2.2493545332585734E-3</v>
      </c>
      <c r="BT291" s="199">
        <f>'Detailed Budget'!$AD$12</f>
        <v>194045122715</v>
      </c>
      <c r="BU291" s="199">
        <f>'Detailed Budget'!$AD$24</f>
        <v>194045122715</v>
      </c>
      <c r="BV291" s="596">
        <f t="shared" si="389"/>
        <v>0</v>
      </c>
      <c r="BW291" s="278"/>
      <c r="BX291" s="275">
        <f t="shared" si="397"/>
        <v>0</v>
      </c>
      <c r="BY291" s="275">
        <f t="shared" si="398"/>
        <v>0</v>
      </c>
      <c r="CA291" s="199">
        <f>'Detailed Budget'!$AD$96</f>
        <v>71050111380.677719</v>
      </c>
      <c r="CB291" s="275">
        <f t="shared" si="344"/>
        <v>205368424.36203834</v>
      </c>
      <c r="CE291" s="199">
        <f>'Detailed Budget'!$AD$175</f>
        <v>4330586076.5988197</v>
      </c>
      <c r="CF291" s="275">
        <f t="shared" si="390"/>
        <v>0</v>
      </c>
      <c r="CG291" s="199">
        <f>'Detailed Budget'!$AD$176</f>
        <v>20662817754.37001</v>
      </c>
      <c r="CH291" s="275">
        <f t="shared" si="391"/>
        <v>0</v>
      </c>
      <c r="CI291" s="275">
        <f t="shared" si="392"/>
        <v>0</v>
      </c>
      <c r="CJ291" s="275">
        <f>'Detailed Budget'!$AD$178</f>
        <v>46025131033.061455</v>
      </c>
      <c r="CK291" s="275">
        <f t="shared" si="393"/>
        <v>0</v>
      </c>
      <c r="CL291" s="275">
        <f t="shared" si="366"/>
        <v>0</v>
      </c>
      <c r="CM291" s="278">
        <f>'Detailed Budget'!$AD$189</f>
        <v>77498869683.252869</v>
      </c>
      <c r="CN291" s="275">
        <f t="shared" si="346"/>
        <v>0</v>
      </c>
      <c r="CO291" s="140">
        <f>'Detailed Budget'!$AD$191</f>
        <v>2684962805.4134097</v>
      </c>
      <c r="CP291" s="616">
        <f t="shared" si="347"/>
        <v>0</v>
      </c>
      <c r="CQ291" s="616">
        <f t="shared" si="348"/>
        <v>0</v>
      </c>
      <c r="CR291" s="199">
        <f>'Detailed Budget'!$AD$195</f>
        <v>18734176418</v>
      </c>
      <c r="CS291" s="275">
        <f t="shared" si="394"/>
        <v>42139804.652694166</v>
      </c>
      <c r="CW291" s="278"/>
      <c r="DH291" s="140">
        <f>'Detailed Budget'!$AD$163</f>
        <v>4928560000</v>
      </c>
      <c r="DI291" s="616">
        <f t="shared" si="395"/>
        <v>6160000</v>
      </c>
    </row>
    <row r="292" spans="1:113" outlineLevel="1">
      <c r="A292" s="214" t="s">
        <v>726</v>
      </c>
      <c r="B292" s="215" t="s">
        <v>727</v>
      </c>
      <c r="C292" s="216" t="s">
        <v>234</v>
      </c>
      <c r="D292" s="217"/>
      <c r="E292" s="216"/>
      <c r="F292" s="216"/>
      <c r="G292" s="216"/>
      <c r="H292" s="216" t="s">
        <v>234</v>
      </c>
      <c r="I292" s="217" t="s">
        <v>234</v>
      </c>
      <c r="J292" s="217"/>
      <c r="K292" s="216" t="s">
        <v>234</v>
      </c>
      <c r="L292" s="216"/>
      <c r="M292" s="217"/>
      <c r="N292" s="216"/>
      <c r="O292" s="217"/>
      <c r="P292" s="216"/>
      <c r="Q292" s="217"/>
      <c r="R292" s="217" t="s">
        <v>234</v>
      </c>
      <c r="S292" s="217"/>
      <c r="T292" s="217"/>
      <c r="U292" s="218">
        <f t="shared" si="384"/>
        <v>5</v>
      </c>
      <c r="V292" s="867" t="s">
        <v>487</v>
      </c>
      <c r="W292" s="219">
        <v>82153</v>
      </c>
      <c r="X292" s="220">
        <v>2.91</v>
      </c>
      <c r="Y292" s="221">
        <f t="shared" si="379"/>
        <v>1.0290999999999999</v>
      </c>
      <c r="Z292" s="199">
        <v>19</v>
      </c>
      <c r="AA292" s="221">
        <f t="shared" si="380"/>
        <v>1.7246222540408234</v>
      </c>
      <c r="AB292" s="199">
        <f t="shared" si="381"/>
        <v>141682.89203621575</v>
      </c>
      <c r="AC292">
        <v>20.100000000000001</v>
      </c>
      <c r="AD292" s="199">
        <f t="shared" si="382"/>
        <v>28478.261299279369</v>
      </c>
      <c r="AE292" s="199">
        <f t="shared" ref="AE292:AE359" si="399">AD292*0.95</f>
        <v>27054.348234315399</v>
      </c>
      <c r="AF292" s="199">
        <f t="shared" si="365"/>
        <v>0</v>
      </c>
      <c r="AG292" s="614">
        <f t="shared" si="351"/>
        <v>1.2508742915405525E-3</v>
      </c>
      <c r="AH292" s="199">
        <f t="shared" si="396"/>
        <v>7084.1446018107881</v>
      </c>
      <c r="AI292" s="252">
        <f t="shared" si="334"/>
        <v>5.4879794877480011E-4</v>
      </c>
      <c r="AJ292" s="199">
        <f t="shared" si="352"/>
        <v>35562.405901090155</v>
      </c>
      <c r="AK292" s="199">
        <f t="shared" si="367"/>
        <v>5667.3156814486301</v>
      </c>
      <c r="AL292" s="199">
        <f t="shared" si="368"/>
        <v>5667.3156814486301</v>
      </c>
      <c r="AM292" s="199">
        <f t="shared" si="335"/>
        <v>11334.63136289726</v>
      </c>
      <c r="AN292" s="645">
        <f t="shared" si="336"/>
        <v>5.4879794877480011E-4</v>
      </c>
      <c r="AO292" s="199">
        <v>10</v>
      </c>
      <c r="AP292" s="250">
        <f t="shared" si="337"/>
        <v>1.1362345188046814E-3</v>
      </c>
      <c r="AQ292" s="199">
        <v>10</v>
      </c>
      <c r="AU292" s="199">
        <v>0</v>
      </c>
      <c r="AW292" s="250">
        <f t="shared" si="338"/>
        <v>0</v>
      </c>
      <c r="AX292" s="199">
        <v>1</v>
      </c>
      <c r="AY292" s="199">
        <f t="shared" si="385"/>
        <v>12028.921521976696</v>
      </c>
      <c r="AZ292" s="199">
        <f t="shared" si="355"/>
        <v>12028.921521976696</v>
      </c>
      <c r="BA292" s="252">
        <f t="shared" si="339"/>
        <v>9.4555129104686986E-4</v>
      </c>
      <c r="BB292" s="284">
        <v>0</v>
      </c>
      <c r="BC292" s="199">
        <f t="shared" si="386"/>
        <v>0</v>
      </c>
      <c r="BD292" s="270">
        <f t="shared" si="369"/>
        <v>0</v>
      </c>
      <c r="BE292" s="199">
        <f t="shared" si="387"/>
        <v>0</v>
      </c>
      <c r="BF292" s="251">
        <f t="shared" si="370"/>
        <v>0</v>
      </c>
      <c r="BG292" s="204">
        <f t="shared" si="383"/>
        <v>0</v>
      </c>
      <c r="BH292" s="636">
        <v>0</v>
      </c>
      <c r="BI292" s="199">
        <f t="shared" si="340"/>
        <v>43354.96496308202</v>
      </c>
      <c r="BJ292" s="199">
        <f t="shared" si="341"/>
        <v>86709.929926164041</v>
      </c>
      <c r="BK292" s="199">
        <f t="shared" si="349"/>
        <v>130064.89488924606</v>
      </c>
      <c r="BL292" s="251">
        <f t="shared" si="342"/>
        <v>5.4879794877480011E-4</v>
      </c>
      <c r="BM292" s="199">
        <f t="shared" si="388"/>
        <v>17039.630788865194</v>
      </c>
      <c r="BN292" s="251">
        <f t="shared" si="343"/>
        <v>7.3582424978912368E-4</v>
      </c>
      <c r="BT292" s="199">
        <f>'Detailed Budget'!$AD$12</f>
        <v>194045122715</v>
      </c>
      <c r="BU292" s="199">
        <f>'Detailed Budget'!$AD$24</f>
        <v>194045122715</v>
      </c>
      <c r="BV292" s="596">
        <f t="shared" si="389"/>
        <v>0</v>
      </c>
      <c r="BW292" s="278"/>
      <c r="BX292" s="275">
        <f t="shared" si="397"/>
        <v>0</v>
      </c>
      <c r="BY292" s="275">
        <f t="shared" si="398"/>
        <v>0</v>
      </c>
      <c r="CA292" s="199">
        <f>'Detailed Budget'!$AD$96</f>
        <v>71050111380.677719</v>
      </c>
      <c r="CB292" s="275">
        <f t="shared" si="344"/>
        <v>67181524.545023724</v>
      </c>
      <c r="CE292" s="199">
        <f>'Detailed Budget'!$AD$175</f>
        <v>4330586076.5988197</v>
      </c>
      <c r="CF292" s="275">
        <f t="shared" si="390"/>
        <v>0</v>
      </c>
      <c r="CG292" s="199">
        <f>'Detailed Budget'!$AD$176</f>
        <v>20662817754.37001</v>
      </c>
      <c r="CH292" s="275">
        <f t="shared" si="391"/>
        <v>0</v>
      </c>
      <c r="CI292" s="275">
        <f t="shared" si="392"/>
        <v>0</v>
      </c>
      <c r="CJ292" s="275">
        <f>'Detailed Budget'!$AD$178</f>
        <v>46025131033.061455</v>
      </c>
      <c r="CK292" s="275">
        <f t="shared" si="393"/>
        <v>0</v>
      </c>
      <c r="CL292" s="275">
        <f t="shared" si="366"/>
        <v>0</v>
      </c>
      <c r="CM292" s="278">
        <f>'Detailed Budget'!$AD$189</f>
        <v>77498869683.252869</v>
      </c>
      <c r="CN292" s="275">
        <f t="shared" si="346"/>
        <v>0</v>
      </c>
      <c r="CO292" s="140">
        <f>'Detailed Budget'!$AD$191</f>
        <v>2684962805.4134097</v>
      </c>
      <c r="CP292" s="616">
        <f t="shared" si="347"/>
        <v>0</v>
      </c>
      <c r="CQ292" s="616">
        <f t="shared" si="348"/>
        <v>0</v>
      </c>
      <c r="CR292" s="199">
        <f>'Detailed Budget'!$AD$195</f>
        <v>18734176418</v>
      </c>
      <c r="CS292" s="275">
        <f t="shared" si="394"/>
        <v>13785061.308191942</v>
      </c>
      <c r="CW292" s="278"/>
      <c r="DH292" s="140">
        <f>'Detailed Budget'!$AD$163</f>
        <v>4928560000</v>
      </c>
      <c r="DI292" s="616">
        <f t="shared" si="395"/>
        <v>5600000</v>
      </c>
    </row>
    <row r="293" spans="1:113" outlineLevel="1">
      <c r="A293" s="214" t="s">
        <v>728</v>
      </c>
      <c r="B293" s="215" t="s">
        <v>729</v>
      </c>
      <c r="C293" s="216" t="s">
        <v>234</v>
      </c>
      <c r="D293" s="217"/>
      <c r="E293" s="216"/>
      <c r="F293" s="216"/>
      <c r="G293" s="216"/>
      <c r="H293" s="216" t="s">
        <v>234</v>
      </c>
      <c r="I293" s="217" t="s">
        <v>234</v>
      </c>
      <c r="J293" s="217"/>
      <c r="K293" s="216" t="s">
        <v>234</v>
      </c>
      <c r="L293" s="216"/>
      <c r="M293" s="217"/>
      <c r="N293" s="216"/>
      <c r="O293" s="217"/>
      <c r="P293" s="216"/>
      <c r="Q293" s="217"/>
      <c r="R293" s="217" t="s">
        <v>234</v>
      </c>
      <c r="S293" s="217"/>
      <c r="T293" s="217"/>
      <c r="U293" s="218">
        <f t="shared" si="384"/>
        <v>5</v>
      </c>
      <c r="V293" s="867" t="s">
        <v>487</v>
      </c>
      <c r="W293" s="219">
        <v>150261</v>
      </c>
      <c r="X293" s="220">
        <v>2.91</v>
      </c>
      <c r="Y293" s="221">
        <f t="shared" si="379"/>
        <v>1.0290999999999999</v>
      </c>
      <c r="Z293" s="199">
        <v>19</v>
      </c>
      <c r="AA293" s="221">
        <f t="shared" si="380"/>
        <v>1.7246222540408234</v>
      </c>
      <c r="AB293" s="199">
        <f t="shared" si="381"/>
        <v>259143.46451442817</v>
      </c>
      <c r="AC293">
        <v>20.100000000000001</v>
      </c>
      <c r="AD293" s="199">
        <f t="shared" si="382"/>
        <v>52087.836367400065</v>
      </c>
      <c r="AE293" s="199">
        <f t="shared" si="399"/>
        <v>49483.444549030057</v>
      </c>
      <c r="AF293" s="199">
        <f t="shared" si="365"/>
        <v>0</v>
      </c>
      <c r="AG293" s="614">
        <f t="shared" si="351"/>
        <v>2.2878972395551588E-3</v>
      </c>
      <c r="AH293" s="199">
        <f t="shared" si="396"/>
        <v>12957.17322572141</v>
      </c>
      <c r="AI293" s="252">
        <f t="shared" si="334"/>
        <v>1.0037725777616187E-3</v>
      </c>
      <c r="AJ293" s="199">
        <f t="shared" si="352"/>
        <v>65045.009593121475</v>
      </c>
      <c r="AK293" s="199">
        <f t="shared" si="367"/>
        <v>10365.738580577126</v>
      </c>
      <c r="AL293" s="199">
        <f t="shared" si="368"/>
        <v>10365.738580577126</v>
      </c>
      <c r="AM293" s="199">
        <f t="shared" si="335"/>
        <v>20731.477161154253</v>
      </c>
      <c r="AN293" s="645">
        <f t="shared" si="336"/>
        <v>1.0037725777616185E-3</v>
      </c>
      <c r="AO293" s="199">
        <v>11</v>
      </c>
      <c r="AP293" s="250">
        <f t="shared" si="337"/>
        <v>1.2498579706851495E-3</v>
      </c>
      <c r="AQ293" s="199">
        <v>11</v>
      </c>
      <c r="AU293" s="199">
        <v>0</v>
      </c>
      <c r="AW293" s="250">
        <f t="shared" si="338"/>
        <v>0</v>
      </c>
      <c r="AX293" s="199">
        <v>1</v>
      </c>
      <c r="AY293" s="199">
        <f t="shared" si="385"/>
        <v>22001.360593207075</v>
      </c>
      <c r="AZ293" s="199">
        <f t="shared" si="355"/>
        <v>22001.360593207075</v>
      </c>
      <c r="BA293" s="252">
        <f t="shared" si="339"/>
        <v>1.7294497163097362E-3</v>
      </c>
      <c r="BB293" s="284">
        <v>0</v>
      </c>
      <c r="BC293" s="199">
        <f t="shared" si="386"/>
        <v>0</v>
      </c>
      <c r="BD293" s="270">
        <f t="shared" si="369"/>
        <v>0</v>
      </c>
      <c r="BE293" s="199">
        <f t="shared" si="387"/>
        <v>0</v>
      </c>
      <c r="BF293" s="251">
        <f t="shared" si="370"/>
        <v>0</v>
      </c>
      <c r="BG293" s="204">
        <f t="shared" si="383"/>
        <v>0</v>
      </c>
      <c r="BH293" s="636">
        <v>0</v>
      </c>
      <c r="BI293" s="199">
        <f t="shared" si="340"/>
        <v>79297.900141415012</v>
      </c>
      <c r="BJ293" s="199">
        <f t="shared" si="341"/>
        <v>158595.80028283002</v>
      </c>
      <c r="BK293" s="199">
        <f t="shared" si="349"/>
        <v>237893.70042424503</v>
      </c>
      <c r="BL293" s="251">
        <f t="shared" si="342"/>
        <v>1.0037725777616185E-3</v>
      </c>
      <c r="BM293" s="199">
        <f t="shared" si="388"/>
        <v>31166.140761331586</v>
      </c>
      <c r="BN293" s="251">
        <f t="shared" si="343"/>
        <v>1.3458508830786892E-3</v>
      </c>
      <c r="BT293" s="199">
        <f>'Detailed Budget'!$AD$12</f>
        <v>194045122715</v>
      </c>
      <c r="BU293" s="199">
        <f>'Detailed Budget'!$AD$24</f>
        <v>194045122715</v>
      </c>
      <c r="BV293" s="596">
        <f t="shared" si="389"/>
        <v>0</v>
      </c>
      <c r="BW293" s="278"/>
      <c r="BX293" s="275">
        <f t="shared" si="397"/>
        <v>0</v>
      </c>
      <c r="BY293" s="275">
        <f t="shared" si="398"/>
        <v>0</v>
      </c>
      <c r="CA293" s="199">
        <f>'Detailed Budget'!$AD$96</f>
        <v>71050111380.677719</v>
      </c>
      <c r="CB293" s="275">
        <f t="shared" si="344"/>
        <v>122877594.97108825</v>
      </c>
      <c r="CE293" s="199">
        <f>'Detailed Budget'!$AD$175</f>
        <v>4330586076.5988197</v>
      </c>
      <c r="CF293" s="275">
        <f t="shared" si="390"/>
        <v>0</v>
      </c>
      <c r="CG293" s="199">
        <f>'Detailed Budget'!$AD$176</f>
        <v>20662817754.37001</v>
      </c>
      <c r="CH293" s="275">
        <f t="shared" si="391"/>
        <v>0</v>
      </c>
      <c r="CI293" s="275">
        <f t="shared" si="392"/>
        <v>0</v>
      </c>
      <c r="CJ293" s="275">
        <f>'Detailed Budget'!$AD$178</f>
        <v>46025131033.061455</v>
      </c>
      <c r="CK293" s="275">
        <f t="shared" si="393"/>
        <v>0</v>
      </c>
      <c r="CL293" s="275">
        <f t="shared" si="366"/>
        <v>0</v>
      </c>
      <c r="CM293" s="278">
        <f>'Detailed Budget'!$AD$189</f>
        <v>77498869683.252869</v>
      </c>
      <c r="CN293" s="275">
        <f t="shared" si="346"/>
        <v>0</v>
      </c>
      <c r="CO293" s="140">
        <f>'Detailed Budget'!$AD$191</f>
        <v>2684962805.4134097</v>
      </c>
      <c r="CP293" s="616">
        <f t="shared" si="347"/>
        <v>0</v>
      </c>
      <c r="CQ293" s="616">
        <f t="shared" si="348"/>
        <v>0</v>
      </c>
      <c r="CR293" s="199">
        <f>'Detailed Budget'!$AD$195</f>
        <v>18734176418</v>
      </c>
      <c r="CS293" s="275">
        <f t="shared" si="394"/>
        <v>25213407.875917252</v>
      </c>
      <c r="CW293" s="278"/>
      <c r="DH293" s="140">
        <f>'Detailed Budget'!$AD$163</f>
        <v>4928560000</v>
      </c>
      <c r="DI293" s="616">
        <f t="shared" si="395"/>
        <v>6160000</v>
      </c>
    </row>
    <row r="294" spans="1:113" outlineLevel="1">
      <c r="A294" s="214" t="s">
        <v>730</v>
      </c>
      <c r="B294" s="215" t="s">
        <v>731</v>
      </c>
      <c r="C294" s="216" t="s">
        <v>234</v>
      </c>
      <c r="D294" s="217"/>
      <c r="E294" s="216"/>
      <c r="F294" s="216"/>
      <c r="G294" s="216"/>
      <c r="H294" s="216" t="s">
        <v>234</v>
      </c>
      <c r="I294" s="217" t="s">
        <v>234</v>
      </c>
      <c r="J294" s="217"/>
      <c r="K294" s="216" t="s">
        <v>234</v>
      </c>
      <c r="L294" s="216"/>
      <c r="M294" s="217"/>
      <c r="N294" s="216"/>
      <c r="O294" s="217"/>
      <c r="P294" s="216"/>
      <c r="Q294" s="217"/>
      <c r="R294" s="217" t="s">
        <v>234</v>
      </c>
      <c r="S294" s="217"/>
      <c r="T294" s="217"/>
      <c r="U294" s="218">
        <f t="shared" si="384"/>
        <v>5</v>
      </c>
      <c r="V294" s="867" t="s">
        <v>487</v>
      </c>
      <c r="W294" s="219">
        <v>106371</v>
      </c>
      <c r="X294" s="220">
        <v>2.91</v>
      </c>
      <c r="Y294" s="221">
        <f t="shared" si="379"/>
        <v>1.0290999999999999</v>
      </c>
      <c r="Z294" s="199">
        <v>19</v>
      </c>
      <c r="AA294" s="221">
        <f t="shared" si="380"/>
        <v>1.7246222540408234</v>
      </c>
      <c r="AB294" s="199">
        <f t="shared" si="381"/>
        <v>183449.79378457641</v>
      </c>
      <c r="AC294">
        <v>20.100000000000001</v>
      </c>
      <c r="AD294" s="199">
        <f t="shared" si="382"/>
        <v>36873.40855069986</v>
      </c>
      <c r="AE294" s="199">
        <f t="shared" si="399"/>
        <v>35029.738123164869</v>
      </c>
      <c r="AF294" s="199">
        <f t="shared" si="365"/>
        <v>0</v>
      </c>
      <c r="AG294" s="614">
        <f t="shared" si="351"/>
        <v>1.6196213073832984E-3</v>
      </c>
      <c r="AH294" s="199">
        <f t="shared" si="396"/>
        <v>9172.4896892288216</v>
      </c>
      <c r="AI294" s="252">
        <f t="shared" si="334"/>
        <v>7.1057887854520546E-4</v>
      </c>
      <c r="AJ294" s="199">
        <f t="shared" si="352"/>
        <v>46045.898239928683</v>
      </c>
      <c r="AK294" s="199">
        <f t="shared" si="367"/>
        <v>7337.9917513830569</v>
      </c>
      <c r="AL294" s="199">
        <f t="shared" si="368"/>
        <v>7337.9917513830569</v>
      </c>
      <c r="AM294" s="199">
        <f t="shared" si="335"/>
        <v>14675.983502766114</v>
      </c>
      <c r="AN294" s="645">
        <f t="shared" si="336"/>
        <v>7.1057887854520546E-4</v>
      </c>
      <c r="AO294" s="199">
        <v>11</v>
      </c>
      <c r="AP294" s="250">
        <f t="shared" si="337"/>
        <v>1.2498579706851495E-3</v>
      </c>
      <c r="AQ294" s="199">
        <v>11</v>
      </c>
      <c r="AU294" s="199">
        <v>0</v>
      </c>
      <c r="AW294" s="250">
        <f t="shared" si="338"/>
        <v>0</v>
      </c>
      <c r="AX294" s="199">
        <v>1</v>
      </c>
      <c r="AY294" s="199">
        <f t="shared" si="385"/>
        <v>15574.944447727816</v>
      </c>
      <c r="AZ294" s="199">
        <f t="shared" si="355"/>
        <v>15574.944447727816</v>
      </c>
      <c r="BA294" s="252">
        <f t="shared" si="339"/>
        <v>1.2242917042584764E-3</v>
      </c>
      <c r="BB294" s="284">
        <v>0</v>
      </c>
      <c r="BC294" s="199">
        <f t="shared" si="386"/>
        <v>0</v>
      </c>
      <c r="BD294" s="270">
        <f t="shared" si="369"/>
        <v>0</v>
      </c>
      <c r="BE294" s="199">
        <f t="shared" si="387"/>
        <v>0</v>
      </c>
      <c r="BF294" s="251">
        <f t="shared" si="370"/>
        <v>0</v>
      </c>
      <c r="BG294" s="204">
        <f t="shared" si="383"/>
        <v>0</v>
      </c>
      <c r="BH294" s="636">
        <v>0</v>
      </c>
      <c r="BI294" s="199">
        <f t="shared" si="340"/>
        <v>56135.636898080382</v>
      </c>
      <c r="BJ294" s="199">
        <f t="shared" si="341"/>
        <v>112271.27379616076</v>
      </c>
      <c r="BK294" s="199">
        <f t="shared" si="349"/>
        <v>168406.91069424115</v>
      </c>
      <c r="BL294" s="251">
        <f t="shared" si="342"/>
        <v>7.1057887854520546E-4</v>
      </c>
      <c r="BM294" s="199">
        <f t="shared" si="388"/>
        <v>22062.767843443085</v>
      </c>
      <c r="BN294" s="251">
        <f t="shared" si="343"/>
        <v>9.5273892948911031E-4</v>
      </c>
      <c r="BT294" s="199">
        <f>'Detailed Budget'!$AD$12</f>
        <v>194045122715</v>
      </c>
      <c r="BU294" s="199">
        <f>'Detailed Budget'!$AD$24</f>
        <v>194045122715</v>
      </c>
      <c r="BV294" s="596">
        <f t="shared" si="389"/>
        <v>0</v>
      </c>
      <c r="BW294" s="278"/>
      <c r="BX294" s="275">
        <f t="shared" si="397"/>
        <v>0</v>
      </c>
      <c r="BY294" s="275">
        <f t="shared" si="398"/>
        <v>0</v>
      </c>
      <c r="CA294" s="199">
        <f>'Detailed Budget'!$AD$96</f>
        <v>71050111380.677719</v>
      </c>
      <c r="CB294" s="275">
        <f t="shared" si="344"/>
        <v>86986061.950004488</v>
      </c>
      <c r="CE294" s="199">
        <f>'Detailed Budget'!$AD$175</f>
        <v>4330586076.5988197</v>
      </c>
      <c r="CF294" s="275">
        <f t="shared" si="390"/>
        <v>0</v>
      </c>
      <c r="CG294" s="199">
        <f>'Detailed Budget'!$AD$176</f>
        <v>20662817754.37001</v>
      </c>
      <c r="CH294" s="275">
        <f t="shared" si="391"/>
        <v>0</v>
      </c>
      <c r="CI294" s="275">
        <f t="shared" si="392"/>
        <v>0</v>
      </c>
      <c r="CJ294" s="275">
        <f>'Detailed Budget'!$AD$178</f>
        <v>46025131033.061455</v>
      </c>
      <c r="CK294" s="275">
        <f t="shared" si="393"/>
        <v>0</v>
      </c>
      <c r="CL294" s="275">
        <f t="shared" si="366"/>
        <v>0</v>
      </c>
      <c r="CM294" s="278">
        <f>'Detailed Budget'!$AD$189</f>
        <v>77498869683.252869</v>
      </c>
      <c r="CN294" s="275">
        <f t="shared" si="346"/>
        <v>0</v>
      </c>
      <c r="CO294" s="140">
        <f>'Detailed Budget'!$AD$191</f>
        <v>2684962805.4134097</v>
      </c>
      <c r="CP294" s="616">
        <f t="shared" si="347"/>
        <v>0</v>
      </c>
      <c r="CQ294" s="616">
        <f t="shared" si="348"/>
        <v>0</v>
      </c>
      <c r="CR294" s="199">
        <f>'Detailed Budget'!$AD$195</f>
        <v>18734176418</v>
      </c>
      <c r="CS294" s="275">
        <f t="shared" si="394"/>
        <v>17848779.185345456</v>
      </c>
      <c r="CW294" s="278"/>
      <c r="DH294" s="140">
        <f>'Detailed Budget'!$AD$163</f>
        <v>4928560000</v>
      </c>
      <c r="DI294" s="616">
        <f t="shared" si="395"/>
        <v>6160000</v>
      </c>
    </row>
    <row r="295" spans="1:113" outlineLevel="1">
      <c r="A295" s="214" t="s">
        <v>732</v>
      </c>
      <c r="B295" s="215" t="s">
        <v>733</v>
      </c>
      <c r="C295" s="216" t="s">
        <v>234</v>
      </c>
      <c r="D295" s="217"/>
      <c r="E295" s="216"/>
      <c r="F295" s="216"/>
      <c r="G295" s="216"/>
      <c r="H295" s="216" t="s">
        <v>234</v>
      </c>
      <c r="I295" s="217" t="s">
        <v>234</v>
      </c>
      <c r="J295" s="217"/>
      <c r="K295" s="216" t="s">
        <v>234</v>
      </c>
      <c r="L295" s="216"/>
      <c r="M295" s="217"/>
      <c r="N295" s="216"/>
      <c r="O295" s="217"/>
      <c r="P295" s="216"/>
      <c r="Q295" s="217"/>
      <c r="R295" s="217" t="s">
        <v>234</v>
      </c>
      <c r="S295" s="217"/>
      <c r="T295" s="217"/>
      <c r="U295" s="218">
        <f t="shared" si="384"/>
        <v>5</v>
      </c>
      <c r="V295" s="867" t="s">
        <v>487</v>
      </c>
      <c r="W295" s="219">
        <v>113363</v>
      </c>
      <c r="X295" s="220">
        <v>2.91</v>
      </c>
      <c r="Y295" s="221">
        <f t="shared" si="379"/>
        <v>1.0290999999999999</v>
      </c>
      <c r="Z295" s="199">
        <v>19</v>
      </c>
      <c r="AA295" s="221">
        <f t="shared" si="380"/>
        <v>1.7246222540408234</v>
      </c>
      <c r="AB295" s="199">
        <f t="shared" si="381"/>
        <v>195508.35258482985</v>
      </c>
      <c r="AC295">
        <v>20.100000000000001</v>
      </c>
      <c r="AD295" s="199">
        <f t="shared" si="382"/>
        <v>39297.1788695508</v>
      </c>
      <c r="AE295" s="199">
        <f t="shared" si="399"/>
        <v>37332.319926073258</v>
      </c>
      <c r="AF295" s="199">
        <f t="shared" si="365"/>
        <v>0</v>
      </c>
      <c r="AG295" s="614">
        <f t="shared" si="351"/>
        <v>1.7260825814262612E-3</v>
      </c>
      <c r="AH295" s="199">
        <f t="shared" si="396"/>
        <v>9775.4176292414923</v>
      </c>
      <c r="AI295" s="252">
        <f t="shared" si="334"/>
        <v>7.5728679253292831E-4</v>
      </c>
      <c r="AJ295" s="199">
        <f t="shared" si="352"/>
        <v>49072.596498792293</v>
      </c>
      <c r="AK295" s="199">
        <f t="shared" si="367"/>
        <v>7820.3341033931938</v>
      </c>
      <c r="AL295" s="199">
        <f t="shared" si="368"/>
        <v>7820.3341033931938</v>
      </c>
      <c r="AM295" s="199">
        <f t="shared" si="335"/>
        <v>15640.668206786388</v>
      </c>
      <c r="AN295" s="645">
        <f t="shared" si="336"/>
        <v>7.5728679253292831E-4</v>
      </c>
      <c r="AO295" s="199">
        <v>10</v>
      </c>
      <c r="AP295" s="250">
        <f t="shared" si="337"/>
        <v>1.1362345188046814E-3</v>
      </c>
      <c r="AQ295" s="199">
        <v>10</v>
      </c>
      <c r="AU295" s="199">
        <v>0</v>
      </c>
      <c r="AW295" s="250">
        <f t="shared" si="338"/>
        <v>0</v>
      </c>
      <c r="AX295" s="199">
        <v>1</v>
      </c>
      <c r="AY295" s="199">
        <f t="shared" si="385"/>
        <v>16598.719833674295</v>
      </c>
      <c r="AZ295" s="199">
        <f t="shared" si="355"/>
        <v>16598.719833674295</v>
      </c>
      <c r="BA295" s="252">
        <f t="shared" si="339"/>
        <v>1.3047670931913178E-3</v>
      </c>
      <c r="BB295" s="284">
        <v>0</v>
      </c>
      <c r="BC295" s="199">
        <f t="shared" si="386"/>
        <v>0</v>
      </c>
      <c r="BD295" s="270">
        <f t="shared" si="369"/>
        <v>0</v>
      </c>
      <c r="BE295" s="199">
        <f t="shared" si="387"/>
        <v>0</v>
      </c>
      <c r="BF295" s="251">
        <f t="shared" si="370"/>
        <v>0</v>
      </c>
      <c r="BG295" s="204">
        <f t="shared" si="383"/>
        <v>0</v>
      </c>
      <c r="BH295" s="636">
        <v>0</v>
      </c>
      <c r="BI295" s="199">
        <f t="shared" si="340"/>
        <v>59825.555890957927</v>
      </c>
      <c r="BJ295" s="199">
        <f t="shared" si="341"/>
        <v>119651.11178191585</v>
      </c>
      <c r="BK295" s="199">
        <f t="shared" si="349"/>
        <v>179476.66767287377</v>
      </c>
      <c r="BL295" s="251">
        <f t="shared" si="342"/>
        <v>7.572867925329282E-4</v>
      </c>
      <c r="BM295" s="199">
        <f t="shared" si="388"/>
        <v>23513.002143782029</v>
      </c>
      <c r="BN295" s="251">
        <f t="shared" si="343"/>
        <v>1.0153645567276231E-3</v>
      </c>
      <c r="BT295" s="199">
        <f>'Detailed Budget'!$AD$12</f>
        <v>194045122715</v>
      </c>
      <c r="BU295" s="199">
        <f>'Detailed Budget'!$AD$24</f>
        <v>194045122715</v>
      </c>
      <c r="BV295" s="596">
        <f t="shared" si="389"/>
        <v>0</v>
      </c>
      <c r="BW295" s="278"/>
      <c r="BX295" s="275">
        <f t="shared" si="397"/>
        <v>0</v>
      </c>
      <c r="BY295" s="275">
        <f t="shared" si="398"/>
        <v>0</v>
      </c>
      <c r="CA295" s="199">
        <f>'Detailed Budget'!$AD$96</f>
        <v>71050111380.677719</v>
      </c>
      <c r="CB295" s="275">
        <f t="shared" si="344"/>
        <v>92703847.297086239</v>
      </c>
      <c r="CE295" s="199">
        <f>'Detailed Budget'!$AD$175</f>
        <v>4330586076.5988197</v>
      </c>
      <c r="CF295" s="275">
        <f t="shared" si="390"/>
        <v>0</v>
      </c>
      <c r="CG295" s="199">
        <f>'Detailed Budget'!$AD$176</f>
        <v>20662817754.37001</v>
      </c>
      <c r="CH295" s="275">
        <f t="shared" si="391"/>
        <v>0</v>
      </c>
      <c r="CI295" s="275">
        <f t="shared" si="392"/>
        <v>0</v>
      </c>
      <c r="CJ295" s="275">
        <f>'Detailed Budget'!$AD$178</f>
        <v>46025131033.061455</v>
      </c>
      <c r="CK295" s="275">
        <f t="shared" si="393"/>
        <v>0</v>
      </c>
      <c r="CL295" s="275">
        <f t="shared" si="366"/>
        <v>0</v>
      </c>
      <c r="CM295" s="278">
        <f>'Detailed Budget'!$AD$189</f>
        <v>77498869683.252869</v>
      </c>
      <c r="CN295" s="275">
        <f t="shared" si="346"/>
        <v>0</v>
      </c>
      <c r="CO295" s="140">
        <f>'Detailed Budget'!$AD$191</f>
        <v>2684962805.4134097</v>
      </c>
      <c r="CP295" s="616">
        <f t="shared" si="347"/>
        <v>0</v>
      </c>
      <c r="CQ295" s="616">
        <f t="shared" si="348"/>
        <v>0</v>
      </c>
      <c r="CR295" s="199">
        <f>'Detailed Budget'!$AD$195</f>
        <v>18734176418</v>
      </c>
      <c r="CS295" s="275">
        <f t="shared" si="394"/>
        <v>19022018.734319661</v>
      </c>
      <c r="CW295" s="278"/>
      <c r="DH295" s="140">
        <f>'Detailed Budget'!$AD$163</f>
        <v>4928560000</v>
      </c>
      <c r="DI295" s="616">
        <f t="shared" si="395"/>
        <v>5600000</v>
      </c>
    </row>
    <row r="296" spans="1:113" outlineLevel="1">
      <c r="A296" s="214" t="s">
        <v>734</v>
      </c>
      <c r="B296" s="215" t="s">
        <v>735</v>
      </c>
      <c r="C296" s="216" t="s">
        <v>234</v>
      </c>
      <c r="D296" s="217"/>
      <c r="E296" s="216"/>
      <c r="F296" s="216"/>
      <c r="G296" s="216"/>
      <c r="H296" s="216" t="s">
        <v>234</v>
      </c>
      <c r="I296" s="217" t="s">
        <v>234</v>
      </c>
      <c r="J296" s="217"/>
      <c r="K296" s="216" t="s">
        <v>234</v>
      </c>
      <c r="L296" s="216"/>
      <c r="M296" s="217"/>
      <c r="N296" s="216"/>
      <c r="O296" s="217"/>
      <c r="P296" s="216"/>
      <c r="Q296" s="217"/>
      <c r="R296" s="217" t="s">
        <v>234</v>
      </c>
      <c r="S296" s="217"/>
      <c r="T296" s="217"/>
      <c r="U296" s="218">
        <f t="shared" si="384"/>
        <v>5</v>
      </c>
      <c r="V296" s="867" t="s">
        <v>487</v>
      </c>
      <c r="W296" s="219">
        <v>271368</v>
      </c>
      <c r="X296" s="220">
        <v>2.91</v>
      </c>
      <c r="Y296" s="221">
        <f t="shared" si="379"/>
        <v>1.0290999999999999</v>
      </c>
      <c r="Z296" s="199">
        <v>19</v>
      </c>
      <c r="AA296" s="221">
        <f t="shared" si="380"/>
        <v>1.7246222540408234</v>
      </c>
      <c r="AB296" s="199">
        <f t="shared" si="381"/>
        <v>468007.29183455015</v>
      </c>
      <c r="AC296">
        <v>20.100000000000001</v>
      </c>
      <c r="AD296" s="199">
        <f t="shared" si="382"/>
        <v>94069.465658744593</v>
      </c>
      <c r="AE296" s="199">
        <f t="shared" si="399"/>
        <v>89365.992375807356</v>
      </c>
      <c r="AF296" s="199">
        <f t="shared" si="365"/>
        <v>0</v>
      </c>
      <c r="AG296" s="614">
        <f t="shared" si="351"/>
        <v>4.1318911633997134E-3</v>
      </c>
      <c r="AH296" s="199">
        <f t="shared" si="396"/>
        <v>23400.36459172751</v>
      </c>
      <c r="AI296" s="252">
        <f t="shared" si="334"/>
        <v>1.8127907899056636E-3</v>
      </c>
      <c r="AJ296" s="199">
        <f t="shared" si="352"/>
        <v>117469.83025047211</v>
      </c>
      <c r="AK296" s="199">
        <f t="shared" si="367"/>
        <v>18720.291673382006</v>
      </c>
      <c r="AL296" s="199">
        <f t="shared" si="368"/>
        <v>18720.291673382006</v>
      </c>
      <c r="AM296" s="199">
        <f t="shared" si="335"/>
        <v>37440.583346764011</v>
      </c>
      <c r="AN296" s="645">
        <f t="shared" si="336"/>
        <v>1.8127907899056633E-3</v>
      </c>
      <c r="AO296" s="199">
        <v>11</v>
      </c>
      <c r="AP296" s="250">
        <f t="shared" si="337"/>
        <v>1.2498579706851495E-3</v>
      </c>
      <c r="AQ296" s="199">
        <v>11</v>
      </c>
      <c r="AU296" s="199">
        <v>0</v>
      </c>
      <c r="AW296" s="250">
        <f t="shared" si="338"/>
        <v>0</v>
      </c>
      <c r="AX296" s="199">
        <v>1</v>
      </c>
      <c r="AY296" s="199">
        <f t="shared" si="385"/>
        <v>39733.964378364428</v>
      </c>
      <c r="AZ296" s="199">
        <f t="shared" si="355"/>
        <v>39733.964378364428</v>
      </c>
      <c r="BA296" s="252">
        <f t="shared" si="339"/>
        <v>3.1233474462138578E-3</v>
      </c>
      <c r="BB296" s="284">
        <v>0</v>
      </c>
      <c r="BC296" s="199">
        <f t="shared" si="386"/>
        <v>0</v>
      </c>
      <c r="BD296" s="270">
        <f t="shared" si="369"/>
        <v>0</v>
      </c>
      <c r="BE296" s="199">
        <f t="shared" si="387"/>
        <v>0</v>
      </c>
      <c r="BF296" s="251">
        <f t="shared" si="370"/>
        <v>0</v>
      </c>
      <c r="BG296" s="204">
        <f t="shared" si="383"/>
        <v>0</v>
      </c>
      <c r="BH296" s="636">
        <v>0</v>
      </c>
      <c r="BI296" s="199">
        <f t="shared" si="340"/>
        <v>143210.23130137235</v>
      </c>
      <c r="BJ296" s="199">
        <f t="shared" si="341"/>
        <v>286420.46260274469</v>
      </c>
      <c r="BK296" s="199">
        <f t="shared" si="349"/>
        <v>429630.69390411704</v>
      </c>
      <c r="BL296" s="251">
        <f t="shared" si="342"/>
        <v>1.8127907899056633E-3</v>
      </c>
      <c r="BM296" s="199">
        <f t="shared" si="388"/>
        <v>56285.352061553087</v>
      </c>
      <c r="BN296" s="251">
        <f t="shared" si="343"/>
        <v>2.4305765464045738E-3</v>
      </c>
      <c r="BT296" s="199">
        <f>'Detailed Budget'!$AD$12</f>
        <v>194045122715</v>
      </c>
      <c r="BU296" s="199">
        <f>'Detailed Budget'!$AD$24</f>
        <v>194045122715</v>
      </c>
      <c r="BV296" s="596">
        <f t="shared" si="389"/>
        <v>0</v>
      </c>
      <c r="BW296" s="278"/>
      <c r="BX296" s="275">
        <f t="shared" si="397"/>
        <v>0</v>
      </c>
      <c r="BY296" s="275">
        <f t="shared" si="398"/>
        <v>0</v>
      </c>
      <c r="CA296" s="199">
        <f>'Detailed Budget'!$AD$96</f>
        <v>71050111380.677719</v>
      </c>
      <c r="CB296" s="275">
        <f t="shared" si="344"/>
        <v>221914183.9340499</v>
      </c>
      <c r="CE296" s="199">
        <f>'Detailed Budget'!$AD$175</f>
        <v>4330586076.5988197</v>
      </c>
      <c r="CF296" s="275">
        <f t="shared" si="390"/>
        <v>0</v>
      </c>
      <c r="CG296" s="199">
        <f>'Detailed Budget'!$AD$176</f>
        <v>20662817754.37001</v>
      </c>
      <c r="CH296" s="275">
        <f t="shared" si="391"/>
        <v>0</v>
      </c>
      <c r="CI296" s="275">
        <f t="shared" si="392"/>
        <v>0</v>
      </c>
      <c r="CJ296" s="275">
        <f>'Detailed Budget'!$AD$178</f>
        <v>46025131033.061455</v>
      </c>
      <c r="CK296" s="275">
        <f t="shared" si="393"/>
        <v>0</v>
      </c>
      <c r="CL296" s="275">
        <f t="shared" si="366"/>
        <v>0</v>
      </c>
      <c r="CM296" s="278">
        <f>'Detailed Budget'!$AD$189</f>
        <v>77498869683.252869</v>
      </c>
      <c r="CN296" s="275">
        <f t="shared" si="346"/>
        <v>0</v>
      </c>
      <c r="CO296" s="140">
        <f>'Detailed Budget'!$AD$191</f>
        <v>2684962805.4134097</v>
      </c>
      <c r="CP296" s="616">
        <f t="shared" si="347"/>
        <v>0</v>
      </c>
      <c r="CQ296" s="616">
        <f t="shared" si="348"/>
        <v>0</v>
      </c>
      <c r="CR296" s="199">
        <f>'Detailed Budget'!$AD$195</f>
        <v>18734176418</v>
      </c>
      <c r="CS296" s="275">
        <f t="shared" si="394"/>
        <v>45534849.817796446</v>
      </c>
      <c r="CW296" s="278"/>
      <c r="DH296" s="140">
        <f>'Detailed Budget'!$AD$163</f>
        <v>4928560000</v>
      </c>
      <c r="DI296" s="616">
        <f t="shared" si="395"/>
        <v>6160000</v>
      </c>
    </row>
    <row r="297" spans="1:113" outlineLevel="1">
      <c r="A297" s="214" t="s">
        <v>736</v>
      </c>
      <c r="B297" s="215" t="s">
        <v>737</v>
      </c>
      <c r="C297" s="216" t="s">
        <v>234</v>
      </c>
      <c r="D297" s="217"/>
      <c r="E297" s="216"/>
      <c r="F297" s="216"/>
      <c r="G297" s="216"/>
      <c r="H297" s="216" t="s">
        <v>234</v>
      </c>
      <c r="I297" s="217" t="s">
        <v>234</v>
      </c>
      <c r="J297" s="217"/>
      <c r="K297" s="216" t="s">
        <v>234</v>
      </c>
      <c r="L297" s="216"/>
      <c r="M297" s="217"/>
      <c r="N297" s="216"/>
      <c r="O297" s="217"/>
      <c r="P297" s="216"/>
      <c r="Q297" s="217"/>
      <c r="R297" s="217" t="s">
        <v>234</v>
      </c>
      <c r="S297" s="217"/>
      <c r="T297" s="217"/>
      <c r="U297" s="218">
        <f t="shared" si="384"/>
        <v>5</v>
      </c>
      <c r="V297" s="867" t="s">
        <v>487</v>
      </c>
      <c r="W297" s="219">
        <v>128730</v>
      </c>
      <c r="X297" s="220">
        <v>2.91</v>
      </c>
      <c r="Y297" s="221">
        <f t="shared" si="379"/>
        <v>1.0290999999999999</v>
      </c>
      <c r="Z297" s="199">
        <v>19</v>
      </c>
      <c r="AA297" s="221">
        <f t="shared" si="380"/>
        <v>1.7246222540408234</v>
      </c>
      <c r="AB297" s="199">
        <f t="shared" si="381"/>
        <v>222010.62276267519</v>
      </c>
      <c r="AC297">
        <v>20.100000000000001</v>
      </c>
      <c r="AD297" s="199">
        <f t="shared" si="382"/>
        <v>44624.135175297713</v>
      </c>
      <c r="AE297" s="199">
        <f t="shared" si="399"/>
        <v>42392.928416532828</v>
      </c>
      <c r="AF297" s="199">
        <f t="shared" si="365"/>
        <v>0</v>
      </c>
      <c r="AG297" s="614">
        <f t="shared" si="351"/>
        <v>1.9600629015375619E-3</v>
      </c>
      <c r="AH297" s="199">
        <f t="shared" si="396"/>
        <v>11100.53113813376</v>
      </c>
      <c r="AI297" s="252">
        <f t="shared" si="334"/>
        <v>8.5994132832373769E-4</v>
      </c>
      <c r="AJ297" s="199">
        <f t="shared" si="352"/>
        <v>55724.666313431473</v>
      </c>
      <c r="AK297" s="199">
        <f t="shared" si="367"/>
        <v>8880.4249105070085</v>
      </c>
      <c r="AL297" s="199">
        <f t="shared" si="368"/>
        <v>8880.4249105070085</v>
      </c>
      <c r="AM297" s="199">
        <f t="shared" si="335"/>
        <v>17760.849821014017</v>
      </c>
      <c r="AN297" s="645">
        <f t="shared" si="336"/>
        <v>8.599413283237378E-4</v>
      </c>
      <c r="AO297" s="199">
        <v>11</v>
      </c>
      <c r="AP297" s="250">
        <f t="shared" si="337"/>
        <v>1.2498579706851495E-3</v>
      </c>
      <c r="AQ297" s="199">
        <v>11</v>
      </c>
      <c r="AU297" s="199">
        <v>0</v>
      </c>
      <c r="AW297" s="250">
        <f t="shared" si="338"/>
        <v>0</v>
      </c>
      <c r="AX297" s="199">
        <v>1</v>
      </c>
      <c r="AY297" s="199">
        <f t="shared" si="385"/>
        <v>18848.770799898484</v>
      </c>
      <c r="AZ297" s="199">
        <f t="shared" si="355"/>
        <v>18848.770799898484</v>
      </c>
      <c r="BA297" s="252">
        <f t="shared" si="339"/>
        <v>1.4816357004182874E-3</v>
      </c>
      <c r="BB297" s="284">
        <v>0</v>
      </c>
      <c r="BC297" s="199">
        <f t="shared" si="386"/>
        <v>0</v>
      </c>
      <c r="BD297" s="270">
        <f t="shared" si="369"/>
        <v>0</v>
      </c>
      <c r="BE297" s="199">
        <f t="shared" si="387"/>
        <v>0</v>
      </c>
      <c r="BF297" s="251">
        <f t="shared" si="370"/>
        <v>0</v>
      </c>
      <c r="BG297" s="204">
        <f t="shared" si="383"/>
        <v>0</v>
      </c>
      <c r="BH297" s="636">
        <v>0</v>
      </c>
      <c r="BI297" s="199">
        <f t="shared" si="340"/>
        <v>67935.250565378621</v>
      </c>
      <c r="BJ297" s="199">
        <f t="shared" si="341"/>
        <v>135870.50113075724</v>
      </c>
      <c r="BK297" s="199">
        <f t="shared" si="349"/>
        <v>203805.75169613585</v>
      </c>
      <c r="BL297" s="251">
        <f t="shared" si="342"/>
        <v>8.599413283237378E-4</v>
      </c>
      <c r="BM297" s="199">
        <f t="shared" si="388"/>
        <v>26700.323438591611</v>
      </c>
      <c r="BN297" s="251">
        <f t="shared" si="343"/>
        <v>1.1530030026335484E-3</v>
      </c>
      <c r="BT297" s="199">
        <f>'Detailed Budget'!$AD$12</f>
        <v>194045122715</v>
      </c>
      <c r="BU297" s="199">
        <f>'Detailed Budget'!$AD$24</f>
        <v>194045122715</v>
      </c>
      <c r="BV297" s="596">
        <f t="shared" si="389"/>
        <v>0</v>
      </c>
      <c r="BW297" s="278"/>
      <c r="BX297" s="275">
        <f t="shared" si="397"/>
        <v>0</v>
      </c>
      <c r="BY297" s="275">
        <f t="shared" si="398"/>
        <v>0</v>
      </c>
      <c r="CA297" s="199">
        <f>'Detailed Budget'!$AD$96</f>
        <v>71050111380.677719</v>
      </c>
      <c r="CB297" s="275">
        <f t="shared" si="344"/>
        <v>105270381.54030776</v>
      </c>
      <c r="CE297" s="199">
        <f>'Detailed Budget'!$AD$175</f>
        <v>4330586076.5988197</v>
      </c>
      <c r="CF297" s="275">
        <f t="shared" si="390"/>
        <v>0</v>
      </c>
      <c r="CG297" s="199">
        <f>'Detailed Budget'!$AD$176</f>
        <v>20662817754.37001</v>
      </c>
      <c r="CH297" s="275">
        <f t="shared" si="391"/>
        <v>0</v>
      </c>
      <c r="CI297" s="275">
        <f t="shared" si="392"/>
        <v>0</v>
      </c>
      <c r="CJ297" s="275">
        <f>'Detailed Budget'!$AD$178</f>
        <v>46025131033.061455</v>
      </c>
      <c r="CK297" s="275">
        <f t="shared" si="393"/>
        <v>0</v>
      </c>
      <c r="CL297" s="275">
        <f t="shared" si="366"/>
        <v>0</v>
      </c>
      <c r="CM297" s="278">
        <f>'Detailed Budget'!$AD$189</f>
        <v>77498869683.252869</v>
      </c>
      <c r="CN297" s="275">
        <f t="shared" si="346"/>
        <v>0</v>
      </c>
      <c r="CO297" s="140">
        <f>'Detailed Budget'!$AD$191</f>
        <v>2684962805.4134097</v>
      </c>
      <c r="CP297" s="616">
        <f t="shared" si="347"/>
        <v>0</v>
      </c>
      <c r="CQ297" s="616">
        <f t="shared" si="348"/>
        <v>0</v>
      </c>
      <c r="CR297" s="199">
        <f>'Detailed Budget'!$AD$195</f>
        <v>18734176418</v>
      </c>
      <c r="CS297" s="275">
        <f t="shared" si="394"/>
        <v>21600561.661820617</v>
      </c>
      <c r="CW297" s="278"/>
      <c r="DH297" s="140">
        <f>'Detailed Budget'!$AD$163</f>
        <v>4928560000</v>
      </c>
      <c r="DI297" s="616">
        <f t="shared" si="395"/>
        <v>6160000</v>
      </c>
    </row>
    <row r="298" spans="1:113" outlineLevel="1">
      <c r="A298" s="214" t="s">
        <v>738</v>
      </c>
      <c r="B298" s="215" t="s">
        <v>739</v>
      </c>
      <c r="C298" s="216" t="s">
        <v>234</v>
      </c>
      <c r="D298" s="217"/>
      <c r="E298" s="216"/>
      <c r="F298" s="216"/>
      <c r="G298" s="216"/>
      <c r="H298" s="216" t="s">
        <v>234</v>
      </c>
      <c r="I298" s="217" t="s">
        <v>234</v>
      </c>
      <c r="J298" s="217"/>
      <c r="K298" s="216" t="s">
        <v>234</v>
      </c>
      <c r="L298" s="216"/>
      <c r="M298" s="217"/>
      <c r="N298" s="216"/>
      <c r="O298" s="217"/>
      <c r="P298" s="216"/>
      <c r="Q298" s="217"/>
      <c r="R298" s="217" t="s">
        <v>234</v>
      </c>
      <c r="S298" s="217"/>
      <c r="T298" s="217"/>
      <c r="U298" s="218">
        <f t="shared" si="384"/>
        <v>5</v>
      </c>
      <c r="V298" s="867" t="s">
        <v>487</v>
      </c>
      <c r="W298" s="219">
        <v>104286</v>
      </c>
      <c r="X298" s="220">
        <v>2.91</v>
      </c>
      <c r="Y298" s="221">
        <f t="shared" si="379"/>
        <v>1.0290999999999999</v>
      </c>
      <c r="Z298" s="199">
        <v>19</v>
      </c>
      <c r="AA298" s="221">
        <f t="shared" si="380"/>
        <v>1.7246222540408234</v>
      </c>
      <c r="AB298" s="199">
        <f t="shared" si="381"/>
        <v>179853.95638490131</v>
      </c>
      <c r="AC298">
        <v>20.100000000000001</v>
      </c>
      <c r="AD298" s="199">
        <f t="shared" si="382"/>
        <v>36150.645233365169</v>
      </c>
      <c r="AE298" s="199">
        <f t="shared" si="399"/>
        <v>34343.112971696908</v>
      </c>
      <c r="AF298" s="199">
        <f t="shared" si="365"/>
        <v>0</v>
      </c>
      <c r="AG298" s="614">
        <f t="shared" si="351"/>
        <v>1.5878747747203154E-3</v>
      </c>
      <c r="AH298" s="199">
        <f t="shared" si="396"/>
        <v>8992.6978192450661</v>
      </c>
      <c r="AI298" s="252">
        <f t="shared" si="334"/>
        <v>6.9665067478885505E-4</v>
      </c>
      <c r="AJ298" s="199">
        <f t="shared" si="352"/>
        <v>45143.343052610231</v>
      </c>
      <c r="AK298" s="199">
        <f t="shared" si="367"/>
        <v>7194.1582553960525</v>
      </c>
      <c r="AL298" s="199">
        <f t="shared" si="368"/>
        <v>7194.1582553960525</v>
      </c>
      <c r="AM298" s="199">
        <f t="shared" si="335"/>
        <v>14388.316510792105</v>
      </c>
      <c r="AN298" s="645">
        <f t="shared" si="336"/>
        <v>6.9665067478885505E-4</v>
      </c>
      <c r="AO298" s="199">
        <v>11</v>
      </c>
      <c r="AP298" s="250">
        <f t="shared" si="337"/>
        <v>1.2498579706851495E-3</v>
      </c>
      <c r="AQ298" s="199">
        <v>11</v>
      </c>
      <c r="AU298" s="199">
        <v>0</v>
      </c>
      <c r="AW298" s="250">
        <f t="shared" si="338"/>
        <v>0</v>
      </c>
      <c r="AX298" s="199">
        <v>1</v>
      </c>
      <c r="AY298" s="199">
        <f t="shared" si="385"/>
        <v>15269.656736100469</v>
      </c>
      <c r="AZ298" s="199">
        <f t="shared" si="355"/>
        <v>15269.656736100469</v>
      </c>
      <c r="BA298" s="252">
        <f t="shared" si="339"/>
        <v>1.2002941090174903E-3</v>
      </c>
      <c r="BB298" s="284">
        <v>0</v>
      </c>
      <c r="BC298" s="199">
        <f t="shared" si="386"/>
        <v>0</v>
      </c>
      <c r="BD298" s="270">
        <f t="shared" si="369"/>
        <v>0</v>
      </c>
      <c r="BE298" s="199">
        <f t="shared" si="387"/>
        <v>0</v>
      </c>
      <c r="BF298" s="251">
        <f t="shared" si="370"/>
        <v>0</v>
      </c>
      <c r="BG298" s="204">
        <f t="shared" si="383"/>
        <v>0</v>
      </c>
      <c r="BH298" s="636">
        <v>0</v>
      </c>
      <c r="BI298" s="199">
        <f t="shared" si="340"/>
        <v>55035.310653779801</v>
      </c>
      <c r="BJ298" s="199">
        <f t="shared" si="341"/>
        <v>110070.6213075596</v>
      </c>
      <c r="BK298" s="199">
        <f t="shared" si="349"/>
        <v>165105.9319613394</v>
      </c>
      <c r="BL298" s="251">
        <f t="shared" si="342"/>
        <v>6.9665067478885505E-4</v>
      </c>
      <c r="BM298" s="199">
        <f t="shared" si="388"/>
        <v>21630.310961834577</v>
      </c>
      <c r="BN298" s="251">
        <f t="shared" si="343"/>
        <v>9.3406409642385021E-4</v>
      </c>
      <c r="BT298" s="199">
        <f>'Detailed Budget'!$AD$12</f>
        <v>194045122715</v>
      </c>
      <c r="BU298" s="199">
        <f>'Detailed Budget'!$AD$24</f>
        <v>194045122715</v>
      </c>
      <c r="BV298" s="596">
        <f t="shared" si="389"/>
        <v>0</v>
      </c>
      <c r="BW298" s="278"/>
      <c r="BX298" s="275">
        <f t="shared" si="397"/>
        <v>0</v>
      </c>
      <c r="BY298" s="275">
        <f t="shared" si="398"/>
        <v>0</v>
      </c>
      <c r="CA298" s="199">
        <f>'Detailed Budget'!$AD$96</f>
        <v>71050111380.677719</v>
      </c>
      <c r="CB298" s="275">
        <f t="shared" si="344"/>
        <v>85281030.135264009</v>
      </c>
      <c r="CE298" s="199">
        <f>'Detailed Budget'!$AD$175</f>
        <v>4330586076.5988197</v>
      </c>
      <c r="CF298" s="275">
        <f t="shared" si="390"/>
        <v>0</v>
      </c>
      <c r="CG298" s="199">
        <f>'Detailed Budget'!$AD$176</f>
        <v>20662817754.37001</v>
      </c>
      <c r="CH298" s="275">
        <f t="shared" si="391"/>
        <v>0</v>
      </c>
      <c r="CI298" s="275">
        <f t="shared" si="392"/>
        <v>0</v>
      </c>
      <c r="CJ298" s="275">
        <f>'Detailed Budget'!$AD$178</f>
        <v>46025131033.061455</v>
      </c>
      <c r="CK298" s="275">
        <f t="shared" si="393"/>
        <v>0</v>
      </c>
      <c r="CL298" s="275">
        <f t="shared" si="366"/>
        <v>0</v>
      </c>
      <c r="CM298" s="278">
        <f>'Detailed Budget'!$AD$189</f>
        <v>77498869683.252869</v>
      </c>
      <c r="CN298" s="275">
        <f t="shared" si="346"/>
        <v>0</v>
      </c>
      <c r="CO298" s="140">
        <f>'Detailed Budget'!$AD$191</f>
        <v>2684962805.4134097</v>
      </c>
      <c r="CP298" s="616">
        <f t="shared" si="347"/>
        <v>0</v>
      </c>
      <c r="CQ298" s="616">
        <f t="shared" si="348"/>
        <v>0</v>
      </c>
      <c r="CR298" s="199">
        <f>'Detailed Budget'!$AD$195</f>
        <v>18734176418</v>
      </c>
      <c r="CS298" s="275">
        <f t="shared" si="394"/>
        <v>17498921.568124171</v>
      </c>
      <c r="CW298" s="278"/>
      <c r="DH298" s="140">
        <f>'Detailed Budget'!$AD$163</f>
        <v>4928560000</v>
      </c>
      <c r="DI298" s="616">
        <f t="shared" si="395"/>
        <v>6160000</v>
      </c>
    </row>
    <row r="299" spans="1:113" outlineLevel="1">
      <c r="A299" s="214" t="s">
        <v>740</v>
      </c>
      <c r="B299" s="215" t="s">
        <v>741</v>
      </c>
      <c r="C299" s="216" t="s">
        <v>234</v>
      </c>
      <c r="D299" s="217"/>
      <c r="E299" s="216"/>
      <c r="F299" s="216"/>
      <c r="G299" s="216"/>
      <c r="H299" s="216" t="s">
        <v>234</v>
      </c>
      <c r="I299" s="217" t="s">
        <v>234</v>
      </c>
      <c r="J299" s="217"/>
      <c r="K299" s="216" t="s">
        <v>234</v>
      </c>
      <c r="L299" s="216"/>
      <c r="M299" s="217"/>
      <c r="N299" s="216"/>
      <c r="O299" s="217"/>
      <c r="P299" s="216"/>
      <c r="Q299" s="217"/>
      <c r="R299" s="217" t="s">
        <v>234</v>
      </c>
      <c r="S299" s="217" t="s">
        <v>234</v>
      </c>
      <c r="T299" s="217"/>
      <c r="U299" s="218">
        <f t="shared" si="384"/>
        <v>6</v>
      </c>
      <c r="V299" s="867" t="s">
        <v>721</v>
      </c>
      <c r="W299" s="219">
        <v>229882</v>
      </c>
      <c r="X299" s="220">
        <v>2.91</v>
      </c>
      <c r="Y299" s="221">
        <f t="shared" si="379"/>
        <v>1.0290999999999999</v>
      </c>
      <c r="Z299" s="199">
        <v>19</v>
      </c>
      <c r="AA299" s="221">
        <f t="shared" si="380"/>
        <v>1.7246222540408234</v>
      </c>
      <c r="AB299" s="199">
        <f t="shared" si="381"/>
        <v>396459.61300341255</v>
      </c>
      <c r="AC299">
        <v>20.100000000000001</v>
      </c>
      <c r="AD299" s="199">
        <f t="shared" si="382"/>
        <v>79688.382213685938</v>
      </c>
      <c r="AE299" s="199">
        <f t="shared" si="399"/>
        <v>75703.963103001632</v>
      </c>
      <c r="AF299" s="199">
        <f t="shared" si="365"/>
        <v>0</v>
      </c>
      <c r="AG299" s="614">
        <f t="shared" si="351"/>
        <v>3.500218907257499E-3</v>
      </c>
      <c r="AH299" s="199">
        <f t="shared" si="396"/>
        <v>19822.98065017063</v>
      </c>
      <c r="AI299" s="252">
        <f t="shared" si="334"/>
        <v>1.5356562762193543E-3</v>
      </c>
      <c r="AJ299" s="199">
        <f t="shared" si="352"/>
        <v>99511.362863856571</v>
      </c>
      <c r="AK299" s="199">
        <f t="shared" si="367"/>
        <v>15858.384520136502</v>
      </c>
      <c r="AL299" s="199">
        <f t="shared" si="368"/>
        <v>15858.384520136502</v>
      </c>
      <c r="AM299" s="199">
        <f t="shared" si="335"/>
        <v>31716.769040273004</v>
      </c>
      <c r="AN299" s="645">
        <f t="shared" si="336"/>
        <v>1.5356562762193541E-3</v>
      </c>
      <c r="AO299" s="199">
        <v>11</v>
      </c>
      <c r="AP299" s="250">
        <f t="shared" si="337"/>
        <v>1.2498579706851495E-3</v>
      </c>
      <c r="AQ299" s="199">
        <v>11</v>
      </c>
      <c r="AU299" s="199">
        <v>0</v>
      </c>
      <c r="AW299" s="250">
        <f t="shared" si="338"/>
        <v>0</v>
      </c>
      <c r="AX299" s="199">
        <v>1</v>
      </c>
      <c r="AY299" s="199">
        <f t="shared" si="385"/>
        <v>33659.54423228668</v>
      </c>
      <c r="AZ299" s="199">
        <f t="shared" si="355"/>
        <v>33659.54423228668</v>
      </c>
      <c r="BA299" s="252">
        <f t="shared" si="339"/>
        <v>2.645858603927265E-3</v>
      </c>
      <c r="BB299" s="284">
        <v>0</v>
      </c>
      <c r="BC299" s="199">
        <f t="shared" si="386"/>
        <v>0</v>
      </c>
      <c r="BD299" s="270">
        <f t="shared" si="369"/>
        <v>0</v>
      </c>
      <c r="BE299" s="199">
        <f t="shared" si="387"/>
        <v>0</v>
      </c>
      <c r="BF299" s="251">
        <f t="shared" si="370"/>
        <v>0</v>
      </c>
      <c r="BG299" s="204">
        <f t="shared" si="383"/>
        <v>0</v>
      </c>
      <c r="BH299" s="636">
        <v>0</v>
      </c>
      <c r="BI299" s="199">
        <f t="shared" si="340"/>
        <v>121316.64157904423</v>
      </c>
      <c r="BJ299" s="199">
        <f t="shared" si="341"/>
        <v>242633.28315808845</v>
      </c>
      <c r="BK299" s="199">
        <f t="shared" si="349"/>
        <v>363949.92473713268</v>
      </c>
      <c r="BL299" s="251">
        <f t="shared" si="342"/>
        <v>1.5356562762193541E-3</v>
      </c>
      <c r="BM299" s="199">
        <f t="shared" si="388"/>
        <v>47680.600891092341</v>
      </c>
      <c r="BN299" s="251">
        <f t="shared" si="343"/>
        <v>2.0589966305554677E-3</v>
      </c>
      <c r="BT299" s="199">
        <f>'Detailed Budget'!$AD$12</f>
        <v>194045122715</v>
      </c>
      <c r="BU299" s="199">
        <f>'Detailed Budget'!$AD$24</f>
        <v>194045122715</v>
      </c>
      <c r="BV299" s="596">
        <f t="shared" si="389"/>
        <v>0</v>
      </c>
      <c r="BW299" s="278"/>
      <c r="BX299" s="275">
        <f t="shared" si="397"/>
        <v>0</v>
      </c>
      <c r="BY299" s="275">
        <f t="shared" si="398"/>
        <v>0</v>
      </c>
      <c r="CA299" s="199">
        <f>'Detailed Budget'!$AD$96</f>
        <v>71050111380.677719</v>
      </c>
      <c r="CB299" s="275">
        <f t="shared" si="344"/>
        <v>187988548.50655663</v>
      </c>
      <c r="CE299" s="199">
        <f>'Detailed Budget'!$AD$175</f>
        <v>4330586076.5988197</v>
      </c>
      <c r="CF299" s="275">
        <f t="shared" si="390"/>
        <v>0</v>
      </c>
      <c r="CG299" s="199">
        <f>'Detailed Budget'!$AD$176</f>
        <v>20662817754.37001</v>
      </c>
      <c r="CH299" s="275">
        <f t="shared" si="391"/>
        <v>0</v>
      </c>
      <c r="CI299" s="275">
        <f t="shared" si="392"/>
        <v>0</v>
      </c>
      <c r="CJ299" s="275">
        <f>'Detailed Budget'!$AD$178</f>
        <v>46025131033.061455</v>
      </c>
      <c r="CK299" s="275">
        <f t="shared" si="393"/>
        <v>0</v>
      </c>
      <c r="CL299" s="275">
        <f t="shared" si="366"/>
        <v>0</v>
      </c>
      <c r="CM299" s="278">
        <f>'Detailed Budget'!$AD$189</f>
        <v>77498869683.252869</v>
      </c>
      <c r="CN299" s="275">
        <f t="shared" si="346"/>
        <v>0</v>
      </c>
      <c r="CO299" s="140">
        <f>'Detailed Budget'!$AD$191</f>
        <v>2684962805.4134097</v>
      </c>
      <c r="CP299" s="616">
        <f t="shared" si="347"/>
        <v>0</v>
      </c>
      <c r="CQ299" s="616">
        <f t="shared" si="348"/>
        <v>0</v>
      </c>
      <c r="CR299" s="199">
        <f>'Detailed Budget'!$AD$195</f>
        <v>18734176418</v>
      </c>
      <c r="CS299" s="275">
        <f t="shared" si="394"/>
        <v>38573606.120893702</v>
      </c>
      <c r="CW299" s="278"/>
      <c r="DH299" s="140">
        <f>'Detailed Budget'!$AD$163</f>
        <v>4928560000</v>
      </c>
      <c r="DI299" s="616">
        <f t="shared" si="395"/>
        <v>6160000</v>
      </c>
    </row>
    <row r="300" spans="1:113" outlineLevel="1">
      <c r="A300" s="214" t="s">
        <v>742</v>
      </c>
      <c r="B300" s="215" t="s">
        <v>743</v>
      </c>
      <c r="C300" s="216" t="s">
        <v>234</v>
      </c>
      <c r="D300" s="217"/>
      <c r="E300" s="216"/>
      <c r="F300" s="216"/>
      <c r="G300" s="216"/>
      <c r="H300" s="216" t="s">
        <v>234</v>
      </c>
      <c r="I300" s="217" t="s">
        <v>234</v>
      </c>
      <c r="J300" s="217"/>
      <c r="K300" s="216" t="s">
        <v>234</v>
      </c>
      <c r="L300" s="216"/>
      <c r="M300" s="217"/>
      <c r="N300" s="216"/>
      <c r="O300" s="217"/>
      <c r="P300" s="216"/>
      <c r="Q300" s="217"/>
      <c r="R300" s="217" t="s">
        <v>234</v>
      </c>
      <c r="S300" s="217"/>
      <c r="T300" s="217"/>
      <c r="U300" s="218">
        <f t="shared" si="384"/>
        <v>5</v>
      </c>
      <c r="V300" s="867" t="s">
        <v>487</v>
      </c>
      <c r="W300" s="219">
        <v>267284</v>
      </c>
      <c r="X300" s="220">
        <v>2.91</v>
      </c>
      <c r="Y300" s="221">
        <f t="shared" si="379"/>
        <v>1.0290999999999999</v>
      </c>
      <c r="Z300" s="199">
        <v>19</v>
      </c>
      <c r="AA300" s="221">
        <f t="shared" si="380"/>
        <v>1.7246222540408234</v>
      </c>
      <c r="AB300" s="199">
        <f t="shared" si="381"/>
        <v>460963.93454904744</v>
      </c>
      <c r="AC300">
        <v>20.100000000000001</v>
      </c>
      <c r="AD300" s="199">
        <f t="shared" si="382"/>
        <v>92653.750844358539</v>
      </c>
      <c r="AE300" s="199">
        <f t="shared" si="399"/>
        <v>88021.06330214061</v>
      </c>
      <c r="AF300" s="199">
        <f t="shared" si="365"/>
        <v>0</v>
      </c>
      <c r="AG300" s="614">
        <f t="shared" si="351"/>
        <v>4.0697075473826276E-3</v>
      </c>
      <c r="AH300" s="199">
        <f t="shared" si="396"/>
        <v>23048.196727452374</v>
      </c>
      <c r="AI300" s="252">
        <f t="shared" si="334"/>
        <v>1.7855088790467019E-3</v>
      </c>
      <c r="AJ300" s="199">
        <f t="shared" si="352"/>
        <v>115701.94757181092</v>
      </c>
      <c r="AK300" s="199">
        <f t="shared" si="367"/>
        <v>18438.557381961898</v>
      </c>
      <c r="AL300" s="199">
        <f t="shared" si="368"/>
        <v>18438.557381961898</v>
      </c>
      <c r="AM300" s="199">
        <f t="shared" si="335"/>
        <v>36877.114763923797</v>
      </c>
      <c r="AN300" s="645">
        <f t="shared" si="336"/>
        <v>1.7855088790467016E-3</v>
      </c>
      <c r="AO300" s="199">
        <v>11</v>
      </c>
      <c r="AP300" s="250">
        <f t="shared" si="337"/>
        <v>1.2498579706851495E-3</v>
      </c>
      <c r="AQ300" s="199">
        <v>11</v>
      </c>
      <c r="AU300" s="199">
        <v>0</v>
      </c>
      <c r="AW300" s="250">
        <f t="shared" si="338"/>
        <v>0</v>
      </c>
      <c r="AX300" s="199">
        <v>1</v>
      </c>
      <c r="AY300" s="199">
        <f t="shared" si="385"/>
        <v>39135.981158083327</v>
      </c>
      <c r="AZ300" s="199">
        <f t="shared" si="355"/>
        <v>39135.981158083327</v>
      </c>
      <c r="BA300" s="252">
        <f t="shared" si="339"/>
        <v>3.0763420846003386E-3</v>
      </c>
      <c r="BB300" s="284">
        <v>0</v>
      </c>
      <c r="BC300" s="199">
        <f t="shared" si="386"/>
        <v>0</v>
      </c>
      <c r="BD300" s="270">
        <f t="shared" si="369"/>
        <v>0</v>
      </c>
      <c r="BE300" s="199">
        <f t="shared" si="387"/>
        <v>0</v>
      </c>
      <c r="BF300" s="251">
        <f t="shared" si="370"/>
        <v>0</v>
      </c>
      <c r="BG300" s="204">
        <f t="shared" si="383"/>
        <v>0</v>
      </c>
      <c r="BH300" s="636">
        <v>0</v>
      </c>
      <c r="BI300" s="199">
        <f t="shared" si="340"/>
        <v>141054.96397200853</v>
      </c>
      <c r="BJ300" s="199">
        <f t="shared" si="341"/>
        <v>282109.92794401705</v>
      </c>
      <c r="BK300" s="199">
        <f t="shared" si="349"/>
        <v>423164.89191602555</v>
      </c>
      <c r="BL300" s="251">
        <f t="shared" si="342"/>
        <v>1.7855088790467016E-3</v>
      </c>
      <c r="BM300" s="199">
        <f t="shared" si="388"/>
        <v>55438.275848368838</v>
      </c>
      <c r="BN300" s="251">
        <f t="shared" si="343"/>
        <v>2.3939971611582796E-3</v>
      </c>
      <c r="BT300" s="199">
        <f>'Detailed Budget'!$AD$12</f>
        <v>194045122715</v>
      </c>
      <c r="BU300" s="199">
        <f>'Detailed Budget'!$AD$24</f>
        <v>194045122715</v>
      </c>
      <c r="BV300" s="596">
        <f t="shared" si="389"/>
        <v>0</v>
      </c>
      <c r="BW300" s="278"/>
      <c r="BX300" s="275">
        <f t="shared" si="397"/>
        <v>0</v>
      </c>
      <c r="BY300" s="275">
        <f t="shared" si="398"/>
        <v>0</v>
      </c>
      <c r="CA300" s="199">
        <f>'Detailed Budget'!$AD$96</f>
        <v>71050111380.677719</v>
      </c>
      <c r="CB300" s="275">
        <f t="shared" si="344"/>
        <v>218574447.75592032</v>
      </c>
      <c r="CE300" s="199">
        <f>'Detailed Budget'!$AD$175</f>
        <v>4330586076.5988197</v>
      </c>
      <c r="CF300" s="275">
        <f t="shared" si="390"/>
        <v>0</v>
      </c>
      <c r="CG300" s="199">
        <f>'Detailed Budget'!$AD$176</f>
        <v>20662817754.37001</v>
      </c>
      <c r="CH300" s="275">
        <f t="shared" si="391"/>
        <v>0</v>
      </c>
      <c r="CI300" s="275">
        <f t="shared" si="392"/>
        <v>0</v>
      </c>
      <c r="CJ300" s="275">
        <f>'Detailed Budget'!$AD$178</f>
        <v>46025131033.061455</v>
      </c>
      <c r="CK300" s="275">
        <f t="shared" si="393"/>
        <v>0</v>
      </c>
      <c r="CL300" s="275">
        <f t="shared" si="366"/>
        <v>0</v>
      </c>
      <c r="CM300" s="278">
        <f>'Detailed Budget'!$AD$189</f>
        <v>77498869683.252869</v>
      </c>
      <c r="CN300" s="275">
        <f t="shared" si="346"/>
        <v>0</v>
      </c>
      <c r="CO300" s="140">
        <f>'Detailed Budget'!$AD$191</f>
        <v>2684962805.4134097</v>
      </c>
      <c r="CP300" s="616">
        <f t="shared" si="347"/>
        <v>0</v>
      </c>
      <c r="CQ300" s="616">
        <f t="shared" si="348"/>
        <v>0</v>
      </c>
      <c r="CR300" s="199">
        <f>'Detailed Budget'!$AD$195</f>
        <v>18734176418</v>
      </c>
      <c r="CS300" s="275">
        <f t="shared" si="394"/>
        <v>44849565.161330387</v>
      </c>
      <c r="CW300" s="278"/>
      <c r="DH300" s="140">
        <f>'Detailed Budget'!$AD$163</f>
        <v>4928560000</v>
      </c>
      <c r="DI300" s="616">
        <f t="shared" si="395"/>
        <v>6160000</v>
      </c>
    </row>
    <row r="301" spans="1:113" outlineLevel="1">
      <c r="A301" s="214" t="s">
        <v>744</v>
      </c>
      <c r="B301" s="215" t="s">
        <v>745</v>
      </c>
      <c r="C301" s="216" t="s">
        <v>234</v>
      </c>
      <c r="D301" s="217"/>
      <c r="E301" s="216"/>
      <c r="F301" s="216"/>
      <c r="G301" s="216"/>
      <c r="H301" s="216" t="s">
        <v>234</v>
      </c>
      <c r="I301" s="217" t="s">
        <v>234</v>
      </c>
      <c r="J301" s="217"/>
      <c r="K301" s="216" t="s">
        <v>234</v>
      </c>
      <c r="L301" s="216"/>
      <c r="M301" s="217"/>
      <c r="N301" s="216"/>
      <c r="O301" s="217"/>
      <c r="P301" s="216"/>
      <c r="Q301" s="217"/>
      <c r="R301" s="217" t="s">
        <v>234</v>
      </c>
      <c r="S301" s="217"/>
      <c r="T301" s="217"/>
      <c r="U301" s="218">
        <f t="shared" si="384"/>
        <v>5</v>
      </c>
      <c r="V301" s="867" t="s">
        <v>487</v>
      </c>
      <c r="W301" s="219">
        <v>128981</v>
      </c>
      <c r="X301" s="220">
        <v>2.91</v>
      </c>
      <c r="Y301" s="221">
        <f t="shared" si="379"/>
        <v>1.0290999999999999</v>
      </c>
      <c r="Z301" s="199">
        <v>19</v>
      </c>
      <c r="AA301" s="221">
        <f t="shared" si="380"/>
        <v>1.7246222540408234</v>
      </c>
      <c r="AB301" s="199">
        <f t="shared" si="381"/>
        <v>222443.50294843945</v>
      </c>
      <c r="AC301">
        <v>20.100000000000001</v>
      </c>
      <c r="AD301" s="199">
        <f t="shared" si="382"/>
        <v>44711.144092636328</v>
      </c>
      <c r="AE301" s="199">
        <f t="shared" si="399"/>
        <v>42475.586888004509</v>
      </c>
      <c r="AF301" s="199">
        <f t="shared" si="365"/>
        <v>0</v>
      </c>
      <c r="AG301" s="614">
        <f t="shared" si="351"/>
        <v>1.9638846663809235E-3</v>
      </c>
      <c r="AH301" s="199">
        <f t="shared" si="396"/>
        <v>11122.175147421973</v>
      </c>
      <c r="AI301" s="252">
        <f t="shared" si="334"/>
        <v>8.616180569294183E-4</v>
      </c>
      <c r="AJ301" s="199">
        <f t="shared" si="352"/>
        <v>55833.319240058299</v>
      </c>
      <c r="AK301" s="199">
        <f t="shared" si="367"/>
        <v>8897.7401179375775</v>
      </c>
      <c r="AL301" s="199">
        <f t="shared" si="368"/>
        <v>8897.7401179375775</v>
      </c>
      <c r="AM301" s="199">
        <f t="shared" si="335"/>
        <v>17795.480235875155</v>
      </c>
      <c r="AN301" s="645">
        <f t="shared" si="336"/>
        <v>8.6161805692941819E-4</v>
      </c>
      <c r="AO301" s="199">
        <v>11</v>
      </c>
      <c r="AP301" s="250">
        <f t="shared" si="337"/>
        <v>1.2498579706851495E-3</v>
      </c>
      <c r="AQ301" s="199">
        <v>11</v>
      </c>
      <c r="AU301" s="199">
        <v>0</v>
      </c>
      <c r="AW301" s="250">
        <f t="shared" si="338"/>
        <v>0</v>
      </c>
      <c r="AX301" s="199">
        <v>1</v>
      </c>
      <c r="AY301" s="199">
        <f t="shared" si="385"/>
        <v>18885.522462065612</v>
      </c>
      <c r="AZ301" s="199">
        <f t="shared" si="355"/>
        <v>18885.522462065612</v>
      </c>
      <c r="BA301" s="252">
        <f t="shared" si="339"/>
        <v>1.4845246195576099E-3</v>
      </c>
      <c r="BB301" s="284">
        <v>0</v>
      </c>
      <c r="BC301" s="199">
        <f t="shared" si="386"/>
        <v>0</v>
      </c>
      <c r="BD301" s="270">
        <f t="shared" si="369"/>
        <v>0</v>
      </c>
      <c r="BE301" s="199">
        <f t="shared" si="387"/>
        <v>0</v>
      </c>
      <c r="BF301" s="251">
        <f t="shared" si="370"/>
        <v>0</v>
      </c>
      <c r="BG301" s="204">
        <f t="shared" si="383"/>
        <v>0</v>
      </c>
      <c r="BH301" s="636">
        <v>0</v>
      </c>
      <c r="BI301" s="199">
        <f t="shared" si="340"/>
        <v>68067.711902222465</v>
      </c>
      <c r="BJ301" s="199">
        <f t="shared" si="341"/>
        <v>136135.42380444493</v>
      </c>
      <c r="BK301" s="199">
        <f t="shared" si="349"/>
        <v>204203.13570666738</v>
      </c>
      <c r="BL301" s="251">
        <f t="shared" si="342"/>
        <v>8.6161805692941808E-4</v>
      </c>
      <c r="BM301" s="199">
        <f t="shared" si="388"/>
        <v>26752.384195082614</v>
      </c>
      <c r="BN301" s="251">
        <f t="shared" si="343"/>
        <v>1.1552511480049539E-3</v>
      </c>
      <c r="BT301" s="199">
        <f>'Detailed Budget'!$AD$12</f>
        <v>194045122715</v>
      </c>
      <c r="BU301" s="199">
        <f>'Detailed Budget'!$AD$24</f>
        <v>194045122715</v>
      </c>
      <c r="BV301" s="596">
        <f t="shared" si="389"/>
        <v>0</v>
      </c>
      <c r="BW301" s="278"/>
      <c r="BX301" s="275">
        <f t="shared" si="397"/>
        <v>0</v>
      </c>
      <c r="BY301" s="275">
        <f t="shared" si="398"/>
        <v>0</v>
      </c>
      <c r="CA301" s="199">
        <f>'Detailed Budget'!$AD$96</f>
        <v>71050111380.677719</v>
      </c>
      <c r="CB301" s="275">
        <f t="shared" si="344"/>
        <v>105475639.5669264</v>
      </c>
      <c r="CE301" s="199">
        <f>'Detailed Budget'!$AD$175</f>
        <v>4330586076.5988197</v>
      </c>
      <c r="CF301" s="275">
        <f t="shared" si="390"/>
        <v>0</v>
      </c>
      <c r="CG301" s="199">
        <f>'Detailed Budget'!$AD$176</f>
        <v>20662817754.37001</v>
      </c>
      <c r="CH301" s="275">
        <f t="shared" si="391"/>
        <v>0</v>
      </c>
      <c r="CI301" s="275">
        <f t="shared" si="392"/>
        <v>0</v>
      </c>
      <c r="CJ301" s="275">
        <f>'Detailed Budget'!$AD$178</f>
        <v>46025131033.061455</v>
      </c>
      <c r="CK301" s="275">
        <f t="shared" si="393"/>
        <v>0</v>
      </c>
      <c r="CL301" s="275">
        <f t="shared" si="366"/>
        <v>0</v>
      </c>
      <c r="CM301" s="278">
        <f>'Detailed Budget'!$AD$189</f>
        <v>77498869683.252869</v>
      </c>
      <c r="CN301" s="275">
        <f t="shared" si="346"/>
        <v>0</v>
      </c>
      <c r="CO301" s="140">
        <f>'Detailed Budget'!$AD$191</f>
        <v>2684962805.4134097</v>
      </c>
      <c r="CP301" s="616">
        <f t="shared" si="347"/>
        <v>0</v>
      </c>
      <c r="CQ301" s="616">
        <f t="shared" si="348"/>
        <v>0</v>
      </c>
      <c r="CR301" s="199">
        <f>'Detailed Budget'!$AD$195</f>
        <v>18734176418</v>
      </c>
      <c r="CS301" s="275">
        <f t="shared" si="394"/>
        <v>21642678.813821837</v>
      </c>
      <c r="CW301" s="278"/>
      <c r="DH301" s="140">
        <f>'Detailed Budget'!$AD$163</f>
        <v>4928560000</v>
      </c>
      <c r="DI301" s="616">
        <f t="shared" si="395"/>
        <v>6160000</v>
      </c>
    </row>
    <row r="302" spans="1:113" outlineLevel="1">
      <c r="A302" s="214" t="s">
        <v>746</v>
      </c>
      <c r="B302" s="215" t="s">
        <v>747</v>
      </c>
      <c r="C302" s="216" t="s">
        <v>234</v>
      </c>
      <c r="D302" s="217"/>
      <c r="E302" s="216"/>
      <c r="F302" s="216"/>
      <c r="G302" s="216"/>
      <c r="H302" s="216" t="s">
        <v>234</v>
      </c>
      <c r="I302" s="217" t="s">
        <v>234</v>
      </c>
      <c r="J302" s="217"/>
      <c r="K302" s="216" t="s">
        <v>234</v>
      </c>
      <c r="L302" s="216"/>
      <c r="M302" s="217"/>
      <c r="N302" s="216"/>
      <c r="O302" s="217"/>
      <c r="P302" s="216"/>
      <c r="Q302" s="217"/>
      <c r="R302" s="217" t="s">
        <v>234</v>
      </c>
      <c r="S302" s="217" t="s">
        <v>234</v>
      </c>
      <c r="T302" s="217"/>
      <c r="U302" s="218">
        <f t="shared" si="384"/>
        <v>6</v>
      </c>
      <c r="V302" s="867" t="s">
        <v>721</v>
      </c>
      <c r="W302" s="219">
        <v>161161</v>
      </c>
      <c r="X302" s="220">
        <v>2.91</v>
      </c>
      <c r="Y302" s="221">
        <f t="shared" si="379"/>
        <v>1.0290999999999999</v>
      </c>
      <c r="Z302" s="199">
        <v>19</v>
      </c>
      <c r="AA302" s="221">
        <f t="shared" si="380"/>
        <v>1.7246222540408234</v>
      </c>
      <c r="AB302" s="199">
        <f t="shared" si="381"/>
        <v>277941.84708347311</v>
      </c>
      <c r="AC302">
        <v>20.100000000000001</v>
      </c>
      <c r="AD302" s="199">
        <f t="shared" si="382"/>
        <v>55866.311263778101</v>
      </c>
      <c r="AE302" s="199">
        <f t="shared" si="399"/>
        <v>53072.995700589192</v>
      </c>
      <c r="AF302" s="199">
        <f t="shared" si="365"/>
        <v>0</v>
      </c>
      <c r="AG302" s="614">
        <f t="shared" si="351"/>
        <v>2.4538623263784276E-3</v>
      </c>
      <c r="AH302" s="199">
        <f t="shared" si="396"/>
        <v>13897.092354173656</v>
      </c>
      <c r="AI302" s="252">
        <f t="shared" si="334"/>
        <v>1.0765866885262322E-3</v>
      </c>
      <c r="AJ302" s="199">
        <f t="shared" si="352"/>
        <v>69763.403617951757</v>
      </c>
      <c r="AK302" s="199">
        <f t="shared" si="367"/>
        <v>11117.673883338924</v>
      </c>
      <c r="AL302" s="199">
        <f t="shared" si="368"/>
        <v>11117.673883338924</v>
      </c>
      <c r="AM302" s="199">
        <f t="shared" si="335"/>
        <v>22235.347766677849</v>
      </c>
      <c r="AN302" s="645">
        <f t="shared" si="336"/>
        <v>1.0765866885262322E-3</v>
      </c>
      <c r="AO302" s="199">
        <v>11</v>
      </c>
      <c r="AP302" s="250">
        <f t="shared" si="337"/>
        <v>1.2498579706851495E-3</v>
      </c>
      <c r="AQ302" s="199">
        <v>11</v>
      </c>
      <c r="AU302" s="199">
        <v>0</v>
      </c>
      <c r="AW302" s="250">
        <f t="shared" si="338"/>
        <v>0</v>
      </c>
      <c r="AX302" s="199">
        <v>1</v>
      </c>
      <c r="AY302" s="199">
        <f t="shared" si="385"/>
        <v>23597.349109628212</v>
      </c>
      <c r="AZ302" s="199">
        <f t="shared" si="355"/>
        <v>23597.349109628212</v>
      </c>
      <c r="BA302" s="252">
        <f t="shared" si="339"/>
        <v>1.8549047705671688E-3</v>
      </c>
      <c r="BB302" s="284">
        <v>0</v>
      </c>
      <c r="BC302" s="199">
        <f t="shared" si="386"/>
        <v>0</v>
      </c>
      <c r="BD302" s="270">
        <f t="shared" si="369"/>
        <v>0</v>
      </c>
      <c r="BE302" s="199">
        <f t="shared" si="387"/>
        <v>0</v>
      </c>
      <c r="BF302" s="251">
        <f t="shared" si="370"/>
        <v>0</v>
      </c>
      <c r="BG302" s="204">
        <f t="shared" si="383"/>
        <v>0</v>
      </c>
      <c r="BH302" s="636">
        <v>0</v>
      </c>
      <c r="BI302" s="199">
        <f t="shared" si="340"/>
        <v>85050.205207542764</v>
      </c>
      <c r="BJ302" s="199">
        <f t="shared" si="341"/>
        <v>170100.41041508553</v>
      </c>
      <c r="BK302" s="199">
        <f t="shared" si="349"/>
        <v>255150.61562262831</v>
      </c>
      <c r="BL302" s="251">
        <f t="shared" si="342"/>
        <v>1.0765866885262322E-3</v>
      </c>
      <c r="BM302" s="199">
        <f t="shared" si="388"/>
        <v>33426.946521299324</v>
      </c>
      <c r="BN302" s="251">
        <f t="shared" si="343"/>
        <v>1.4434795067771713E-3</v>
      </c>
      <c r="BT302" s="199">
        <f>'Detailed Budget'!$AD$12</f>
        <v>194045122715</v>
      </c>
      <c r="BU302" s="199">
        <f>'Detailed Budget'!$AD$24</f>
        <v>194045122715</v>
      </c>
      <c r="BV302" s="596">
        <f t="shared" si="389"/>
        <v>0</v>
      </c>
      <c r="BW302" s="278"/>
      <c r="BX302" s="275">
        <f t="shared" si="397"/>
        <v>0</v>
      </c>
      <c r="BY302" s="275">
        <f t="shared" si="398"/>
        <v>0</v>
      </c>
      <c r="CA302" s="199">
        <f>'Detailed Budget'!$AD$96</f>
        <v>71050111380.677719</v>
      </c>
      <c r="CB302" s="275">
        <f t="shared" si="344"/>
        <v>131791190.54934779</v>
      </c>
      <c r="CE302" s="199">
        <f>'Detailed Budget'!$AD$175</f>
        <v>4330586076.5988197</v>
      </c>
      <c r="CF302" s="275">
        <f t="shared" si="390"/>
        <v>0</v>
      </c>
      <c r="CG302" s="199">
        <f>'Detailed Budget'!$AD$176</f>
        <v>20662817754.37001</v>
      </c>
      <c r="CH302" s="275">
        <f t="shared" si="391"/>
        <v>0</v>
      </c>
      <c r="CI302" s="275">
        <f t="shared" si="392"/>
        <v>0</v>
      </c>
      <c r="CJ302" s="275">
        <f>'Detailed Budget'!$AD$178</f>
        <v>46025131033.061455</v>
      </c>
      <c r="CK302" s="275">
        <f t="shared" si="393"/>
        <v>0</v>
      </c>
      <c r="CL302" s="275">
        <f t="shared" si="366"/>
        <v>0</v>
      </c>
      <c r="CM302" s="278">
        <f>'Detailed Budget'!$AD$189</f>
        <v>77498869683.252869</v>
      </c>
      <c r="CN302" s="275">
        <f t="shared" si="346"/>
        <v>0</v>
      </c>
      <c r="CO302" s="140">
        <f>'Detailed Budget'!$AD$191</f>
        <v>2684962805.4134097</v>
      </c>
      <c r="CP302" s="616">
        <f t="shared" si="347"/>
        <v>0</v>
      </c>
      <c r="CQ302" s="616">
        <f t="shared" si="348"/>
        <v>0</v>
      </c>
      <c r="CR302" s="199">
        <f>'Detailed Budget'!$AD$195</f>
        <v>18734176418</v>
      </c>
      <c r="CS302" s="275">
        <f t="shared" si="394"/>
        <v>27042399.735731155</v>
      </c>
      <c r="CW302" s="278"/>
      <c r="DH302" s="140">
        <f>'Detailed Budget'!$AD$163</f>
        <v>4928560000</v>
      </c>
      <c r="DI302" s="616">
        <f t="shared" si="395"/>
        <v>6160000</v>
      </c>
    </row>
    <row r="303" spans="1:113" outlineLevel="1">
      <c r="A303" s="214" t="s">
        <v>748</v>
      </c>
      <c r="B303" s="215" t="s">
        <v>749</v>
      </c>
      <c r="C303" s="216" t="s">
        <v>234</v>
      </c>
      <c r="D303" s="217"/>
      <c r="E303" s="216"/>
      <c r="F303" s="216"/>
      <c r="G303" s="216"/>
      <c r="H303" s="216" t="s">
        <v>234</v>
      </c>
      <c r="I303" s="217" t="s">
        <v>234</v>
      </c>
      <c r="J303" s="217"/>
      <c r="K303" s="216" t="s">
        <v>234</v>
      </c>
      <c r="L303" s="216"/>
      <c r="M303" s="217"/>
      <c r="N303" s="216"/>
      <c r="O303" s="217"/>
      <c r="P303" s="216"/>
      <c r="Q303" s="217"/>
      <c r="R303" s="217" t="s">
        <v>234</v>
      </c>
      <c r="S303" s="217"/>
      <c r="T303" s="217"/>
      <c r="U303" s="218">
        <f t="shared" si="384"/>
        <v>5</v>
      </c>
      <c r="V303" s="867" t="s">
        <v>487</v>
      </c>
      <c r="W303" s="219">
        <v>192583</v>
      </c>
      <c r="X303" s="220">
        <v>2.91</v>
      </c>
      <c r="Y303" s="221">
        <f t="shared" si="379"/>
        <v>1.0290999999999999</v>
      </c>
      <c r="Z303" s="199">
        <v>19</v>
      </c>
      <c r="AA303" s="221">
        <f t="shared" si="380"/>
        <v>1.7246222540408234</v>
      </c>
      <c r="AB303" s="199">
        <f t="shared" si="381"/>
        <v>332132.92754994391</v>
      </c>
      <c r="AC303">
        <v>20.100000000000001</v>
      </c>
      <c r="AD303" s="199">
        <f t="shared" si="382"/>
        <v>66758.71843753873</v>
      </c>
      <c r="AE303" s="199">
        <f t="shared" si="399"/>
        <v>63420.782515661791</v>
      </c>
      <c r="AF303" s="199">
        <f t="shared" si="365"/>
        <v>0</v>
      </c>
      <c r="AG303" s="614">
        <f t="shared" si="351"/>
        <v>2.9322985610720758E-3</v>
      </c>
      <c r="AH303" s="199">
        <f t="shared" si="396"/>
        <v>16606.646377497196</v>
      </c>
      <c r="AI303" s="252">
        <f t="shared" si="334"/>
        <v>1.2864917333377643E-3</v>
      </c>
      <c r="AJ303" s="199">
        <f t="shared" si="352"/>
        <v>83365.364815035922</v>
      </c>
      <c r="AK303" s="199">
        <f t="shared" si="367"/>
        <v>13285.317101997756</v>
      </c>
      <c r="AL303" s="199">
        <f t="shared" si="368"/>
        <v>13285.317101997756</v>
      </c>
      <c r="AM303" s="199">
        <f t="shared" si="335"/>
        <v>26570.634203995513</v>
      </c>
      <c r="AN303" s="645">
        <f t="shared" si="336"/>
        <v>1.2864917333377641E-3</v>
      </c>
      <c r="AO303" s="199">
        <v>10</v>
      </c>
      <c r="AP303" s="250">
        <f t="shared" si="337"/>
        <v>1.1362345188046814E-3</v>
      </c>
      <c r="AQ303" s="199">
        <v>10</v>
      </c>
      <c r="AU303" s="199">
        <v>0</v>
      </c>
      <c r="AW303" s="250">
        <f t="shared" si="338"/>
        <v>0</v>
      </c>
      <c r="AX303" s="199">
        <v>1</v>
      </c>
      <c r="AY303" s="199">
        <f t="shared" si="385"/>
        <v>28198.188665865378</v>
      </c>
      <c r="AZ303" s="199">
        <f t="shared" si="355"/>
        <v>28198.188665865378</v>
      </c>
      <c r="BA303" s="252">
        <f t="shared" si="339"/>
        <v>2.2165606159687337E-3</v>
      </c>
      <c r="BB303" s="284">
        <v>0</v>
      </c>
      <c r="BC303" s="199">
        <f t="shared" si="386"/>
        <v>0</v>
      </c>
      <c r="BD303" s="270">
        <f t="shared" si="369"/>
        <v>0</v>
      </c>
      <c r="BE303" s="199">
        <f t="shared" si="387"/>
        <v>0</v>
      </c>
      <c r="BF303" s="251">
        <f t="shared" si="370"/>
        <v>0</v>
      </c>
      <c r="BG303" s="204">
        <f t="shared" si="383"/>
        <v>0</v>
      </c>
      <c r="BH303" s="636">
        <v>0</v>
      </c>
      <c r="BI303" s="199">
        <f t="shared" si="340"/>
        <v>101632.67583028285</v>
      </c>
      <c r="BJ303" s="199">
        <f t="shared" si="341"/>
        <v>203265.35166056571</v>
      </c>
      <c r="BK303" s="199">
        <f t="shared" si="349"/>
        <v>304898.02749084856</v>
      </c>
      <c r="BL303" s="251">
        <f t="shared" si="342"/>
        <v>1.2864917333377645E-3</v>
      </c>
      <c r="BM303" s="199">
        <f t="shared" si="388"/>
        <v>39944.289511180679</v>
      </c>
      <c r="BN303" s="251">
        <f t="shared" si="343"/>
        <v>1.7249186456628344E-3</v>
      </c>
      <c r="BT303" s="199">
        <f>'Detailed Budget'!$AD$12</f>
        <v>194045122715</v>
      </c>
      <c r="BU303" s="199">
        <f>'Detailed Budget'!$AD$24</f>
        <v>194045122715</v>
      </c>
      <c r="BV303" s="596">
        <f t="shared" si="389"/>
        <v>0</v>
      </c>
      <c r="BW303" s="278"/>
      <c r="BX303" s="275">
        <f t="shared" si="397"/>
        <v>0</v>
      </c>
      <c r="BY303" s="275">
        <f t="shared" si="398"/>
        <v>0</v>
      </c>
      <c r="CA303" s="199">
        <f>'Detailed Budget'!$AD$96</f>
        <v>71050111380.677719</v>
      </c>
      <c r="CB303" s="275">
        <f t="shared" si="344"/>
        <v>157486878.64660215</v>
      </c>
      <c r="CE303" s="199">
        <f>'Detailed Budget'!$AD$175</f>
        <v>4330586076.5988197</v>
      </c>
      <c r="CF303" s="275">
        <f t="shared" si="390"/>
        <v>0</v>
      </c>
      <c r="CG303" s="199">
        <f>'Detailed Budget'!$AD$176</f>
        <v>20662817754.37001</v>
      </c>
      <c r="CH303" s="275">
        <f t="shared" si="391"/>
        <v>0</v>
      </c>
      <c r="CI303" s="275">
        <f t="shared" si="392"/>
        <v>0</v>
      </c>
      <c r="CJ303" s="275">
        <f>'Detailed Budget'!$AD$178</f>
        <v>46025131033.061455</v>
      </c>
      <c r="CK303" s="275">
        <f t="shared" si="393"/>
        <v>0</v>
      </c>
      <c r="CL303" s="275">
        <f t="shared" si="366"/>
        <v>0</v>
      </c>
      <c r="CM303" s="278">
        <f>'Detailed Budget'!$AD$189</f>
        <v>77498869683.252869</v>
      </c>
      <c r="CN303" s="275">
        <f t="shared" si="346"/>
        <v>0</v>
      </c>
      <c r="CO303" s="140">
        <f>'Detailed Budget'!$AD$191</f>
        <v>2684962805.4134097</v>
      </c>
      <c r="CP303" s="616">
        <f t="shared" si="347"/>
        <v>0</v>
      </c>
      <c r="CQ303" s="616">
        <f t="shared" si="348"/>
        <v>0</v>
      </c>
      <c r="CR303" s="199">
        <f>'Detailed Budget'!$AD$195</f>
        <v>18734176418</v>
      </c>
      <c r="CS303" s="275">
        <f t="shared" si="394"/>
        <v>32314930.214545168</v>
      </c>
      <c r="CW303" s="278"/>
      <c r="DH303" s="140">
        <f>'Detailed Budget'!$AD$163</f>
        <v>4928560000</v>
      </c>
      <c r="DI303" s="616">
        <f t="shared" si="395"/>
        <v>5600000</v>
      </c>
    </row>
    <row r="304" spans="1:113" outlineLevel="1">
      <c r="A304" s="214" t="s">
        <v>750</v>
      </c>
      <c r="B304" s="215" t="s">
        <v>751</v>
      </c>
      <c r="C304" s="216" t="s">
        <v>234</v>
      </c>
      <c r="D304" s="217"/>
      <c r="E304" s="216"/>
      <c r="F304" s="216"/>
      <c r="G304" s="216"/>
      <c r="H304" s="216" t="s">
        <v>234</v>
      </c>
      <c r="I304" s="217" t="s">
        <v>234</v>
      </c>
      <c r="J304" s="217"/>
      <c r="K304" s="216" t="s">
        <v>234</v>
      </c>
      <c r="L304" s="216"/>
      <c r="M304" s="217"/>
      <c r="N304" s="216"/>
      <c r="O304" s="217"/>
      <c r="P304" s="216"/>
      <c r="Q304" s="217"/>
      <c r="R304" s="217" t="s">
        <v>234</v>
      </c>
      <c r="S304" s="217"/>
      <c r="T304" s="217"/>
      <c r="U304" s="218">
        <f t="shared" si="384"/>
        <v>5</v>
      </c>
      <c r="V304" s="867" t="s">
        <v>487</v>
      </c>
      <c r="W304" s="219">
        <v>172952</v>
      </c>
      <c r="X304" s="220">
        <v>2.91</v>
      </c>
      <c r="Y304" s="221">
        <f t="shared" si="379"/>
        <v>1.0290999999999999</v>
      </c>
      <c r="Z304" s="199">
        <v>19</v>
      </c>
      <c r="AA304" s="221">
        <f t="shared" si="380"/>
        <v>1.7246222540408234</v>
      </c>
      <c r="AB304" s="199">
        <f t="shared" si="381"/>
        <v>298276.8680808685</v>
      </c>
      <c r="AC304">
        <v>20.100000000000001</v>
      </c>
      <c r="AD304" s="199">
        <f t="shared" si="382"/>
        <v>59953.650484254576</v>
      </c>
      <c r="AE304" s="199">
        <f t="shared" si="399"/>
        <v>56955.967960041846</v>
      </c>
      <c r="AF304" s="199">
        <f t="shared" si="365"/>
        <v>0</v>
      </c>
      <c r="AG304" s="614">
        <f t="shared" si="351"/>
        <v>2.633393917087893E-3</v>
      </c>
      <c r="AH304" s="199">
        <f t="shared" si="396"/>
        <v>14913.843404043426</v>
      </c>
      <c r="AI304" s="252">
        <f t="shared" si="334"/>
        <v>1.1553528518313298E-3</v>
      </c>
      <c r="AJ304" s="199">
        <f t="shared" si="352"/>
        <v>74867.493888298006</v>
      </c>
      <c r="AK304" s="199">
        <f t="shared" si="367"/>
        <v>11931.07472323474</v>
      </c>
      <c r="AL304" s="199">
        <f t="shared" si="368"/>
        <v>11931.07472323474</v>
      </c>
      <c r="AM304" s="199">
        <f t="shared" si="335"/>
        <v>23862.149446469481</v>
      </c>
      <c r="AN304" s="645">
        <f t="shared" si="336"/>
        <v>1.1553528518313298E-3</v>
      </c>
      <c r="AO304" s="199">
        <v>11</v>
      </c>
      <c r="AP304" s="250">
        <f t="shared" si="337"/>
        <v>1.2498579706851495E-3</v>
      </c>
      <c r="AQ304" s="199">
        <v>11</v>
      </c>
      <c r="AU304" s="199">
        <v>0</v>
      </c>
      <c r="AW304" s="250">
        <f t="shared" si="338"/>
        <v>0</v>
      </c>
      <c r="AX304" s="199">
        <v>1</v>
      </c>
      <c r="AY304" s="199">
        <f t="shared" si="385"/>
        <v>25323.798705694426</v>
      </c>
      <c r="AZ304" s="199">
        <f t="shared" si="355"/>
        <v>25323.798705694426</v>
      </c>
      <c r="BA304" s="252">
        <f t="shared" si="339"/>
        <v>1.9906149122872968E-3</v>
      </c>
      <c r="BB304" s="284">
        <v>0</v>
      </c>
      <c r="BC304" s="199">
        <f t="shared" si="386"/>
        <v>0</v>
      </c>
      <c r="BD304" s="270">
        <f t="shared" si="369"/>
        <v>0</v>
      </c>
      <c r="BE304" s="199">
        <f t="shared" si="387"/>
        <v>0</v>
      </c>
      <c r="BF304" s="251">
        <f t="shared" si="370"/>
        <v>0</v>
      </c>
      <c r="BG304" s="204">
        <f t="shared" si="383"/>
        <v>0</v>
      </c>
      <c r="BH304" s="636">
        <v>0</v>
      </c>
      <c r="BI304" s="199">
        <f t="shared" si="340"/>
        <v>91272.721632745757</v>
      </c>
      <c r="BJ304" s="199">
        <f t="shared" si="341"/>
        <v>182545.44326549151</v>
      </c>
      <c r="BK304" s="199">
        <f t="shared" si="349"/>
        <v>273818.16489823727</v>
      </c>
      <c r="BL304" s="251">
        <f t="shared" si="342"/>
        <v>1.1553528518313298E-3</v>
      </c>
      <c r="BM304" s="199">
        <f t="shared" si="388"/>
        <v>35872.557596141516</v>
      </c>
      <c r="BN304" s="251">
        <f t="shared" si="343"/>
        <v>1.5490885987064205E-3</v>
      </c>
      <c r="BT304" s="199">
        <f>'Detailed Budget'!$AD$12</f>
        <v>194045122715</v>
      </c>
      <c r="BU304" s="199">
        <f>'Detailed Budget'!$AD$24</f>
        <v>194045122715</v>
      </c>
      <c r="BV304" s="596">
        <f t="shared" si="389"/>
        <v>0</v>
      </c>
      <c r="BW304" s="278"/>
      <c r="BX304" s="275">
        <f t="shared" si="397"/>
        <v>0</v>
      </c>
      <c r="BY304" s="275">
        <f t="shared" si="398"/>
        <v>0</v>
      </c>
      <c r="CA304" s="199">
        <f>'Detailed Budget'!$AD$96</f>
        <v>71050111380.677719</v>
      </c>
      <c r="CB304" s="275">
        <f t="shared" si="344"/>
        <v>141433411.23405045</v>
      </c>
      <c r="CE304" s="199">
        <f>'Detailed Budget'!$AD$175</f>
        <v>4330586076.5988197</v>
      </c>
      <c r="CF304" s="275">
        <f t="shared" si="390"/>
        <v>0</v>
      </c>
      <c r="CG304" s="199">
        <f>'Detailed Budget'!$AD$176</f>
        <v>20662817754.37001</v>
      </c>
      <c r="CH304" s="275">
        <f t="shared" si="391"/>
        <v>0</v>
      </c>
      <c r="CI304" s="275">
        <f t="shared" si="392"/>
        <v>0</v>
      </c>
      <c r="CJ304" s="275">
        <f>'Detailed Budget'!$AD$178</f>
        <v>46025131033.061455</v>
      </c>
      <c r="CK304" s="275">
        <f t="shared" si="393"/>
        <v>0</v>
      </c>
      <c r="CL304" s="275">
        <f t="shared" si="366"/>
        <v>0</v>
      </c>
      <c r="CM304" s="278">
        <f>'Detailed Budget'!$AD$189</f>
        <v>77498869683.252869</v>
      </c>
      <c r="CN304" s="275">
        <f t="shared" si="346"/>
        <v>0</v>
      </c>
      <c r="CO304" s="140">
        <f>'Detailed Budget'!$AD$191</f>
        <v>2684962805.4134097</v>
      </c>
      <c r="CP304" s="616">
        <f t="shared" si="347"/>
        <v>0</v>
      </c>
      <c r="CQ304" s="616">
        <f t="shared" si="348"/>
        <v>0</v>
      </c>
      <c r="CR304" s="199">
        <f>'Detailed Budget'!$AD$195</f>
        <v>18734176418</v>
      </c>
      <c r="CS304" s="275">
        <f t="shared" si="394"/>
        <v>29020899.095278487</v>
      </c>
      <c r="CW304" s="278"/>
      <c r="DH304" s="140">
        <f>'Detailed Budget'!$AD$163</f>
        <v>4928560000</v>
      </c>
      <c r="DI304" s="616">
        <f t="shared" si="395"/>
        <v>6160000</v>
      </c>
    </row>
    <row r="305" spans="1:113" outlineLevel="1">
      <c r="A305" s="214" t="s">
        <v>752</v>
      </c>
      <c r="B305" s="215" t="s">
        <v>753</v>
      </c>
      <c r="C305" s="216" t="s">
        <v>234</v>
      </c>
      <c r="D305" s="217"/>
      <c r="E305" s="216"/>
      <c r="F305" s="216"/>
      <c r="G305" s="216"/>
      <c r="H305" s="216" t="s">
        <v>234</v>
      </c>
      <c r="I305" s="217" t="s">
        <v>234</v>
      </c>
      <c r="J305" s="217"/>
      <c r="K305" s="216" t="s">
        <v>234</v>
      </c>
      <c r="L305" s="216"/>
      <c r="M305" s="217"/>
      <c r="N305" s="216"/>
      <c r="O305" s="217"/>
      <c r="P305" s="216"/>
      <c r="Q305" s="217"/>
      <c r="R305" s="217" t="s">
        <v>234</v>
      </c>
      <c r="S305" s="217"/>
      <c r="T305" s="217"/>
      <c r="U305" s="218">
        <f t="shared" si="384"/>
        <v>5</v>
      </c>
      <c r="V305" s="867" t="s">
        <v>487</v>
      </c>
      <c r="W305" s="219">
        <v>177057</v>
      </c>
      <c r="X305" s="220">
        <v>2.91</v>
      </c>
      <c r="Y305" s="221">
        <f t="shared" si="379"/>
        <v>1.0290999999999999</v>
      </c>
      <c r="Z305" s="199">
        <v>19</v>
      </c>
      <c r="AA305" s="221">
        <f t="shared" si="380"/>
        <v>1.7246222540408234</v>
      </c>
      <c r="AB305" s="199">
        <f t="shared" si="381"/>
        <v>305356.44243370608</v>
      </c>
      <c r="AC305">
        <v>20.100000000000001</v>
      </c>
      <c r="AD305" s="199">
        <f t="shared" si="382"/>
        <v>61376.64492917493</v>
      </c>
      <c r="AE305" s="199">
        <f t="shared" si="399"/>
        <v>58307.812682716183</v>
      </c>
      <c r="AF305" s="199">
        <f t="shared" si="365"/>
        <v>0</v>
      </c>
      <c r="AG305" s="614">
        <f t="shared" si="351"/>
        <v>2.6958972823548214E-3</v>
      </c>
      <c r="AH305" s="199">
        <f t="shared" si="396"/>
        <v>15267.822121685305</v>
      </c>
      <c r="AI305" s="252">
        <f t="shared" si="334"/>
        <v>1.1827750467569024E-3</v>
      </c>
      <c r="AJ305" s="199">
        <f t="shared" si="352"/>
        <v>76644.467050860228</v>
      </c>
      <c r="AK305" s="199">
        <f t="shared" si="367"/>
        <v>12214.257697348243</v>
      </c>
      <c r="AL305" s="199">
        <f t="shared" si="368"/>
        <v>12214.257697348243</v>
      </c>
      <c r="AM305" s="199">
        <f t="shared" si="335"/>
        <v>24428.515394696486</v>
      </c>
      <c r="AN305" s="645">
        <f t="shared" si="336"/>
        <v>1.1827750467569022E-3</v>
      </c>
      <c r="AO305" s="199">
        <v>11</v>
      </c>
      <c r="AP305" s="250">
        <f t="shared" si="337"/>
        <v>1.2498579706851495E-3</v>
      </c>
      <c r="AQ305" s="199">
        <v>11</v>
      </c>
      <c r="AU305" s="199">
        <v>0</v>
      </c>
      <c r="AW305" s="250">
        <f t="shared" si="338"/>
        <v>0</v>
      </c>
      <c r="AX305" s="199">
        <v>1</v>
      </c>
      <c r="AY305" s="199">
        <f t="shared" si="385"/>
        <v>25924.856766236513</v>
      </c>
      <c r="AZ305" s="199">
        <f t="shared" si="355"/>
        <v>25924.856766236513</v>
      </c>
      <c r="BA305" s="252">
        <f t="shared" si="339"/>
        <v>2.037861976298926E-3</v>
      </c>
      <c r="BB305" s="284">
        <v>0</v>
      </c>
      <c r="BC305" s="199">
        <f t="shared" si="386"/>
        <v>0</v>
      </c>
      <c r="BD305" s="270">
        <f t="shared" si="369"/>
        <v>0</v>
      </c>
      <c r="BE305" s="199">
        <f t="shared" si="387"/>
        <v>0</v>
      </c>
      <c r="BF305" s="251">
        <f t="shared" si="370"/>
        <v>0</v>
      </c>
      <c r="BG305" s="204">
        <f t="shared" si="383"/>
        <v>0</v>
      </c>
      <c r="BH305" s="636">
        <v>0</v>
      </c>
      <c r="BI305" s="199">
        <f t="shared" si="340"/>
        <v>93439.071384714058</v>
      </c>
      <c r="BJ305" s="199">
        <f t="shared" si="341"/>
        <v>186878.14276942812</v>
      </c>
      <c r="BK305" s="199">
        <f t="shared" si="349"/>
        <v>280317.21415414219</v>
      </c>
      <c r="BL305" s="251">
        <f t="shared" si="342"/>
        <v>1.1827750467569022E-3</v>
      </c>
      <c r="BM305" s="199">
        <f t="shared" si="388"/>
        <v>36723.989490147716</v>
      </c>
      <c r="BN305" s="251">
        <f t="shared" si="343"/>
        <v>1.5858560757965369E-3</v>
      </c>
      <c r="BT305" s="199">
        <f>'Detailed Budget'!$AD$12</f>
        <v>194045122715</v>
      </c>
      <c r="BU305" s="199">
        <f>'Detailed Budget'!$AD$24</f>
        <v>194045122715</v>
      </c>
      <c r="BV305" s="596">
        <f t="shared" si="389"/>
        <v>0</v>
      </c>
      <c r="BW305" s="278"/>
      <c r="BX305" s="275">
        <f t="shared" si="397"/>
        <v>0</v>
      </c>
      <c r="BY305" s="275">
        <f t="shared" si="398"/>
        <v>0</v>
      </c>
      <c r="CA305" s="199">
        <f>'Detailed Budget'!$AD$96</f>
        <v>71050111380.677719</v>
      </c>
      <c r="CB305" s="275">
        <f t="shared" si="344"/>
        <v>144790320.39448673</v>
      </c>
      <c r="CE305" s="199">
        <f>'Detailed Budget'!$AD$175</f>
        <v>4330586076.5988197</v>
      </c>
      <c r="CF305" s="275">
        <f t="shared" si="390"/>
        <v>0</v>
      </c>
      <c r="CG305" s="199">
        <f>'Detailed Budget'!$AD$176</f>
        <v>20662817754.37001</v>
      </c>
      <c r="CH305" s="275">
        <f t="shared" si="391"/>
        <v>0</v>
      </c>
      <c r="CI305" s="275">
        <f t="shared" si="392"/>
        <v>0</v>
      </c>
      <c r="CJ305" s="275">
        <f>'Detailed Budget'!$AD$178</f>
        <v>46025131033.061455</v>
      </c>
      <c r="CK305" s="275">
        <f t="shared" si="393"/>
        <v>0</v>
      </c>
      <c r="CL305" s="275">
        <f t="shared" si="366"/>
        <v>0</v>
      </c>
      <c r="CM305" s="278">
        <f>'Detailed Budget'!$AD$189</f>
        <v>77498869683.252869</v>
      </c>
      <c r="CN305" s="275">
        <f t="shared" si="346"/>
        <v>0</v>
      </c>
      <c r="CO305" s="140">
        <f>'Detailed Budget'!$AD$191</f>
        <v>2684962805.4134097</v>
      </c>
      <c r="CP305" s="616">
        <f t="shared" si="347"/>
        <v>0</v>
      </c>
      <c r="CQ305" s="616">
        <f t="shared" si="348"/>
        <v>0</v>
      </c>
      <c r="CR305" s="199">
        <f>'Detailed Budget'!$AD$195</f>
        <v>18734176418</v>
      </c>
      <c r="CS305" s="275">
        <f t="shared" si="394"/>
        <v>29709707.497529503</v>
      </c>
      <c r="CW305" s="278"/>
      <c r="DH305" s="140">
        <f>'Detailed Budget'!$AD$163</f>
        <v>4928560000</v>
      </c>
      <c r="DI305" s="616">
        <f t="shared" si="395"/>
        <v>6160000</v>
      </c>
    </row>
    <row r="306" spans="1:113" outlineLevel="1">
      <c r="A306" s="214" t="s">
        <v>754</v>
      </c>
      <c r="B306" s="215" t="s">
        <v>755</v>
      </c>
      <c r="C306" s="216" t="s">
        <v>234</v>
      </c>
      <c r="D306" s="217"/>
      <c r="E306" s="216"/>
      <c r="F306" s="216"/>
      <c r="G306" s="216"/>
      <c r="H306" s="216" t="s">
        <v>234</v>
      </c>
      <c r="I306" s="217" t="s">
        <v>234</v>
      </c>
      <c r="J306" s="217"/>
      <c r="K306" s="216" t="s">
        <v>234</v>
      </c>
      <c r="L306" s="216"/>
      <c r="M306" s="217"/>
      <c r="N306" s="216"/>
      <c r="O306" s="217"/>
      <c r="P306" s="216"/>
      <c r="Q306" s="217"/>
      <c r="R306" s="217" t="s">
        <v>234</v>
      </c>
      <c r="S306" s="217"/>
      <c r="T306" s="217"/>
      <c r="U306" s="218">
        <f t="shared" si="384"/>
        <v>5</v>
      </c>
      <c r="V306" s="867" t="s">
        <v>487</v>
      </c>
      <c r="W306" s="219">
        <v>164791</v>
      </c>
      <c r="X306" s="220">
        <v>2.91</v>
      </c>
      <c r="Y306" s="221">
        <f t="shared" si="379"/>
        <v>1.0290999999999999</v>
      </c>
      <c r="Z306" s="199">
        <v>19</v>
      </c>
      <c r="AA306" s="221">
        <f t="shared" si="380"/>
        <v>1.7246222540408234</v>
      </c>
      <c r="AB306" s="199">
        <f t="shared" si="381"/>
        <v>284202.22586564132</v>
      </c>
      <c r="AC306">
        <v>20.100000000000001</v>
      </c>
      <c r="AD306" s="199">
        <f t="shared" si="382"/>
        <v>57124.647398993911</v>
      </c>
      <c r="AE306" s="199">
        <f t="shared" si="399"/>
        <v>54268.415029044212</v>
      </c>
      <c r="AF306" s="199">
        <f t="shared" si="365"/>
        <v>0</v>
      </c>
      <c r="AG306" s="614">
        <f t="shared" si="351"/>
        <v>2.5091332681370028E-3</v>
      </c>
      <c r="AH306" s="199">
        <f t="shared" si="396"/>
        <v>14210.111293282067</v>
      </c>
      <c r="AI306" s="252">
        <f t="shared" si="334"/>
        <v>1.1008357914689432E-3</v>
      </c>
      <c r="AJ306" s="199">
        <f t="shared" si="352"/>
        <v>71334.75869227598</v>
      </c>
      <c r="AK306" s="199">
        <f t="shared" si="367"/>
        <v>11368.089034625653</v>
      </c>
      <c r="AL306" s="199">
        <f t="shared" si="368"/>
        <v>11368.089034625653</v>
      </c>
      <c r="AM306" s="199">
        <f t="shared" si="335"/>
        <v>22736.178069251306</v>
      </c>
      <c r="AN306" s="645">
        <f t="shared" si="336"/>
        <v>1.1008357914689432E-3</v>
      </c>
      <c r="AO306" s="199">
        <v>11</v>
      </c>
      <c r="AP306" s="250">
        <f t="shared" si="337"/>
        <v>1.2498579706851495E-3</v>
      </c>
      <c r="AQ306" s="199">
        <v>11</v>
      </c>
      <c r="AU306" s="199">
        <v>0</v>
      </c>
      <c r="AW306" s="250">
        <f t="shared" si="338"/>
        <v>0</v>
      </c>
      <c r="AX306" s="199">
        <v>1</v>
      </c>
      <c r="AY306" s="199">
        <f t="shared" si="385"/>
        <v>24128.857211885897</v>
      </c>
      <c r="AZ306" s="199">
        <f t="shared" si="355"/>
        <v>24128.857211885897</v>
      </c>
      <c r="BA306" s="252">
        <f t="shared" si="339"/>
        <v>1.8966847565262956E-3</v>
      </c>
      <c r="BB306" s="284">
        <v>0</v>
      </c>
      <c r="BC306" s="199">
        <f t="shared" si="386"/>
        <v>0</v>
      </c>
      <c r="BD306" s="270">
        <f t="shared" si="369"/>
        <v>0</v>
      </c>
      <c r="BE306" s="199">
        <f t="shared" si="387"/>
        <v>0</v>
      </c>
      <c r="BF306" s="251">
        <f t="shared" si="370"/>
        <v>0</v>
      </c>
      <c r="BG306" s="204">
        <f t="shared" si="383"/>
        <v>0</v>
      </c>
      <c r="BH306" s="636">
        <v>0</v>
      </c>
      <c r="BI306" s="199">
        <f t="shared" si="340"/>
        <v>86965.881114886259</v>
      </c>
      <c r="BJ306" s="199">
        <f t="shared" si="341"/>
        <v>173931.76222977252</v>
      </c>
      <c r="BK306" s="199">
        <f t="shared" si="349"/>
        <v>260897.64334465878</v>
      </c>
      <c r="BL306" s="251">
        <f t="shared" si="342"/>
        <v>1.1008357914689434E-3</v>
      </c>
      <c r="BM306" s="199">
        <f t="shared" si="388"/>
        <v>34179.857063380332</v>
      </c>
      <c r="BN306" s="251">
        <f t="shared" si="343"/>
        <v>1.4759925254951066E-3</v>
      </c>
      <c r="BT306" s="199">
        <f>'Detailed Budget'!$AD$12</f>
        <v>194045122715</v>
      </c>
      <c r="BU306" s="199">
        <f>'Detailed Budget'!$AD$24</f>
        <v>194045122715</v>
      </c>
      <c r="BV306" s="596">
        <f t="shared" si="389"/>
        <v>0</v>
      </c>
      <c r="BW306" s="278"/>
      <c r="BX306" s="275">
        <f t="shared" si="397"/>
        <v>0</v>
      </c>
      <c r="BY306" s="275">
        <f t="shared" si="398"/>
        <v>0</v>
      </c>
      <c r="CA306" s="199">
        <f>'Detailed Budget'!$AD$96</f>
        <v>71050111380.677719</v>
      </c>
      <c r="CB306" s="275">
        <f t="shared" si="344"/>
        <v>134759663.2052269</v>
      </c>
      <c r="CE306" s="199">
        <f>'Detailed Budget'!$AD$175</f>
        <v>4330586076.5988197</v>
      </c>
      <c r="CF306" s="275">
        <f t="shared" si="390"/>
        <v>0</v>
      </c>
      <c r="CG306" s="199">
        <f>'Detailed Budget'!$AD$176</f>
        <v>20662817754.37001</v>
      </c>
      <c r="CH306" s="275">
        <f t="shared" si="391"/>
        <v>0</v>
      </c>
      <c r="CI306" s="275">
        <f t="shared" si="392"/>
        <v>0</v>
      </c>
      <c r="CJ306" s="275">
        <f>'Detailed Budget'!$AD$178</f>
        <v>46025131033.061455</v>
      </c>
      <c r="CK306" s="275">
        <f t="shared" si="393"/>
        <v>0</v>
      </c>
      <c r="CL306" s="275">
        <f t="shared" si="366"/>
        <v>0</v>
      </c>
      <c r="CM306" s="278">
        <f>'Detailed Budget'!$AD$189</f>
        <v>77498869683.252869</v>
      </c>
      <c r="CN306" s="275">
        <f t="shared" si="346"/>
        <v>0</v>
      </c>
      <c r="CO306" s="140">
        <f>'Detailed Budget'!$AD$191</f>
        <v>2684962805.4134097</v>
      </c>
      <c r="CP306" s="616">
        <f t="shared" si="347"/>
        <v>0</v>
      </c>
      <c r="CQ306" s="616">
        <f t="shared" si="348"/>
        <v>0</v>
      </c>
      <c r="CR306" s="199">
        <f>'Detailed Budget'!$AD$195</f>
        <v>18734176418</v>
      </c>
      <c r="CS306" s="275">
        <f t="shared" si="394"/>
        <v>27651504.364274688</v>
      </c>
      <c r="CW306" s="278"/>
      <c r="DH306" s="140">
        <f>'Detailed Budget'!$AD$163</f>
        <v>4928560000</v>
      </c>
      <c r="DI306" s="616">
        <f t="shared" si="395"/>
        <v>6160000</v>
      </c>
    </row>
    <row r="307" spans="1:113" outlineLevel="1">
      <c r="A307" s="214" t="s">
        <v>756</v>
      </c>
      <c r="B307" s="215" t="s">
        <v>757</v>
      </c>
      <c r="C307" s="216" t="s">
        <v>234</v>
      </c>
      <c r="D307" s="217"/>
      <c r="E307" s="216"/>
      <c r="F307" s="216"/>
      <c r="G307" s="216"/>
      <c r="H307" s="216" t="s">
        <v>234</v>
      </c>
      <c r="I307" s="217" t="s">
        <v>234</v>
      </c>
      <c r="J307" s="217"/>
      <c r="K307" s="216" t="s">
        <v>234</v>
      </c>
      <c r="L307" s="216"/>
      <c r="M307" s="217"/>
      <c r="N307" s="216"/>
      <c r="O307" s="217"/>
      <c r="P307" s="216"/>
      <c r="Q307" s="217"/>
      <c r="R307" s="217" t="s">
        <v>234</v>
      </c>
      <c r="S307" s="217"/>
      <c r="T307" s="217"/>
      <c r="U307" s="218">
        <f t="shared" si="384"/>
        <v>5</v>
      </c>
      <c r="V307" s="867" t="s">
        <v>487</v>
      </c>
      <c r="W307" s="219">
        <v>127876</v>
      </c>
      <c r="X307" s="220">
        <v>2.91</v>
      </c>
      <c r="Y307" s="221">
        <f t="shared" si="379"/>
        <v>1.0290999999999999</v>
      </c>
      <c r="Z307" s="199">
        <v>19</v>
      </c>
      <c r="AA307" s="221">
        <f t="shared" si="380"/>
        <v>1.7246222540408234</v>
      </c>
      <c r="AB307" s="199">
        <f t="shared" si="381"/>
        <v>220537.79535772433</v>
      </c>
      <c r="AC307">
        <v>20.100000000000001</v>
      </c>
      <c r="AD307" s="199">
        <f t="shared" si="382"/>
        <v>44328.096866902597</v>
      </c>
      <c r="AE307" s="199">
        <f t="shared" si="399"/>
        <v>42111.692023557465</v>
      </c>
      <c r="AF307" s="199">
        <f t="shared" si="365"/>
        <v>0</v>
      </c>
      <c r="AG307" s="614">
        <f t="shared" si="351"/>
        <v>1.9470597653772803E-3</v>
      </c>
      <c r="AH307" s="199">
        <f t="shared" si="396"/>
        <v>11026.889767886218</v>
      </c>
      <c r="AI307" s="252">
        <f t="shared" si="334"/>
        <v>8.5423644294823503E-4</v>
      </c>
      <c r="AJ307" s="199">
        <f t="shared" si="352"/>
        <v>55354.986634788816</v>
      </c>
      <c r="AK307" s="199">
        <f t="shared" si="367"/>
        <v>8821.511814308973</v>
      </c>
      <c r="AL307" s="199">
        <f t="shared" si="368"/>
        <v>8821.511814308973</v>
      </c>
      <c r="AM307" s="199">
        <f t="shared" si="335"/>
        <v>17643.023628617946</v>
      </c>
      <c r="AN307" s="645">
        <f t="shared" si="336"/>
        <v>8.5423644294823492E-4</v>
      </c>
      <c r="AO307" s="199">
        <v>10</v>
      </c>
      <c r="AP307" s="250">
        <f t="shared" si="337"/>
        <v>1.1362345188046814E-3</v>
      </c>
      <c r="AQ307" s="199">
        <v>10</v>
      </c>
      <c r="AU307" s="199">
        <v>0</v>
      </c>
      <c r="AW307" s="250">
        <f t="shared" si="338"/>
        <v>0</v>
      </c>
      <c r="AX307" s="199">
        <v>1</v>
      </c>
      <c r="AY307" s="199">
        <f t="shared" si="385"/>
        <v>18723.727295951361</v>
      </c>
      <c r="AZ307" s="199">
        <f t="shared" si="355"/>
        <v>18723.727295951361</v>
      </c>
      <c r="BA307" s="252">
        <f t="shared" si="339"/>
        <v>1.4718064695617879E-3</v>
      </c>
      <c r="BB307" s="284">
        <v>0</v>
      </c>
      <c r="BC307" s="199">
        <f t="shared" si="386"/>
        <v>0</v>
      </c>
      <c r="BD307" s="270">
        <f t="shared" si="369"/>
        <v>0</v>
      </c>
      <c r="BE307" s="199">
        <f t="shared" si="387"/>
        <v>0</v>
      </c>
      <c r="BF307" s="251">
        <f t="shared" si="370"/>
        <v>0</v>
      </c>
      <c r="BG307" s="204">
        <f t="shared" si="383"/>
        <v>0</v>
      </c>
      <c r="BH307" s="636">
        <v>0</v>
      </c>
      <c r="BI307" s="199">
        <f t="shared" si="340"/>
        <v>67484.565379463646</v>
      </c>
      <c r="BJ307" s="199">
        <f t="shared" si="341"/>
        <v>134969.13075892729</v>
      </c>
      <c r="BK307" s="199">
        <f t="shared" si="349"/>
        <v>202453.69613839092</v>
      </c>
      <c r="BL307" s="251">
        <f t="shared" si="342"/>
        <v>8.5423644294823481E-4</v>
      </c>
      <c r="BM307" s="199">
        <f t="shared" si="388"/>
        <v>26523.192418498726</v>
      </c>
      <c r="BN307" s="251">
        <f t="shared" si="343"/>
        <v>1.1453539343180893E-3</v>
      </c>
      <c r="BT307" s="199">
        <f>'Detailed Budget'!$AD$12</f>
        <v>194045122715</v>
      </c>
      <c r="BU307" s="199">
        <f>'Detailed Budget'!$AD$24</f>
        <v>194045122715</v>
      </c>
      <c r="BV307" s="596">
        <f t="shared" si="389"/>
        <v>0</v>
      </c>
      <c r="BW307" s="278"/>
      <c r="BX307" s="275">
        <f t="shared" si="397"/>
        <v>0</v>
      </c>
      <c r="BY307" s="275">
        <f t="shared" si="398"/>
        <v>0</v>
      </c>
      <c r="CA307" s="199">
        <f>'Detailed Budget'!$AD$96</f>
        <v>71050111380.677719</v>
      </c>
      <c r="CB307" s="275">
        <f t="shared" si="344"/>
        <v>104572013.59316708</v>
      </c>
      <c r="CE307" s="199">
        <f>'Detailed Budget'!$AD$175</f>
        <v>4330586076.5988197</v>
      </c>
      <c r="CF307" s="275">
        <f t="shared" si="390"/>
        <v>0</v>
      </c>
      <c r="CG307" s="199">
        <f>'Detailed Budget'!$AD$176</f>
        <v>20662817754.37001</v>
      </c>
      <c r="CH307" s="275">
        <f t="shared" si="391"/>
        <v>0</v>
      </c>
      <c r="CI307" s="275">
        <f t="shared" si="392"/>
        <v>0</v>
      </c>
      <c r="CJ307" s="275">
        <f>'Detailed Budget'!$AD$178</f>
        <v>46025131033.061455</v>
      </c>
      <c r="CK307" s="275">
        <f t="shared" si="393"/>
        <v>0</v>
      </c>
      <c r="CL307" s="275">
        <f t="shared" si="366"/>
        <v>0</v>
      </c>
      <c r="CM307" s="278">
        <f>'Detailed Budget'!$AD$189</f>
        <v>77498869683.252869</v>
      </c>
      <c r="CN307" s="275">
        <f t="shared" si="346"/>
        <v>0</v>
      </c>
      <c r="CO307" s="140">
        <f>'Detailed Budget'!$AD$191</f>
        <v>2684962805.4134097</v>
      </c>
      <c r="CP307" s="616">
        <f t="shared" si="347"/>
        <v>0</v>
      </c>
      <c r="CQ307" s="616">
        <f t="shared" si="348"/>
        <v>0</v>
      </c>
      <c r="CR307" s="199">
        <f>'Detailed Budget'!$AD$195</f>
        <v>18734176418</v>
      </c>
      <c r="CS307" s="275">
        <f t="shared" si="394"/>
        <v>21457262.66656547</v>
      </c>
      <c r="CW307" s="278"/>
      <c r="DH307" s="140">
        <f>'Detailed Budget'!$AD$163</f>
        <v>4928560000</v>
      </c>
      <c r="DI307" s="616">
        <f t="shared" si="395"/>
        <v>5600000</v>
      </c>
    </row>
    <row r="308" spans="1:113" outlineLevel="1">
      <c r="A308" s="214" t="s">
        <v>758</v>
      </c>
      <c r="B308" s="215" t="s">
        <v>759</v>
      </c>
      <c r="C308" s="216" t="s">
        <v>234</v>
      </c>
      <c r="D308" s="217"/>
      <c r="E308" s="216"/>
      <c r="F308" s="216"/>
      <c r="G308" s="216"/>
      <c r="H308" s="216" t="s">
        <v>234</v>
      </c>
      <c r="I308" s="217" t="s">
        <v>234</v>
      </c>
      <c r="J308" s="217"/>
      <c r="K308" s="216" t="s">
        <v>234</v>
      </c>
      <c r="L308" s="216"/>
      <c r="M308" s="217"/>
      <c r="N308" s="216"/>
      <c r="O308" s="217"/>
      <c r="P308" s="216"/>
      <c r="Q308" s="217"/>
      <c r="R308" s="217" t="s">
        <v>234</v>
      </c>
      <c r="S308" s="217"/>
      <c r="T308" s="217"/>
      <c r="U308" s="218">
        <f t="shared" si="384"/>
        <v>5</v>
      </c>
      <c r="V308" s="867" t="s">
        <v>487</v>
      </c>
      <c r="W308" s="219">
        <v>192407</v>
      </c>
      <c r="X308" s="220">
        <v>2.91</v>
      </c>
      <c r="Y308" s="221">
        <f t="shared" si="379"/>
        <v>1.0290999999999999</v>
      </c>
      <c r="Z308" s="199">
        <v>19</v>
      </c>
      <c r="AA308" s="221">
        <f t="shared" si="380"/>
        <v>1.7246222540408234</v>
      </c>
      <c r="AB308" s="199">
        <f t="shared" si="381"/>
        <v>331829.3940332327</v>
      </c>
      <c r="AC308">
        <v>20.100000000000001</v>
      </c>
      <c r="AD308" s="199">
        <f t="shared" si="382"/>
        <v>66697.708200679772</v>
      </c>
      <c r="AE308" s="199">
        <f t="shared" si="399"/>
        <v>63362.822790645783</v>
      </c>
      <c r="AF308" s="199">
        <f t="shared" si="365"/>
        <v>0</v>
      </c>
      <c r="AG308" s="614">
        <f t="shared" si="351"/>
        <v>2.929618757835296E-3</v>
      </c>
      <c r="AH308" s="199">
        <f t="shared" si="396"/>
        <v>16591.469701661637</v>
      </c>
      <c r="AI308" s="252">
        <f t="shared" si="334"/>
        <v>1.2853160192556935E-3</v>
      </c>
      <c r="AJ308" s="199">
        <f t="shared" si="352"/>
        <v>83289.177902341413</v>
      </c>
      <c r="AK308" s="199">
        <f t="shared" si="367"/>
        <v>13273.175761329308</v>
      </c>
      <c r="AL308" s="199">
        <f t="shared" si="368"/>
        <v>13273.175761329308</v>
      </c>
      <c r="AM308" s="199">
        <f t="shared" si="335"/>
        <v>26546.351522658617</v>
      </c>
      <c r="AN308" s="645">
        <f t="shared" si="336"/>
        <v>1.2853160192556933E-3</v>
      </c>
      <c r="AO308" s="199">
        <v>10</v>
      </c>
      <c r="AP308" s="250">
        <f t="shared" si="337"/>
        <v>1.1362345188046814E-3</v>
      </c>
      <c r="AQ308" s="199">
        <v>10</v>
      </c>
      <c r="AU308" s="199">
        <v>0</v>
      </c>
      <c r="AW308" s="250">
        <f t="shared" si="338"/>
        <v>0</v>
      </c>
      <c r="AX308" s="199">
        <v>1</v>
      </c>
      <c r="AY308" s="199">
        <f t="shared" si="385"/>
        <v>28172.418576058943</v>
      </c>
      <c r="AZ308" s="199">
        <f t="shared" si="355"/>
        <v>28172.418576058943</v>
      </c>
      <c r="BA308" s="252">
        <f t="shared" si="339"/>
        <v>2.214534919679806E-3</v>
      </c>
      <c r="BB308" s="284">
        <v>0</v>
      </c>
      <c r="BC308" s="199">
        <f t="shared" si="386"/>
        <v>0</v>
      </c>
      <c r="BD308" s="270">
        <f t="shared" si="369"/>
        <v>0</v>
      </c>
      <c r="BE308" s="199">
        <f t="shared" si="387"/>
        <v>0</v>
      </c>
      <c r="BF308" s="251">
        <f t="shared" si="370"/>
        <v>0</v>
      </c>
      <c r="BG308" s="204">
        <f t="shared" si="383"/>
        <v>0</v>
      </c>
      <c r="BH308" s="636">
        <v>0</v>
      </c>
      <c r="BI308" s="199">
        <f t="shared" si="340"/>
        <v>101539.79457416922</v>
      </c>
      <c r="BJ308" s="199">
        <f t="shared" si="341"/>
        <v>203079.58914833845</v>
      </c>
      <c r="BK308" s="199">
        <f t="shared" si="349"/>
        <v>304619.38372250769</v>
      </c>
      <c r="BL308" s="251">
        <f t="shared" si="342"/>
        <v>1.2853160192556935E-3</v>
      </c>
      <c r="BM308" s="199">
        <f t="shared" si="388"/>
        <v>39907.784757625239</v>
      </c>
      <c r="BN308" s="251">
        <f t="shared" si="343"/>
        <v>1.7233422568765104E-3</v>
      </c>
      <c r="BT308" s="199">
        <f>'Detailed Budget'!$AD$12</f>
        <v>194045122715</v>
      </c>
      <c r="BU308" s="199">
        <f>'Detailed Budget'!$AD$24</f>
        <v>194045122715</v>
      </c>
      <c r="BV308" s="596">
        <f t="shared" si="389"/>
        <v>0</v>
      </c>
      <c r="BW308" s="278"/>
      <c r="BX308" s="275">
        <f t="shared" si="397"/>
        <v>0</v>
      </c>
      <c r="BY308" s="275">
        <f t="shared" si="398"/>
        <v>0</v>
      </c>
      <c r="CA308" s="199">
        <f>'Detailed Budget'!$AD$96</f>
        <v>71050111380.677719</v>
      </c>
      <c r="CB308" s="275">
        <f t="shared" si="344"/>
        <v>157342952.69965041</v>
      </c>
      <c r="CE308" s="199">
        <f>'Detailed Budget'!$AD$175</f>
        <v>4330586076.5988197</v>
      </c>
      <c r="CF308" s="275">
        <f t="shared" si="390"/>
        <v>0</v>
      </c>
      <c r="CG308" s="199">
        <f>'Detailed Budget'!$AD$176</f>
        <v>20662817754.37001</v>
      </c>
      <c r="CH308" s="275">
        <f t="shared" si="391"/>
        <v>0</v>
      </c>
      <c r="CI308" s="275">
        <f t="shared" si="392"/>
        <v>0</v>
      </c>
      <c r="CJ308" s="275">
        <f>'Detailed Budget'!$AD$178</f>
        <v>46025131033.061455</v>
      </c>
      <c r="CK308" s="275">
        <f t="shared" si="393"/>
        <v>0</v>
      </c>
      <c r="CL308" s="275">
        <f t="shared" si="366"/>
        <v>0</v>
      </c>
      <c r="CM308" s="278">
        <f>'Detailed Budget'!$AD$189</f>
        <v>77498869683.252869</v>
      </c>
      <c r="CN308" s="275">
        <f t="shared" si="346"/>
        <v>0</v>
      </c>
      <c r="CO308" s="140">
        <f>'Detailed Budget'!$AD$191</f>
        <v>2684962805.4134097</v>
      </c>
      <c r="CP308" s="616">
        <f t="shared" si="347"/>
        <v>0</v>
      </c>
      <c r="CQ308" s="616">
        <f t="shared" si="348"/>
        <v>0</v>
      </c>
      <c r="CR308" s="199">
        <f>'Detailed Budget'!$AD$195</f>
        <v>18734176418</v>
      </c>
      <c r="CS308" s="275">
        <f t="shared" si="394"/>
        <v>32285397.868918821</v>
      </c>
      <c r="CW308" s="278"/>
      <c r="DH308" s="140">
        <f>'Detailed Budget'!$AD$163</f>
        <v>4928560000</v>
      </c>
      <c r="DI308" s="616">
        <f t="shared" si="395"/>
        <v>5600000</v>
      </c>
    </row>
    <row r="309" spans="1:113" outlineLevel="1">
      <c r="A309" s="214" t="s">
        <v>760</v>
      </c>
      <c r="B309" s="215" t="s">
        <v>761</v>
      </c>
      <c r="C309" s="216" t="s">
        <v>234</v>
      </c>
      <c r="D309" s="217"/>
      <c r="E309" s="216"/>
      <c r="F309" s="216"/>
      <c r="G309" s="216"/>
      <c r="H309" s="216" t="s">
        <v>234</v>
      </c>
      <c r="I309" s="217" t="s">
        <v>234</v>
      </c>
      <c r="J309" s="217"/>
      <c r="K309" s="216" t="s">
        <v>234</v>
      </c>
      <c r="L309" s="216"/>
      <c r="M309" s="217"/>
      <c r="N309" s="216"/>
      <c r="O309" s="217"/>
      <c r="P309" s="216"/>
      <c r="Q309" s="217"/>
      <c r="R309" s="217" t="s">
        <v>234</v>
      </c>
      <c r="S309" s="217"/>
      <c r="T309" s="217"/>
      <c r="U309" s="218">
        <f t="shared" si="384"/>
        <v>5</v>
      </c>
      <c r="V309" s="867" t="s">
        <v>487</v>
      </c>
      <c r="W309" s="219">
        <v>77414</v>
      </c>
      <c r="X309" s="220">
        <v>2.91</v>
      </c>
      <c r="Y309" s="221">
        <f t="shared" si="379"/>
        <v>1.0290999999999999</v>
      </c>
      <c r="Z309" s="199">
        <v>19</v>
      </c>
      <c r="AA309" s="221">
        <f t="shared" si="380"/>
        <v>1.7246222540408234</v>
      </c>
      <c r="AB309" s="199">
        <f t="shared" si="381"/>
        <v>133509.90717431629</v>
      </c>
      <c r="AC309">
        <v>20.100000000000001</v>
      </c>
      <c r="AD309" s="199">
        <f t="shared" si="382"/>
        <v>26835.491342037578</v>
      </c>
      <c r="AE309" s="199">
        <f t="shared" si="399"/>
        <v>25493.7167749357</v>
      </c>
      <c r="AF309" s="199">
        <f t="shared" si="365"/>
        <v>0</v>
      </c>
      <c r="AG309" s="614">
        <f t="shared" si="351"/>
        <v>1.1787175441593167E-3</v>
      </c>
      <c r="AH309" s="199">
        <f t="shared" si="396"/>
        <v>6675.4953587158152</v>
      </c>
      <c r="AI309" s="252">
        <f t="shared" si="334"/>
        <v>5.1714051107631346E-4</v>
      </c>
      <c r="AJ309" s="199">
        <f t="shared" si="352"/>
        <v>33510.98670075339</v>
      </c>
      <c r="AK309" s="199">
        <f t="shared" si="367"/>
        <v>5340.396286972652</v>
      </c>
      <c r="AL309" s="199">
        <f t="shared" si="368"/>
        <v>5340.396286972652</v>
      </c>
      <c r="AM309" s="199">
        <f t="shared" si="335"/>
        <v>10680.792573945304</v>
      </c>
      <c r="AN309" s="645">
        <f t="shared" si="336"/>
        <v>5.1714051107631346E-4</v>
      </c>
      <c r="AO309" s="199">
        <v>11</v>
      </c>
      <c r="AP309" s="250">
        <f t="shared" si="337"/>
        <v>1.2498579706851495E-3</v>
      </c>
      <c r="AQ309" s="199">
        <v>11</v>
      </c>
      <c r="AU309" s="199">
        <v>0</v>
      </c>
      <c r="AW309" s="250">
        <f t="shared" si="338"/>
        <v>0</v>
      </c>
      <c r="AX309" s="199">
        <v>1</v>
      </c>
      <c r="AY309" s="199">
        <f t="shared" si="385"/>
        <v>11335.032569745523</v>
      </c>
      <c r="AZ309" s="199">
        <f t="shared" si="355"/>
        <v>11335.032569745523</v>
      </c>
      <c r="BA309" s="252">
        <f t="shared" si="339"/>
        <v>8.9100711653989978E-4</v>
      </c>
      <c r="BB309" s="284">
        <v>0</v>
      </c>
      <c r="BC309" s="199">
        <f t="shared" si="386"/>
        <v>0</v>
      </c>
      <c r="BD309" s="270">
        <f t="shared" si="369"/>
        <v>0</v>
      </c>
      <c r="BE309" s="199">
        <f t="shared" si="387"/>
        <v>0</v>
      </c>
      <c r="BF309" s="251">
        <f t="shared" si="370"/>
        <v>0</v>
      </c>
      <c r="BG309" s="204">
        <f t="shared" si="383"/>
        <v>0</v>
      </c>
      <c r="BH309" s="636">
        <v>0</v>
      </c>
      <c r="BI309" s="199">
        <f t="shared" si="340"/>
        <v>40854.031595340784</v>
      </c>
      <c r="BJ309" s="199">
        <f t="shared" si="341"/>
        <v>81708.063190681569</v>
      </c>
      <c r="BK309" s="199">
        <f t="shared" si="349"/>
        <v>122562.09478602235</v>
      </c>
      <c r="BL309" s="251">
        <f t="shared" si="342"/>
        <v>5.1714051107631335E-4</v>
      </c>
      <c r="BM309" s="199">
        <f t="shared" si="388"/>
        <v>16056.69881671041</v>
      </c>
      <c r="BN309" s="251">
        <f t="shared" si="343"/>
        <v>6.9337819036645321E-4</v>
      </c>
      <c r="BT309" s="199">
        <f>'Detailed Budget'!$AD$12</f>
        <v>194045122715</v>
      </c>
      <c r="BU309" s="199">
        <f>'Detailed Budget'!$AD$24</f>
        <v>194045122715</v>
      </c>
      <c r="BV309" s="596">
        <f t="shared" si="389"/>
        <v>0</v>
      </c>
      <c r="BW309" s="278"/>
      <c r="BX309" s="275">
        <f t="shared" si="397"/>
        <v>0</v>
      </c>
      <c r="BY309" s="275">
        <f t="shared" si="398"/>
        <v>0</v>
      </c>
      <c r="CA309" s="199">
        <f>'Detailed Budget'!$AD$96</f>
        <v>71050111380.677719</v>
      </c>
      <c r="CB309" s="275">
        <f t="shared" si="344"/>
        <v>63306154.871136375</v>
      </c>
      <c r="CE309" s="199">
        <f>'Detailed Budget'!$AD$175</f>
        <v>4330586076.5988197</v>
      </c>
      <c r="CF309" s="275">
        <f t="shared" si="390"/>
        <v>0</v>
      </c>
      <c r="CG309" s="199">
        <f>'Detailed Budget'!$AD$176</f>
        <v>20662817754.37001</v>
      </c>
      <c r="CH309" s="275">
        <f t="shared" si="391"/>
        <v>0</v>
      </c>
      <c r="CI309" s="275">
        <f t="shared" si="392"/>
        <v>0</v>
      </c>
      <c r="CJ309" s="275">
        <f>'Detailed Budget'!$AD$178</f>
        <v>46025131033.061455</v>
      </c>
      <c r="CK309" s="275">
        <f t="shared" si="393"/>
        <v>0</v>
      </c>
      <c r="CL309" s="275">
        <f t="shared" si="366"/>
        <v>0</v>
      </c>
      <c r="CM309" s="278">
        <f>'Detailed Budget'!$AD$189</f>
        <v>77498869683.252869</v>
      </c>
      <c r="CN309" s="275">
        <f t="shared" si="346"/>
        <v>0</v>
      </c>
      <c r="CO309" s="140">
        <f>'Detailed Budget'!$AD$191</f>
        <v>2684962805.4134097</v>
      </c>
      <c r="CP309" s="616">
        <f t="shared" si="347"/>
        <v>0</v>
      </c>
      <c r="CQ309" s="616">
        <f t="shared" si="348"/>
        <v>0</v>
      </c>
      <c r="CR309" s="199">
        <f>'Detailed Budget'!$AD$195</f>
        <v>18734176418</v>
      </c>
      <c r="CS309" s="275">
        <f t="shared" si="394"/>
        <v>12989869.342718722</v>
      </c>
      <c r="CW309" s="278"/>
      <c r="DH309" s="140">
        <f>'Detailed Budget'!$AD$163</f>
        <v>4928560000</v>
      </c>
      <c r="DI309" s="616">
        <f t="shared" si="395"/>
        <v>6160000</v>
      </c>
    </row>
    <row r="310" spans="1:113" outlineLevel="1">
      <c r="A310" s="214" t="s">
        <v>762</v>
      </c>
      <c r="B310" s="215" t="s">
        <v>763</v>
      </c>
      <c r="C310" s="216" t="s">
        <v>234</v>
      </c>
      <c r="D310" s="217"/>
      <c r="E310" s="216"/>
      <c r="F310" s="216"/>
      <c r="G310" s="216"/>
      <c r="H310" s="216" t="s">
        <v>234</v>
      </c>
      <c r="I310" s="217" t="s">
        <v>234</v>
      </c>
      <c r="J310" s="217"/>
      <c r="K310" s="216" t="s">
        <v>234</v>
      </c>
      <c r="L310" s="216"/>
      <c r="M310" s="217"/>
      <c r="N310" s="216"/>
      <c r="O310" s="217"/>
      <c r="P310" s="216"/>
      <c r="Q310" s="217"/>
      <c r="R310" s="217" t="s">
        <v>234</v>
      </c>
      <c r="S310" s="217"/>
      <c r="T310" s="217"/>
      <c r="U310" s="218">
        <f t="shared" si="384"/>
        <v>5</v>
      </c>
      <c r="V310" s="867" t="s">
        <v>487</v>
      </c>
      <c r="W310" s="219">
        <v>134813</v>
      </c>
      <c r="X310" s="220">
        <v>2.91</v>
      </c>
      <c r="Y310" s="221">
        <f t="shared" si="379"/>
        <v>1.0290999999999999</v>
      </c>
      <c r="Z310" s="199">
        <v>19</v>
      </c>
      <c r="AA310" s="221">
        <f t="shared" si="380"/>
        <v>1.7246222540408234</v>
      </c>
      <c r="AB310" s="199">
        <f t="shared" si="381"/>
        <v>232501.49993400552</v>
      </c>
      <c r="AC310">
        <v>20.100000000000001</v>
      </c>
      <c r="AD310" s="199">
        <f t="shared" si="382"/>
        <v>46732.801486735108</v>
      </c>
      <c r="AE310" s="199">
        <f t="shared" si="399"/>
        <v>44396.161412398353</v>
      </c>
      <c r="AF310" s="199">
        <f t="shared" si="365"/>
        <v>0</v>
      </c>
      <c r="AG310" s="614">
        <f t="shared" si="351"/>
        <v>2.0526836009087494E-3</v>
      </c>
      <c r="AH310" s="199">
        <f t="shared" si="396"/>
        <v>11625.074996700278</v>
      </c>
      <c r="AI310" s="252">
        <f t="shared" si="334"/>
        <v>9.0057694628531079E-4</v>
      </c>
      <c r="AJ310" s="199">
        <f t="shared" si="352"/>
        <v>58357.876483435386</v>
      </c>
      <c r="AK310" s="199">
        <f t="shared" si="367"/>
        <v>9300.0599973602202</v>
      </c>
      <c r="AL310" s="199">
        <f t="shared" si="368"/>
        <v>9300.0599973602202</v>
      </c>
      <c r="AM310" s="199">
        <f t="shared" si="335"/>
        <v>18600.11999472044</v>
      </c>
      <c r="AN310" s="645">
        <f t="shared" si="336"/>
        <v>9.0057694628531068E-4</v>
      </c>
      <c r="AO310" s="199">
        <v>10</v>
      </c>
      <c r="AP310" s="250">
        <f t="shared" si="337"/>
        <v>1.1362345188046814E-3</v>
      </c>
      <c r="AQ310" s="199">
        <v>10</v>
      </c>
      <c r="AU310" s="199">
        <v>0</v>
      </c>
      <c r="AW310" s="250">
        <f t="shared" si="338"/>
        <v>0</v>
      </c>
      <c r="AX310" s="199">
        <v>1</v>
      </c>
      <c r="AY310" s="199">
        <f t="shared" si="385"/>
        <v>19739.449528833327</v>
      </c>
      <c r="AZ310" s="199">
        <f t="shared" si="355"/>
        <v>19739.449528833327</v>
      </c>
      <c r="BA310" s="252">
        <f t="shared" si="339"/>
        <v>1.5516488284043391E-3</v>
      </c>
      <c r="BB310" s="284">
        <v>0</v>
      </c>
      <c r="BC310" s="199">
        <f t="shared" si="386"/>
        <v>0</v>
      </c>
      <c r="BD310" s="270">
        <f t="shared" si="369"/>
        <v>0</v>
      </c>
      <c r="BE310" s="199">
        <f t="shared" si="387"/>
        <v>0</v>
      </c>
      <c r="BF310" s="251">
        <f t="shared" si="370"/>
        <v>0</v>
      </c>
      <c r="BG310" s="204">
        <f t="shared" si="383"/>
        <v>0</v>
      </c>
      <c r="BH310" s="636">
        <v>0</v>
      </c>
      <c r="BI310" s="199">
        <f t="shared" si="340"/>
        <v>71145.45897980567</v>
      </c>
      <c r="BJ310" s="199">
        <f t="shared" si="341"/>
        <v>142290.91795961134</v>
      </c>
      <c r="BK310" s="199">
        <f t="shared" si="349"/>
        <v>213436.37693941701</v>
      </c>
      <c r="BL310" s="251">
        <f t="shared" si="342"/>
        <v>9.0057694628531046E-4</v>
      </c>
      <c r="BM310" s="199">
        <f t="shared" si="388"/>
        <v>27962.018983351598</v>
      </c>
      <c r="BN310" s="251">
        <f t="shared" si="343"/>
        <v>1.207486940060876E-3</v>
      </c>
      <c r="BT310" s="199">
        <f>'Detailed Budget'!$AD$12</f>
        <v>194045122715</v>
      </c>
      <c r="BU310" s="199">
        <f>'Detailed Budget'!$AD$24</f>
        <v>194045122715</v>
      </c>
      <c r="BV310" s="596">
        <f t="shared" si="389"/>
        <v>0</v>
      </c>
      <c r="BW310" s="278"/>
      <c r="BX310" s="275">
        <f t="shared" si="397"/>
        <v>0</v>
      </c>
      <c r="BY310" s="275">
        <f t="shared" si="398"/>
        <v>0</v>
      </c>
      <c r="CA310" s="199">
        <f>'Detailed Budget'!$AD$96</f>
        <v>71050111380.677719</v>
      </c>
      <c r="CB310" s="275">
        <f t="shared" si="344"/>
        <v>110244822.08182639</v>
      </c>
      <c r="CE310" s="199">
        <f>'Detailed Budget'!$AD$175</f>
        <v>4330586076.5988197</v>
      </c>
      <c r="CF310" s="275">
        <f t="shared" si="390"/>
        <v>0</v>
      </c>
      <c r="CG310" s="199">
        <f>'Detailed Budget'!$AD$176</f>
        <v>20662817754.37001</v>
      </c>
      <c r="CH310" s="275">
        <f t="shared" si="391"/>
        <v>0</v>
      </c>
      <c r="CI310" s="275">
        <f t="shared" si="392"/>
        <v>0</v>
      </c>
      <c r="CJ310" s="275">
        <f>'Detailed Budget'!$AD$178</f>
        <v>46025131033.061455</v>
      </c>
      <c r="CK310" s="275">
        <f t="shared" si="393"/>
        <v>0</v>
      </c>
      <c r="CL310" s="275">
        <f t="shared" si="366"/>
        <v>0</v>
      </c>
      <c r="CM310" s="278">
        <f>'Detailed Budget'!$AD$189</f>
        <v>77498869683.252869</v>
      </c>
      <c r="CN310" s="275">
        <f t="shared" si="346"/>
        <v>0</v>
      </c>
      <c r="CO310" s="140">
        <f>'Detailed Budget'!$AD$191</f>
        <v>2684962805.4134097</v>
      </c>
      <c r="CP310" s="616">
        <f t="shared" si="347"/>
        <v>0</v>
      </c>
      <c r="CQ310" s="616">
        <f t="shared" si="348"/>
        <v>0</v>
      </c>
      <c r="CR310" s="199">
        <f>'Detailed Budget'!$AD$195</f>
        <v>18734176418</v>
      </c>
      <c r="CS310" s="275">
        <f t="shared" si="394"/>
        <v>22621273.357531443</v>
      </c>
      <c r="CW310" s="278"/>
      <c r="DH310" s="140">
        <f>'Detailed Budget'!$AD$163</f>
        <v>4928560000</v>
      </c>
      <c r="DI310" s="616">
        <f t="shared" si="395"/>
        <v>5600000</v>
      </c>
    </row>
    <row r="311" spans="1:113" outlineLevel="1">
      <c r="A311" s="214" t="s">
        <v>764</v>
      </c>
      <c r="B311" s="215" t="s">
        <v>765</v>
      </c>
      <c r="C311" s="216" t="s">
        <v>234</v>
      </c>
      <c r="D311" s="217"/>
      <c r="E311" s="216"/>
      <c r="F311" s="216"/>
      <c r="G311" s="216"/>
      <c r="H311" s="216" t="s">
        <v>234</v>
      </c>
      <c r="I311" s="217" t="s">
        <v>234</v>
      </c>
      <c r="J311" s="217"/>
      <c r="K311" s="216" t="s">
        <v>234</v>
      </c>
      <c r="L311" s="216"/>
      <c r="M311" s="217"/>
      <c r="N311" s="216"/>
      <c r="O311" s="217"/>
      <c r="P311" s="216"/>
      <c r="Q311" s="217"/>
      <c r="R311" s="217" t="s">
        <v>234</v>
      </c>
      <c r="S311" s="217"/>
      <c r="T311" s="217"/>
      <c r="U311" s="218">
        <f t="shared" si="384"/>
        <v>5</v>
      </c>
      <c r="V311" s="867" t="s">
        <v>487</v>
      </c>
      <c r="W311" s="219">
        <v>131861</v>
      </c>
      <c r="X311" s="220">
        <v>2.91</v>
      </c>
      <c r="Y311" s="221">
        <f t="shared" si="379"/>
        <v>1.0290999999999999</v>
      </c>
      <c r="Z311" s="199">
        <v>19</v>
      </c>
      <c r="AA311" s="221">
        <f t="shared" si="380"/>
        <v>1.7246222540408234</v>
      </c>
      <c r="AB311" s="199">
        <f t="shared" si="381"/>
        <v>227410.415040077</v>
      </c>
      <c r="AC311">
        <v>20.100000000000001</v>
      </c>
      <c r="AD311" s="199">
        <f t="shared" si="382"/>
        <v>45709.493423055486</v>
      </c>
      <c r="AE311" s="199">
        <f t="shared" si="399"/>
        <v>43424.018751902709</v>
      </c>
      <c r="AF311" s="199">
        <f t="shared" si="365"/>
        <v>0</v>
      </c>
      <c r="AG311" s="614">
        <f t="shared" si="351"/>
        <v>2.0077359920736772E-3</v>
      </c>
      <c r="AH311" s="199">
        <f t="shared" si="396"/>
        <v>11370.520752003851</v>
      </c>
      <c r="AI311" s="252">
        <f t="shared" si="334"/>
        <v>8.8085701463603183E-4</v>
      </c>
      <c r="AJ311" s="199">
        <f t="shared" si="352"/>
        <v>57080.014175059339</v>
      </c>
      <c r="AK311" s="199">
        <f t="shared" si="367"/>
        <v>9096.4166016030795</v>
      </c>
      <c r="AL311" s="199">
        <f t="shared" si="368"/>
        <v>9096.4166016030795</v>
      </c>
      <c r="AM311" s="199">
        <f t="shared" si="335"/>
        <v>18192.833203206159</v>
      </c>
      <c r="AN311" s="645">
        <f t="shared" si="336"/>
        <v>8.8085701463603173E-4</v>
      </c>
      <c r="AO311" s="199">
        <v>10</v>
      </c>
      <c r="AP311" s="250">
        <f t="shared" si="337"/>
        <v>1.1362345188046814E-3</v>
      </c>
      <c r="AQ311" s="199">
        <v>10</v>
      </c>
      <c r="AU311" s="199">
        <v>0</v>
      </c>
      <c r="AW311" s="250">
        <f t="shared" si="338"/>
        <v>0</v>
      </c>
      <c r="AX311" s="199">
        <v>1</v>
      </c>
      <c r="AY311" s="199">
        <f t="shared" si="385"/>
        <v>19307.21484071634</v>
      </c>
      <c r="AZ311" s="199">
        <f t="shared" si="355"/>
        <v>19307.21484071634</v>
      </c>
      <c r="BA311" s="252">
        <f t="shared" si="339"/>
        <v>1.5176723770127852E-3</v>
      </c>
      <c r="BB311" s="284">
        <v>0</v>
      </c>
      <c r="BC311" s="199">
        <f t="shared" si="386"/>
        <v>0</v>
      </c>
      <c r="BD311" s="270">
        <f t="shared" si="369"/>
        <v>0</v>
      </c>
      <c r="BE311" s="199">
        <f t="shared" si="387"/>
        <v>0</v>
      </c>
      <c r="BF311" s="251">
        <f t="shared" si="370"/>
        <v>0</v>
      </c>
      <c r="BG311" s="204">
        <f t="shared" si="383"/>
        <v>0</v>
      </c>
      <c r="BH311" s="636">
        <v>0</v>
      </c>
      <c r="BI311" s="199">
        <f t="shared" si="340"/>
        <v>69587.58700226355</v>
      </c>
      <c r="BJ311" s="199">
        <f t="shared" si="341"/>
        <v>139175.1740045271</v>
      </c>
      <c r="BK311" s="199">
        <f t="shared" si="349"/>
        <v>208762.76100679065</v>
      </c>
      <c r="BL311" s="251">
        <f t="shared" si="342"/>
        <v>8.8085701463603162E-4</v>
      </c>
      <c r="BM311" s="199">
        <f t="shared" si="388"/>
        <v>27349.734707808038</v>
      </c>
      <c r="BN311" s="251">
        <f t="shared" si="343"/>
        <v>1.1810466008720759E-3</v>
      </c>
      <c r="BT311" s="199">
        <f>'Detailed Budget'!$AD$12</f>
        <v>194045122715</v>
      </c>
      <c r="BU311" s="199">
        <f>'Detailed Budget'!$AD$24</f>
        <v>194045122715</v>
      </c>
      <c r="BV311" s="596">
        <f t="shared" si="389"/>
        <v>0</v>
      </c>
      <c r="BW311" s="278"/>
      <c r="BX311" s="275">
        <f t="shared" si="397"/>
        <v>0</v>
      </c>
      <c r="BY311" s="275">
        <f t="shared" si="398"/>
        <v>0</v>
      </c>
      <c r="CA311" s="199">
        <f>'Detailed Budget'!$AD$96</f>
        <v>71050111380.677719</v>
      </c>
      <c r="CB311" s="275">
        <f t="shared" si="344"/>
        <v>107830791.4261363</v>
      </c>
      <c r="CE311" s="199">
        <f>'Detailed Budget'!$AD$175</f>
        <v>4330586076.5988197</v>
      </c>
      <c r="CF311" s="275">
        <f t="shared" si="390"/>
        <v>0</v>
      </c>
      <c r="CG311" s="199">
        <f>'Detailed Budget'!$AD$176</f>
        <v>20662817754.37001</v>
      </c>
      <c r="CH311" s="275">
        <f t="shared" si="391"/>
        <v>0</v>
      </c>
      <c r="CI311" s="275">
        <f t="shared" si="392"/>
        <v>0</v>
      </c>
      <c r="CJ311" s="275">
        <f>'Detailed Budget'!$AD$178</f>
        <v>46025131033.061455</v>
      </c>
      <c r="CK311" s="275">
        <f t="shared" si="393"/>
        <v>0</v>
      </c>
      <c r="CL311" s="275">
        <f t="shared" si="366"/>
        <v>0</v>
      </c>
      <c r="CM311" s="278">
        <f>'Detailed Budget'!$AD$189</f>
        <v>77498869683.252869</v>
      </c>
      <c r="CN311" s="275">
        <f t="shared" si="346"/>
        <v>0</v>
      </c>
      <c r="CO311" s="140">
        <f>'Detailed Budget'!$AD$191</f>
        <v>2684962805.4134097</v>
      </c>
      <c r="CP311" s="616">
        <f t="shared" si="347"/>
        <v>0</v>
      </c>
      <c r="CQ311" s="616">
        <f t="shared" si="348"/>
        <v>0</v>
      </c>
      <c r="CR311" s="199">
        <f>'Detailed Budget'!$AD$195</f>
        <v>18734176418</v>
      </c>
      <c r="CS311" s="275">
        <f t="shared" si="394"/>
        <v>22125935.378616702</v>
      </c>
      <c r="CW311" s="278"/>
      <c r="DH311" s="140">
        <f>'Detailed Budget'!$AD$163</f>
        <v>4928560000</v>
      </c>
      <c r="DI311" s="616">
        <f t="shared" si="395"/>
        <v>5600000</v>
      </c>
    </row>
    <row r="312" spans="1:113" outlineLevel="1">
      <c r="A312" s="214" t="s">
        <v>766</v>
      </c>
      <c r="B312" s="215" t="s">
        <v>767</v>
      </c>
      <c r="C312" s="216" t="s">
        <v>234</v>
      </c>
      <c r="D312" s="217"/>
      <c r="E312" s="216"/>
      <c r="F312" s="216"/>
      <c r="G312" s="216"/>
      <c r="H312" s="216" t="s">
        <v>234</v>
      </c>
      <c r="I312" s="217" t="s">
        <v>234</v>
      </c>
      <c r="J312" s="217"/>
      <c r="K312" s="216" t="s">
        <v>234</v>
      </c>
      <c r="L312" s="216"/>
      <c r="M312" s="217"/>
      <c r="N312" s="216"/>
      <c r="O312" s="217"/>
      <c r="P312" s="216"/>
      <c r="Q312" s="217"/>
      <c r="R312" s="217" t="s">
        <v>234</v>
      </c>
      <c r="S312" s="217"/>
      <c r="T312" s="217"/>
      <c r="U312" s="218">
        <f t="shared" si="384"/>
        <v>5</v>
      </c>
      <c r="V312" s="867" t="s">
        <v>487</v>
      </c>
      <c r="W312" s="219">
        <v>95643</v>
      </c>
      <c r="X312" s="220">
        <v>2.91</v>
      </c>
      <c r="Y312" s="221">
        <f t="shared" si="379"/>
        <v>1.0290999999999999</v>
      </c>
      <c r="Z312" s="199">
        <v>19</v>
      </c>
      <c r="AA312" s="221">
        <f t="shared" si="380"/>
        <v>1.7246222540408234</v>
      </c>
      <c r="AB312" s="199">
        <f t="shared" si="381"/>
        <v>164948.04624322648</v>
      </c>
      <c r="AC312">
        <v>20.100000000000001</v>
      </c>
      <c r="AD312" s="199">
        <f t="shared" si="382"/>
        <v>33154.557294888524</v>
      </c>
      <c r="AE312" s="199">
        <f t="shared" si="399"/>
        <v>31496.829430144095</v>
      </c>
      <c r="AF312" s="199">
        <f t="shared" si="365"/>
        <v>0</v>
      </c>
      <c r="AG312" s="614">
        <f t="shared" si="351"/>
        <v>1.456275119177791E-3</v>
      </c>
      <c r="AH312" s="199">
        <f t="shared" si="396"/>
        <v>8247.4023121613245</v>
      </c>
      <c r="AI312" s="252">
        <f t="shared" si="334"/>
        <v>6.3891376108807002E-4</v>
      </c>
      <c r="AJ312" s="199">
        <f t="shared" si="352"/>
        <v>41401.959607049852</v>
      </c>
      <c r="AK312" s="199">
        <f t="shared" si="367"/>
        <v>6597.9218497290594</v>
      </c>
      <c r="AL312" s="199">
        <f t="shared" si="368"/>
        <v>6597.9218497290594</v>
      </c>
      <c r="AM312" s="199">
        <f t="shared" si="335"/>
        <v>13195.843699458119</v>
      </c>
      <c r="AN312" s="645">
        <f t="shared" si="336"/>
        <v>6.3891376108807002E-4</v>
      </c>
      <c r="AO312" s="199">
        <v>10</v>
      </c>
      <c r="AP312" s="250">
        <f t="shared" si="337"/>
        <v>1.1362345188046814E-3</v>
      </c>
      <c r="AQ312" s="199">
        <v>10</v>
      </c>
      <c r="AU312" s="199">
        <v>0</v>
      </c>
      <c r="AW312" s="250">
        <f t="shared" si="338"/>
        <v>0</v>
      </c>
      <c r="AX312" s="199">
        <v>1</v>
      </c>
      <c r="AY312" s="199">
        <f t="shared" si="385"/>
        <v>14004.140337253873</v>
      </c>
      <c r="AZ312" s="199">
        <f t="shared" si="355"/>
        <v>14004.140337253873</v>
      </c>
      <c r="BA312" s="252">
        <f t="shared" si="339"/>
        <v>1.10081630773795E-3</v>
      </c>
      <c r="BB312" s="284">
        <v>0</v>
      </c>
      <c r="BC312" s="199">
        <f t="shared" si="386"/>
        <v>0</v>
      </c>
      <c r="BD312" s="270">
        <f t="shared" si="369"/>
        <v>0</v>
      </c>
      <c r="BE312" s="199">
        <f t="shared" si="387"/>
        <v>0</v>
      </c>
      <c r="BF312" s="251">
        <f t="shared" si="370"/>
        <v>0</v>
      </c>
      <c r="BG312" s="204">
        <f t="shared" si="383"/>
        <v>0</v>
      </c>
      <c r="BH312" s="636">
        <v>0</v>
      </c>
      <c r="BI312" s="199">
        <f t="shared" si="340"/>
        <v>50474.102150427301</v>
      </c>
      <c r="BJ312" s="199">
        <f t="shared" si="341"/>
        <v>100948.2043008546</v>
      </c>
      <c r="BK312" s="199">
        <f t="shared" si="349"/>
        <v>151422.30645128191</v>
      </c>
      <c r="BL312" s="251">
        <f t="shared" si="342"/>
        <v>6.3891376108807002E-4</v>
      </c>
      <c r="BM312" s="199">
        <f t="shared" si="388"/>
        <v>19837.637183540879</v>
      </c>
      <c r="BN312" s="251">
        <f t="shared" si="343"/>
        <v>8.5665086755908071E-4</v>
      </c>
      <c r="BT312" s="199">
        <f>'Detailed Budget'!$AD$12</f>
        <v>194045122715</v>
      </c>
      <c r="BU312" s="199">
        <f>'Detailed Budget'!$AD$24</f>
        <v>194045122715</v>
      </c>
      <c r="BV312" s="596">
        <f t="shared" si="389"/>
        <v>0</v>
      </c>
      <c r="BW312" s="278"/>
      <c r="BX312" s="275">
        <f t="shared" si="397"/>
        <v>0</v>
      </c>
      <c r="BY312" s="275">
        <f t="shared" si="398"/>
        <v>0</v>
      </c>
      <c r="CA312" s="199">
        <f>'Detailed Budget'!$AD$96</f>
        <v>71050111380.677719</v>
      </c>
      <c r="CB312" s="275">
        <f t="shared" si="344"/>
        <v>78213121.274447754</v>
      </c>
      <c r="CE312" s="199">
        <f>'Detailed Budget'!$AD$175</f>
        <v>4330586076.5988197</v>
      </c>
      <c r="CF312" s="275">
        <f t="shared" si="390"/>
        <v>0</v>
      </c>
      <c r="CG312" s="199">
        <f>'Detailed Budget'!$AD$176</f>
        <v>20662817754.37001</v>
      </c>
      <c r="CH312" s="275">
        <f t="shared" si="391"/>
        <v>0</v>
      </c>
      <c r="CI312" s="275">
        <f t="shared" si="392"/>
        <v>0</v>
      </c>
      <c r="CJ312" s="275">
        <f>'Detailed Budget'!$AD$178</f>
        <v>46025131033.061455</v>
      </c>
      <c r="CK312" s="275">
        <f t="shared" si="393"/>
        <v>0</v>
      </c>
      <c r="CL312" s="275">
        <f t="shared" si="366"/>
        <v>0</v>
      </c>
      <c r="CM312" s="278">
        <f>'Detailed Budget'!$AD$189</f>
        <v>77498869683.252869</v>
      </c>
      <c r="CN312" s="275">
        <f t="shared" si="346"/>
        <v>0</v>
      </c>
      <c r="CO312" s="140">
        <f>'Detailed Budget'!$AD$191</f>
        <v>2684962805.4134097</v>
      </c>
      <c r="CP312" s="616">
        <f t="shared" si="347"/>
        <v>0</v>
      </c>
      <c r="CQ312" s="616">
        <f t="shared" si="348"/>
        <v>0</v>
      </c>
      <c r="CR312" s="199">
        <f>'Detailed Budget'!$AD$195</f>
        <v>18734176418</v>
      </c>
      <c r="CS312" s="275">
        <f t="shared" si="394"/>
        <v>16048648.481484571</v>
      </c>
      <c r="CW312" s="278"/>
      <c r="DH312" s="140">
        <f>'Detailed Budget'!$AD$163</f>
        <v>4928560000</v>
      </c>
      <c r="DI312" s="616">
        <f t="shared" si="395"/>
        <v>5600000</v>
      </c>
    </row>
    <row r="313" spans="1:113" outlineLevel="1">
      <c r="A313" s="214"/>
      <c r="B313" s="215"/>
      <c r="C313" s="216"/>
      <c r="D313" s="217"/>
      <c r="E313" s="216"/>
      <c r="F313" s="216"/>
      <c r="G313" s="216"/>
      <c r="H313" s="216"/>
      <c r="I313" s="217"/>
      <c r="J313" s="217"/>
      <c r="K313" s="216"/>
      <c r="L313" s="216"/>
      <c r="M313" s="217"/>
      <c r="N313" s="216"/>
      <c r="O313" s="217"/>
      <c r="P313" s="216"/>
      <c r="Q313" s="217"/>
      <c r="R313" s="217"/>
      <c r="S313" s="217"/>
      <c r="T313" s="217"/>
      <c r="U313" s="218"/>
      <c r="V313" s="867"/>
      <c r="W313" s="219"/>
      <c r="X313" s="220"/>
      <c r="Y313" s="221"/>
      <c r="Z313" s="199"/>
      <c r="AA313" s="221"/>
      <c r="AF313" s="199">
        <f t="shared" si="365"/>
        <v>0</v>
      </c>
      <c r="AG313" s="614">
        <f t="shared" si="351"/>
        <v>0</v>
      </c>
      <c r="AJ313" s="199"/>
      <c r="AK313" s="199">
        <f t="shared" si="367"/>
        <v>0</v>
      </c>
      <c r="AL313" s="199">
        <f t="shared" si="368"/>
        <v>0</v>
      </c>
      <c r="AM313" s="199">
        <f t="shared" si="335"/>
        <v>0</v>
      </c>
      <c r="AN313" s="645">
        <f t="shared" si="336"/>
        <v>0</v>
      </c>
      <c r="AP313" s="250">
        <f t="shared" si="337"/>
        <v>0</v>
      </c>
      <c r="AW313" s="250">
        <f t="shared" si="338"/>
        <v>0</v>
      </c>
      <c r="AX313" s="199"/>
      <c r="BA313" s="252">
        <f t="shared" si="339"/>
        <v>0</v>
      </c>
      <c r="BB313" s="284"/>
      <c r="BD313" s="270"/>
      <c r="BF313" s="251"/>
      <c r="BG313" s="204"/>
      <c r="BH313" s="636"/>
      <c r="BI313" s="199">
        <f t="shared" si="340"/>
        <v>0</v>
      </c>
      <c r="BJ313" s="199">
        <f t="shared" si="341"/>
        <v>0</v>
      </c>
      <c r="BK313" s="199">
        <f t="shared" si="349"/>
        <v>0</v>
      </c>
      <c r="BL313" s="251">
        <f t="shared" si="342"/>
        <v>0</v>
      </c>
      <c r="BN313" s="251">
        <f t="shared" si="343"/>
        <v>0</v>
      </c>
      <c r="BT313" s="199"/>
      <c r="BU313" s="199"/>
      <c r="BV313" s="596"/>
      <c r="BW313" s="278"/>
      <c r="BX313" s="275"/>
      <c r="BY313" s="275"/>
      <c r="CA313" s="199">
        <f>'Detailed Budget'!$AD$96</f>
        <v>71050111380.677719</v>
      </c>
      <c r="CB313" s="275">
        <f t="shared" si="344"/>
        <v>0</v>
      </c>
      <c r="CE313" s="199"/>
      <c r="CF313" s="275"/>
      <c r="CG313" s="199"/>
      <c r="CH313" s="275"/>
      <c r="CI313" s="275"/>
      <c r="CJ313" s="275"/>
      <c r="CK313" s="275"/>
      <c r="CL313" s="275">
        <f t="shared" si="366"/>
        <v>0</v>
      </c>
      <c r="CM313" s="278">
        <f>'Detailed Budget'!$AD$189</f>
        <v>77498869683.252869</v>
      </c>
      <c r="CN313" s="275">
        <f t="shared" si="346"/>
        <v>0</v>
      </c>
      <c r="CO313" s="140">
        <f>'Detailed Budget'!$AD$191</f>
        <v>2684962805.4134097</v>
      </c>
      <c r="CP313" s="616">
        <f t="shared" si="347"/>
        <v>0</v>
      </c>
      <c r="CQ313" s="616">
        <f t="shared" si="348"/>
        <v>0</v>
      </c>
      <c r="CR313" s="199"/>
      <c r="CS313" s="275"/>
      <c r="CW313" s="278"/>
      <c r="DH313" s="140">
        <f>'Detailed Budget'!$AD$163</f>
        <v>4928560000</v>
      </c>
      <c r="DI313" s="616">
        <f t="shared" si="395"/>
        <v>0</v>
      </c>
    </row>
    <row r="314" spans="1:113" s="213" customFormat="1">
      <c r="A314" s="206">
        <v>3.2</v>
      </c>
      <c r="B314" s="207" t="s">
        <v>768</v>
      </c>
      <c r="C314" s="208">
        <f t="shared" ref="C314:T314" si="400">COUNTA(C316:C338)</f>
        <v>23</v>
      </c>
      <c r="D314" s="208">
        <f t="shared" si="400"/>
        <v>23</v>
      </c>
      <c r="E314" s="208">
        <f t="shared" si="400"/>
        <v>0</v>
      </c>
      <c r="F314" s="208">
        <f t="shared" si="400"/>
        <v>0</v>
      </c>
      <c r="G314" s="208">
        <f t="shared" si="400"/>
        <v>0</v>
      </c>
      <c r="H314" s="208">
        <f t="shared" si="400"/>
        <v>23</v>
      </c>
      <c r="I314" s="208">
        <f t="shared" si="400"/>
        <v>23</v>
      </c>
      <c r="J314" s="208">
        <f t="shared" si="400"/>
        <v>0</v>
      </c>
      <c r="K314" s="208">
        <f t="shared" si="400"/>
        <v>22</v>
      </c>
      <c r="L314" s="208">
        <f t="shared" si="400"/>
        <v>0</v>
      </c>
      <c r="M314" s="208">
        <f t="shared" si="400"/>
        <v>1</v>
      </c>
      <c r="N314" s="208">
        <f t="shared" si="400"/>
        <v>0</v>
      </c>
      <c r="O314" s="208">
        <f t="shared" si="400"/>
        <v>0</v>
      </c>
      <c r="P314" s="208">
        <f t="shared" si="400"/>
        <v>0</v>
      </c>
      <c r="Q314" s="208">
        <f t="shared" si="400"/>
        <v>8</v>
      </c>
      <c r="R314" s="208">
        <f t="shared" si="400"/>
        <v>15</v>
      </c>
      <c r="S314" s="208">
        <f t="shared" si="400"/>
        <v>0</v>
      </c>
      <c r="T314" s="208">
        <f t="shared" si="400"/>
        <v>0</v>
      </c>
      <c r="U314" s="209">
        <f>SUM(C314:T314)</f>
        <v>138</v>
      </c>
      <c r="V314" s="866"/>
      <c r="W314" s="210">
        <f>SUM(W316:W338)</f>
        <v>6113503</v>
      </c>
      <c r="X314" s="211">
        <v>3.07</v>
      </c>
      <c r="Y314" s="212">
        <f t="shared" si="379"/>
        <v>1.0306999999999999</v>
      </c>
      <c r="Z314" s="210">
        <v>19</v>
      </c>
      <c r="AA314" s="212">
        <f t="shared" si="380"/>
        <v>1.7762874396990105</v>
      </c>
      <c r="AB314" s="210">
        <f t="shared" si="381"/>
        <v>10859338.591462219</v>
      </c>
      <c r="AC314" s="213">
        <v>19.2</v>
      </c>
      <c r="AD314" s="210">
        <f t="shared" si="382"/>
        <v>2084993.0095607459</v>
      </c>
      <c r="AE314" s="210">
        <f t="shared" si="399"/>
        <v>1980743.3590827086</v>
      </c>
      <c r="AF314" s="210">
        <f>SUM(AF316:AF338)</f>
        <v>1980743.3590827084</v>
      </c>
      <c r="AG314" s="614">
        <f t="shared" si="351"/>
        <v>9.1580877297705615E-2</v>
      </c>
      <c r="AH314" s="210">
        <f>SUM(AH316:AH338)</f>
        <v>542966.92957311112</v>
      </c>
      <c r="AI314" s="252">
        <f t="shared" si="334"/>
        <v>4.2062825358774848E-2</v>
      </c>
      <c r="AJ314" s="210">
        <f>SUM(AJ316:AJ338)</f>
        <v>2627959.9391338569</v>
      </c>
      <c r="AK314" s="199">
        <f t="shared" si="367"/>
        <v>434373.54365848878</v>
      </c>
      <c r="AL314" s="199">
        <f t="shared" si="368"/>
        <v>434373.54365848878</v>
      </c>
      <c r="AM314" s="199">
        <f t="shared" si="335"/>
        <v>868747.08731697756</v>
      </c>
      <c r="AN314" s="645">
        <f t="shared" si="336"/>
        <v>4.2062825358774834E-2</v>
      </c>
      <c r="AO314" s="210">
        <f>SUM(AO316:AO338)</f>
        <v>255</v>
      </c>
      <c r="AP314" s="250">
        <f t="shared" si="337"/>
        <v>2.8973980229519372E-2</v>
      </c>
      <c r="AQ314" s="210">
        <f>SUM(AQ316:AQ338)</f>
        <v>255</v>
      </c>
      <c r="AR314" s="210"/>
      <c r="AS314" s="210"/>
      <c r="AT314" s="210"/>
      <c r="AU314" s="199"/>
      <c r="AV314" s="210">
        <v>6032066</v>
      </c>
      <c r="AW314" s="250">
        <f t="shared" si="338"/>
        <v>0.17361471465314895</v>
      </c>
      <c r="AX314" s="199"/>
      <c r="AY314" s="210">
        <v>772758</v>
      </c>
      <c r="AZ314" s="210">
        <f>SUM(AZ316:AZ338)</f>
        <v>0</v>
      </c>
      <c r="BA314" s="653">
        <f t="shared" si="339"/>
        <v>0</v>
      </c>
      <c r="BB314" s="654"/>
      <c r="BC314" s="210">
        <f>AD314*BB314*0.18</f>
        <v>0</v>
      </c>
      <c r="BD314" s="652">
        <f t="shared" si="369"/>
        <v>0</v>
      </c>
      <c r="BE314" s="210">
        <f>AD314*BB314*0.77</f>
        <v>0</v>
      </c>
      <c r="BF314" s="653">
        <f t="shared" si="370"/>
        <v>0</v>
      </c>
      <c r="BG314" s="210">
        <f t="shared" si="383"/>
        <v>0</v>
      </c>
      <c r="BH314"/>
      <c r="BI314" s="199">
        <f t="shared" si="340"/>
        <v>3322957.6089874385</v>
      </c>
      <c r="BJ314" s="199">
        <f t="shared" si="341"/>
        <v>6645915.217974877</v>
      </c>
      <c r="BK314" s="199">
        <f t="shared" si="349"/>
        <v>9968872.8269623145</v>
      </c>
      <c r="BL314" s="251">
        <f t="shared" si="342"/>
        <v>4.206282535877482E-2</v>
      </c>
      <c r="BM314" s="210">
        <v>1185605</v>
      </c>
      <c r="BN314" s="251">
        <f t="shared" si="343"/>
        <v>5.1198111067131513E-2</v>
      </c>
      <c r="BT314" s="210">
        <f>'Detailed Budget'!$AD$12</f>
        <v>194045122715</v>
      </c>
      <c r="BU314" s="210">
        <f>'Detailed Budget'!$AD$24</f>
        <v>194045122715</v>
      </c>
      <c r="BV314" s="596">
        <f>AV314/34743979</f>
        <v>0.17361471465314895</v>
      </c>
      <c r="BW314" s="278">
        <v>1</v>
      </c>
      <c r="BX314" s="613">
        <f t="shared" si="397"/>
        <v>33689088609.999996</v>
      </c>
      <c r="BY314" s="613">
        <f t="shared" si="398"/>
        <v>33689088609.999996</v>
      </c>
      <c r="BZ314" s="613">
        <f>BX314+BY314</f>
        <v>67378177219.999992</v>
      </c>
      <c r="CA314" s="210">
        <f>'Detailed Budget'!$AD$96</f>
        <v>71050111380.677719</v>
      </c>
      <c r="CB314" s="275">
        <f t="shared" si="344"/>
        <v>0</v>
      </c>
      <c r="CE314" s="210"/>
      <c r="CF314" s="613">
        <f>SUM(CF316:CF338)</f>
        <v>585466029.86517799</v>
      </c>
      <c r="CG314" s="632"/>
      <c r="CH314" s="613">
        <f>SUM(CH316:CH338)</f>
        <v>2793473661.8389349</v>
      </c>
      <c r="CI314" s="613">
        <f>SUM(CI316:CI338)</f>
        <v>3378939691.704113</v>
      </c>
      <c r="CJ314" s="613">
        <f>'Detailed Budget'!$AD$178</f>
        <v>46025131033.061455</v>
      </c>
      <c r="CK314" s="613">
        <f>SUM(CK316:CK338)</f>
        <v>4215021877.7496247</v>
      </c>
      <c r="CL314" s="613">
        <f>SUM(CL316:CL338)</f>
        <v>7593961569.4537363</v>
      </c>
      <c r="CM314" s="278">
        <f>'Detailed Budget'!$AD$189</f>
        <v>77498869683.252869</v>
      </c>
      <c r="CN314" s="275">
        <f t="shared" si="346"/>
        <v>0</v>
      </c>
      <c r="CO314" s="140">
        <f>'Detailed Budget'!$AD$191</f>
        <v>2684962805.4134097</v>
      </c>
      <c r="CP314" s="616">
        <f t="shared" si="347"/>
        <v>0</v>
      </c>
      <c r="CQ314" s="616">
        <f t="shared" si="348"/>
        <v>0</v>
      </c>
      <c r="CR314" s="210">
        <f>'Detailed Budget'!$AD$195</f>
        <v>18734176418</v>
      </c>
      <c r="CS314" s="275">
        <f>BN314*CR314</f>
        <v>959154445</v>
      </c>
      <c r="CW314" s="278"/>
      <c r="DH314" s="140">
        <f>'Detailed Budget'!$AD$163</f>
        <v>4928560000</v>
      </c>
      <c r="DI314" s="616">
        <f t="shared" si="395"/>
        <v>142800000</v>
      </c>
    </row>
    <row r="315" spans="1:113" s="213" customFormat="1">
      <c r="A315" s="214" t="s">
        <v>2333</v>
      </c>
      <c r="B315" s="215" t="s">
        <v>2318</v>
      </c>
      <c r="C315" s="208"/>
      <c r="D315" s="208"/>
      <c r="E315" s="208"/>
      <c r="F315" s="208"/>
      <c r="G315" s="208"/>
      <c r="H315" s="208"/>
      <c r="I315" s="208"/>
      <c r="J315" s="208"/>
      <c r="K315" s="208"/>
      <c r="L315" s="208"/>
      <c r="M315" s="208"/>
      <c r="N315" s="208"/>
      <c r="O315" s="208"/>
      <c r="P315" s="208"/>
      <c r="Q315" s="208"/>
      <c r="R315" s="208"/>
      <c r="S315" s="208"/>
      <c r="T315" s="208"/>
      <c r="U315" s="209"/>
      <c r="V315" s="866"/>
      <c r="W315" s="210"/>
      <c r="X315" s="211"/>
      <c r="Y315" s="212"/>
      <c r="Z315" s="210"/>
      <c r="AA315" s="212"/>
      <c r="AB315" s="210"/>
      <c r="AD315" s="210"/>
      <c r="AE315" s="199"/>
      <c r="AF315" s="199"/>
      <c r="AG315" s="614">
        <f t="shared" si="351"/>
        <v>0</v>
      </c>
      <c r="AH315" s="210"/>
      <c r="AI315" s="252"/>
      <c r="AJ315" s="199"/>
      <c r="AK315" s="199">
        <f t="shared" si="367"/>
        <v>0</v>
      </c>
      <c r="AL315" s="199">
        <f t="shared" si="368"/>
        <v>0</v>
      </c>
      <c r="AM315" s="199">
        <f t="shared" si="335"/>
        <v>0</v>
      </c>
      <c r="AN315" s="645">
        <f t="shared" si="336"/>
        <v>0</v>
      </c>
      <c r="AO315" s="210"/>
      <c r="AP315" s="250"/>
      <c r="AQ315" s="210"/>
      <c r="AR315" s="210"/>
      <c r="AS315" s="210"/>
      <c r="AT315" s="210"/>
      <c r="AU315" s="199"/>
      <c r="AV315" s="240"/>
      <c r="AW315" s="250">
        <f t="shared" si="338"/>
        <v>0</v>
      </c>
      <c r="AX315" s="199"/>
      <c r="AY315" s="210"/>
      <c r="AZ315" s="199"/>
      <c r="BA315" s="252">
        <f t="shared" si="339"/>
        <v>0</v>
      </c>
      <c r="BB315" s="284"/>
      <c r="BC315" s="199"/>
      <c r="BD315" s="270">
        <f t="shared" si="369"/>
        <v>0</v>
      </c>
      <c r="BE315" s="199"/>
      <c r="BF315" s="251">
        <f t="shared" si="370"/>
        <v>0</v>
      </c>
      <c r="BG315" s="204"/>
      <c r="BH315"/>
      <c r="BI315" s="199">
        <f t="shared" si="340"/>
        <v>0</v>
      </c>
      <c r="BJ315" s="199">
        <f t="shared" si="341"/>
        <v>0</v>
      </c>
      <c r="BK315" s="199">
        <f t="shared" si="349"/>
        <v>0</v>
      </c>
      <c r="BL315" s="251">
        <f t="shared" si="342"/>
        <v>0</v>
      </c>
      <c r="BM315" s="210"/>
      <c r="BN315" s="251">
        <f t="shared" si="343"/>
        <v>0</v>
      </c>
      <c r="BT315" s="210"/>
      <c r="BU315" s="210">
        <f>'Detailed Budget'!$AD$24</f>
        <v>194045122715</v>
      </c>
      <c r="BV315" s="596"/>
      <c r="BW315" s="278"/>
      <c r="BX315" s="275"/>
      <c r="BY315" s="275"/>
      <c r="CA315" s="210">
        <f>'Detailed Budget'!$AD$96</f>
        <v>71050111380.677719</v>
      </c>
      <c r="CB315" s="275"/>
      <c r="CE315" s="210"/>
      <c r="CF315" s="275"/>
      <c r="CG315" s="240"/>
      <c r="CH315" s="275"/>
      <c r="CI315" s="210"/>
      <c r="CJ315" s="210"/>
      <c r="CK315" s="275"/>
      <c r="CL315" s="275"/>
      <c r="CM315" s="278">
        <f>'Detailed Budget'!$AD$189</f>
        <v>77498869683.252869</v>
      </c>
      <c r="CN315" s="275">
        <f t="shared" si="346"/>
        <v>0</v>
      </c>
      <c r="CO315" s="140">
        <f>'Detailed Budget'!$AD$191</f>
        <v>2684962805.4134097</v>
      </c>
      <c r="CP315" s="616">
        <f t="shared" si="347"/>
        <v>0</v>
      </c>
      <c r="CQ315" s="616">
        <f t="shared" si="348"/>
        <v>0</v>
      </c>
      <c r="CR315" s="210"/>
      <c r="CS315" s="275"/>
      <c r="CW315" s="278"/>
      <c r="DH315" s="140"/>
      <c r="DI315" s="616"/>
    </row>
    <row r="316" spans="1:113" outlineLevel="1">
      <c r="A316" s="214" t="s">
        <v>769</v>
      </c>
      <c r="B316" s="215" t="s">
        <v>770</v>
      </c>
      <c r="C316" s="216" t="s">
        <v>234</v>
      </c>
      <c r="D316" s="217" t="s">
        <v>234</v>
      </c>
      <c r="E316" s="216"/>
      <c r="F316" s="216"/>
      <c r="G316" s="216"/>
      <c r="H316" s="216" t="s">
        <v>234</v>
      </c>
      <c r="I316" s="217" t="s">
        <v>234</v>
      </c>
      <c r="J316" s="217"/>
      <c r="K316" s="216" t="s">
        <v>234</v>
      </c>
      <c r="L316" s="216"/>
      <c r="M316" s="217"/>
      <c r="N316" s="216"/>
      <c r="O316" s="217"/>
      <c r="P316" s="216"/>
      <c r="Q316" s="217"/>
      <c r="R316" s="217" t="s">
        <v>234</v>
      </c>
      <c r="S316" s="217"/>
      <c r="T316" s="217"/>
      <c r="U316" s="218">
        <f t="shared" ref="U316:U338" si="401">COUNTA(C316:T316)</f>
        <v>6</v>
      </c>
      <c r="V316" s="867" t="s">
        <v>238</v>
      </c>
      <c r="W316" s="219">
        <v>258581</v>
      </c>
      <c r="X316" s="220">
        <v>3.07</v>
      </c>
      <c r="Y316" s="221">
        <f t="shared" si="379"/>
        <v>1.0306999999999999</v>
      </c>
      <c r="Z316" s="199">
        <v>19</v>
      </c>
      <c r="AA316" s="221">
        <f t="shared" si="380"/>
        <v>1.7762874396990105</v>
      </c>
      <c r="AB316" s="199">
        <f t="shared" si="381"/>
        <v>459314.18244480982</v>
      </c>
      <c r="AC316">
        <v>19.2</v>
      </c>
      <c r="AD316" s="199">
        <f t="shared" si="382"/>
        <v>88188.323029403487</v>
      </c>
      <c r="AE316" s="199">
        <f t="shared" si="399"/>
        <v>83778.906877933303</v>
      </c>
      <c r="AF316" s="199">
        <f t="shared" si="365"/>
        <v>83778.906877933303</v>
      </c>
      <c r="AG316" s="614">
        <f t="shared" si="351"/>
        <v>3.8735688577429365E-3</v>
      </c>
      <c r="AH316" s="199">
        <f>AB316*0.05</f>
        <v>22965.709122240492</v>
      </c>
      <c r="AI316" s="252">
        <f t="shared" si="334"/>
        <v>1.7791186892518668E-3</v>
      </c>
      <c r="AJ316" s="199">
        <f t="shared" si="352"/>
        <v>111154.03215164397</v>
      </c>
      <c r="AK316" s="199">
        <f t="shared" si="367"/>
        <v>18372.567297792393</v>
      </c>
      <c r="AL316" s="199">
        <f t="shared" si="368"/>
        <v>18372.567297792393</v>
      </c>
      <c r="AM316" s="199">
        <f t="shared" si="335"/>
        <v>36745.134595584786</v>
      </c>
      <c r="AN316" s="645">
        <f t="shared" si="336"/>
        <v>1.7791186892518668E-3</v>
      </c>
      <c r="AO316">
        <v>11</v>
      </c>
      <c r="AP316" s="250">
        <f t="shared" si="337"/>
        <v>1.2498579706851495E-3</v>
      </c>
      <c r="AQ316">
        <v>11</v>
      </c>
      <c r="AU316" s="199">
        <v>1</v>
      </c>
      <c r="AV316" s="199">
        <f t="shared" ref="AV316:AV338" si="402">W316/6113503*6032066</f>
        <v>255136.4836732721</v>
      </c>
      <c r="AW316" s="250">
        <f t="shared" si="338"/>
        <v>7.3433294348143633E-3</v>
      </c>
      <c r="AX316" s="199">
        <v>0</v>
      </c>
      <c r="AY316" s="199">
        <f t="shared" ref="AY316:AY338" si="403">AJ316/2627960*772758</f>
        <v>32685.112245787644</v>
      </c>
      <c r="AZ316" s="199">
        <f t="shared" si="355"/>
        <v>0</v>
      </c>
      <c r="BA316" s="252">
        <f t="shared" si="339"/>
        <v>0</v>
      </c>
      <c r="BB316" s="284">
        <v>1</v>
      </c>
      <c r="BC316" s="199">
        <f t="shared" ref="BC316:BC338" si="404">AD316*BB316*0.18*4</f>
        <v>63495.592581170509</v>
      </c>
      <c r="BD316" s="270">
        <f t="shared" si="369"/>
        <v>5.7182285176386729E-3</v>
      </c>
      <c r="BE316" s="199">
        <f t="shared" ref="BE316:BE338" si="405">AD316*BB316*0.77*4</f>
        <v>271620.03493056278</v>
      </c>
      <c r="BF316" s="251">
        <f t="shared" si="370"/>
        <v>5.718228644708466E-3</v>
      </c>
      <c r="BG316" s="204">
        <f t="shared" si="383"/>
        <v>335115.62751173327</v>
      </c>
      <c r="BH316" s="636">
        <v>0</v>
      </c>
      <c r="BI316" s="199">
        <f t="shared" si="340"/>
        <v>140550.1398281118</v>
      </c>
      <c r="BJ316" s="199">
        <f t="shared" si="341"/>
        <v>281100.2796562236</v>
      </c>
      <c r="BK316" s="199">
        <f t="shared" si="349"/>
        <v>421650.41948433541</v>
      </c>
      <c r="BL316" s="251">
        <f t="shared" si="342"/>
        <v>1.7791186892518668E-3</v>
      </c>
      <c r="BM316" s="199">
        <f t="shared" ref="BM316:BM338" si="406">AH316/542967*1185605</f>
        <v>50147.172045214422</v>
      </c>
      <c r="BN316" s="251">
        <f t="shared" si="343"/>
        <v>2.1655108438927303E-3</v>
      </c>
      <c r="BT316" s="199">
        <f>'Detailed Budget'!$AD$12</f>
        <v>194045122715</v>
      </c>
      <c r="BU316" s="199">
        <f>'Detailed Budget'!$AD$24</f>
        <v>194045122715</v>
      </c>
      <c r="BV316" s="596">
        <f t="shared" ref="BV316:BV338" si="407">AV316/34743979</f>
        <v>7.3433294348143633E-3</v>
      </c>
      <c r="BW316" s="278"/>
      <c r="BX316" s="275">
        <f t="shared" si="397"/>
        <v>1424937261.3152246</v>
      </c>
      <c r="BY316" s="275">
        <f t="shared" si="398"/>
        <v>1424937261.3152246</v>
      </c>
      <c r="CA316" s="199">
        <f>'Detailed Budget'!$AD$96</f>
        <v>71050111380.677719</v>
      </c>
      <c r="CB316" s="275">
        <f t="shared" si="344"/>
        <v>0</v>
      </c>
      <c r="CE316" s="199">
        <f>'Detailed Budget'!$AD$175</f>
        <v>4330586076.5988197</v>
      </c>
      <c r="CF316" s="275">
        <f t="shared" ref="CF316:CF338" si="408">BB316*BD316*CE316</f>
        <v>24763280.801296346</v>
      </c>
      <c r="CG316" s="199">
        <f>'Detailed Budget'!$AD$176</f>
        <v>20662817754.37001</v>
      </c>
      <c r="CH316" s="275">
        <f t="shared" ref="CH316:CH338" si="409">BB316*BF316*CG316</f>
        <v>118154716.36342925</v>
      </c>
      <c r="CI316" s="275">
        <f t="shared" ref="CI316:CI381" si="410">CF316+CH316</f>
        <v>142917997.1647256</v>
      </c>
      <c r="CJ316" s="275">
        <f>'Detailed Budget'!$AD$178</f>
        <v>46025131033.061455</v>
      </c>
      <c r="CK316" s="275">
        <f t="shared" ref="CK316:CK338" si="411">BB316*AG316*CJ316</f>
        <v>178281514.24320483</v>
      </c>
      <c r="CL316" s="275">
        <f t="shared" si="366"/>
        <v>321199511.40793043</v>
      </c>
      <c r="CM316" s="278">
        <f>'Detailed Budget'!$AD$189</f>
        <v>77498869683.252869</v>
      </c>
      <c r="CN316" s="275">
        <f t="shared" si="346"/>
        <v>0</v>
      </c>
      <c r="CO316" s="140">
        <f>'Detailed Budget'!$AD$191</f>
        <v>2684962805.4134097</v>
      </c>
      <c r="CP316" s="616">
        <f t="shared" si="347"/>
        <v>0</v>
      </c>
      <c r="CQ316" s="616">
        <f t="shared" si="348"/>
        <v>0</v>
      </c>
      <c r="CR316" s="199">
        <f>'Detailed Budget'!$AD$195</f>
        <v>18734176418</v>
      </c>
      <c r="CS316" s="275">
        <f t="shared" ref="CS316:CS338" si="412">BN316*CR316</f>
        <v>40569062.184578463</v>
      </c>
      <c r="CW316" s="278"/>
      <c r="DH316" s="140">
        <f>'Detailed Budget'!$AD$163</f>
        <v>4928560000</v>
      </c>
      <c r="DI316" s="616">
        <f t="shared" ref="DI316:DI340" si="413">AP316*DH316</f>
        <v>6160000</v>
      </c>
    </row>
    <row r="317" spans="1:113" outlineLevel="1">
      <c r="A317" s="214" t="s">
        <v>771</v>
      </c>
      <c r="B317" s="215" t="s">
        <v>772</v>
      </c>
      <c r="C317" s="216" t="s">
        <v>234</v>
      </c>
      <c r="D317" s="217" t="s">
        <v>234</v>
      </c>
      <c r="E317" s="216"/>
      <c r="F317" s="216"/>
      <c r="G317" s="216"/>
      <c r="H317" s="216" t="s">
        <v>234</v>
      </c>
      <c r="I317" s="217" t="s">
        <v>234</v>
      </c>
      <c r="J317" s="217"/>
      <c r="K317" s="216" t="s">
        <v>234</v>
      </c>
      <c r="L317" s="216"/>
      <c r="M317" s="217"/>
      <c r="N317" s="216"/>
      <c r="O317" s="217"/>
      <c r="P317" s="216"/>
      <c r="Q317" s="217" t="s">
        <v>234</v>
      </c>
      <c r="R317" s="217"/>
      <c r="S317" s="217"/>
      <c r="T317" s="217"/>
      <c r="U317" s="218">
        <f t="shared" si="401"/>
        <v>6</v>
      </c>
      <c r="V317" s="867" t="s">
        <v>284</v>
      </c>
      <c r="W317" s="219">
        <v>372272</v>
      </c>
      <c r="X317" s="220">
        <v>3.07</v>
      </c>
      <c r="Y317" s="221">
        <f t="shared" si="379"/>
        <v>1.0306999999999999</v>
      </c>
      <c r="Z317" s="199">
        <v>19</v>
      </c>
      <c r="AA317" s="221">
        <f t="shared" si="380"/>
        <v>1.7762874396990105</v>
      </c>
      <c r="AB317" s="199">
        <f t="shared" si="381"/>
        <v>661262.07775162999</v>
      </c>
      <c r="AC317">
        <v>19.2</v>
      </c>
      <c r="AD317" s="199">
        <f t="shared" si="382"/>
        <v>126962.31892831296</v>
      </c>
      <c r="AE317" s="199">
        <f t="shared" si="399"/>
        <v>120614.20298189731</v>
      </c>
      <c r="AF317" s="199">
        <f t="shared" si="365"/>
        <v>120614.20298189731</v>
      </c>
      <c r="AG317" s="614">
        <f t="shared" si="351"/>
        <v>5.5766712396103299E-3</v>
      </c>
      <c r="AH317" s="199">
        <f t="shared" ref="AH317:AH338" si="414">AB317*0.05</f>
        <v>33063.103887581499</v>
      </c>
      <c r="AI317" s="252">
        <f t="shared" si="334"/>
        <v>2.561348562675413E-3</v>
      </c>
      <c r="AJ317" s="199">
        <f t="shared" si="352"/>
        <v>160025.42281589448</v>
      </c>
      <c r="AK317" s="199">
        <f t="shared" si="367"/>
        <v>26450.483110065201</v>
      </c>
      <c r="AL317" s="199">
        <f t="shared" si="368"/>
        <v>26450.483110065201</v>
      </c>
      <c r="AM317" s="199">
        <f t="shared" si="335"/>
        <v>52900.966220130402</v>
      </c>
      <c r="AN317" s="645">
        <f t="shared" si="336"/>
        <v>2.561348562675413E-3</v>
      </c>
      <c r="AO317">
        <v>12</v>
      </c>
      <c r="AP317" s="250">
        <f t="shared" si="337"/>
        <v>1.3634814225656176E-3</v>
      </c>
      <c r="AQ317">
        <v>12</v>
      </c>
      <c r="AU317" s="199">
        <v>1</v>
      </c>
      <c r="AV317" s="199">
        <f t="shared" si="402"/>
        <v>367313.02396547445</v>
      </c>
      <c r="AW317" s="250">
        <f t="shared" si="338"/>
        <v>1.0571990731558826E-2</v>
      </c>
      <c r="AX317" s="199">
        <v>0</v>
      </c>
      <c r="AY317" s="199">
        <f t="shared" si="403"/>
        <v>47055.862982832688</v>
      </c>
      <c r="AZ317" s="199">
        <f t="shared" si="355"/>
        <v>0</v>
      </c>
      <c r="BA317" s="252">
        <f t="shared" si="339"/>
        <v>0</v>
      </c>
      <c r="BB317" s="284">
        <v>1</v>
      </c>
      <c r="BC317" s="199">
        <f t="shared" si="404"/>
        <v>91412.869628385335</v>
      </c>
      <c r="BD317" s="270">
        <f t="shared" si="369"/>
        <v>8.2323773468212444E-3</v>
      </c>
      <c r="BE317" s="199">
        <f t="shared" si="405"/>
        <v>391043.94229920395</v>
      </c>
      <c r="BF317" s="251">
        <f t="shared" si="370"/>
        <v>8.2323775297601515E-3</v>
      </c>
      <c r="BG317" s="204">
        <f t="shared" si="383"/>
        <v>482456.8119275893</v>
      </c>
      <c r="BH317" s="636">
        <v>0</v>
      </c>
      <c r="BI317" s="199">
        <f t="shared" si="340"/>
        <v>202346.19579199876</v>
      </c>
      <c r="BJ317" s="199">
        <f t="shared" si="341"/>
        <v>404692.39158399752</v>
      </c>
      <c r="BK317" s="199">
        <f t="shared" si="349"/>
        <v>607038.58737599629</v>
      </c>
      <c r="BL317" s="251">
        <f t="shared" si="342"/>
        <v>2.5613485626754125E-3</v>
      </c>
      <c r="BM317" s="199">
        <f t="shared" si="406"/>
        <v>72195.513327027351</v>
      </c>
      <c r="BN317" s="251">
        <f t="shared" si="343"/>
        <v>3.1176267895848277E-3</v>
      </c>
      <c r="BT317" s="199">
        <f>'Detailed Budget'!$AD$12</f>
        <v>194045122715</v>
      </c>
      <c r="BU317" s="199">
        <f>'Detailed Budget'!$AD$24</f>
        <v>194045122715</v>
      </c>
      <c r="BV317" s="596">
        <f t="shared" si="407"/>
        <v>1.0571990731558826E-2</v>
      </c>
      <c r="BW317" s="278"/>
      <c r="BX317" s="275">
        <f t="shared" si="397"/>
        <v>2051443238.8471749</v>
      </c>
      <c r="BY317" s="275">
        <f t="shared" si="398"/>
        <v>2051443238.8471749</v>
      </c>
      <c r="CA317" s="199">
        <f>'Detailed Budget'!$AD$96</f>
        <v>71050111380.677719</v>
      </c>
      <c r="CB317" s="275">
        <f t="shared" si="344"/>
        <v>0</v>
      </c>
      <c r="CE317" s="199">
        <f>'Detailed Budget'!$AD$175</f>
        <v>4330586076.5988197</v>
      </c>
      <c r="CF317" s="275">
        <f t="shared" si="408"/>
        <v>35651018.715451613</v>
      </c>
      <c r="CG317" s="199">
        <f>'Detailed Budget'!$AD$176</f>
        <v>20662817754.37001</v>
      </c>
      <c r="CH317" s="275">
        <f t="shared" si="409"/>
        <v>170104116.5826048</v>
      </c>
      <c r="CI317" s="275">
        <f t="shared" si="410"/>
        <v>205755135.29805642</v>
      </c>
      <c r="CJ317" s="275">
        <f>'Detailed Budget'!$AD$178</f>
        <v>46025131033.061455</v>
      </c>
      <c r="CK317" s="275">
        <f t="shared" si="411"/>
        <v>256667024.5313707</v>
      </c>
      <c r="CL317" s="275">
        <f t="shared" si="366"/>
        <v>462422159.82942712</v>
      </c>
      <c r="CM317" s="278">
        <f>'Detailed Budget'!$AD$189</f>
        <v>77498869683.252869</v>
      </c>
      <c r="CN317" s="275">
        <f t="shared" si="346"/>
        <v>0</v>
      </c>
      <c r="CO317" s="140">
        <f>'Detailed Budget'!$AD$191</f>
        <v>2684962805.4134097</v>
      </c>
      <c r="CP317" s="616">
        <f t="shared" si="347"/>
        <v>0</v>
      </c>
      <c r="CQ317" s="616">
        <f t="shared" si="348"/>
        <v>0</v>
      </c>
      <c r="CR317" s="199">
        <f>'Detailed Budget'!$AD$195</f>
        <v>18734176418</v>
      </c>
      <c r="CS317" s="275">
        <f t="shared" si="412"/>
        <v>58406170.28156513</v>
      </c>
      <c r="CW317" s="278"/>
      <c r="DH317" s="140">
        <f>'Detailed Budget'!$AD$163</f>
        <v>4928560000</v>
      </c>
      <c r="DI317" s="616">
        <f t="shared" si="413"/>
        <v>6720000</v>
      </c>
    </row>
    <row r="318" spans="1:113" outlineLevel="1">
      <c r="A318" s="214" t="s">
        <v>773</v>
      </c>
      <c r="B318" s="215" t="s">
        <v>774</v>
      </c>
      <c r="C318" s="216" t="s">
        <v>234</v>
      </c>
      <c r="D318" s="217" t="s">
        <v>234</v>
      </c>
      <c r="E318" s="216"/>
      <c r="F318" s="216"/>
      <c r="G318" s="216"/>
      <c r="H318" s="216" t="s">
        <v>234</v>
      </c>
      <c r="I318" s="217" t="s">
        <v>234</v>
      </c>
      <c r="J318" s="217"/>
      <c r="K318" s="216" t="s">
        <v>234</v>
      </c>
      <c r="L318" s="216"/>
      <c r="M318" s="217"/>
      <c r="N318" s="216"/>
      <c r="O318" s="217"/>
      <c r="P318" s="216"/>
      <c r="Q318" s="217" t="s">
        <v>234</v>
      </c>
      <c r="R318" s="217"/>
      <c r="S318" s="217"/>
      <c r="T318" s="217"/>
      <c r="U318" s="218">
        <f t="shared" si="401"/>
        <v>6</v>
      </c>
      <c r="V318" s="867" t="s">
        <v>284</v>
      </c>
      <c r="W318" s="219">
        <v>292384</v>
      </c>
      <c r="X318" s="220">
        <v>3.07</v>
      </c>
      <c r="Y318" s="221">
        <f t="shared" si="379"/>
        <v>1.0306999999999999</v>
      </c>
      <c r="Z318" s="199">
        <v>19</v>
      </c>
      <c r="AA318" s="221">
        <f t="shared" si="380"/>
        <v>1.7762874396990105</v>
      </c>
      <c r="AB318" s="199">
        <f t="shared" si="381"/>
        <v>519358.02676895546</v>
      </c>
      <c r="AC318">
        <v>19.2</v>
      </c>
      <c r="AD318" s="199">
        <f t="shared" si="382"/>
        <v>99716.741139639445</v>
      </c>
      <c r="AE318" s="199">
        <f t="shared" si="399"/>
        <v>94730.904082657464</v>
      </c>
      <c r="AF318" s="199">
        <f t="shared" si="365"/>
        <v>94730.904082657464</v>
      </c>
      <c r="AG318" s="614">
        <f t="shared" si="351"/>
        <v>4.3799411283207612E-3</v>
      </c>
      <c r="AH318" s="199">
        <f t="shared" si="414"/>
        <v>25967.901338447773</v>
      </c>
      <c r="AI318" s="252">
        <f t="shared" si="334"/>
        <v>2.0116939714759315E-3</v>
      </c>
      <c r="AJ318" s="199">
        <f t="shared" si="352"/>
        <v>125684.64247808722</v>
      </c>
      <c r="AK318" s="199">
        <f t="shared" si="367"/>
        <v>20774.321070758218</v>
      </c>
      <c r="AL318" s="199">
        <f t="shared" si="368"/>
        <v>20774.321070758218</v>
      </c>
      <c r="AM318" s="199">
        <f t="shared" si="335"/>
        <v>41548.642141516437</v>
      </c>
      <c r="AN318" s="645">
        <f t="shared" si="336"/>
        <v>2.0116939714759315E-3</v>
      </c>
      <c r="AO318">
        <v>11</v>
      </c>
      <c r="AP318" s="250">
        <f t="shared" si="337"/>
        <v>1.2498579706851495E-3</v>
      </c>
      <c r="AQ318">
        <v>11</v>
      </c>
      <c r="AU318" s="199">
        <v>1</v>
      </c>
      <c r="AV318" s="199">
        <f t="shared" si="402"/>
        <v>288489.19929277862</v>
      </c>
      <c r="AW318" s="250">
        <f t="shared" si="338"/>
        <v>8.3032861403922274E-3</v>
      </c>
      <c r="AX318" s="199">
        <v>0</v>
      </c>
      <c r="AY318" s="199">
        <f t="shared" si="403"/>
        <v>36957.873389275985</v>
      </c>
      <c r="AZ318" s="199">
        <f t="shared" si="355"/>
        <v>0</v>
      </c>
      <c r="BA318" s="252">
        <f t="shared" si="339"/>
        <v>0</v>
      </c>
      <c r="BB318" s="284">
        <v>1</v>
      </c>
      <c r="BC318" s="199">
        <f t="shared" si="404"/>
        <v>71796.053620540391</v>
      </c>
      <c r="BD318" s="270">
        <f t="shared" si="369"/>
        <v>6.4657439135174877E-3</v>
      </c>
      <c r="BE318" s="199">
        <f t="shared" si="405"/>
        <v>307127.56271008949</v>
      </c>
      <c r="BF318" s="251">
        <f t="shared" si="370"/>
        <v>6.4657440571984784E-3</v>
      </c>
      <c r="BG318" s="204">
        <f t="shared" si="383"/>
        <v>378923.61633062991</v>
      </c>
      <c r="BH318" s="636">
        <v>0</v>
      </c>
      <c r="BI318" s="199">
        <f t="shared" si="340"/>
        <v>158923.55619130036</v>
      </c>
      <c r="BJ318" s="199">
        <f t="shared" si="341"/>
        <v>317847.11238260072</v>
      </c>
      <c r="BK318" s="199">
        <f t="shared" si="349"/>
        <v>476770.66857390106</v>
      </c>
      <c r="BL318" s="251">
        <f t="shared" si="342"/>
        <v>2.0116939714759311E-3</v>
      </c>
      <c r="BM318" s="199">
        <f t="shared" si="406"/>
        <v>56702.660873258181</v>
      </c>
      <c r="BN318" s="251">
        <f t="shared" si="343"/>
        <v>2.4485972387017301E-3</v>
      </c>
      <c r="BT318" s="199">
        <f>'Detailed Budget'!$AD$12</f>
        <v>194045122715</v>
      </c>
      <c r="BU318" s="199">
        <f>'Detailed Budget'!$AD$24</f>
        <v>194045122715</v>
      </c>
      <c r="BV318" s="596">
        <f t="shared" si="407"/>
        <v>8.3032861403922274E-3</v>
      </c>
      <c r="BW318" s="278"/>
      <c r="BX318" s="275">
        <f t="shared" si="397"/>
        <v>1611212178.0501685</v>
      </c>
      <c r="BY318" s="275">
        <f t="shared" si="398"/>
        <v>1611212178.0501685</v>
      </c>
      <c r="CA318" s="199">
        <f>'Detailed Budget'!$AD$96</f>
        <v>71050111380.677719</v>
      </c>
      <c r="CB318" s="275">
        <f t="shared" si="344"/>
        <v>0</v>
      </c>
      <c r="CE318" s="199">
        <f>'Detailed Budget'!$AD$175</f>
        <v>4330586076.5988197</v>
      </c>
      <c r="CF318" s="275">
        <f t="shared" si="408"/>
        <v>28000460.566732395</v>
      </c>
      <c r="CG318" s="199">
        <f>'Detailed Budget'!$AD$176</f>
        <v>20662817754.37001</v>
      </c>
      <c r="CH318" s="275">
        <f t="shared" si="409"/>
        <v>133600491.1002931</v>
      </c>
      <c r="CI318" s="275">
        <f t="shared" si="410"/>
        <v>161600951.66702551</v>
      </c>
      <c r="CJ318" s="275">
        <f>'Detailed Budget'!$AD$178</f>
        <v>46025131033.061455</v>
      </c>
      <c r="CK318" s="275">
        <f t="shared" si="411"/>
        <v>201587364.34805807</v>
      </c>
      <c r="CL318" s="275">
        <f t="shared" si="366"/>
        <v>363188316.01508355</v>
      </c>
      <c r="CM318" s="278">
        <f>'Detailed Budget'!$AD$189</f>
        <v>77498869683.252869</v>
      </c>
      <c r="CN318" s="275">
        <f t="shared" si="346"/>
        <v>0</v>
      </c>
      <c r="CO318" s="140">
        <f>'Detailed Budget'!$AD$191</f>
        <v>2684962805.4134097</v>
      </c>
      <c r="CP318" s="616">
        <f t="shared" si="347"/>
        <v>0</v>
      </c>
      <c r="CQ318" s="616">
        <f t="shared" si="348"/>
        <v>0</v>
      </c>
      <c r="CR318" s="199">
        <f>'Detailed Budget'!$AD$195</f>
        <v>18734176418</v>
      </c>
      <c r="CS318" s="275">
        <f t="shared" si="412"/>
        <v>45872452.646465868</v>
      </c>
      <c r="CW318" s="278"/>
      <c r="DH318" s="140">
        <f>'Detailed Budget'!$AD$163</f>
        <v>4928560000</v>
      </c>
      <c r="DI318" s="616">
        <f t="shared" si="413"/>
        <v>6160000</v>
      </c>
    </row>
    <row r="319" spans="1:113" outlineLevel="1">
      <c r="A319" s="214" t="s">
        <v>775</v>
      </c>
      <c r="B319" s="215" t="s">
        <v>776</v>
      </c>
      <c r="C319" s="216" t="s">
        <v>234</v>
      </c>
      <c r="D319" s="217" t="s">
        <v>234</v>
      </c>
      <c r="E319" s="216"/>
      <c r="F319" s="216"/>
      <c r="G319" s="216"/>
      <c r="H319" s="216" t="s">
        <v>234</v>
      </c>
      <c r="I319" s="217" t="s">
        <v>234</v>
      </c>
      <c r="J319" s="217"/>
      <c r="K319" s="216" t="s">
        <v>234</v>
      </c>
      <c r="L319" s="216"/>
      <c r="M319" s="217"/>
      <c r="N319" s="216"/>
      <c r="O319" s="217"/>
      <c r="P319" s="216"/>
      <c r="Q319" s="217" t="s">
        <v>234</v>
      </c>
      <c r="R319" s="217"/>
      <c r="S319" s="217"/>
      <c r="T319" s="217"/>
      <c r="U319" s="218">
        <f t="shared" si="401"/>
        <v>6</v>
      </c>
      <c r="V319" s="867" t="s">
        <v>284</v>
      </c>
      <c r="W319" s="219">
        <v>430753</v>
      </c>
      <c r="X319" s="220">
        <v>3.07</v>
      </c>
      <c r="Y319" s="221">
        <f t="shared" si="379"/>
        <v>1.0306999999999999</v>
      </c>
      <c r="Z319" s="199">
        <v>19</v>
      </c>
      <c r="AA319" s="221">
        <f t="shared" si="380"/>
        <v>1.7762874396990105</v>
      </c>
      <c r="AB319" s="199">
        <f t="shared" ref="AB319:AB352" si="415">W319*AA319</f>
        <v>765141.14351266786</v>
      </c>
      <c r="AC319">
        <v>19.2</v>
      </c>
      <c r="AD319" s="199">
        <f t="shared" ref="AD319:AD352" si="416">AB319*AC319/100</f>
        <v>146907.09955443221</v>
      </c>
      <c r="AE319" s="199">
        <f t="shared" si="399"/>
        <v>139561.7445767106</v>
      </c>
      <c r="AF319" s="199">
        <f t="shared" si="365"/>
        <v>139561.7445767106</v>
      </c>
      <c r="AG319" s="614">
        <f t="shared" si="351"/>
        <v>6.4527223816883035E-3</v>
      </c>
      <c r="AH319" s="199">
        <f t="shared" si="414"/>
        <v>38257.057175633396</v>
      </c>
      <c r="AI319" s="252">
        <f t="shared" si="334"/>
        <v>2.9637162542928887E-3</v>
      </c>
      <c r="AJ319" s="199">
        <f t="shared" si="352"/>
        <v>185164.15673006559</v>
      </c>
      <c r="AK319" s="199">
        <f t="shared" si="367"/>
        <v>30605.645740506716</v>
      </c>
      <c r="AL319" s="199">
        <f t="shared" si="368"/>
        <v>30605.645740506716</v>
      </c>
      <c r="AM319" s="199">
        <f t="shared" si="335"/>
        <v>61211.291481013432</v>
      </c>
      <c r="AN319" s="645">
        <f t="shared" si="336"/>
        <v>2.9637162542928887E-3</v>
      </c>
      <c r="AO319">
        <v>12</v>
      </c>
      <c r="AP319" s="250">
        <f t="shared" si="337"/>
        <v>1.3634814225656176E-3</v>
      </c>
      <c r="AQ319">
        <v>12</v>
      </c>
      <c r="AU319" s="199">
        <v>1</v>
      </c>
      <c r="AV319" s="199">
        <f t="shared" si="402"/>
        <v>425015.00787649897</v>
      </c>
      <c r="AW319" s="250">
        <f t="shared" si="338"/>
        <v>1.2232767233611871E-2</v>
      </c>
      <c r="AX319" s="199">
        <v>0</v>
      </c>
      <c r="AY319" s="199">
        <f t="shared" si="403"/>
        <v>54447.968548384306</v>
      </c>
      <c r="AZ319" s="199">
        <f t="shared" si="355"/>
        <v>0</v>
      </c>
      <c r="BA319" s="252">
        <f t="shared" si="339"/>
        <v>0</v>
      </c>
      <c r="BB319" s="284">
        <v>1</v>
      </c>
      <c r="BC319" s="199">
        <f t="shared" si="404"/>
        <v>105773.11167919119</v>
      </c>
      <c r="BD319" s="270">
        <f t="shared" si="369"/>
        <v>9.5256190078095888E-3</v>
      </c>
      <c r="BE319" s="199">
        <f t="shared" si="405"/>
        <v>452473.86662765121</v>
      </c>
      <c r="BF319" s="251">
        <f t="shared" si="370"/>
        <v>9.5256192194867577E-3</v>
      </c>
      <c r="BG319" s="204">
        <f t="shared" si="383"/>
        <v>558246.97830684239</v>
      </c>
      <c r="BH319" s="636">
        <v>0</v>
      </c>
      <c r="BI319" s="199">
        <f t="shared" si="340"/>
        <v>234133.18991487636</v>
      </c>
      <c r="BJ319" s="199">
        <f t="shared" si="341"/>
        <v>468266.37982975272</v>
      </c>
      <c r="BK319" s="199">
        <f t="shared" si="349"/>
        <v>702399.56974462909</v>
      </c>
      <c r="BL319" s="251">
        <f t="shared" si="342"/>
        <v>2.9637162542928883E-3</v>
      </c>
      <c r="BM319" s="199">
        <f t="shared" si="406"/>
        <v>83536.860016753941</v>
      </c>
      <c r="BN319" s="251">
        <f t="shared" si="343"/>
        <v>3.6073814106192077E-3</v>
      </c>
      <c r="BT319" s="199">
        <f>'Detailed Budget'!$AD$12</f>
        <v>194045122715</v>
      </c>
      <c r="BU319" s="199">
        <f>'Detailed Budget'!$AD$24</f>
        <v>194045122715</v>
      </c>
      <c r="BV319" s="596">
        <f t="shared" si="407"/>
        <v>1.2232767233611871E-2</v>
      </c>
      <c r="BW319" s="278"/>
      <c r="BX319" s="275">
        <f t="shared" si="397"/>
        <v>2373708818.9902468</v>
      </c>
      <c r="BY319" s="275">
        <f t="shared" si="398"/>
        <v>2373708818.9902468</v>
      </c>
      <c r="CA319" s="199">
        <f>'Detailed Budget'!$AD$96</f>
        <v>71050111380.677719</v>
      </c>
      <c r="CB319" s="275">
        <f t="shared" si="344"/>
        <v>0</v>
      </c>
      <c r="CE319" s="199">
        <f>'Detailed Budget'!$AD$175</f>
        <v>4330586076.5988197</v>
      </c>
      <c r="CF319" s="275">
        <f t="shared" si="408"/>
        <v>41251513.046205267</v>
      </c>
      <c r="CG319" s="199">
        <f>'Detailed Budget'!$AD$176</f>
        <v>20662817754.37001</v>
      </c>
      <c r="CH319" s="275">
        <f t="shared" si="409"/>
        <v>196826133.92977917</v>
      </c>
      <c r="CI319" s="275">
        <f t="shared" si="410"/>
        <v>238077646.97598445</v>
      </c>
      <c r="CJ319" s="275">
        <f>'Detailed Budget'!$AD$178</f>
        <v>46025131033.061455</v>
      </c>
      <c r="CK319" s="275">
        <f t="shared" si="411"/>
        <v>296987393.13717258</v>
      </c>
      <c r="CL319" s="275">
        <f t="shared" si="366"/>
        <v>535065040.11315703</v>
      </c>
      <c r="CM319" s="278">
        <f>'Detailed Budget'!$AD$189</f>
        <v>77498869683.252869</v>
      </c>
      <c r="CN319" s="275">
        <f t="shared" si="346"/>
        <v>0</v>
      </c>
      <c r="CO319" s="140">
        <f>'Detailed Budget'!$AD$191</f>
        <v>2684962805.4134097</v>
      </c>
      <c r="CP319" s="616">
        <f t="shared" si="347"/>
        <v>0</v>
      </c>
      <c r="CQ319" s="616">
        <f t="shared" si="348"/>
        <v>0</v>
      </c>
      <c r="CR319" s="199">
        <f>'Detailed Budget'!$AD$195</f>
        <v>18734176418</v>
      </c>
      <c r="CS319" s="275">
        <f t="shared" si="412"/>
        <v>67581319.753553942</v>
      </c>
      <c r="CW319" s="278"/>
      <c r="DH319" s="140">
        <f>'Detailed Budget'!$AD$163</f>
        <v>4928560000</v>
      </c>
      <c r="DI319" s="616">
        <f t="shared" si="413"/>
        <v>6720000</v>
      </c>
    </row>
    <row r="320" spans="1:113" outlineLevel="1">
      <c r="A320" s="214" t="s">
        <v>777</v>
      </c>
      <c r="B320" s="215" t="s">
        <v>778</v>
      </c>
      <c r="C320" s="216" t="s">
        <v>234</v>
      </c>
      <c r="D320" s="217" t="s">
        <v>234</v>
      </c>
      <c r="E320" s="216"/>
      <c r="F320" s="216"/>
      <c r="G320" s="216"/>
      <c r="H320" s="216" t="s">
        <v>234</v>
      </c>
      <c r="I320" s="217" t="s">
        <v>234</v>
      </c>
      <c r="J320" s="217"/>
      <c r="K320" s="216" t="s">
        <v>234</v>
      </c>
      <c r="L320" s="216"/>
      <c r="M320" s="217"/>
      <c r="N320" s="216"/>
      <c r="O320" s="217"/>
      <c r="P320" s="216"/>
      <c r="Q320" s="217"/>
      <c r="R320" s="217" t="s">
        <v>234</v>
      </c>
      <c r="S320" s="217"/>
      <c r="T320" s="217"/>
      <c r="U320" s="218">
        <f t="shared" si="401"/>
        <v>6</v>
      </c>
      <c r="V320" s="867" t="s">
        <v>238</v>
      </c>
      <c r="W320" s="219">
        <v>194723</v>
      </c>
      <c r="X320" s="220">
        <v>3.07</v>
      </c>
      <c r="Y320" s="221">
        <f t="shared" si="379"/>
        <v>1.0306999999999999</v>
      </c>
      <c r="Z320" s="199">
        <v>19</v>
      </c>
      <c r="AA320" s="221">
        <f t="shared" si="380"/>
        <v>1.7762874396990105</v>
      </c>
      <c r="AB320" s="199">
        <f t="shared" si="415"/>
        <v>345884.01912051043</v>
      </c>
      <c r="AC320">
        <v>19.2</v>
      </c>
      <c r="AD320" s="199">
        <f t="shared" si="416"/>
        <v>66409.731671138012</v>
      </c>
      <c r="AE320" s="199">
        <f t="shared" si="399"/>
        <v>63089.245087581105</v>
      </c>
      <c r="AF320" s="199">
        <f t="shared" si="365"/>
        <v>63089.245087581105</v>
      </c>
      <c r="AG320" s="614">
        <f t="shared" si="351"/>
        <v>2.916969725874206E-3</v>
      </c>
      <c r="AH320" s="199">
        <f t="shared" si="414"/>
        <v>17294.200956025521</v>
      </c>
      <c r="AI320" s="252">
        <f t="shared" si="334"/>
        <v>1.3397555447894132E-3</v>
      </c>
      <c r="AJ320" s="199">
        <f t="shared" si="352"/>
        <v>83703.932627163536</v>
      </c>
      <c r="AK320" s="199">
        <f t="shared" si="367"/>
        <v>13835.360764820418</v>
      </c>
      <c r="AL320" s="199">
        <f t="shared" si="368"/>
        <v>13835.360764820418</v>
      </c>
      <c r="AM320" s="199">
        <f t="shared" si="335"/>
        <v>27670.721529640836</v>
      </c>
      <c r="AN320" s="645">
        <f t="shared" si="336"/>
        <v>1.3397555447894134E-3</v>
      </c>
      <c r="AO320">
        <v>10</v>
      </c>
      <c r="AP320" s="250">
        <f t="shared" si="337"/>
        <v>1.1362345188046814E-3</v>
      </c>
      <c r="AQ320">
        <v>10</v>
      </c>
      <c r="AU320" s="199">
        <v>1</v>
      </c>
      <c r="AV320" s="199">
        <f t="shared" si="402"/>
        <v>192129.12592305915</v>
      </c>
      <c r="AW320" s="250">
        <f t="shared" si="338"/>
        <v>5.5298538467070555E-3</v>
      </c>
      <c r="AX320" s="199">
        <v>0</v>
      </c>
      <c r="AY320" s="199">
        <f t="shared" si="403"/>
        <v>24613.344026964503</v>
      </c>
      <c r="AZ320" s="199">
        <f t="shared" si="355"/>
        <v>0</v>
      </c>
      <c r="BA320" s="252">
        <f t="shared" si="339"/>
        <v>0</v>
      </c>
      <c r="BB320" s="284">
        <v>1</v>
      </c>
      <c r="BC320" s="199">
        <f t="shared" si="404"/>
        <v>47815.006803219367</v>
      </c>
      <c r="BD320" s="270">
        <f t="shared" si="369"/>
        <v>4.3060805381685257E-3</v>
      </c>
      <c r="BE320" s="199">
        <f t="shared" si="405"/>
        <v>204541.9735471051</v>
      </c>
      <c r="BF320" s="251">
        <f t="shared" si="370"/>
        <v>4.306080633857734E-3</v>
      </c>
      <c r="BG320" s="204">
        <f t="shared" si="383"/>
        <v>252356.98035032448</v>
      </c>
      <c r="BH320" s="636">
        <v>0</v>
      </c>
      <c r="BI320" s="199">
        <f t="shared" si="340"/>
        <v>105840.5098508762</v>
      </c>
      <c r="BJ320" s="199">
        <f t="shared" si="341"/>
        <v>211681.0197017524</v>
      </c>
      <c r="BK320" s="199">
        <f t="shared" si="349"/>
        <v>317521.52955262864</v>
      </c>
      <c r="BL320" s="251">
        <f t="shared" si="342"/>
        <v>1.3397555447894134E-3</v>
      </c>
      <c r="BM320" s="199">
        <f t="shared" si="406"/>
        <v>37763.0521274196</v>
      </c>
      <c r="BN320" s="251">
        <f t="shared" si="343"/>
        <v>1.6307260319022826E-3</v>
      </c>
      <c r="BT320" s="199">
        <f>'Detailed Budget'!$AD$12</f>
        <v>194045122715</v>
      </c>
      <c r="BU320" s="199">
        <f>'Detailed Budget'!$AD$24</f>
        <v>194045122715</v>
      </c>
      <c r="BV320" s="596">
        <f t="shared" si="407"/>
        <v>5.5298538467070555E-3</v>
      </c>
      <c r="BW320" s="278"/>
      <c r="BX320" s="275">
        <f t="shared" si="397"/>
        <v>1073041168.2802854</v>
      </c>
      <c r="BY320" s="275">
        <f t="shared" si="398"/>
        <v>1073041168.2802854</v>
      </c>
      <c r="CA320" s="199">
        <f>'Detailed Budget'!$AD$96</f>
        <v>71050111380.677719</v>
      </c>
      <c r="CB320" s="275">
        <f t="shared" si="344"/>
        <v>0</v>
      </c>
      <c r="CE320" s="199">
        <f>'Detailed Budget'!$AD$175</f>
        <v>4330586076.5988197</v>
      </c>
      <c r="CF320" s="275">
        <f t="shared" si="408"/>
        <v>18647852.423305769</v>
      </c>
      <c r="CG320" s="199">
        <f>'Detailed Budget'!$AD$176</f>
        <v>20662817754.37001</v>
      </c>
      <c r="CH320" s="275">
        <f t="shared" si="409"/>
        <v>88975759.373024449</v>
      </c>
      <c r="CI320" s="275">
        <f t="shared" si="410"/>
        <v>107623611.79633021</v>
      </c>
      <c r="CJ320" s="275">
        <f>'Detailed Budget'!$AD$178</f>
        <v>46025131033.061455</v>
      </c>
      <c r="CK320" s="275">
        <f t="shared" si="411"/>
        <v>134253913.85283369</v>
      </c>
      <c r="CL320" s="275">
        <f t="shared" si="366"/>
        <v>241877525.6491639</v>
      </c>
      <c r="CM320" s="278">
        <f>'Detailed Budget'!$AD$189</f>
        <v>77498869683.252869</v>
      </c>
      <c r="CN320" s="275">
        <f t="shared" si="346"/>
        <v>0</v>
      </c>
      <c r="CO320" s="140">
        <f>'Detailed Budget'!$AD$191</f>
        <v>2684962805.4134097</v>
      </c>
      <c r="CP320" s="616">
        <f t="shared" si="347"/>
        <v>0</v>
      </c>
      <c r="CQ320" s="616">
        <f t="shared" si="348"/>
        <v>0</v>
      </c>
      <c r="CR320" s="199">
        <f>'Detailed Budget'!$AD$195</f>
        <v>18734176418</v>
      </c>
      <c r="CS320" s="275">
        <f t="shared" si="412"/>
        <v>30550309.171082459</v>
      </c>
      <c r="CW320" s="278"/>
      <c r="DH320" s="140">
        <f>'Detailed Budget'!$AD$163</f>
        <v>4928560000</v>
      </c>
      <c r="DI320" s="616">
        <f t="shared" si="413"/>
        <v>5600000</v>
      </c>
    </row>
    <row r="321" spans="1:113" outlineLevel="1">
      <c r="A321" s="214" t="s">
        <v>779</v>
      </c>
      <c r="B321" s="215" t="s">
        <v>780</v>
      </c>
      <c r="C321" s="216" t="s">
        <v>234</v>
      </c>
      <c r="D321" s="217" t="s">
        <v>234</v>
      </c>
      <c r="E321" s="216"/>
      <c r="F321" s="216"/>
      <c r="G321" s="216"/>
      <c r="H321" s="216" t="s">
        <v>234</v>
      </c>
      <c r="I321" s="217" t="s">
        <v>234</v>
      </c>
      <c r="J321" s="217"/>
      <c r="K321" s="216" t="s">
        <v>234</v>
      </c>
      <c r="L321" s="216"/>
      <c r="M321" s="217"/>
      <c r="N321" s="216"/>
      <c r="O321" s="217"/>
      <c r="P321" s="216"/>
      <c r="Q321" s="217"/>
      <c r="R321" s="217" t="s">
        <v>234</v>
      </c>
      <c r="S321" s="217"/>
      <c r="T321" s="217"/>
      <c r="U321" s="218">
        <f t="shared" si="401"/>
        <v>6</v>
      </c>
      <c r="V321" s="867" t="s">
        <v>238</v>
      </c>
      <c r="W321" s="219">
        <v>155973</v>
      </c>
      <c r="X321" s="220">
        <v>3.07</v>
      </c>
      <c r="Y321" s="221">
        <f t="shared" si="379"/>
        <v>1.0306999999999999</v>
      </c>
      <c r="Z321" s="199">
        <v>19</v>
      </c>
      <c r="AA321" s="221">
        <f t="shared" si="380"/>
        <v>1.7762874396990105</v>
      </c>
      <c r="AB321" s="199">
        <f t="shared" si="415"/>
        <v>277052.88083217375</v>
      </c>
      <c r="AC321">
        <v>19.2</v>
      </c>
      <c r="AD321" s="199">
        <f t="shared" si="416"/>
        <v>53194.153119777358</v>
      </c>
      <c r="AE321" s="199">
        <f t="shared" si="399"/>
        <v>50534.445463788485</v>
      </c>
      <c r="AF321" s="199">
        <f t="shared" si="365"/>
        <v>50534.445463788485</v>
      </c>
      <c r="AG321" s="614">
        <f t="shared" si="351"/>
        <v>2.3364909078731192E-3</v>
      </c>
      <c r="AH321" s="199">
        <f t="shared" si="414"/>
        <v>13852.644041608688</v>
      </c>
      <c r="AI321" s="252">
        <f t="shared" si="334"/>
        <v>1.0731433450975958E-3</v>
      </c>
      <c r="AJ321" s="199">
        <f t="shared" si="352"/>
        <v>67046.797161386043</v>
      </c>
      <c r="AK321" s="199">
        <f t="shared" si="367"/>
        <v>11082.11523328695</v>
      </c>
      <c r="AL321" s="199">
        <f t="shared" si="368"/>
        <v>11082.11523328695</v>
      </c>
      <c r="AM321" s="199">
        <f t="shared" si="335"/>
        <v>22164.230466573899</v>
      </c>
      <c r="AN321" s="645">
        <f t="shared" si="336"/>
        <v>1.0731433450975958E-3</v>
      </c>
      <c r="AO321">
        <v>10</v>
      </c>
      <c r="AP321" s="250">
        <f t="shared" si="337"/>
        <v>1.1362345188046814E-3</v>
      </c>
      <c r="AQ321">
        <v>10</v>
      </c>
      <c r="AU321" s="199">
        <v>1</v>
      </c>
      <c r="AV321" s="199">
        <f t="shared" si="402"/>
        <v>153895.30850283382</v>
      </c>
      <c r="AW321" s="250">
        <f t="shared" si="338"/>
        <v>4.4294094381888104E-3</v>
      </c>
      <c r="AX321" s="199">
        <v>0</v>
      </c>
      <c r="AY321" s="199">
        <f t="shared" si="403"/>
        <v>19715.273018173164</v>
      </c>
      <c r="AZ321" s="199">
        <f t="shared" si="355"/>
        <v>0</v>
      </c>
      <c r="BA321" s="252">
        <f t="shared" si="339"/>
        <v>0</v>
      </c>
      <c r="BB321" s="284">
        <v>1</v>
      </c>
      <c r="BC321" s="199">
        <f t="shared" si="404"/>
        <v>38299.790246239696</v>
      </c>
      <c r="BD321" s="270">
        <f t="shared" si="369"/>
        <v>3.449167791066075E-3</v>
      </c>
      <c r="BE321" s="199">
        <f t="shared" si="405"/>
        <v>163837.99160891428</v>
      </c>
      <c r="BF321" s="251">
        <f t="shared" si="370"/>
        <v>3.4491678677130706E-3</v>
      </c>
      <c r="BG321" s="204">
        <f t="shared" si="383"/>
        <v>202137.78185515397</v>
      </c>
      <c r="BH321" s="636">
        <v>0</v>
      </c>
      <c r="BI321" s="199">
        <f t="shared" si="340"/>
        <v>84778.181534645162</v>
      </c>
      <c r="BJ321" s="199">
        <f t="shared" si="341"/>
        <v>169556.36306929032</v>
      </c>
      <c r="BK321" s="199">
        <f t="shared" si="349"/>
        <v>254334.5446039355</v>
      </c>
      <c r="BL321" s="251">
        <f t="shared" si="342"/>
        <v>1.0731433450975958E-3</v>
      </c>
      <c r="BM321" s="199">
        <f t="shared" si="406"/>
        <v>30248.180900407333</v>
      </c>
      <c r="BN321" s="251">
        <f t="shared" si="343"/>
        <v>1.3062105214786887E-3</v>
      </c>
      <c r="BT321" s="199">
        <f>'Detailed Budget'!$AD$12</f>
        <v>194045122715</v>
      </c>
      <c r="BU321" s="199">
        <f>'Detailed Budget'!$AD$24</f>
        <v>194045122715</v>
      </c>
      <c r="BV321" s="596">
        <f t="shared" si="407"/>
        <v>4.4294094381888104E-3</v>
      </c>
      <c r="BW321" s="278"/>
      <c r="BX321" s="275">
        <f t="shared" si="397"/>
        <v>859505297.98832691</v>
      </c>
      <c r="BY321" s="275">
        <f t="shared" si="398"/>
        <v>859505297.98832691</v>
      </c>
      <c r="CA321" s="199">
        <f>'Detailed Budget'!$AD$96</f>
        <v>71050111380.677719</v>
      </c>
      <c r="CB321" s="275">
        <f t="shared" si="344"/>
        <v>0</v>
      </c>
      <c r="CE321" s="199">
        <f>'Detailed Budget'!$AD$175</f>
        <v>4330586076.5988197</v>
      </c>
      <c r="CF321" s="275">
        <f t="shared" si="408"/>
        <v>14936918.011843851</v>
      </c>
      <c r="CG321" s="199">
        <f>'Detailed Budget'!$AD$176</f>
        <v>20662817754.37001</v>
      </c>
      <c r="CH321" s="275">
        <f t="shared" si="409"/>
        <v>71269527.054784194</v>
      </c>
      <c r="CI321" s="275">
        <f t="shared" si="410"/>
        <v>86206445.066628039</v>
      </c>
      <c r="CJ321" s="275">
        <f>'Detailed Budget'!$AD$178</f>
        <v>46025131033.061455</v>
      </c>
      <c r="CK321" s="275">
        <f t="shared" si="411"/>
        <v>107537300.19241703</v>
      </c>
      <c r="CL321" s="275">
        <f t="shared" si="366"/>
        <v>193743745.25904506</v>
      </c>
      <c r="CM321" s="278">
        <f>'Detailed Budget'!$AD$189</f>
        <v>77498869683.252869</v>
      </c>
      <c r="CN321" s="275">
        <f t="shared" si="346"/>
        <v>0</v>
      </c>
      <c r="CO321" s="140">
        <f>'Detailed Budget'!$AD$191</f>
        <v>2684962805.4134097</v>
      </c>
      <c r="CP321" s="616">
        <f t="shared" si="347"/>
        <v>0</v>
      </c>
      <c r="CQ321" s="616">
        <f t="shared" si="348"/>
        <v>0</v>
      </c>
      <c r="CR321" s="199">
        <f>'Detailed Budget'!$AD$195</f>
        <v>18734176418</v>
      </c>
      <c r="CS321" s="275">
        <f t="shared" si="412"/>
        <v>24470778.348429531</v>
      </c>
      <c r="CW321" s="278"/>
      <c r="DH321" s="140">
        <f>'Detailed Budget'!$AD$163</f>
        <v>4928560000</v>
      </c>
      <c r="DI321" s="616">
        <f t="shared" si="413"/>
        <v>5600000</v>
      </c>
    </row>
    <row r="322" spans="1:113" outlineLevel="1">
      <c r="A322" s="214" t="s">
        <v>781</v>
      </c>
      <c r="B322" s="215" t="s">
        <v>782</v>
      </c>
      <c r="C322" s="216" t="s">
        <v>234</v>
      </c>
      <c r="D322" s="217" t="s">
        <v>234</v>
      </c>
      <c r="E322" s="216"/>
      <c r="F322" s="216"/>
      <c r="G322" s="216"/>
      <c r="H322" s="216" t="s">
        <v>234</v>
      </c>
      <c r="I322" s="217" t="s">
        <v>234</v>
      </c>
      <c r="J322" s="217"/>
      <c r="K322" s="216" t="s">
        <v>234</v>
      </c>
      <c r="L322" s="216"/>
      <c r="M322" s="217"/>
      <c r="N322" s="216"/>
      <c r="O322" s="217"/>
      <c r="P322" s="216"/>
      <c r="Q322" s="217"/>
      <c r="R322" s="217" t="s">
        <v>234</v>
      </c>
      <c r="S322" s="217"/>
      <c r="T322" s="217"/>
      <c r="U322" s="218">
        <f t="shared" si="401"/>
        <v>6</v>
      </c>
      <c r="V322" s="867" t="s">
        <v>238</v>
      </c>
      <c r="W322" s="219">
        <v>278202</v>
      </c>
      <c r="X322" s="220">
        <v>3.07</v>
      </c>
      <c r="Y322" s="221">
        <f t="shared" si="379"/>
        <v>1.0306999999999999</v>
      </c>
      <c r="Z322" s="199">
        <v>19</v>
      </c>
      <c r="AA322" s="221">
        <f t="shared" si="380"/>
        <v>1.7762874396990105</v>
      </c>
      <c r="AB322" s="199">
        <f t="shared" si="415"/>
        <v>494166.71829914412</v>
      </c>
      <c r="AC322">
        <v>19.2</v>
      </c>
      <c r="AD322" s="199">
        <f t="shared" si="416"/>
        <v>94880.009913435671</v>
      </c>
      <c r="AE322" s="199">
        <f t="shared" si="399"/>
        <v>90136.009417763882</v>
      </c>
      <c r="AF322" s="199">
        <f t="shared" si="365"/>
        <v>90136.009417763882</v>
      </c>
      <c r="AG322" s="614">
        <f t="shared" si="351"/>
        <v>4.1674933709816286E-3</v>
      </c>
      <c r="AH322" s="199">
        <f t="shared" si="414"/>
        <v>24708.335914957206</v>
      </c>
      <c r="AI322" s="252">
        <f t="shared" si="334"/>
        <v>1.9141173465461417E-3</v>
      </c>
      <c r="AJ322" s="199">
        <f t="shared" si="352"/>
        <v>119588.34582839288</v>
      </c>
      <c r="AK322" s="199">
        <f t="shared" si="367"/>
        <v>19766.668731965765</v>
      </c>
      <c r="AL322" s="199">
        <f t="shared" si="368"/>
        <v>19766.668731965765</v>
      </c>
      <c r="AM322" s="199">
        <f t="shared" si="335"/>
        <v>39533.33746393153</v>
      </c>
      <c r="AN322" s="645">
        <f t="shared" si="336"/>
        <v>1.9141173465461417E-3</v>
      </c>
      <c r="AO322">
        <v>12</v>
      </c>
      <c r="AP322" s="250">
        <f t="shared" si="337"/>
        <v>1.3634814225656176E-3</v>
      </c>
      <c r="AQ322">
        <v>12</v>
      </c>
      <c r="AU322" s="199">
        <v>1</v>
      </c>
      <c r="AV322" s="199">
        <f t="shared" si="402"/>
        <v>274496.11545655574</v>
      </c>
      <c r="AW322" s="250">
        <f t="shared" si="338"/>
        <v>7.9005376861572395E-3</v>
      </c>
      <c r="AX322" s="199">
        <v>0</v>
      </c>
      <c r="AY322" s="199">
        <f t="shared" si="403"/>
        <v>35165.242600974605</v>
      </c>
      <c r="AZ322" s="199">
        <f t="shared" si="355"/>
        <v>0</v>
      </c>
      <c r="BA322" s="252">
        <f t="shared" si="339"/>
        <v>0</v>
      </c>
      <c r="BB322" s="284">
        <v>1</v>
      </c>
      <c r="BC322" s="199">
        <f t="shared" si="404"/>
        <v>68313.60713767368</v>
      </c>
      <c r="BD322" s="270">
        <f t="shared" si="369"/>
        <v>6.152124905016665E-3</v>
      </c>
      <c r="BE322" s="199">
        <f t="shared" si="405"/>
        <v>292230.43053338188</v>
      </c>
      <c r="BF322" s="251">
        <f t="shared" si="370"/>
        <v>6.152125041728451E-3</v>
      </c>
      <c r="BG322" s="204">
        <f t="shared" si="383"/>
        <v>360544.03767105553</v>
      </c>
      <c r="BH322" s="636">
        <v>0</v>
      </c>
      <c r="BI322" s="199">
        <f t="shared" si="340"/>
        <v>151215.01579953812</v>
      </c>
      <c r="BJ322" s="199">
        <f t="shared" si="341"/>
        <v>302430.03159907623</v>
      </c>
      <c r="BK322" s="199">
        <f t="shared" si="349"/>
        <v>453645.04739861435</v>
      </c>
      <c r="BL322" s="251">
        <f t="shared" si="342"/>
        <v>1.9141173465461419E-3</v>
      </c>
      <c r="BM322" s="199">
        <f t="shared" si="406"/>
        <v>53952.314970252039</v>
      </c>
      <c r="BN322" s="251">
        <f t="shared" si="343"/>
        <v>2.3298287491836035E-3</v>
      </c>
      <c r="BT322" s="199">
        <f>'Detailed Budget'!$AD$12</f>
        <v>194045122715</v>
      </c>
      <c r="BU322" s="199">
        <f>'Detailed Budget'!$AD$24</f>
        <v>194045122715</v>
      </c>
      <c r="BV322" s="596">
        <f t="shared" si="407"/>
        <v>7.9005376861572395E-3</v>
      </c>
      <c r="BW322" s="278"/>
      <c r="BX322" s="275">
        <f t="shared" si="397"/>
        <v>1533060804.8248637</v>
      </c>
      <c r="BY322" s="275">
        <f t="shared" si="398"/>
        <v>1533060804.8248637</v>
      </c>
      <c r="CA322" s="199">
        <f>'Detailed Budget'!$AD$96</f>
        <v>71050111380.677719</v>
      </c>
      <c r="CB322" s="275">
        <f t="shared" si="344"/>
        <v>0</v>
      </c>
      <c r="CE322" s="199">
        <f>'Detailed Budget'!$AD$175</f>
        <v>4330586076.5988197</v>
      </c>
      <c r="CF322" s="275">
        <f t="shared" si="408"/>
        <v>26642306.455162007</v>
      </c>
      <c r="CG322" s="199">
        <f>'Detailed Budget'!$AD$176</f>
        <v>20662817754.37001</v>
      </c>
      <c r="CH322" s="275">
        <f t="shared" si="409"/>
        <v>127120238.53933097</v>
      </c>
      <c r="CI322" s="275">
        <f t="shared" si="410"/>
        <v>153762544.99449298</v>
      </c>
      <c r="CJ322" s="275">
        <f>'Detailed Budget'!$AD$178</f>
        <v>46025131033.061455</v>
      </c>
      <c r="CK322" s="275">
        <f t="shared" si="411"/>
        <v>191809428.47884446</v>
      </c>
      <c r="CL322" s="275">
        <f t="shared" si="366"/>
        <v>345571973.47333741</v>
      </c>
      <c r="CM322" s="278">
        <f>'Detailed Budget'!$AD$189</f>
        <v>77498869683.252869</v>
      </c>
      <c r="CN322" s="275">
        <f t="shared" si="346"/>
        <v>0</v>
      </c>
      <c r="CO322" s="140">
        <f>'Detailed Budget'!$AD$191</f>
        <v>2684962805.4134097</v>
      </c>
      <c r="CP322" s="616">
        <f t="shared" si="347"/>
        <v>0</v>
      </c>
      <c r="CQ322" s="616">
        <f t="shared" si="348"/>
        <v>0</v>
      </c>
      <c r="CR322" s="199">
        <f>'Detailed Budget'!$AD$195</f>
        <v>18734176418</v>
      </c>
      <c r="CS322" s="275">
        <f t="shared" si="412"/>
        <v>43647422.810933903</v>
      </c>
      <c r="CW322" s="278"/>
      <c r="DH322" s="140">
        <f>'Detailed Budget'!$AD$163</f>
        <v>4928560000</v>
      </c>
      <c r="DI322" s="616">
        <f t="shared" si="413"/>
        <v>6720000</v>
      </c>
    </row>
    <row r="323" spans="1:113" outlineLevel="1">
      <c r="A323" s="214" t="s">
        <v>783</v>
      </c>
      <c r="B323" s="215" t="s">
        <v>784</v>
      </c>
      <c r="C323" s="216" t="s">
        <v>234</v>
      </c>
      <c r="D323" s="217" t="s">
        <v>234</v>
      </c>
      <c r="E323" s="216"/>
      <c r="F323" s="216"/>
      <c r="G323" s="216"/>
      <c r="H323" s="216" t="s">
        <v>234</v>
      </c>
      <c r="I323" s="217" t="s">
        <v>234</v>
      </c>
      <c r="J323" s="217"/>
      <c r="K323" s="216" t="s">
        <v>234</v>
      </c>
      <c r="L323" s="216"/>
      <c r="M323" s="217"/>
      <c r="N323" s="216"/>
      <c r="O323" s="217"/>
      <c r="P323" s="216"/>
      <c r="Q323" s="217"/>
      <c r="R323" s="217" t="s">
        <v>234</v>
      </c>
      <c r="S323" s="217"/>
      <c r="T323" s="217"/>
      <c r="U323" s="218">
        <f t="shared" si="401"/>
        <v>6</v>
      </c>
      <c r="V323" s="867" t="s">
        <v>238</v>
      </c>
      <c r="W323" s="219">
        <v>252568</v>
      </c>
      <c r="X323" s="220">
        <v>3.07</v>
      </c>
      <c r="Y323" s="221">
        <f t="shared" si="379"/>
        <v>1.0306999999999999</v>
      </c>
      <c r="Z323" s="199">
        <v>19</v>
      </c>
      <c r="AA323" s="221">
        <f t="shared" si="380"/>
        <v>1.7762874396990105</v>
      </c>
      <c r="AB323" s="199">
        <f t="shared" si="415"/>
        <v>448633.3660698997</v>
      </c>
      <c r="AC323">
        <v>19.2</v>
      </c>
      <c r="AD323" s="199">
        <f t="shared" si="416"/>
        <v>86137.606285420727</v>
      </c>
      <c r="AE323" s="199">
        <f t="shared" si="399"/>
        <v>81830.725971149688</v>
      </c>
      <c r="AF323" s="199">
        <f t="shared" si="365"/>
        <v>81830.725971149688</v>
      </c>
      <c r="AG323" s="614">
        <f t="shared" si="351"/>
        <v>3.7834935252876972E-3</v>
      </c>
      <c r="AH323" s="199">
        <f t="shared" si="414"/>
        <v>22431.668303494986</v>
      </c>
      <c r="AI323" s="252">
        <f t="shared" si="334"/>
        <v>1.7377473561745276E-3</v>
      </c>
      <c r="AJ323" s="199">
        <f t="shared" si="352"/>
        <v>108569.27458891571</v>
      </c>
      <c r="AK323" s="199">
        <f t="shared" si="367"/>
        <v>17945.334642795988</v>
      </c>
      <c r="AL323" s="199">
        <f t="shared" si="368"/>
        <v>17945.334642795988</v>
      </c>
      <c r="AM323" s="199">
        <f t="shared" si="335"/>
        <v>35890.669285591975</v>
      </c>
      <c r="AN323" s="645">
        <f t="shared" si="336"/>
        <v>1.7377473561745276E-3</v>
      </c>
      <c r="AO323">
        <v>12</v>
      </c>
      <c r="AP323" s="250">
        <f t="shared" si="337"/>
        <v>1.3634814225656176E-3</v>
      </c>
      <c r="AQ323">
        <v>12</v>
      </c>
      <c r="AU323" s="199">
        <v>1</v>
      </c>
      <c r="AV323" s="199">
        <f t="shared" si="402"/>
        <v>249203.58188881236</v>
      </c>
      <c r="AW323" s="250">
        <f t="shared" si="338"/>
        <v>7.1725688611777123E-3</v>
      </c>
      <c r="AX323" s="199">
        <v>0</v>
      </c>
      <c r="AY323" s="199">
        <f t="shared" si="403"/>
        <v>31925.058027055711</v>
      </c>
      <c r="AZ323" s="199">
        <f t="shared" si="355"/>
        <v>0</v>
      </c>
      <c r="BA323" s="252">
        <f t="shared" si="339"/>
        <v>0</v>
      </c>
      <c r="BB323" s="284">
        <v>1</v>
      </c>
      <c r="BC323" s="199">
        <f t="shared" si="404"/>
        <v>62019.076525502918</v>
      </c>
      <c r="BD323" s="270">
        <f t="shared" si="369"/>
        <v>5.5852577731657169E-3</v>
      </c>
      <c r="BE323" s="199">
        <f t="shared" si="405"/>
        <v>265303.82735909586</v>
      </c>
      <c r="BF323" s="251">
        <f t="shared" si="370"/>
        <v>5.5852578972806497E-3</v>
      </c>
      <c r="BG323" s="204">
        <f t="shared" si="383"/>
        <v>327322.90388459875</v>
      </c>
      <c r="BH323" s="636">
        <v>0</v>
      </c>
      <c r="BI323" s="199">
        <f t="shared" si="340"/>
        <v>137281.8100173893</v>
      </c>
      <c r="BJ323" s="199">
        <f t="shared" si="341"/>
        <v>274563.62003477861</v>
      </c>
      <c r="BK323" s="199">
        <f t="shared" si="349"/>
        <v>411845.43005216791</v>
      </c>
      <c r="BL323" s="251">
        <f t="shared" si="342"/>
        <v>1.7377473561745276E-3</v>
      </c>
      <c r="BM323" s="199">
        <f t="shared" si="406"/>
        <v>48981.057962942818</v>
      </c>
      <c r="BN323" s="251">
        <f t="shared" si="343"/>
        <v>2.1151544112688061E-3</v>
      </c>
      <c r="BT323" s="199">
        <f>'Detailed Budget'!$AD$12</f>
        <v>194045122715</v>
      </c>
      <c r="BU323" s="199">
        <f>'Detailed Budget'!$AD$24</f>
        <v>194045122715</v>
      </c>
      <c r="BV323" s="596">
        <f t="shared" si="407"/>
        <v>7.1725688611777123E-3</v>
      </c>
      <c r="BW323" s="278"/>
      <c r="BX323" s="275">
        <f t="shared" si="397"/>
        <v>1391802004.8490169</v>
      </c>
      <c r="BY323" s="275">
        <f t="shared" si="398"/>
        <v>1391802004.8490169</v>
      </c>
      <c r="CA323" s="199">
        <f>'Detailed Budget'!$AD$96</f>
        <v>71050111380.677719</v>
      </c>
      <c r="CB323" s="275">
        <f t="shared" si="344"/>
        <v>0</v>
      </c>
      <c r="CE323" s="199">
        <f>'Detailed Budget'!$AD$175</f>
        <v>4330586076.5988197</v>
      </c>
      <c r="CF323" s="275">
        <f t="shared" si="408"/>
        <v>24187439.546686783</v>
      </c>
      <c r="CG323" s="199">
        <f>'Detailed Budget'!$AD$176</f>
        <v>20662817754.37001</v>
      </c>
      <c r="CH323" s="275">
        <f t="shared" si="409"/>
        <v>115407166.04266591</v>
      </c>
      <c r="CI323" s="275">
        <f t="shared" si="410"/>
        <v>139594605.5893527</v>
      </c>
      <c r="CJ323" s="275">
        <f>'Detailed Budget'!$AD$178</f>
        <v>46025131033.061455</v>
      </c>
      <c r="CK323" s="275">
        <f t="shared" si="411"/>
        <v>174135785.26410589</v>
      </c>
      <c r="CL323" s="275">
        <f t="shared" si="366"/>
        <v>313730390.85345858</v>
      </c>
      <c r="CM323" s="278">
        <f>'Detailed Budget'!$AD$189</f>
        <v>77498869683.252869</v>
      </c>
      <c r="CN323" s="275">
        <f t="shared" si="346"/>
        <v>0</v>
      </c>
      <c r="CO323" s="140">
        <f>'Detailed Budget'!$AD$191</f>
        <v>2684962805.4134097</v>
      </c>
      <c r="CP323" s="616">
        <f t="shared" si="347"/>
        <v>0</v>
      </c>
      <c r="CQ323" s="616">
        <f t="shared" si="348"/>
        <v>0</v>
      </c>
      <c r="CR323" s="199">
        <f>'Detailed Budget'!$AD$195</f>
        <v>18734176418</v>
      </c>
      <c r="CS323" s="275">
        <f t="shared" si="412"/>
        <v>39625675.89202074</v>
      </c>
      <c r="CW323" s="278"/>
      <c r="DH323" s="140">
        <f>'Detailed Budget'!$AD$163</f>
        <v>4928560000</v>
      </c>
      <c r="DI323" s="616">
        <f t="shared" si="413"/>
        <v>6720000</v>
      </c>
    </row>
    <row r="324" spans="1:113" outlineLevel="1">
      <c r="A324" s="214" t="s">
        <v>785</v>
      </c>
      <c r="B324" s="215" t="s">
        <v>786</v>
      </c>
      <c r="C324" s="216" t="s">
        <v>234</v>
      </c>
      <c r="D324" s="217" t="s">
        <v>234</v>
      </c>
      <c r="E324" s="216"/>
      <c r="F324" s="216"/>
      <c r="G324" s="216"/>
      <c r="H324" s="216" t="s">
        <v>234</v>
      </c>
      <c r="I324" s="217" t="s">
        <v>234</v>
      </c>
      <c r="J324" s="217"/>
      <c r="K324" s="216" t="s">
        <v>234</v>
      </c>
      <c r="L324" s="216"/>
      <c r="M324" s="217"/>
      <c r="N324" s="216"/>
      <c r="O324" s="217"/>
      <c r="P324" s="216"/>
      <c r="Q324" s="217" t="s">
        <v>234</v>
      </c>
      <c r="R324" s="217"/>
      <c r="S324" s="217"/>
      <c r="T324" s="217"/>
      <c r="U324" s="218">
        <f t="shared" si="401"/>
        <v>6</v>
      </c>
      <c r="V324" s="867" t="s">
        <v>284</v>
      </c>
      <c r="W324" s="219">
        <v>364575</v>
      </c>
      <c r="X324" s="220">
        <v>3.07</v>
      </c>
      <c r="Y324" s="221">
        <f t="shared" si="379"/>
        <v>1.0306999999999999</v>
      </c>
      <c r="Z324" s="199">
        <v>19</v>
      </c>
      <c r="AA324" s="221">
        <f t="shared" si="380"/>
        <v>1.7762874396990105</v>
      </c>
      <c r="AB324" s="199">
        <f t="shared" si="415"/>
        <v>647589.99332826678</v>
      </c>
      <c r="AC324">
        <v>19.2</v>
      </c>
      <c r="AD324" s="199">
        <f t="shared" si="416"/>
        <v>124337.27871902721</v>
      </c>
      <c r="AE324" s="199">
        <f t="shared" si="399"/>
        <v>118120.41478307584</v>
      </c>
      <c r="AF324" s="199">
        <f t="shared" si="365"/>
        <v>118120.41478307584</v>
      </c>
      <c r="AG324" s="614">
        <f t="shared" si="351"/>
        <v>5.4613694212321522E-3</v>
      </c>
      <c r="AH324" s="199">
        <f t="shared" si="414"/>
        <v>32379.49966641334</v>
      </c>
      <c r="AI324" s="252">
        <f t="shared" si="334"/>
        <v>2.5083907794230796E-3</v>
      </c>
      <c r="AJ324" s="199">
        <f t="shared" si="352"/>
        <v>156716.77838544056</v>
      </c>
      <c r="AK324" s="199">
        <f t="shared" si="367"/>
        <v>25903.599733130672</v>
      </c>
      <c r="AL324" s="199">
        <f t="shared" si="368"/>
        <v>25903.599733130672</v>
      </c>
      <c r="AM324" s="199">
        <f t="shared" si="335"/>
        <v>51807.199466261343</v>
      </c>
      <c r="AN324" s="645">
        <f t="shared" si="336"/>
        <v>2.5083907794230796E-3</v>
      </c>
      <c r="AO324">
        <v>12</v>
      </c>
      <c r="AP324" s="250">
        <f t="shared" si="337"/>
        <v>1.3634814225656176E-3</v>
      </c>
      <c r="AQ324">
        <v>12</v>
      </c>
      <c r="AU324" s="199">
        <v>1</v>
      </c>
      <c r="AV324" s="199">
        <f t="shared" si="402"/>
        <v>359718.55447686865</v>
      </c>
      <c r="AW324" s="250">
        <f t="shared" si="338"/>
        <v>1.0353406973820374E-2</v>
      </c>
      <c r="AX324" s="199">
        <v>0</v>
      </c>
      <c r="AY324" s="199">
        <f t="shared" si="403"/>
        <v>46082.948078196117</v>
      </c>
      <c r="AZ324" s="199">
        <f t="shared" si="355"/>
        <v>0</v>
      </c>
      <c r="BA324" s="252">
        <f t="shared" si="339"/>
        <v>0</v>
      </c>
      <c r="BB324" s="284">
        <v>1</v>
      </c>
      <c r="BC324" s="199">
        <f t="shared" si="404"/>
        <v>89522.840677699583</v>
      </c>
      <c r="BD324" s="270">
        <f t="shared" si="369"/>
        <v>8.0621668329000154E-3</v>
      </c>
      <c r="BE324" s="199">
        <f t="shared" si="405"/>
        <v>382958.81845460378</v>
      </c>
      <c r="BF324" s="251">
        <f t="shared" si="370"/>
        <v>8.0621670120565262E-3</v>
      </c>
      <c r="BG324" s="204">
        <f t="shared" si="383"/>
        <v>472481.65913230338</v>
      </c>
      <c r="BH324" s="636">
        <v>0</v>
      </c>
      <c r="BI324" s="199">
        <f t="shared" si="340"/>
        <v>198162.5379584496</v>
      </c>
      <c r="BJ324" s="199">
        <f t="shared" si="341"/>
        <v>396325.07591689919</v>
      </c>
      <c r="BK324" s="199">
        <f t="shared" si="349"/>
        <v>594487.61387534882</v>
      </c>
      <c r="BL324" s="251">
        <f t="shared" si="342"/>
        <v>2.5083907794230796E-3</v>
      </c>
      <c r="BM324" s="199">
        <f t="shared" si="406"/>
        <v>70702.817486141867</v>
      </c>
      <c r="BN324" s="251">
        <f t="shared" si="343"/>
        <v>3.0531675409724312E-3</v>
      </c>
      <c r="BT324" s="199">
        <f>'Detailed Budget'!$AD$12</f>
        <v>194045122715</v>
      </c>
      <c r="BU324" s="199">
        <f>'Detailed Budget'!$AD$24</f>
        <v>194045122715</v>
      </c>
      <c r="BV324" s="596">
        <f t="shared" si="407"/>
        <v>1.0353406973820374E-2</v>
      </c>
      <c r="BW324" s="278"/>
      <c r="BX324" s="275">
        <f t="shared" si="397"/>
        <v>2009028126.7533114</v>
      </c>
      <c r="BY324" s="275">
        <f t="shared" si="398"/>
        <v>2009028126.7533114</v>
      </c>
      <c r="CA324" s="199">
        <f>'Detailed Budget'!$AD$96</f>
        <v>71050111380.677719</v>
      </c>
      <c r="CB324" s="275">
        <f t="shared" si="344"/>
        <v>0</v>
      </c>
      <c r="CE324" s="199">
        <f>'Detailed Budget'!$AD$175</f>
        <v>4330586076.5988197</v>
      </c>
      <c r="CF324" s="275">
        <f t="shared" si="408"/>
        <v>34913907.433773607</v>
      </c>
      <c r="CG324" s="199">
        <f>'Detailed Budget'!$AD$176</f>
        <v>20662817754.37001</v>
      </c>
      <c r="CH324" s="275">
        <f t="shared" si="409"/>
        <v>166587087.67541781</v>
      </c>
      <c r="CI324" s="275">
        <f t="shared" si="410"/>
        <v>201500995.10919142</v>
      </c>
      <c r="CJ324" s="275">
        <f>'Detailed Budget'!$AD$178</f>
        <v>46025131033.061455</v>
      </c>
      <c r="CK324" s="275">
        <f t="shared" si="411"/>
        <v>251360243.2321648</v>
      </c>
      <c r="CL324" s="275">
        <f t="shared" si="366"/>
        <v>452861238.34135622</v>
      </c>
      <c r="CM324" s="278">
        <f>'Detailed Budget'!$AD$189</f>
        <v>77498869683.252869</v>
      </c>
      <c r="CN324" s="275">
        <f t="shared" si="346"/>
        <v>0</v>
      </c>
      <c r="CO324" s="140">
        <f>'Detailed Budget'!$AD$191</f>
        <v>2684962805.4134097</v>
      </c>
      <c r="CP324" s="616">
        <f t="shared" si="347"/>
        <v>0</v>
      </c>
      <c r="CQ324" s="616">
        <f t="shared" si="348"/>
        <v>0</v>
      </c>
      <c r="CR324" s="199">
        <f>'Detailed Budget'!$AD$195</f>
        <v>18734176418</v>
      </c>
      <c r="CS324" s="275">
        <f t="shared" si="412"/>
        <v>57198579.34628877</v>
      </c>
      <c r="CW324" s="278"/>
      <c r="DH324" s="140">
        <f>'Detailed Budget'!$AD$163</f>
        <v>4928560000</v>
      </c>
      <c r="DI324" s="616">
        <f t="shared" si="413"/>
        <v>6720000</v>
      </c>
    </row>
    <row r="325" spans="1:113" outlineLevel="1">
      <c r="A325" s="214" t="s">
        <v>787</v>
      </c>
      <c r="B325" s="215" t="s">
        <v>788</v>
      </c>
      <c r="C325" s="216" t="s">
        <v>234</v>
      </c>
      <c r="D325" s="217" t="s">
        <v>234</v>
      </c>
      <c r="E325" s="216"/>
      <c r="F325" s="216"/>
      <c r="G325" s="216"/>
      <c r="H325" s="216" t="s">
        <v>234</v>
      </c>
      <c r="I325" s="217" t="s">
        <v>234</v>
      </c>
      <c r="J325" s="217"/>
      <c r="K325" s="216"/>
      <c r="L325" s="216"/>
      <c r="M325" s="217" t="s">
        <v>234</v>
      </c>
      <c r="N325" s="216"/>
      <c r="O325" s="217"/>
      <c r="P325" s="216"/>
      <c r="Q325" s="217" t="s">
        <v>234</v>
      </c>
      <c r="R325" s="217"/>
      <c r="S325" s="217"/>
      <c r="T325" s="217"/>
      <c r="U325" s="218">
        <f t="shared" si="401"/>
        <v>6</v>
      </c>
      <c r="V325" s="867" t="s">
        <v>284</v>
      </c>
      <c r="W325" s="219">
        <v>402731</v>
      </c>
      <c r="X325" s="220">
        <v>3.07</v>
      </c>
      <c r="Y325" s="221">
        <f t="shared" si="379"/>
        <v>1.0306999999999999</v>
      </c>
      <c r="Z325" s="199">
        <v>19</v>
      </c>
      <c r="AA325" s="221">
        <f t="shared" si="380"/>
        <v>1.7762874396990105</v>
      </c>
      <c r="AB325" s="199">
        <f t="shared" si="415"/>
        <v>715366.01687742223</v>
      </c>
      <c r="AC325">
        <v>19.2</v>
      </c>
      <c r="AD325" s="199">
        <f t="shared" si="416"/>
        <v>137350.27524046507</v>
      </c>
      <c r="AE325" s="199">
        <f t="shared" si="399"/>
        <v>130482.76147844181</v>
      </c>
      <c r="AF325" s="199">
        <f t="shared" si="365"/>
        <v>130482.76147844181</v>
      </c>
      <c r="AG325" s="614">
        <f t="shared" si="351"/>
        <v>6.0329500607069772E-3</v>
      </c>
      <c r="AH325" s="199">
        <f t="shared" si="414"/>
        <v>35768.300843871111</v>
      </c>
      <c r="AI325" s="252">
        <f t="shared" si="334"/>
        <v>2.7709160721054275E-3</v>
      </c>
      <c r="AJ325" s="199">
        <f t="shared" si="352"/>
        <v>173118.57608433618</v>
      </c>
      <c r="AK325" s="199">
        <f t="shared" si="367"/>
        <v>28614.640675096889</v>
      </c>
      <c r="AL325" s="199">
        <f t="shared" si="368"/>
        <v>28614.640675096889</v>
      </c>
      <c r="AM325" s="199">
        <f t="shared" si="335"/>
        <v>57229.281350193778</v>
      </c>
      <c r="AN325" s="645">
        <f t="shared" si="336"/>
        <v>2.7709160721054275E-3</v>
      </c>
      <c r="AO325">
        <v>13</v>
      </c>
      <c r="AP325" s="250">
        <f t="shared" si="337"/>
        <v>1.4771048744460858E-3</v>
      </c>
      <c r="AQ325">
        <v>13</v>
      </c>
      <c r="AU325" s="199">
        <v>1</v>
      </c>
      <c r="AV325" s="199">
        <f t="shared" si="402"/>
        <v>397366.28447651042</v>
      </c>
      <c r="AW325" s="250">
        <f t="shared" si="338"/>
        <v>1.1436982634502237E-2</v>
      </c>
      <c r="AX325" s="199">
        <v>0</v>
      </c>
      <c r="AY325" s="199">
        <f t="shared" si="403"/>
        <v>50905.936398491394</v>
      </c>
      <c r="AZ325" s="199">
        <f t="shared" si="355"/>
        <v>0</v>
      </c>
      <c r="BA325" s="252">
        <f t="shared" si="339"/>
        <v>0</v>
      </c>
      <c r="BB325" s="284">
        <v>1</v>
      </c>
      <c r="BC325" s="199">
        <f t="shared" si="404"/>
        <v>98892.19817313485</v>
      </c>
      <c r="BD325" s="270">
        <f t="shared" si="369"/>
        <v>8.9059439368597872E-3</v>
      </c>
      <c r="BE325" s="199">
        <f t="shared" si="405"/>
        <v>423038.84774063242</v>
      </c>
      <c r="BF325" s="251">
        <f t="shared" si="370"/>
        <v>8.9059441347666118E-3</v>
      </c>
      <c r="BG325" s="204">
        <f t="shared" si="383"/>
        <v>521931.0459137673</v>
      </c>
      <c r="BH325" s="636">
        <v>0</v>
      </c>
      <c r="BI325" s="199">
        <f t="shared" si="340"/>
        <v>218902.0011644912</v>
      </c>
      <c r="BJ325" s="199">
        <f t="shared" si="341"/>
        <v>437804.0023289824</v>
      </c>
      <c r="BK325" s="199">
        <f t="shared" si="349"/>
        <v>656706.00349347363</v>
      </c>
      <c r="BL325" s="251">
        <f t="shared" si="342"/>
        <v>2.770916072105428E-3</v>
      </c>
      <c r="BM325" s="199">
        <f t="shared" si="406"/>
        <v>78102.493009700062</v>
      </c>
      <c r="BN325" s="251">
        <f t="shared" si="343"/>
        <v>3.3727085426684994E-3</v>
      </c>
      <c r="BT325" s="199">
        <f>'Detailed Budget'!$AD$12</f>
        <v>194045122715</v>
      </c>
      <c r="BU325" s="199">
        <f>'Detailed Budget'!$AD$24</f>
        <v>194045122715</v>
      </c>
      <c r="BV325" s="596">
        <f t="shared" si="407"/>
        <v>1.1436982634502237E-2</v>
      </c>
      <c r="BW325" s="278"/>
      <c r="BX325" s="275">
        <f t="shared" si="397"/>
        <v>2219290698.8013105</v>
      </c>
      <c r="BY325" s="275">
        <f t="shared" si="398"/>
        <v>2219290698.8013105</v>
      </c>
      <c r="CA325" s="199">
        <f>'Detailed Budget'!$AD$96</f>
        <v>71050111380.677719</v>
      </c>
      <c r="CB325" s="275">
        <f t="shared" si="344"/>
        <v>0</v>
      </c>
      <c r="CE325" s="199">
        <f>'Detailed Budget'!$AD$175</f>
        <v>4330586076.5988197</v>
      </c>
      <c r="CF325" s="275">
        <f t="shared" si="408"/>
        <v>38567956.811934672</v>
      </c>
      <c r="CG325" s="199">
        <f>'Detailed Budget'!$AD$176</f>
        <v>20662817754.37001</v>
      </c>
      <c r="CH325" s="275">
        <f t="shared" si="409"/>
        <v>184021900.58728302</v>
      </c>
      <c r="CI325" s="275">
        <f t="shared" si="410"/>
        <v>222589857.39921769</v>
      </c>
      <c r="CJ325" s="275">
        <f>'Detailed Budget'!$AD$178</f>
        <v>46025131033.061455</v>
      </c>
      <c r="CK325" s="275">
        <f t="shared" si="411"/>
        <v>277667317.0599547</v>
      </c>
      <c r="CL325" s="275">
        <f t="shared" si="366"/>
        <v>500257174.45917237</v>
      </c>
      <c r="CM325" s="278">
        <f>'Detailed Budget'!$AD$189</f>
        <v>77498869683.252869</v>
      </c>
      <c r="CN325" s="275">
        <f t="shared" si="346"/>
        <v>0</v>
      </c>
      <c r="CO325" s="140">
        <f>'Detailed Budget'!$AD$191</f>
        <v>2684962805.4134097</v>
      </c>
      <c r="CP325" s="616">
        <f t="shared" si="347"/>
        <v>0</v>
      </c>
      <c r="CQ325" s="616">
        <f t="shared" si="348"/>
        <v>0</v>
      </c>
      <c r="CR325" s="199">
        <f>'Detailed Budget'!$AD$195</f>
        <v>18734176418</v>
      </c>
      <c r="CS325" s="275">
        <f t="shared" si="412"/>
        <v>63184916.844847351</v>
      </c>
      <c r="CW325" s="278"/>
      <c r="DH325" s="140">
        <f>'Detailed Budget'!$AD$163</f>
        <v>4928560000</v>
      </c>
      <c r="DI325" s="616">
        <f t="shared" si="413"/>
        <v>7280000.0000000009</v>
      </c>
    </row>
    <row r="326" spans="1:113" outlineLevel="1">
      <c r="A326" s="214" t="s">
        <v>789</v>
      </c>
      <c r="B326" s="215" t="s">
        <v>790</v>
      </c>
      <c r="C326" s="216" t="s">
        <v>234</v>
      </c>
      <c r="D326" s="217" t="s">
        <v>234</v>
      </c>
      <c r="E326" s="216"/>
      <c r="F326" s="216"/>
      <c r="G326" s="216"/>
      <c r="H326" s="216" t="s">
        <v>234</v>
      </c>
      <c r="I326" s="217" t="s">
        <v>234</v>
      </c>
      <c r="J326" s="217"/>
      <c r="K326" s="216" t="s">
        <v>234</v>
      </c>
      <c r="L326" s="216"/>
      <c r="M326" s="217"/>
      <c r="N326" s="216"/>
      <c r="O326" s="217"/>
      <c r="P326" s="216"/>
      <c r="Q326" s="217"/>
      <c r="R326" s="217" t="s">
        <v>234</v>
      </c>
      <c r="S326" s="217"/>
      <c r="T326" s="217"/>
      <c r="U326" s="218">
        <f t="shared" si="401"/>
        <v>6</v>
      </c>
      <c r="V326" s="867" t="s">
        <v>238</v>
      </c>
      <c r="W326" s="219">
        <v>239058</v>
      </c>
      <c r="X326" s="220">
        <v>3.07</v>
      </c>
      <c r="Y326" s="221">
        <f t="shared" si="379"/>
        <v>1.0306999999999999</v>
      </c>
      <c r="Z326" s="199">
        <v>19</v>
      </c>
      <c r="AA326" s="221">
        <f t="shared" si="380"/>
        <v>1.7762874396990105</v>
      </c>
      <c r="AB326" s="199">
        <f t="shared" si="415"/>
        <v>424635.72275956604</v>
      </c>
      <c r="AC326">
        <v>19.2</v>
      </c>
      <c r="AD326" s="199">
        <f t="shared" si="416"/>
        <v>81530.058769836673</v>
      </c>
      <c r="AE326" s="199">
        <f t="shared" si="399"/>
        <v>77453.555831344842</v>
      </c>
      <c r="AF326" s="199">
        <f t="shared" si="365"/>
        <v>77453.555831344842</v>
      </c>
      <c r="AG326" s="614">
        <f t="shared" si="351"/>
        <v>3.581112394160093E-3</v>
      </c>
      <c r="AH326" s="199">
        <f t="shared" si="414"/>
        <v>21231.786137978303</v>
      </c>
      <c r="AI326" s="252">
        <f t="shared" ref="AI326:AI389" si="417">AH326/12908475</f>
        <v>1.6447943028110061E-3</v>
      </c>
      <c r="AJ326" s="199">
        <f t="shared" si="352"/>
        <v>102761.84490781497</v>
      </c>
      <c r="AK326" s="199">
        <f t="shared" si="367"/>
        <v>16985.428910382641</v>
      </c>
      <c r="AL326" s="199">
        <f t="shared" si="368"/>
        <v>16985.428910382641</v>
      </c>
      <c r="AM326" s="199">
        <f t="shared" si="335"/>
        <v>33970.857820765283</v>
      </c>
      <c r="AN326" s="645">
        <f t="shared" si="336"/>
        <v>1.6447943028110061E-3</v>
      </c>
      <c r="AO326">
        <v>10</v>
      </c>
      <c r="AP326" s="250">
        <f t="shared" si="337"/>
        <v>1.1362345188046814E-3</v>
      </c>
      <c r="AQ326">
        <v>10</v>
      </c>
      <c r="AU326" s="199">
        <v>1</v>
      </c>
      <c r="AV326" s="199">
        <f t="shared" si="402"/>
        <v>235873.54644759314</v>
      </c>
      <c r="AW326" s="250">
        <f t="shared" si="338"/>
        <v>6.7889042428788352E-3</v>
      </c>
      <c r="AX326" s="199">
        <v>0</v>
      </c>
      <c r="AY326" s="199">
        <f t="shared" si="403"/>
        <v>30217.369270184205</v>
      </c>
      <c r="AZ326" s="199">
        <f t="shared" si="355"/>
        <v>0</v>
      </c>
      <c r="BA326" s="252">
        <f t="shared" si="339"/>
        <v>0</v>
      </c>
      <c r="BB326" s="284">
        <v>1</v>
      </c>
      <c r="BC326" s="199">
        <f t="shared" si="404"/>
        <v>58701.642314282399</v>
      </c>
      <c r="BD326" s="270">
        <f t="shared" si="369"/>
        <v>5.2864992902404498E-3</v>
      </c>
      <c r="BE326" s="199">
        <f t="shared" si="405"/>
        <v>251112.58101109695</v>
      </c>
      <c r="BF326" s="251">
        <f t="shared" si="370"/>
        <v>5.2864994077164067E-3</v>
      </c>
      <c r="BG326" s="204">
        <f t="shared" si="383"/>
        <v>309814.22332537937</v>
      </c>
      <c r="BH326" s="636">
        <v>0</v>
      </c>
      <c r="BI326" s="199">
        <f t="shared" si="340"/>
        <v>129938.5311644272</v>
      </c>
      <c r="BJ326" s="199">
        <f t="shared" si="341"/>
        <v>259877.0623288544</v>
      </c>
      <c r="BK326" s="199">
        <f t="shared" si="349"/>
        <v>389815.59349328163</v>
      </c>
      <c r="BL326" s="251">
        <f t="shared" si="342"/>
        <v>1.6447943028110061E-3</v>
      </c>
      <c r="BM326" s="199">
        <f t="shared" si="406"/>
        <v>46361.034471925122</v>
      </c>
      <c r="BN326" s="251">
        <f t="shared" si="343"/>
        <v>2.0020136487959609E-3</v>
      </c>
      <c r="BT326" s="199">
        <f>'Detailed Budget'!$AD$12</f>
        <v>194045122715</v>
      </c>
      <c r="BU326" s="199">
        <f>'Detailed Budget'!$AD$24</f>
        <v>194045122715</v>
      </c>
      <c r="BV326" s="596">
        <f t="shared" si="407"/>
        <v>6.7889042428788352E-3</v>
      </c>
      <c r="BW326" s="278"/>
      <c r="BX326" s="275">
        <f t="shared" si="397"/>
        <v>1317353756.9098077</v>
      </c>
      <c r="BY326" s="275">
        <f t="shared" si="398"/>
        <v>1317353756.9098077</v>
      </c>
      <c r="CA326" s="199">
        <f>'Detailed Budget'!$AD$96</f>
        <v>71050111380.677719</v>
      </c>
      <c r="CB326" s="275">
        <f t="shared" si="344"/>
        <v>0</v>
      </c>
      <c r="CE326" s="199">
        <f>'Detailed Budget'!$AD$175</f>
        <v>4330586076.5988197</v>
      </c>
      <c r="CF326" s="275">
        <f t="shared" si="408"/>
        <v>22893640.220264833</v>
      </c>
      <c r="CG326" s="199">
        <f>'Detailed Budget'!$AD$176</f>
        <v>20662817754.37001</v>
      </c>
      <c r="CH326" s="275">
        <f t="shared" si="409"/>
        <v>109233973.82022911</v>
      </c>
      <c r="CI326" s="275">
        <f t="shared" si="410"/>
        <v>132127614.04049395</v>
      </c>
      <c r="CJ326" s="275">
        <f>'Detailed Budget'!$AD$178</f>
        <v>46025131033.061455</v>
      </c>
      <c r="CK326" s="275">
        <f t="shared" si="411"/>
        <v>164821167.18533871</v>
      </c>
      <c r="CL326" s="275">
        <f t="shared" si="366"/>
        <v>296948781.22583264</v>
      </c>
      <c r="CM326" s="278">
        <f>'Detailed Budget'!$AD$189</f>
        <v>77498869683.252869</v>
      </c>
      <c r="CN326" s="275">
        <f t="shared" si="346"/>
        <v>0</v>
      </c>
      <c r="CO326" s="140">
        <f>'Detailed Budget'!$AD$191</f>
        <v>2684962805.4134097</v>
      </c>
      <c r="CP326" s="616">
        <f t="shared" si="347"/>
        <v>0</v>
      </c>
      <c r="CQ326" s="616">
        <f t="shared" si="348"/>
        <v>0</v>
      </c>
      <c r="CR326" s="199">
        <f>'Detailed Budget'!$AD$195</f>
        <v>18734176418</v>
      </c>
      <c r="CS326" s="275">
        <f t="shared" si="412"/>
        <v>37506076.887787424</v>
      </c>
      <c r="CW326" s="278"/>
      <c r="DH326" s="140">
        <f>'Detailed Budget'!$AD$163</f>
        <v>4928560000</v>
      </c>
      <c r="DI326" s="616">
        <f t="shared" si="413"/>
        <v>5600000</v>
      </c>
    </row>
    <row r="327" spans="1:113" outlineLevel="1">
      <c r="A327" s="214" t="s">
        <v>791</v>
      </c>
      <c r="B327" s="215" t="s">
        <v>792</v>
      </c>
      <c r="C327" s="216" t="s">
        <v>234</v>
      </c>
      <c r="D327" s="217" t="s">
        <v>234</v>
      </c>
      <c r="E327" s="216"/>
      <c r="F327" s="216"/>
      <c r="G327" s="216"/>
      <c r="H327" s="216" t="s">
        <v>234</v>
      </c>
      <c r="I327" s="217" t="s">
        <v>234</v>
      </c>
      <c r="J327" s="217"/>
      <c r="K327" s="216" t="s">
        <v>234</v>
      </c>
      <c r="L327" s="216"/>
      <c r="M327" s="217"/>
      <c r="N327" s="216"/>
      <c r="O327" s="217"/>
      <c r="P327" s="216"/>
      <c r="Q327" s="217"/>
      <c r="R327" s="217" t="s">
        <v>234</v>
      </c>
      <c r="S327" s="217"/>
      <c r="T327" s="217"/>
      <c r="U327" s="218">
        <f t="shared" si="401"/>
        <v>6</v>
      </c>
      <c r="V327" s="867" t="s">
        <v>238</v>
      </c>
      <c r="W327" s="219">
        <v>109810</v>
      </c>
      <c r="X327" s="220">
        <v>3.07</v>
      </c>
      <c r="Y327" s="221">
        <f t="shared" si="379"/>
        <v>1.0306999999999999</v>
      </c>
      <c r="Z327" s="199">
        <v>19</v>
      </c>
      <c r="AA327" s="221">
        <f t="shared" si="380"/>
        <v>1.7762874396990105</v>
      </c>
      <c r="AB327" s="199">
        <f t="shared" si="415"/>
        <v>195054.12375334834</v>
      </c>
      <c r="AC327">
        <v>19.2</v>
      </c>
      <c r="AD327" s="199">
        <f t="shared" si="416"/>
        <v>37450.39176064288</v>
      </c>
      <c r="AE327" s="199">
        <f t="shared" si="399"/>
        <v>35577.872172610732</v>
      </c>
      <c r="AF327" s="199">
        <f t="shared" si="365"/>
        <v>35577.872172610732</v>
      </c>
      <c r="AG327" s="614">
        <f t="shared" si="351"/>
        <v>1.6449646194761096E-3</v>
      </c>
      <c r="AH327" s="199">
        <f t="shared" si="414"/>
        <v>9752.7061876674179</v>
      </c>
      <c r="AI327" s="252">
        <f t="shared" si="417"/>
        <v>7.555273715653799E-4</v>
      </c>
      <c r="AJ327" s="199">
        <f t="shared" ref="AJ327:AJ390" si="418">AD327+AH327</f>
        <v>47203.0979483103</v>
      </c>
      <c r="AK327" s="199">
        <f t="shared" si="367"/>
        <v>7802.1649501339334</v>
      </c>
      <c r="AL327" s="199">
        <f t="shared" si="368"/>
        <v>7802.1649501339334</v>
      </c>
      <c r="AM327" s="199">
        <f t="shared" ref="AM327:AM390" si="419">AK327+AL327</f>
        <v>15604.329900267867</v>
      </c>
      <c r="AN327" s="645">
        <f t="shared" ref="AN327:AN390" si="420">AM327/20653560</f>
        <v>7.555273715653799E-4</v>
      </c>
      <c r="AO327">
        <v>10</v>
      </c>
      <c r="AP327" s="250">
        <f t="shared" ref="AP327:AP390" si="421">AO327/8801</f>
        <v>1.1362345188046814E-3</v>
      </c>
      <c r="AQ327">
        <v>10</v>
      </c>
      <c r="AU327" s="199">
        <v>1</v>
      </c>
      <c r="AV327" s="199">
        <f t="shared" si="402"/>
        <v>108347.23847522444</v>
      </c>
      <c r="AW327" s="250">
        <f t="shared" ref="AW327:AW390" si="422">AV327/34743979</f>
        <v>3.1184464645003509E-3</v>
      </c>
      <c r="AX327" s="199">
        <v>0</v>
      </c>
      <c r="AY327" s="199">
        <f t="shared" si="403"/>
        <v>13880.185225170997</v>
      </c>
      <c r="AZ327" s="199">
        <f t="shared" ref="AZ327:AZ390" si="423">AX327*AY327</f>
        <v>0</v>
      </c>
      <c r="BA327" s="252">
        <f t="shared" ref="BA327:BA390" si="424">AZ327/12721596</f>
        <v>0</v>
      </c>
      <c r="BB327" s="284">
        <v>1</v>
      </c>
      <c r="BC327" s="199">
        <f t="shared" si="404"/>
        <v>26964.282067662873</v>
      </c>
      <c r="BD327" s="270">
        <f t="shared" si="369"/>
        <v>2.4283248712082582E-3</v>
      </c>
      <c r="BE327" s="199">
        <f t="shared" si="405"/>
        <v>115347.20662278007</v>
      </c>
      <c r="BF327" s="251">
        <f t="shared" si="370"/>
        <v>2.4283249251702043E-3</v>
      </c>
      <c r="BG327" s="204">
        <f t="shared" si="383"/>
        <v>142311.48869044293</v>
      </c>
      <c r="BH327" s="636">
        <v>0</v>
      </c>
      <c r="BI327" s="199">
        <f t="shared" ref="BI327:BI390" si="425">AK327*0.85*0.75*12</f>
        <v>59686.561868524586</v>
      </c>
      <c r="BJ327" s="199">
        <f t="shared" ref="BJ327:BJ390" si="426">AL327*0.85*0.75*2*12</f>
        <v>119373.12373704917</v>
      </c>
      <c r="BK327" s="199">
        <f t="shared" si="349"/>
        <v>179059.68560557376</v>
      </c>
      <c r="BL327" s="251">
        <f t="shared" ref="BL327:BL390" si="427">BK327/236999601</f>
        <v>7.5552737156537979E-4</v>
      </c>
      <c r="BM327" s="199">
        <f t="shared" si="406"/>
        <v>21295.690566147536</v>
      </c>
      <c r="BN327" s="251">
        <f t="shared" ref="BN327:BN390" si="428">BM327/23157202</f>
        <v>9.1961414708683438E-4</v>
      </c>
      <c r="BT327" s="199">
        <f>'Detailed Budget'!$AD$12</f>
        <v>194045122715</v>
      </c>
      <c r="BU327" s="199">
        <f>'Detailed Budget'!$AD$24</f>
        <v>194045122715</v>
      </c>
      <c r="BV327" s="596">
        <f t="shared" si="407"/>
        <v>3.1184464645003509E-3</v>
      </c>
      <c r="BW327" s="278"/>
      <c r="BX327" s="275">
        <f t="shared" si="397"/>
        <v>605119326.88412845</v>
      </c>
      <c r="BY327" s="275">
        <f t="shared" si="398"/>
        <v>605119326.88412845</v>
      </c>
      <c r="CA327" s="199">
        <f>'Detailed Budget'!$AD$96</f>
        <v>71050111380.677719</v>
      </c>
      <c r="CB327" s="275">
        <f t="shared" ref="CB327:CB390" si="429">BA327*CA327</f>
        <v>0</v>
      </c>
      <c r="CE327" s="199">
        <f>'Detailed Budget'!$AD$175</f>
        <v>4330586076.5988197</v>
      </c>
      <c r="CF327" s="275">
        <f t="shared" si="408"/>
        <v>10516069.876713105</v>
      </c>
      <c r="CG327" s="199">
        <f>'Detailed Budget'!$AD$176</f>
        <v>20662817754.37001</v>
      </c>
      <c r="CH327" s="275">
        <f t="shared" si="409"/>
        <v>50176035.377186127</v>
      </c>
      <c r="CI327" s="275">
        <f t="shared" si="410"/>
        <v>60692105.253899232</v>
      </c>
      <c r="CJ327" s="275">
        <f>'Detailed Budget'!$AD$178</f>
        <v>46025131033.061455</v>
      </c>
      <c r="CK327" s="275">
        <f t="shared" si="411"/>
        <v>75709712.156138018</v>
      </c>
      <c r="CL327" s="275">
        <f t="shared" si="366"/>
        <v>136401817.41003725</v>
      </c>
      <c r="CM327" s="278">
        <f>'Detailed Budget'!$AD$189</f>
        <v>77498869683.252869</v>
      </c>
      <c r="CN327" s="275">
        <f t="shared" ref="CN327:CN390" si="430">BH327*BL327*CM327</f>
        <v>0</v>
      </c>
      <c r="CO327" s="140">
        <f>'Detailed Budget'!$AD$191</f>
        <v>2684962805.4134097</v>
      </c>
      <c r="CP327" s="616">
        <f t="shared" ref="CP327:CP390" si="431">BH327*AN327*CO327</f>
        <v>0</v>
      </c>
      <c r="CQ327" s="616">
        <f t="shared" ref="CQ327:CQ390" si="432">CN327+CP327</f>
        <v>0</v>
      </c>
      <c r="CR327" s="199">
        <f>'Detailed Budget'!$AD$195</f>
        <v>18734176418</v>
      </c>
      <c r="CS327" s="275">
        <f t="shared" si="412"/>
        <v>17228213.668013357</v>
      </c>
      <c r="CW327" s="278"/>
      <c r="DH327" s="140">
        <f>'Detailed Budget'!$AD$163</f>
        <v>4928560000</v>
      </c>
      <c r="DI327" s="616">
        <f t="shared" si="413"/>
        <v>5600000</v>
      </c>
    </row>
    <row r="328" spans="1:113" outlineLevel="1">
      <c r="A328" s="214" t="s">
        <v>793</v>
      </c>
      <c r="B328" s="215" t="s">
        <v>794</v>
      </c>
      <c r="C328" s="216" t="s">
        <v>234</v>
      </c>
      <c r="D328" s="217" t="s">
        <v>234</v>
      </c>
      <c r="E328" s="216"/>
      <c r="F328" s="216"/>
      <c r="G328" s="216"/>
      <c r="H328" s="216" t="s">
        <v>234</v>
      </c>
      <c r="I328" s="217" t="s">
        <v>234</v>
      </c>
      <c r="J328" s="217"/>
      <c r="K328" s="216" t="s">
        <v>234</v>
      </c>
      <c r="L328" s="216"/>
      <c r="M328" s="217"/>
      <c r="N328" s="216"/>
      <c r="O328" s="217"/>
      <c r="P328" s="216"/>
      <c r="Q328" s="217"/>
      <c r="R328" s="217" t="s">
        <v>234</v>
      </c>
      <c r="S328" s="217"/>
      <c r="T328" s="217"/>
      <c r="U328" s="218">
        <f t="shared" si="401"/>
        <v>6</v>
      </c>
      <c r="V328" s="867" t="s">
        <v>238</v>
      </c>
      <c r="W328" s="219">
        <v>174626</v>
      </c>
      <c r="X328" s="220">
        <v>3.07</v>
      </c>
      <c r="Y328" s="221">
        <f t="shared" si="379"/>
        <v>1.0306999999999999</v>
      </c>
      <c r="Z328" s="199">
        <v>19</v>
      </c>
      <c r="AA328" s="221">
        <f t="shared" si="380"/>
        <v>1.7762874396990105</v>
      </c>
      <c r="AB328" s="199">
        <f t="shared" si="415"/>
        <v>310185.97044487938</v>
      </c>
      <c r="AC328">
        <v>19.2</v>
      </c>
      <c r="AD328" s="199">
        <f t="shared" si="416"/>
        <v>59555.706325416832</v>
      </c>
      <c r="AE328" s="199">
        <f t="shared" si="399"/>
        <v>56577.92100914599</v>
      </c>
      <c r="AF328" s="199">
        <f t="shared" si="365"/>
        <v>56577.92100914599</v>
      </c>
      <c r="AG328" s="614">
        <f t="shared" si="351"/>
        <v>2.6159146857356805E-3</v>
      </c>
      <c r="AH328" s="199">
        <f t="shared" si="414"/>
        <v>15509.298522243969</v>
      </c>
      <c r="AI328" s="252">
        <f t="shared" si="417"/>
        <v>1.2014818576356983E-3</v>
      </c>
      <c r="AJ328" s="199">
        <f t="shared" si="418"/>
        <v>75065.004847660806</v>
      </c>
      <c r="AK328" s="199">
        <f t="shared" si="367"/>
        <v>12407.438817795175</v>
      </c>
      <c r="AL328" s="199">
        <f t="shared" si="368"/>
        <v>12407.438817795175</v>
      </c>
      <c r="AM328" s="199">
        <f t="shared" si="419"/>
        <v>24814.87763559035</v>
      </c>
      <c r="AN328" s="645">
        <f t="shared" si="420"/>
        <v>1.2014818576356983E-3</v>
      </c>
      <c r="AO328">
        <v>10</v>
      </c>
      <c r="AP328" s="250">
        <f t="shared" si="421"/>
        <v>1.1362345188046814E-3</v>
      </c>
      <c r="AQ328">
        <v>10</v>
      </c>
      <c r="AU328" s="199">
        <v>1</v>
      </c>
      <c r="AV328" s="199">
        <f t="shared" si="402"/>
        <v>172299.83485998126</v>
      </c>
      <c r="AW328" s="250">
        <f t="shared" si="422"/>
        <v>4.9591278782427674E-3</v>
      </c>
      <c r="AX328" s="199">
        <v>0</v>
      </c>
      <c r="AY328" s="199">
        <f t="shared" si="403"/>
        <v>22073.046399514707</v>
      </c>
      <c r="AZ328" s="199">
        <f t="shared" si="423"/>
        <v>0</v>
      </c>
      <c r="BA328" s="252">
        <f t="shared" si="424"/>
        <v>0</v>
      </c>
      <c r="BB328" s="284">
        <v>1</v>
      </c>
      <c r="BC328" s="199">
        <f t="shared" si="404"/>
        <v>42880.108554300117</v>
      </c>
      <c r="BD328" s="270">
        <f t="shared" si="369"/>
        <v>3.861657945174513E-3</v>
      </c>
      <c r="BE328" s="199">
        <f t="shared" si="405"/>
        <v>183431.57548228384</v>
      </c>
      <c r="BF328" s="251">
        <f t="shared" si="370"/>
        <v>3.8616580309878152E-3</v>
      </c>
      <c r="BG328" s="204">
        <f t="shared" si="383"/>
        <v>226311.68403658396</v>
      </c>
      <c r="BH328" s="636">
        <v>0</v>
      </c>
      <c r="BI328" s="199">
        <f t="shared" si="425"/>
        <v>94916.906956133083</v>
      </c>
      <c r="BJ328" s="199">
        <f t="shared" si="426"/>
        <v>189833.81391226617</v>
      </c>
      <c r="BK328" s="199">
        <f t="shared" ref="BK328:BK391" si="433">BI328+BJ328</f>
        <v>284750.72086839925</v>
      </c>
      <c r="BL328" s="251">
        <f t="shared" si="427"/>
        <v>1.201481857635698E-3</v>
      </c>
      <c r="BM328" s="199">
        <f t="shared" si="406"/>
        <v>33865.597493890164</v>
      </c>
      <c r="BN328" s="251">
        <f t="shared" si="428"/>
        <v>1.4624218199543349E-3</v>
      </c>
      <c r="BT328" s="199">
        <f>'Detailed Budget'!$AD$12</f>
        <v>194045122715</v>
      </c>
      <c r="BU328" s="199">
        <f>'Detailed Budget'!$AD$24</f>
        <v>194045122715</v>
      </c>
      <c r="BV328" s="596">
        <f t="shared" si="407"/>
        <v>4.9591278782427674E-3</v>
      </c>
      <c r="BW328" s="278"/>
      <c r="BX328" s="275">
        <f t="shared" si="397"/>
        <v>962294577.69299543</v>
      </c>
      <c r="BY328" s="275">
        <f t="shared" si="398"/>
        <v>962294577.69299543</v>
      </c>
      <c r="CA328" s="199">
        <f>'Detailed Budget'!$AD$96</f>
        <v>71050111380.677719</v>
      </c>
      <c r="CB328" s="275">
        <f t="shared" si="429"/>
        <v>0</v>
      </c>
      <c r="CE328" s="199">
        <f>'Detailed Budget'!$AD$175</f>
        <v>4330586076.5988197</v>
      </c>
      <c r="CF328" s="275">
        <f t="shared" si="408"/>
        <v>16723242.129959954</v>
      </c>
      <c r="CG328" s="199">
        <f>'Detailed Budget'!$AD$176</f>
        <v>20662817754.37001</v>
      </c>
      <c r="CH328" s="275">
        <f t="shared" si="409"/>
        <v>79792736.124000564</v>
      </c>
      <c r="CI328" s="275">
        <f t="shared" si="410"/>
        <v>96515978.25396052</v>
      </c>
      <c r="CJ328" s="275">
        <f>'Detailed Budget'!$AD$178</f>
        <v>46025131033.061455</v>
      </c>
      <c r="CK328" s="275">
        <f t="shared" si="411"/>
        <v>120397816.18229447</v>
      </c>
      <c r="CL328" s="275">
        <f t="shared" si="366"/>
        <v>216913794.43625498</v>
      </c>
      <c r="CM328" s="278">
        <f>'Detailed Budget'!$AD$189</f>
        <v>77498869683.252869</v>
      </c>
      <c r="CN328" s="275">
        <f t="shared" si="430"/>
        <v>0</v>
      </c>
      <c r="CO328" s="140">
        <f>'Detailed Budget'!$AD$191</f>
        <v>2684962805.4134097</v>
      </c>
      <c r="CP328" s="616">
        <f t="shared" si="431"/>
        <v>0</v>
      </c>
      <c r="CQ328" s="616">
        <f t="shared" si="432"/>
        <v>0</v>
      </c>
      <c r="CR328" s="199">
        <f>'Detailed Budget'!$AD$195</f>
        <v>18734176418</v>
      </c>
      <c r="CS328" s="275">
        <f t="shared" si="412"/>
        <v>27397268.372557141</v>
      </c>
      <c r="CW328" s="278"/>
      <c r="DH328" s="140">
        <f>'Detailed Budget'!$AD$163</f>
        <v>4928560000</v>
      </c>
      <c r="DI328" s="616">
        <f t="shared" si="413"/>
        <v>5600000</v>
      </c>
    </row>
    <row r="329" spans="1:113" outlineLevel="1">
      <c r="A329" s="214" t="s">
        <v>795</v>
      </c>
      <c r="B329" s="215" t="s">
        <v>796</v>
      </c>
      <c r="C329" s="216" t="s">
        <v>234</v>
      </c>
      <c r="D329" s="217" t="s">
        <v>234</v>
      </c>
      <c r="E329" s="216"/>
      <c r="F329" s="216"/>
      <c r="G329" s="216"/>
      <c r="H329" s="216" t="s">
        <v>234</v>
      </c>
      <c r="I329" s="217" t="s">
        <v>234</v>
      </c>
      <c r="J329" s="217"/>
      <c r="K329" s="216" t="s">
        <v>234</v>
      </c>
      <c r="L329" s="216"/>
      <c r="M329" s="217"/>
      <c r="N329" s="216"/>
      <c r="O329" s="217"/>
      <c r="P329" s="216"/>
      <c r="Q329" s="217"/>
      <c r="R329" s="217" t="s">
        <v>234</v>
      </c>
      <c r="S329" s="217"/>
      <c r="T329" s="217"/>
      <c r="U329" s="218">
        <f t="shared" si="401"/>
        <v>6</v>
      </c>
      <c r="V329" s="867" t="s">
        <v>238</v>
      </c>
      <c r="W329" s="219">
        <v>221276</v>
      </c>
      <c r="X329" s="220">
        <v>3.07</v>
      </c>
      <c r="Y329" s="221">
        <f t="shared" si="379"/>
        <v>1.0306999999999999</v>
      </c>
      <c r="Z329" s="199">
        <v>19</v>
      </c>
      <c r="AA329" s="221">
        <f t="shared" si="380"/>
        <v>1.7762874396990105</v>
      </c>
      <c r="AB329" s="199">
        <f t="shared" si="415"/>
        <v>393049.77950683824</v>
      </c>
      <c r="AC329">
        <v>19.2</v>
      </c>
      <c r="AD329" s="199">
        <f t="shared" si="416"/>
        <v>75465.557665312939</v>
      </c>
      <c r="AE329" s="199">
        <f t="shared" si="399"/>
        <v>71692.279782047292</v>
      </c>
      <c r="AF329" s="199">
        <f t="shared" si="365"/>
        <v>71692.279782047292</v>
      </c>
      <c r="AG329" s="614">
        <f t="shared" ref="AG329:AG392" si="434">AE329/21628351</f>
        <v>3.3147362821163433E-3</v>
      </c>
      <c r="AH329" s="199">
        <f t="shared" si="414"/>
        <v>19652.488975341912</v>
      </c>
      <c r="AI329" s="252">
        <f t="shared" si="417"/>
        <v>1.5224485444904927E-3</v>
      </c>
      <c r="AJ329" s="199">
        <f t="shared" si="418"/>
        <v>95118.046640654851</v>
      </c>
      <c r="AK329" s="199">
        <f t="shared" si="367"/>
        <v>15721.99118027353</v>
      </c>
      <c r="AL329" s="199">
        <f t="shared" si="368"/>
        <v>15721.99118027353</v>
      </c>
      <c r="AM329" s="199">
        <f t="shared" si="419"/>
        <v>31443.982360547059</v>
      </c>
      <c r="AN329" s="645">
        <f t="shared" si="420"/>
        <v>1.5224485444904927E-3</v>
      </c>
      <c r="AO329">
        <v>11</v>
      </c>
      <c r="AP329" s="250">
        <f t="shared" si="421"/>
        <v>1.2498579706851495E-3</v>
      </c>
      <c r="AQ329">
        <v>11</v>
      </c>
      <c r="AU329" s="199">
        <v>1</v>
      </c>
      <c r="AV329" s="199">
        <f t="shared" si="402"/>
        <v>218328.41763813642</v>
      </c>
      <c r="AW329" s="250">
        <f t="shared" si="422"/>
        <v>6.2839209532718297E-3</v>
      </c>
      <c r="AX329" s="199">
        <v>0</v>
      </c>
      <c r="AY329" s="199">
        <f t="shared" si="403"/>
        <v>27969.691884937049</v>
      </c>
      <c r="AZ329" s="199">
        <f t="shared" si="423"/>
        <v>0</v>
      </c>
      <c r="BA329" s="252">
        <f t="shared" si="424"/>
        <v>0</v>
      </c>
      <c r="BB329" s="284">
        <v>1</v>
      </c>
      <c r="BC329" s="199">
        <f t="shared" si="404"/>
        <v>54335.201519025315</v>
      </c>
      <c r="BD329" s="270">
        <f t="shared" si="369"/>
        <v>4.89327032329914E-3</v>
      </c>
      <c r="BE329" s="199">
        <f t="shared" si="405"/>
        <v>232433.91760916385</v>
      </c>
      <c r="BF329" s="251">
        <f t="shared" si="370"/>
        <v>4.8932704320368099E-3</v>
      </c>
      <c r="BG329" s="204">
        <f t="shared" si="383"/>
        <v>286769.11912818917</v>
      </c>
      <c r="BH329" s="636">
        <v>0</v>
      </c>
      <c r="BI329" s="199">
        <f t="shared" si="425"/>
        <v>120273.23252909249</v>
      </c>
      <c r="BJ329" s="199">
        <f t="shared" si="426"/>
        <v>240546.46505818499</v>
      </c>
      <c r="BK329" s="199">
        <f t="shared" si="433"/>
        <v>360819.69758727751</v>
      </c>
      <c r="BL329" s="251">
        <f t="shared" si="427"/>
        <v>1.5224485444904927E-3</v>
      </c>
      <c r="BM329" s="199">
        <f t="shared" si="406"/>
        <v>42912.532790409452</v>
      </c>
      <c r="BN329" s="251">
        <f t="shared" si="428"/>
        <v>1.8530966215352552E-3</v>
      </c>
      <c r="BT329" s="199">
        <f>'Detailed Budget'!$AD$12</f>
        <v>194045122715</v>
      </c>
      <c r="BU329" s="199">
        <f>'Detailed Budget'!$AD$24</f>
        <v>194045122715</v>
      </c>
      <c r="BV329" s="596">
        <f t="shared" si="407"/>
        <v>6.2839209532718297E-3</v>
      </c>
      <c r="BW329" s="278"/>
      <c r="BX329" s="275">
        <f t="shared" si="397"/>
        <v>1219364212.508992</v>
      </c>
      <c r="BY329" s="275">
        <f t="shared" si="398"/>
        <v>1219364212.508992</v>
      </c>
      <c r="CA329" s="199">
        <f>'Detailed Budget'!$AD$96</f>
        <v>71050111380.677719</v>
      </c>
      <c r="CB329" s="275">
        <f t="shared" si="429"/>
        <v>0</v>
      </c>
      <c r="CE329" s="199">
        <f>'Detailed Budget'!$AD$175</f>
        <v>4330586076.5988197</v>
      </c>
      <c r="CF329" s="275">
        <f t="shared" si="408"/>
        <v>21190728.331113461</v>
      </c>
      <c r="CG329" s="199">
        <f>'Detailed Budget'!$AD$176</f>
        <v>20662817754.37001</v>
      </c>
      <c r="CH329" s="275">
        <f t="shared" si="409"/>
        <v>101108755.160024</v>
      </c>
      <c r="CI329" s="275">
        <f t="shared" si="410"/>
        <v>122299483.49113746</v>
      </c>
      <c r="CJ329" s="275">
        <f>'Detailed Budget'!$AD$178</f>
        <v>46025131033.061455</v>
      </c>
      <c r="CK329" s="275">
        <f t="shared" si="411"/>
        <v>152561171.72444767</v>
      </c>
      <c r="CL329" s="275">
        <f t="shared" si="366"/>
        <v>274860655.21558511</v>
      </c>
      <c r="CM329" s="278">
        <f>'Detailed Budget'!$AD$189</f>
        <v>77498869683.252869</v>
      </c>
      <c r="CN329" s="275">
        <f t="shared" si="430"/>
        <v>0</v>
      </c>
      <c r="CO329" s="140">
        <f>'Detailed Budget'!$AD$191</f>
        <v>2684962805.4134097</v>
      </c>
      <c r="CP329" s="616">
        <f t="shared" si="431"/>
        <v>0</v>
      </c>
      <c r="CQ329" s="616">
        <f t="shared" si="432"/>
        <v>0</v>
      </c>
      <c r="CR329" s="199">
        <f>'Detailed Budget'!$AD$195</f>
        <v>18734176418</v>
      </c>
      <c r="CS329" s="275">
        <f t="shared" si="412"/>
        <v>34716239.027441248</v>
      </c>
      <c r="CW329" s="278"/>
      <c r="DH329" s="140">
        <f>'Detailed Budget'!$AD$163</f>
        <v>4928560000</v>
      </c>
      <c r="DI329" s="616">
        <f t="shared" si="413"/>
        <v>6160000</v>
      </c>
    </row>
    <row r="330" spans="1:113" outlineLevel="1">
      <c r="A330" s="214" t="s">
        <v>797</v>
      </c>
      <c r="B330" s="215" t="s">
        <v>798</v>
      </c>
      <c r="C330" s="216" t="s">
        <v>234</v>
      </c>
      <c r="D330" s="217" t="s">
        <v>234</v>
      </c>
      <c r="E330" s="216"/>
      <c r="F330" s="216"/>
      <c r="G330" s="216"/>
      <c r="H330" s="216" t="s">
        <v>234</v>
      </c>
      <c r="I330" s="217" t="s">
        <v>234</v>
      </c>
      <c r="J330" s="217"/>
      <c r="K330" s="216" t="s">
        <v>234</v>
      </c>
      <c r="L330" s="216"/>
      <c r="M330" s="217"/>
      <c r="N330" s="216"/>
      <c r="O330" s="217"/>
      <c r="P330" s="216"/>
      <c r="Q330" s="217"/>
      <c r="R330" s="217" t="s">
        <v>234</v>
      </c>
      <c r="S330" s="217"/>
      <c r="T330" s="217"/>
      <c r="U330" s="218">
        <f t="shared" si="401"/>
        <v>6</v>
      </c>
      <c r="V330" s="867" t="s">
        <v>238</v>
      </c>
      <c r="W330" s="219">
        <v>280704</v>
      </c>
      <c r="X330" s="220">
        <v>3.07</v>
      </c>
      <c r="Y330" s="221">
        <f t="shared" si="379"/>
        <v>1.0306999999999999</v>
      </c>
      <c r="Z330" s="199">
        <v>19</v>
      </c>
      <c r="AA330" s="221">
        <f t="shared" si="380"/>
        <v>1.7762874396990105</v>
      </c>
      <c r="AB330" s="199">
        <f t="shared" si="415"/>
        <v>498610.98947327107</v>
      </c>
      <c r="AC330">
        <v>19.2</v>
      </c>
      <c r="AD330" s="199">
        <f t="shared" si="416"/>
        <v>95733.309978868056</v>
      </c>
      <c r="AE330" s="199">
        <f t="shared" si="399"/>
        <v>90946.644479924653</v>
      </c>
      <c r="AF330" s="199">
        <f t="shared" si="365"/>
        <v>90946.644479924653</v>
      </c>
      <c r="AG330" s="614">
        <f t="shared" si="434"/>
        <v>4.2049735775013383E-3</v>
      </c>
      <c r="AH330" s="199">
        <f t="shared" si="414"/>
        <v>24930.549473663556</v>
      </c>
      <c r="AI330" s="252">
        <f t="shared" si="417"/>
        <v>1.9313318942526948E-3</v>
      </c>
      <c r="AJ330" s="199">
        <f t="shared" si="418"/>
        <v>120663.85945253161</v>
      </c>
      <c r="AK330" s="199">
        <f t="shared" si="367"/>
        <v>19944.439578930844</v>
      </c>
      <c r="AL330" s="199">
        <f t="shared" si="368"/>
        <v>19944.439578930844</v>
      </c>
      <c r="AM330" s="199">
        <f t="shared" si="419"/>
        <v>39888.879157861687</v>
      </c>
      <c r="AN330" s="645">
        <f t="shared" si="420"/>
        <v>1.9313318942526948E-3</v>
      </c>
      <c r="AO330">
        <v>11</v>
      </c>
      <c r="AP330" s="250">
        <f t="shared" si="421"/>
        <v>1.2498579706851495E-3</v>
      </c>
      <c r="AQ330">
        <v>11</v>
      </c>
      <c r="AU330" s="199">
        <v>1</v>
      </c>
      <c r="AV330" s="199">
        <f t="shared" si="402"/>
        <v>276964.7867129533</v>
      </c>
      <c r="AW330" s="250">
        <f t="shared" si="422"/>
        <v>7.9715908967407934E-3</v>
      </c>
      <c r="AX330" s="199">
        <v>0</v>
      </c>
      <c r="AY330" s="199">
        <f t="shared" si="403"/>
        <v>35481.499985851922</v>
      </c>
      <c r="AZ330" s="199">
        <f t="shared" si="423"/>
        <v>0</v>
      </c>
      <c r="BA330" s="252">
        <f t="shared" si="424"/>
        <v>0</v>
      </c>
      <c r="BB330" s="284">
        <v>1</v>
      </c>
      <c r="BC330" s="199">
        <f t="shared" si="404"/>
        <v>68927.983184785</v>
      </c>
      <c r="BD330" s="270">
        <f t="shared" si="369"/>
        <v>6.2074538261328036E-3</v>
      </c>
      <c r="BE330" s="199">
        <f t="shared" si="405"/>
        <v>294858.59473491361</v>
      </c>
      <c r="BF330" s="251">
        <f t="shared" si="370"/>
        <v>6.2074539640741017E-3</v>
      </c>
      <c r="BG330" s="204">
        <f t="shared" si="383"/>
        <v>363786.57791969861</v>
      </c>
      <c r="BH330" s="636">
        <v>0</v>
      </c>
      <c r="BI330" s="199">
        <f t="shared" si="425"/>
        <v>152574.96277882095</v>
      </c>
      <c r="BJ330" s="199">
        <f t="shared" si="426"/>
        <v>305149.92555764189</v>
      </c>
      <c r="BK330" s="199">
        <f t="shared" si="433"/>
        <v>457724.88833646284</v>
      </c>
      <c r="BL330" s="251">
        <f t="shared" si="427"/>
        <v>1.9313318942526948E-3</v>
      </c>
      <c r="BM330" s="199">
        <f t="shared" si="406"/>
        <v>54437.533236316165</v>
      </c>
      <c r="BN330" s="251">
        <f t="shared" si="428"/>
        <v>2.350781982914696E-3</v>
      </c>
      <c r="BT330" s="199">
        <f>'Detailed Budget'!$AD$12</f>
        <v>194045122715</v>
      </c>
      <c r="BU330" s="199">
        <f>'Detailed Budget'!$AD$24</f>
        <v>194045122715</v>
      </c>
      <c r="BV330" s="596">
        <f t="shared" si="407"/>
        <v>7.9715908967407934E-3</v>
      </c>
      <c r="BW330" s="278"/>
      <c r="BX330" s="275">
        <f t="shared" si="397"/>
        <v>1546848333.7918441</v>
      </c>
      <c r="BY330" s="275">
        <f t="shared" si="398"/>
        <v>1546848333.7918441</v>
      </c>
      <c r="CA330" s="199">
        <f>'Detailed Budget'!$AD$96</f>
        <v>71050111380.677719</v>
      </c>
      <c r="CB330" s="275">
        <f t="shared" si="429"/>
        <v>0</v>
      </c>
      <c r="CE330" s="199">
        <f>'Detailed Budget'!$AD$175</f>
        <v>4330586076.5988197</v>
      </c>
      <c r="CF330" s="275">
        <f t="shared" si="408"/>
        <v>26881913.110580791</v>
      </c>
      <c r="CG330" s="199">
        <f>'Detailed Budget'!$AD$176</f>
        <v>20662817754.37001</v>
      </c>
      <c r="CH330" s="275">
        <f t="shared" si="409"/>
        <v>128263489.97830485</v>
      </c>
      <c r="CI330" s="275">
        <f t="shared" si="410"/>
        <v>155145403.08888564</v>
      </c>
      <c r="CJ330" s="275">
        <f>'Detailed Budget'!$AD$178</f>
        <v>46025131033.061455</v>
      </c>
      <c r="CK330" s="275">
        <f t="shared" si="411"/>
        <v>193534459.8950603</v>
      </c>
      <c r="CL330" s="275">
        <f t="shared" si="366"/>
        <v>348679862.98394597</v>
      </c>
      <c r="CM330" s="278">
        <f>'Detailed Budget'!$AD$189</f>
        <v>77498869683.252869</v>
      </c>
      <c r="CN330" s="275">
        <f t="shared" si="430"/>
        <v>0</v>
      </c>
      <c r="CO330" s="140">
        <f>'Detailed Budget'!$AD$191</f>
        <v>2684962805.4134097</v>
      </c>
      <c r="CP330" s="616">
        <f t="shared" si="431"/>
        <v>0</v>
      </c>
      <c r="CQ330" s="616">
        <f t="shared" si="432"/>
        <v>0</v>
      </c>
      <c r="CR330" s="199">
        <f>'Detailed Budget'!$AD$195</f>
        <v>18734176418</v>
      </c>
      <c r="CS330" s="275">
        <f t="shared" si="412"/>
        <v>44039964.388179779</v>
      </c>
      <c r="CW330" s="278"/>
      <c r="DH330" s="140">
        <f>'Detailed Budget'!$AD$163</f>
        <v>4928560000</v>
      </c>
      <c r="DI330" s="616">
        <f t="shared" si="413"/>
        <v>6160000</v>
      </c>
    </row>
    <row r="331" spans="1:113" outlineLevel="1">
      <c r="A331" s="214" t="s">
        <v>799</v>
      </c>
      <c r="B331" s="215" t="s">
        <v>800</v>
      </c>
      <c r="C331" s="216" t="s">
        <v>234</v>
      </c>
      <c r="D331" s="217" t="s">
        <v>234</v>
      </c>
      <c r="E331" s="216"/>
      <c r="F331" s="216"/>
      <c r="G331" s="216"/>
      <c r="H331" s="216" t="s">
        <v>234</v>
      </c>
      <c r="I331" s="217" t="s">
        <v>234</v>
      </c>
      <c r="J331" s="217"/>
      <c r="K331" s="216" t="s">
        <v>234</v>
      </c>
      <c r="L331" s="216"/>
      <c r="M331" s="217"/>
      <c r="N331" s="216"/>
      <c r="O331" s="217"/>
      <c r="P331" s="216"/>
      <c r="Q331" s="217"/>
      <c r="R331" s="217" t="s">
        <v>234</v>
      </c>
      <c r="S331" s="217"/>
      <c r="T331" s="217"/>
      <c r="U331" s="218">
        <f t="shared" si="401"/>
        <v>6</v>
      </c>
      <c r="V331" s="867" t="s">
        <v>238</v>
      </c>
      <c r="W331" s="219">
        <v>138956</v>
      </c>
      <c r="X331" s="220">
        <v>3.07</v>
      </c>
      <c r="Y331" s="221">
        <f t="shared" si="379"/>
        <v>1.0306999999999999</v>
      </c>
      <c r="Z331" s="199">
        <v>19</v>
      </c>
      <c r="AA331" s="221">
        <f t="shared" si="380"/>
        <v>1.7762874396990105</v>
      </c>
      <c r="AB331" s="199">
        <f t="shared" si="415"/>
        <v>246825.79747081571</v>
      </c>
      <c r="AC331">
        <v>19.2</v>
      </c>
      <c r="AD331" s="199">
        <f t="shared" si="416"/>
        <v>47390.553114396615</v>
      </c>
      <c r="AE331" s="199">
        <f t="shared" si="399"/>
        <v>45021.025458676784</v>
      </c>
      <c r="AF331" s="199">
        <f t="shared" si="365"/>
        <v>45021.025458676784</v>
      </c>
      <c r="AG331" s="614">
        <f t="shared" si="434"/>
        <v>2.0815745712041006E-3</v>
      </c>
      <c r="AH331" s="199">
        <f t="shared" si="414"/>
        <v>12341.289873540787</v>
      </c>
      <c r="AI331" s="252">
        <f t="shared" si="417"/>
        <v>9.5606102762261125E-4</v>
      </c>
      <c r="AJ331" s="199">
        <f t="shared" si="418"/>
        <v>59731.842987937402</v>
      </c>
      <c r="AK331" s="199">
        <f t="shared" si="367"/>
        <v>9873.0318988326289</v>
      </c>
      <c r="AL331" s="199">
        <f t="shared" si="368"/>
        <v>9873.0318988326289</v>
      </c>
      <c r="AM331" s="199">
        <f t="shared" si="419"/>
        <v>19746.063797665258</v>
      </c>
      <c r="AN331" s="645">
        <f t="shared" si="420"/>
        <v>9.5606102762261125E-4</v>
      </c>
      <c r="AO331">
        <v>10</v>
      </c>
      <c r="AP331" s="250">
        <f t="shared" si="421"/>
        <v>1.1362345188046814E-3</v>
      </c>
      <c r="AQ331">
        <v>10</v>
      </c>
      <c r="AU331" s="199">
        <v>1</v>
      </c>
      <c r="AV331" s="199">
        <f t="shared" si="402"/>
        <v>137104.9892501893</v>
      </c>
      <c r="AW331" s="250">
        <f t="shared" si="422"/>
        <v>3.9461510510983584E-3</v>
      </c>
      <c r="AX331" s="199">
        <v>0</v>
      </c>
      <c r="AY331" s="199">
        <f t="shared" si="403"/>
        <v>17564.293034776987</v>
      </c>
      <c r="AZ331" s="199">
        <f t="shared" si="423"/>
        <v>0</v>
      </c>
      <c r="BA331" s="252">
        <f t="shared" si="424"/>
        <v>0</v>
      </c>
      <c r="BB331" s="284">
        <v>1</v>
      </c>
      <c r="BC331" s="199">
        <f t="shared" si="404"/>
        <v>34121.198242365565</v>
      </c>
      <c r="BD331" s="270">
        <f t="shared" si="369"/>
        <v>3.0728559402933685E-3</v>
      </c>
      <c r="BE331" s="199">
        <f t="shared" si="405"/>
        <v>145962.90359234158</v>
      </c>
      <c r="BF331" s="251">
        <f t="shared" si="370"/>
        <v>3.0728560085780065E-3</v>
      </c>
      <c r="BG331" s="204">
        <f t="shared" si="383"/>
        <v>180084.10183470714</v>
      </c>
      <c r="BH331" s="636">
        <v>0</v>
      </c>
      <c r="BI331" s="199">
        <f t="shared" si="425"/>
        <v>75528.694026069599</v>
      </c>
      <c r="BJ331" s="199">
        <f t="shared" si="426"/>
        <v>151057.3880521392</v>
      </c>
      <c r="BK331" s="199">
        <f t="shared" si="433"/>
        <v>226586.0820782088</v>
      </c>
      <c r="BL331" s="251">
        <f t="shared" si="427"/>
        <v>9.5606102762261103E-4</v>
      </c>
      <c r="BM331" s="199">
        <f t="shared" si="406"/>
        <v>26948.037321824944</v>
      </c>
      <c r="BN331" s="251">
        <f t="shared" si="428"/>
        <v>1.1637000584882812E-3</v>
      </c>
      <c r="BT331" s="199">
        <f>'Detailed Budget'!$AD$12</f>
        <v>194045122715</v>
      </c>
      <c r="BU331" s="199">
        <f>'Detailed Budget'!$AD$24</f>
        <v>194045122715</v>
      </c>
      <c r="BV331" s="596">
        <f t="shared" si="407"/>
        <v>3.9461510510983584E-3</v>
      </c>
      <c r="BW331" s="278"/>
      <c r="BX331" s="275">
        <f t="shared" si="397"/>
        <v>765731364.96230721</v>
      </c>
      <c r="BY331" s="275">
        <f t="shared" si="398"/>
        <v>765731364.96230721</v>
      </c>
      <c r="CA331" s="199">
        <f>'Detailed Budget'!$AD$96</f>
        <v>71050111380.677719</v>
      </c>
      <c r="CB331" s="275">
        <f t="shared" si="429"/>
        <v>0</v>
      </c>
      <c r="CE331" s="199">
        <f>'Detailed Budget'!$AD$175</f>
        <v>4330586076.5988197</v>
      </c>
      <c r="CF331" s="275">
        <f t="shared" si="408"/>
        <v>13307267.150428437</v>
      </c>
      <c r="CG331" s="199">
        <f>'Detailed Budget'!$AD$176</f>
        <v>20662817754.37001</v>
      </c>
      <c r="CH331" s="275">
        <f t="shared" si="409"/>
        <v>63493863.690668195</v>
      </c>
      <c r="CI331" s="275">
        <f t="shared" si="410"/>
        <v>76801130.84109664</v>
      </c>
      <c r="CJ331" s="275">
        <f>'Detailed Budget'!$AD$178</f>
        <v>46025131033.061455</v>
      </c>
      <c r="CK331" s="275">
        <f t="shared" si="411"/>
        <v>95804742.394757435</v>
      </c>
      <c r="CL331" s="275">
        <f t="shared" si="366"/>
        <v>172605873.23585409</v>
      </c>
      <c r="CM331" s="278">
        <f>'Detailed Budget'!$AD$189</f>
        <v>77498869683.252869</v>
      </c>
      <c r="CN331" s="275">
        <f t="shared" si="430"/>
        <v>0</v>
      </c>
      <c r="CO331" s="140">
        <f>'Detailed Budget'!$AD$191</f>
        <v>2684962805.4134097</v>
      </c>
      <c r="CP331" s="616">
        <f t="shared" si="431"/>
        <v>0</v>
      </c>
      <c r="CQ331" s="616">
        <f t="shared" si="432"/>
        <v>0</v>
      </c>
      <c r="CR331" s="199">
        <f>'Detailed Budget'!$AD$195</f>
        <v>18734176418</v>
      </c>
      <c r="CS331" s="275">
        <f t="shared" si="412"/>
        <v>21800962.19335638</v>
      </c>
      <c r="CW331" s="278"/>
      <c r="DH331" s="140">
        <f>'Detailed Budget'!$AD$163</f>
        <v>4928560000</v>
      </c>
      <c r="DI331" s="616">
        <f t="shared" si="413"/>
        <v>5600000</v>
      </c>
    </row>
    <row r="332" spans="1:113" outlineLevel="1">
      <c r="A332" s="214" t="s">
        <v>801</v>
      </c>
      <c r="B332" s="215" t="s">
        <v>802</v>
      </c>
      <c r="C332" s="216" t="s">
        <v>234</v>
      </c>
      <c r="D332" s="217" t="s">
        <v>234</v>
      </c>
      <c r="E332" s="216"/>
      <c r="F332" s="216"/>
      <c r="G332" s="216"/>
      <c r="H332" s="216" t="s">
        <v>234</v>
      </c>
      <c r="I332" s="217" t="s">
        <v>234</v>
      </c>
      <c r="J332" s="217"/>
      <c r="K332" s="216" t="s">
        <v>234</v>
      </c>
      <c r="L332" s="216"/>
      <c r="M332" s="217"/>
      <c r="N332" s="216"/>
      <c r="O332" s="217"/>
      <c r="P332" s="216"/>
      <c r="Q332" s="217"/>
      <c r="R332" s="217" t="s">
        <v>234</v>
      </c>
      <c r="S332" s="217"/>
      <c r="T332" s="217"/>
      <c r="U332" s="218">
        <f t="shared" si="401"/>
        <v>6</v>
      </c>
      <c r="V332" s="867" t="s">
        <v>238</v>
      </c>
      <c r="W332" s="219">
        <v>339740</v>
      </c>
      <c r="X332" s="220">
        <v>3.07</v>
      </c>
      <c r="Y332" s="221">
        <f t="shared" si="379"/>
        <v>1.0306999999999999</v>
      </c>
      <c r="Z332" s="199">
        <v>19</v>
      </c>
      <c r="AA332" s="221">
        <f t="shared" si="380"/>
        <v>1.7762874396990105</v>
      </c>
      <c r="AB332" s="199">
        <f t="shared" si="415"/>
        <v>603475.89476334187</v>
      </c>
      <c r="AC332">
        <v>19.2</v>
      </c>
      <c r="AD332" s="199">
        <f t="shared" si="416"/>
        <v>115867.37179456164</v>
      </c>
      <c r="AE332" s="199">
        <f t="shared" si="399"/>
        <v>110074.00320483356</v>
      </c>
      <c r="AF332" s="199">
        <f t="shared" ref="AF332:AF395" si="435">AE332*BB332</f>
        <v>110074.00320483356</v>
      </c>
      <c r="AG332" s="614">
        <f t="shared" si="434"/>
        <v>5.0893386742629412E-3</v>
      </c>
      <c r="AH332" s="199">
        <f t="shared" si="414"/>
        <v>30173.794738167097</v>
      </c>
      <c r="AI332" s="252">
        <f t="shared" si="417"/>
        <v>2.3375181606012404E-3</v>
      </c>
      <c r="AJ332" s="199">
        <f t="shared" si="418"/>
        <v>146041.16653272873</v>
      </c>
      <c r="AK332" s="199">
        <f t="shared" si="367"/>
        <v>24139.035790533675</v>
      </c>
      <c r="AL332" s="199">
        <f t="shared" si="368"/>
        <v>24139.035790533675</v>
      </c>
      <c r="AM332" s="199">
        <f t="shared" si="419"/>
        <v>48278.07158106735</v>
      </c>
      <c r="AN332" s="645">
        <f t="shared" si="420"/>
        <v>2.33751816060124E-3</v>
      </c>
      <c r="AO332" s="277">
        <v>11</v>
      </c>
      <c r="AP332" s="250">
        <f t="shared" si="421"/>
        <v>1.2498579706851495E-3</v>
      </c>
      <c r="AQ332" s="277">
        <v>11</v>
      </c>
      <c r="AU332" s="199">
        <v>1</v>
      </c>
      <c r="AV332" s="199">
        <f t="shared" si="402"/>
        <v>335214.37755735131</v>
      </c>
      <c r="AW332" s="250">
        <f t="shared" si="422"/>
        <v>9.6481286025803577E-3</v>
      </c>
      <c r="AX332" s="199">
        <v>0</v>
      </c>
      <c r="AY332" s="199">
        <f t="shared" si="403"/>
        <v>42943.758568432691</v>
      </c>
      <c r="AZ332" s="199">
        <f t="shared" si="423"/>
        <v>0</v>
      </c>
      <c r="BA332" s="252">
        <f t="shared" si="424"/>
        <v>0</v>
      </c>
      <c r="BB332" s="284">
        <v>1</v>
      </c>
      <c r="BC332" s="199">
        <f t="shared" si="404"/>
        <v>83424.507692084371</v>
      </c>
      <c r="BD332" s="270">
        <f t="shared" si="369"/>
        <v>7.5129686890473887E-3</v>
      </c>
      <c r="BE332" s="199">
        <f t="shared" si="405"/>
        <v>356871.50512724987</v>
      </c>
      <c r="BF332" s="251">
        <f t="shared" si="370"/>
        <v>7.5129688559996835E-3</v>
      </c>
      <c r="BG332" s="204">
        <f t="shared" si="383"/>
        <v>440296.01281933422</v>
      </c>
      <c r="BH332" s="636">
        <v>0</v>
      </c>
      <c r="BI332" s="199">
        <f t="shared" si="425"/>
        <v>184663.62379758261</v>
      </c>
      <c r="BJ332" s="199">
        <f t="shared" si="426"/>
        <v>369327.24759516522</v>
      </c>
      <c r="BK332" s="199">
        <f t="shared" si="433"/>
        <v>553990.87139274785</v>
      </c>
      <c r="BL332" s="251">
        <f t="shared" si="427"/>
        <v>2.33751816060124E-3</v>
      </c>
      <c r="BM332" s="199">
        <f t="shared" si="406"/>
        <v>65886.512275229616</v>
      </c>
      <c r="BN332" s="251">
        <f t="shared" si="428"/>
        <v>2.8451845035177229E-3</v>
      </c>
      <c r="BT332" s="199">
        <f>'Detailed Budget'!$AD$12</f>
        <v>194045122715</v>
      </c>
      <c r="BU332" s="199">
        <f>'Detailed Budget'!$AD$24</f>
        <v>194045122715</v>
      </c>
      <c r="BV332" s="596">
        <f t="shared" si="407"/>
        <v>9.6481286025803577E-3</v>
      </c>
      <c r="BW332" s="278"/>
      <c r="BX332" s="275">
        <f t="shared" si="397"/>
        <v>1872172298.6578069</v>
      </c>
      <c r="BY332" s="275">
        <f t="shared" si="398"/>
        <v>1872172298.6578069</v>
      </c>
      <c r="CA332" s="199">
        <f>'Detailed Budget'!$AD$96</f>
        <v>71050111380.677719</v>
      </c>
      <c r="CB332" s="275">
        <f t="shared" si="429"/>
        <v>0</v>
      </c>
      <c r="CE332" s="199">
        <f>'Detailed Budget'!$AD$175</f>
        <v>4330586076.5988197</v>
      </c>
      <c r="CF332" s="275">
        <f t="shared" si="408"/>
        <v>32535557.598711509</v>
      </c>
      <c r="CG332" s="199">
        <f>'Detailed Budget'!$AD$176</f>
        <v>20662817754.37001</v>
      </c>
      <c r="CH332" s="275">
        <f t="shared" si="409"/>
        <v>155239106.2657792</v>
      </c>
      <c r="CI332" s="275">
        <f t="shared" si="410"/>
        <v>187774663.86449072</v>
      </c>
      <c r="CJ332" s="275">
        <f>'Detailed Budget'!$AD$178</f>
        <v>46025131033.061455</v>
      </c>
      <c r="CK332" s="275">
        <f t="shared" si="411"/>
        <v>234237479.35457915</v>
      </c>
      <c r="CL332" s="275">
        <f t="shared" ref="CL332:CL395" si="436">CI332+CK332</f>
        <v>422012143.21906984</v>
      </c>
      <c r="CM332" s="278">
        <f>'Detailed Budget'!$AD$189</f>
        <v>77498869683.252869</v>
      </c>
      <c r="CN332" s="275">
        <f t="shared" si="430"/>
        <v>0</v>
      </c>
      <c r="CO332" s="140">
        <f>'Detailed Budget'!$AD$191</f>
        <v>2684962805.4134097</v>
      </c>
      <c r="CP332" s="616">
        <f t="shared" si="431"/>
        <v>0</v>
      </c>
      <c r="CQ332" s="616">
        <f t="shared" si="432"/>
        <v>0</v>
      </c>
      <c r="CR332" s="199">
        <f>'Detailed Budget'!$AD$195</f>
        <v>18734176418</v>
      </c>
      <c r="CS332" s="275">
        <f t="shared" si="412"/>
        <v>53302188.430660762</v>
      </c>
      <c r="CW332" s="278"/>
      <c r="DH332" s="140">
        <f>'Detailed Budget'!$AD$163</f>
        <v>4928560000</v>
      </c>
      <c r="DI332" s="616">
        <f t="shared" si="413"/>
        <v>6160000</v>
      </c>
    </row>
    <row r="333" spans="1:113" outlineLevel="1">
      <c r="A333" s="214" t="s">
        <v>803</v>
      </c>
      <c r="B333" s="215" t="s">
        <v>804</v>
      </c>
      <c r="C333" s="216" t="s">
        <v>234</v>
      </c>
      <c r="D333" s="217" t="s">
        <v>234</v>
      </c>
      <c r="E333" s="216"/>
      <c r="F333" s="216"/>
      <c r="G333" s="216"/>
      <c r="H333" s="216" t="s">
        <v>234</v>
      </c>
      <c r="I333" s="217" t="s">
        <v>234</v>
      </c>
      <c r="J333" s="217"/>
      <c r="K333" s="216" t="s">
        <v>234</v>
      </c>
      <c r="L333" s="216"/>
      <c r="M333" s="217"/>
      <c r="N333" s="216"/>
      <c r="O333" s="217"/>
      <c r="P333" s="216"/>
      <c r="Q333" s="217"/>
      <c r="R333" s="217" t="s">
        <v>234</v>
      </c>
      <c r="S333" s="217"/>
      <c r="T333" s="217"/>
      <c r="U333" s="218">
        <f t="shared" si="401"/>
        <v>6</v>
      </c>
      <c r="V333" s="867" t="s">
        <v>238</v>
      </c>
      <c r="W333" s="219">
        <v>146574</v>
      </c>
      <c r="X333" s="220">
        <v>3.07</v>
      </c>
      <c r="Y333" s="221">
        <f t="shared" si="379"/>
        <v>1.0306999999999999</v>
      </c>
      <c r="Z333" s="199">
        <v>19</v>
      </c>
      <c r="AA333" s="221">
        <f t="shared" si="380"/>
        <v>1.7762874396990105</v>
      </c>
      <c r="AB333" s="199">
        <f t="shared" si="415"/>
        <v>260357.55518644277</v>
      </c>
      <c r="AC333">
        <v>19.2</v>
      </c>
      <c r="AD333" s="199">
        <f t="shared" si="416"/>
        <v>49988.650595797015</v>
      </c>
      <c r="AE333" s="199">
        <f t="shared" si="399"/>
        <v>47489.218066007161</v>
      </c>
      <c r="AF333" s="199">
        <f t="shared" si="435"/>
        <v>47489.218066007161</v>
      </c>
      <c r="AG333" s="614">
        <f t="shared" si="434"/>
        <v>2.195692961798482E-3</v>
      </c>
      <c r="AH333" s="199">
        <f t="shared" si="414"/>
        <v>13017.877759322138</v>
      </c>
      <c r="AI333" s="252">
        <f t="shared" si="417"/>
        <v>1.0084752660033149E-3</v>
      </c>
      <c r="AJ333" s="199">
        <f t="shared" si="418"/>
        <v>63006.528355119153</v>
      </c>
      <c r="AK333" s="199">
        <f t="shared" si="367"/>
        <v>10414.302207457711</v>
      </c>
      <c r="AL333" s="199">
        <f t="shared" si="368"/>
        <v>10414.302207457711</v>
      </c>
      <c r="AM333" s="199">
        <f t="shared" si="419"/>
        <v>20828.604414915422</v>
      </c>
      <c r="AN333" s="645">
        <f t="shared" si="420"/>
        <v>1.0084752660033149E-3</v>
      </c>
      <c r="AO333">
        <v>10</v>
      </c>
      <c r="AP333" s="250">
        <f t="shared" si="421"/>
        <v>1.1362345188046814E-3</v>
      </c>
      <c r="AQ333">
        <v>10</v>
      </c>
      <c r="AU333" s="199">
        <v>1</v>
      </c>
      <c r="AV333" s="199">
        <f t="shared" si="402"/>
        <v>144621.51108521578</v>
      </c>
      <c r="AW333" s="250">
        <f t="shared" si="422"/>
        <v>4.1624913221716998E-3</v>
      </c>
      <c r="AX333" s="199">
        <v>0</v>
      </c>
      <c r="AY333" s="199">
        <f t="shared" si="403"/>
        <v>18527.222194647242</v>
      </c>
      <c r="AZ333" s="199">
        <f t="shared" si="423"/>
        <v>0</v>
      </c>
      <c r="BA333" s="252">
        <f t="shared" si="424"/>
        <v>0</v>
      </c>
      <c r="BB333" s="284">
        <v>1</v>
      </c>
      <c r="BC333" s="199">
        <f t="shared" si="404"/>
        <v>35991.828428973851</v>
      </c>
      <c r="BD333" s="270">
        <f t="shared" si="369"/>
        <v>3.2413194579043745E-3</v>
      </c>
      <c r="BE333" s="199">
        <f t="shared" si="405"/>
        <v>153965.04383505482</v>
      </c>
      <c r="BF333" s="251">
        <f t="shared" si="370"/>
        <v>3.241319529932589E-3</v>
      </c>
      <c r="BG333" s="204">
        <f t="shared" si="383"/>
        <v>189956.87226402867</v>
      </c>
      <c r="BH333" s="636">
        <v>0</v>
      </c>
      <c r="BI333" s="199">
        <f t="shared" si="425"/>
        <v>79669.411887051509</v>
      </c>
      <c r="BJ333" s="199">
        <f t="shared" si="426"/>
        <v>159338.82377410302</v>
      </c>
      <c r="BK333" s="199">
        <f t="shared" si="433"/>
        <v>239008.23566115453</v>
      </c>
      <c r="BL333" s="251">
        <f t="shared" si="427"/>
        <v>1.0084752660033151E-3</v>
      </c>
      <c r="BM333" s="199">
        <f t="shared" si="406"/>
        <v>28425.41252201538</v>
      </c>
      <c r="BN333" s="251">
        <f t="shared" si="428"/>
        <v>1.2274977141891053E-3</v>
      </c>
      <c r="BT333" s="199">
        <f>'Detailed Budget'!$AD$12</f>
        <v>194045122715</v>
      </c>
      <c r="BU333" s="199">
        <f>'Detailed Budget'!$AD$24</f>
        <v>194045122715</v>
      </c>
      <c r="BV333" s="596">
        <f t="shared" si="407"/>
        <v>4.1624913221716998E-3</v>
      </c>
      <c r="BW333" s="278"/>
      <c r="BX333" s="275">
        <f t="shared" si="397"/>
        <v>807711139.41093004</v>
      </c>
      <c r="BY333" s="275">
        <f t="shared" si="398"/>
        <v>807711139.41093004</v>
      </c>
      <c r="CA333" s="199">
        <f>'Detailed Budget'!$AD$96</f>
        <v>71050111380.677719</v>
      </c>
      <c r="CB333" s="275">
        <f t="shared" si="429"/>
        <v>0</v>
      </c>
      <c r="CE333" s="199">
        <f>'Detailed Budget'!$AD$175</f>
        <v>4330586076.5988197</v>
      </c>
      <c r="CF333" s="275">
        <f t="shared" si="408"/>
        <v>14036812.914209519</v>
      </c>
      <c r="CG333" s="199">
        <f>'Detailed Budget'!$AD$176</f>
        <v>20662817754.37001</v>
      </c>
      <c r="CH333" s="275">
        <f t="shared" si="409"/>
        <v>66974794.730677359</v>
      </c>
      <c r="CI333" s="275">
        <f t="shared" si="410"/>
        <v>81011607.644886881</v>
      </c>
      <c r="CJ333" s="275">
        <f>'Detailed Budget'!$AD$178</f>
        <v>46025131033.061455</v>
      </c>
      <c r="CK333" s="275">
        <f t="shared" si="411"/>
        <v>101057056.27514593</v>
      </c>
      <c r="CL333" s="275">
        <f t="shared" si="436"/>
        <v>182068663.9200328</v>
      </c>
      <c r="CM333" s="278">
        <f>'Detailed Budget'!$AD$189</f>
        <v>77498869683.252869</v>
      </c>
      <c r="CN333" s="275">
        <f t="shared" si="430"/>
        <v>0</v>
      </c>
      <c r="CO333" s="140">
        <f>'Detailed Budget'!$AD$191</f>
        <v>2684962805.4134097</v>
      </c>
      <c r="CP333" s="616">
        <f t="shared" si="431"/>
        <v>0</v>
      </c>
      <c r="CQ333" s="616">
        <f t="shared" si="432"/>
        <v>0</v>
      </c>
      <c r="CR333" s="199">
        <f>'Detailed Budget'!$AD$195</f>
        <v>18734176418</v>
      </c>
      <c r="CS333" s="275">
        <f t="shared" si="412"/>
        <v>22996158.73031044</v>
      </c>
      <c r="CW333" s="278"/>
      <c r="DH333" s="140">
        <f>'Detailed Budget'!$AD$163</f>
        <v>4928560000</v>
      </c>
      <c r="DI333" s="616">
        <f t="shared" si="413"/>
        <v>5600000</v>
      </c>
    </row>
    <row r="334" spans="1:113" outlineLevel="1">
      <c r="A334" s="214" t="s">
        <v>805</v>
      </c>
      <c r="B334" s="215" t="s">
        <v>806</v>
      </c>
      <c r="C334" s="216" t="s">
        <v>234</v>
      </c>
      <c r="D334" s="217" t="s">
        <v>234</v>
      </c>
      <c r="E334" s="216"/>
      <c r="F334" s="216"/>
      <c r="G334" s="216"/>
      <c r="H334" s="216" t="s">
        <v>234</v>
      </c>
      <c r="I334" s="217" t="s">
        <v>234</v>
      </c>
      <c r="J334" s="217"/>
      <c r="K334" s="216" t="s">
        <v>234</v>
      </c>
      <c r="L334" s="216"/>
      <c r="M334" s="217"/>
      <c r="N334" s="216"/>
      <c r="O334" s="217"/>
      <c r="P334" s="216"/>
      <c r="Q334" s="217" t="s">
        <v>234</v>
      </c>
      <c r="R334" s="217"/>
      <c r="S334" s="217"/>
      <c r="T334" s="217"/>
      <c r="U334" s="218">
        <f t="shared" si="401"/>
        <v>6</v>
      </c>
      <c r="V334" s="867" t="s">
        <v>284</v>
      </c>
      <c r="W334" s="219">
        <v>291358</v>
      </c>
      <c r="X334" s="220">
        <v>3.07</v>
      </c>
      <c r="Y334" s="221">
        <f t="shared" si="379"/>
        <v>1.0306999999999999</v>
      </c>
      <c r="Z334" s="199">
        <v>19</v>
      </c>
      <c r="AA334" s="221">
        <f t="shared" si="380"/>
        <v>1.7762874396990105</v>
      </c>
      <c r="AB334" s="199">
        <f t="shared" si="415"/>
        <v>517535.55585582432</v>
      </c>
      <c r="AC334">
        <v>19.2</v>
      </c>
      <c r="AD334" s="199">
        <f t="shared" si="416"/>
        <v>99366.826724318264</v>
      </c>
      <c r="AE334" s="199">
        <f t="shared" si="399"/>
        <v>94398.485388102345</v>
      </c>
      <c r="AF334" s="199">
        <f t="shared" si="435"/>
        <v>94398.485388102345</v>
      </c>
      <c r="AG334" s="614">
        <f t="shared" si="434"/>
        <v>4.3645715472299456E-3</v>
      </c>
      <c r="AH334" s="199">
        <f t="shared" si="414"/>
        <v>25876.777792791218</v>
      </c>
      <c r="AI334" s="252">
        <f t="shared" si="417"/>
        <v>2.0046347684595754E-3</v>
      </c>
      <c r="AJ334" s="199">
        <f t="shared" si="418"/>
        <v>125243.60451710949</v>
      </c>
      <c r="AK334" s="199">
        <f t="shared" si="367"/>
        <v>20701.422234232974</v>
      </c>
      <c r="AL334" s="199">
        <f t="shared" si="368"/>
        <v>20701.422234232974</v>
      </c>
      <c r="AM334" s="199">
        <f t="shared" si="419"/>
        <v>41402.844468465948</v>
      </c>
      <c r="AN334" s="645">
        <f t="shared" si="420"/>
        <v>2.0046347684595754E-3</v>
      </c>
      <c r="AO334">
        <v>11</v>
      </c>
      <c r="AP334" s="250">
        <f t="shared" si="421"/>
        <v>1.2498579706851495E-3</v>
      </c>
      <c r="AQ334">
        <v>11</v>
      </c>
      <c r="AU334" s="199">
        <v>1</v>
      </c>
      <c r="AV334" s="199">
        <f t="shared" si="402"/>
        <v>287476.86647540698</v>
      </c>
      <c r="AW334" s="250">
        <f t="shared" si="422"/>
        <v>8.2741492123112031E-3</v>
      </c>
      <c r="AX334" s="199">
        <v>0</v>
      </c>
      <c r="AY334" s="199">
        <f t="shared" si="403"/>
        <v>36828.185109146441</v>
      </c>
      <c r="AZ334" s="199">
        <f t="shared" si="423"/>
        <v>0</v>
      </c>
      <c r="BA334" s="252">
        <f t="shared" si="424"/>
        <v>0</v>
      </c>
      <c r="BB334" s="284">
        <v>1</v>
      </c>
      <c r="BC334" s="199">
        <f t="shared" si="404"/>
        <v>71544.115241509149</v>
      </c>
      <c r="BD334" s="270">
        <f t="shared" si="369"/>
        <v>6.4430550753619507E-3</v>
      </c>
      <c r="BE334" s="199">
        <f t="shared" si="405"/>
        <v>306049.82631090027</v>
      </c>
      <c r="BF334" s="251">
        <f t="shared" si="370"/>
        <v>6.4430552185387527E-3</v>
      </c>
      <c r="BG334" s="204">
        <f t="shared" si="383"/>
        <v>377593.94155240944</v>
      </c>
      <c r="BH334" s="636">
        <v>0</v>
      </c>
      <c r="BI334" s="199">
        <f t="shared" si="425"/>
        <v>158365.88009188225</v>
      </c>
      <c r="BJ334" s="199">
        <f t="shared" si="426"/>
        <v>316731.76018376451</v>
      </c>
      <c r="BK334" s="199">
        <f t="shared" si="433"/>
        <v>475097.64027564676</v>
      </c>
      <c r="BL334" s="251">
        <f t="shared" si="427"/>
        <v>2.0046347684595754E-3</v>
      </c>
      <c r="BM334" s="199">
        <f t="shared" si="406"/>
        <v>56503.686476382973</v>
      </c>
      <c r="BN334" s="251">
        <f t="shared" si="428"/>
        <v>2.4400049054450952E-3</v>
      </c>
      <c r="BT334" s="199">
        <f>'Detailed Budget'!$AD$12</f>
        <v>194045122715</v>
      </c>
      <c r="BU334" s="199">
        <f>'Detailed Budget'!$AD$24</f>
        <v>194045122715</v>
      </c>
      <c r="BV334" s="596">
        <f t="shared" si="407"/>
        <v>8.2741492123112031E-3</v>
      </c>
      <c r="BW334" s="278"/>
      <c r="BX334" s="275">
        <f t="shared" si="397"/>
        <v>1605558299.2651479</v>
      </c>
      <c r="BY334" s="275">
        <f t="shared" si="398"/>
        <v>1605558299.2651479</v>
      </c>
      <c r="CA334" s="199">
        <f>'Detailed Budget'!$AD$96</f>
        <v>71050111380.677719</v>
      </c>
      <c r="CB334" s="275">
        <f t="shared" si="429"/>
        <v>0</v>
      </c>
      <c r="CE334" s="199">
        <f>'Detailed Budget'!$AD$175</f>
        <v>4330586076.5988197</v>
      </c>
      <c r="CF334" s="275">
        <f t="shared" si="408"/>
        <v>27902204.600121822</v>
      </c>
      <c r="CG334" s="199">
        <f>'Detailed Budget'!$AD$176</f>
        <v>20662817754.37001</v>
      </c>
      <c r="CH334" s="275">
        <f t="shared" si="409"/>
        <v>133131675.76200889</v>
      </c>
      <c r="CI334" s="275">
        <f t="shared" si="410"/>
        <v>161033880.3621307</v>
      </c>
      <c r="CJ334" s="275">
        <f>'Detailed Budget'!$AD$178</f>
        <v>46025131033.061455</v>
      </c>
      <c r="CK334" s="275">
        <f t="shared" si="411"/>
        <v>200879977.36443001</v>
      </c>
      <c r="CL334" s="275">
        <f t="shared" si="436"/>
        <v>361913857.72656071</v>
      </c>
      <c r="CM334" s="278">
        <f>'Detailed Budget'!$AD$189</f>
        <v>77498869683.252869</v>
      </c>
      <c r="CN334" s="275">
        <f t="shared" si="430"/>
        <v>0</v>
      </c>
      <c r="CO334" s="140">
        <f>'Detailed Budget'!$AD$191</f>
        <v>2684962805.4134097</v>
      </c>
      <c r="CP334" s="616">
        <f t="shared" si="431"/>
        <v>0</v>
      </c>
      <c r="CQ334" s="616">
        <f t="shared" si="432"/>
        <v>0</v>
      </c>
      <c r="CR334" s="199">
        <f>'Detailed Budget'!$AD$195</f>
        <v>18734176418</v>
      </c>
      <c r="CS334" s="275">
        <f t="shared" si="412"/>
        <v>45711482.35939382</v>
      </c>
      <c r="CW334" s="278"/>
      <c r="DH334" s="140">
        <f>'Detailed Budget'!$AD$163</f>
        <v>4928560000</v>
      </c>
      <c r="DI334" s="616">
        <f t="shared" si="413"/>
        <v>6160000</v>
      </c>
    </row>
    <row r="335" spans="1:113" outlineLevel="1">
      <c r="A335" s="214" t="s">
        <v>807</v>
      </c>
      <c r="B335" s="215" t="s">
        <v>808</v>
      </c>
      <c r="C335" s="216" t="s">
        <v>234</v>
      </c>
      <c r="D335" s="217" t="s">
        <v>234</v>
      </c>
      <c r="E335" s="216"/>
      <c r="F335" s="216"/>
      <c r="G335" s="216"/>
      <c r="H335" s="216" t="s">
        <v>234</v>
      </c>
      <c r="I335" s="217" t="s">
        <v>234</v>
      </c>
      <c r="J335" s="217"/>
      <c r="K335" s="216" t="s">
        <v>234</v>
      </c>
      <c r="L335" s="216"/>
      <c r="M335" s="217"/>
      <c r="N335" s="216"/>
      <c r="O335" s="217"/>
      <c r="P335" s="216"/>
      <c r="Q335" s="217"/>
      <c r="R335" s="217" t="s">
        <v>234</v>
      </c>
      <c r="S335" s="217"/>
      <c r="T335" s="217"/>
      <c r="U335" s="218">
        <f t="shared" si="401"/>
        <v>6</v>
      </c>
      <c r="V335" s="867" t="s">
        <v>238</v>
      </c>
      <c r="W335" s="219">
        <v>151485</v>
      </c>
      <c r="X335" s="220">
        <v>3.07</v>
      </c>
      <c r="Y335" s="221">
        <f t="shared" si="379"/>
        <v>1.0306999999999999</v>
      </c>
      <c r="Z335" s="199">
        <v>19</v>
      </c>
      <c r="AA335" s="221">
        <f t="shared" si="380"/>
        <v>1.7762874396990105</v>
      </c>
      <c r="AB335" s="199">
        <f t="shared" si="415"/>
        <v>269080.9028028046</v>
      </c>
      <c r="AC335">
        <v>19.2</v>
      </c>
      <c r="AD335" s="199">
        <f t="shared" si="416"/>
        <v>51663.533338138477</v>
      </c>
      <c r="AE335" s="199">
        <f t="shared" si="399"/>
        <v>49080.356671231551</v>
      </c>
      <c r="AF335" s="199">
        <f t="shared" si="435"/>
        <v>49080.356671231551</v>
      </c>
      <c r="AG335" s="614">
        <f t="shared" si="434"/>
        <v>2.2692602256746968E-3</v>
      </c>
      <c r="AH335" s="199">
        <f t="shared" si="414"/>
        <v>13454.045140140232</v>
      </c>
      <c r="AI335" s="252">
        <f t="shared" si="417"/>
        <v>1.0422644921371604E-3</v>
      </c>
      <c r="AJ335" s="199">
        <f t="shared" si="418"/>
        <v>65117.578478278709</v>
      </c>
      <c r="AK335" s="199">
        <f t="shared" si="367"/>
        <v>10763.236112112185</v>
      </c>
      <c r="AL335" s="199">
        <f t="shared" si="368"/>
        <v>10763.236112112185</v>
      </c>
      <c r="AM335" s="199">
        <f t="shared" si="419"/>
        <v>21526.47222422437</v>
      </c>
      <c r="AN335" s="645">
        <f t="shared" si="420"/>
        <v>1.0422644921371604E-3</v>
      </c>
      <c r="AO335">
        <v>11</v>
      </c>
      <c r="AP335" s="250">
        <f t="shared" si="421"/>
        <v>1.2498579706851495E-3</v>
      </c>
      <c r="AQ335">
        <v>11</v>
      </c>
      <c r="AU335" s="199">
        <v>1</v>
      </c>
      <c r="AV335" s="199">
        <f t="shared" si="402"/>
        <v>149467.09243620228</v>
      </c>
      <c r="AW335" s="250">
        <f t="shared" si="422"/>
        <v>4.3019566767583612E-3</v>
      </c>
      <c r="AX335" s="199">
        <v>0</v>
      </c>
      <c r="AY335" s="199">
        <f t="shared" si="403"/>
        <v>19147.98159398077</v>
      </c>
      <c r="AZ335" s="199">
        <f t="shared" si="423"/>
        <v>0</v>
      </c>
      <c r="BA335" s="252">
        <f t="shared" si="424"/>
        <v>0</v>
      </c>
      <c r="BB335" s="284">
        <v>1</v>
      </c>
      <c r="BC335" s="199">
        <f t="shared" si="404"/>
        <v>37197.744003459702</v>
      </c>
      <c r="BD335" s="270">
        <f t="shared" si="369"/>
        <v>3.3499207095436024E-3</v>
      </c>
      <c r="BE335" s="199">
        <f t="shared" si="405"/>
        <v>159123.68268146651</v>
      </c>
      <c r="BF335" s="251">
        <f t="shared" si="370"/>
        <v>3.3499207839851413E-3</v>
      </c>
      <c r="BG335" s="204">
        <f t="shared" si="383"/>
        <v>196321.42668492621</v>
      </c>
      <c r="BH335" s="636">
        <v>0</v>
      </c>
      <c r="BI335" s="199">
        <f t="shared" si="425"/>
        <v>82338.756257658213</v>
      </c>
      <c r="BJ335" s="199">
        <f t="shared" si="426"/>
        <v>164677.51251531643</v>
      </c>
      <c r="BK335" s="199">
        <f t="shared" si="433"/>
        <v>247016.26877297464</v>
      </c>
      <c r="BL335" s="251">
        <f t="shared" si="427"/>
        <v>1.0422644921371604E-3</v>
      </c>
      <c r="BM335" s="199">
        <f t="shared" si="406"/>
        <v>29377.813363198795</v>
      </c>
      <c r="BN335" s="251">
        <f t="shared" si="428"/>
        <v>1.2686253444262737E-3</v>
      </c>
      <c r="BT335" s="199">
        <f>'Detailed Budget'!$AD$12</f>
        <v>194045122715</v>
      </c>
      <c r="BU335" s="199">
        <f>'Detailed Budget'!$AD$24</f>
        <v>194045122715</v>
      </c>
      <c r="BV335" s="596">
        <f t="shared" si="407"/>
        <v>4.3019566767583612E-3</v>
      </c>
      <c r="BW335" s="278"/>
      <c r="BX335" s="275">
        <f t="shared" si="397"/>
        <v>834773711.25618982</v>
      </c>
      <c r="BY335" s="275">
        <f t="shared" si="398"/>
        <v>834773711.25618982</v>
      </c>
      <c r="CA335" s="199">
        <f>'Detailed Budget'!$AD$96</f>
        <v>71050111380.677719</v>
      </c>
      <c r="CB335" s="275">
        <f t="shared" si="429"/>
        <v>0</v>
      </c>
      <c r="CE335" s="199">
        <f>'Detailed Budget'!$AD$175</f>
        <v>4330586076.5988197</v>
      </c>
      <c r="CF335" s="275">
        <f t="shared" si="408"/>
        <v>14507119.982459564</v>
      </c>
      <c r="CG335" s="199">
        <f>'Detailed Budget'!$AD$176</f>
        <v>20662817754.37001</v>
      </c>
      <c r="CH335" s="275">
        <f t="shared" si="409"/>
        <v>69218802.651061282</v>
      </c>
      <c r="CI335" s="275">
        <f t="shared" si="410"/>
        <v>83725922.633520842</v>
      </c>
      <c r="CJ335" s="275">
        <f>'Detailed Budget'!$AD$178</f>
        <v>46025131033.061455</v>
      </c>
      <c r="CK335" s="275">
        <f t="shared" si="411"/>
        <v>104442999.23479253</v>
      </c>
      <c r="CL335" s="275">
        <f t="shared" si="436"/>
        <v>188168921.86831337</v>
      </c>
      <c r="CM335" s="278">
        <f>'Detailed Budget'!$AD$189</f>
        <v>77498869683.252869</v>
      </c>
      <c r="CN335" s="275">
        <f t="shared" si="430"/>
        <v>0</v>
      </c>
      <c r="CO335" s="140">
        <f>'Detailed Budget'!$AD$191</f>
        <v>2684962805.4134097</v>
      </c>
      <c r="CP335" s="616">
        <f t="shared" si="431"/>
        <v>0</v>
      </c>
      <c r="CQ335" s="616">
        <f t="shared" si="432"/>
        <v>0</v>
      </c>
      <c r="CR335" s="199">
        <f>'Detailed Budget'!$AD$195</f>
        <v>18734176418</v>
      </c>
      <c r="CS335" s="275">
        <f t="shared" si="412"/>
        <v>23766651.010827824</v>
      </c>
      <c r="CW335" s="278"/>
      <c r="DH335" s="140">
        <f>'Detailed Budget'!$AD$163</f>
        <v>4928560000</v>
      </c>
      <c r="DI335" s="616">
        <f t="shared" si="413"/>
        <v>6160000</v>
      </c>
    </row>
    <row r="336" spans="1:113" outlineLevel="1">
      <c r="A336" s="214" t="s">
        <v>809</v>
      </c>
      <c r="B336" s="215" t="s">
        <v>810</v>
      </c>
      <c r="C336" s="216" t="s">
        <v>234</v>
      </c>
      <c r="D336" s="217" t="s">
        <v>234</v>
      </c>
      <c r="E336" s="216"/>
      <c r="F336" s="216"/>
      <c r="G336" s="216"/>
      <c r="H336" s="216" t="s">
        <v>234</v>
      </c>
      <c r="I336" s="217" t="s">
        <v>234</v>
      </c>
      <c r="J336" s="217"/>
      <c r="K336" s="216" t="s">
        <v>234</v>
      </c>
      <c r="L336" s="216"/>
      <c r="M336" s="217"/>
      <c r="N336" s="216"/>
      <c r="O336" s="217"/>
      <c r="P336" s="216"/>
      <c r="Q336" s="217" t="s">
        <v>234</v>
      </c>
      <c r="R336" s="217"/>
      <c r="S336" s="217"/>
      <c r="T336" s="217"/>
      <c r="U336" s="218">
        <f t="shared" si="401"/>
        <v>6</v>
      </c>
      <c r="V336" s="867" t="s">
        <v>284</v>
      </c>
      <c r="W336" s="219">
        <v>291173</v>
      </c>
      <c r="X336" s="220">
        <v>3.07</v>
      </c>
      <c r="Y336" s="221">
        <f t="shared" si="379"/>
        <v>1.0306999999999999</v>
      </c>
      <c r="Z336" s="199">
        <v>19</v>
      </c>
      <c r="AA336" s="221">
        <f t="shared" si="380"/>
        <v>1.7762874396990105</v>
      </c>
      <c r="AB336" s="199">
        <f t="shared" si="415"/>
        <v>517206.94267947995</v>
      </c>
      <c r="AC336">
        <v>19.2</v>
      </c>
      <c r="AD336" s="199">
        <f t="shared" si="416"/>
        <v>99303.732994460152</v>
      </c>
      <c r="AE336" s="199">
        <f t="shared" si="399"/>
        <v>94338.546344737144</v>
      </c>
      <c r="AF336" s="199">
        <f t="shared" si="435"/>
        <v>94338.546344737144</v>
      </c>
      <c r="AG336" s="614">
        <f t="shared" si="434"/>
        <v>4.3618002290020698E-3</v>
      </c>
      <c r="AH336" s="199">
        <f t="shared" si="414"/>
        <v>25860.347133973999</v>
      </c>
      <c r="AI336" s="252">
        <f t="shared" si="417"/>
        <v>2.0033619102158852E-3</v>
      </c>
      <c r="AJ336" s="199">
        <f t="shared" si="418"/>
        <v>125164.08012843414</v>
      </c>
      <c r="AK336" s="199">
        <f t="shared" si="367"/>
        <v>20688.277707179197</v>
      </c>
      <c r="AL336" s="199">
        <f t="shared" si="368"/>
        <v>20688.277707179197</v>
      </c>
      <c r="AM336" s="199">
        <f t="shared" si="419"/>
        <v>41376.555414358394</v>
      </c>
      <c r="AN336" s="645">
        <f t="shared" si="420"/>
        <v>2.0033619102158848E-3</v>
      </c>
      <c r="AO336">
        <v>11</v>
      </c>
      <c r="AP336" s="250">
        <f t="shared" si="421"/>
        <v>1.2498579706851495E-3</v>
      </c>
      <c r="AQ336">
        <v>11</v>
      </c>
      <c r="AU336" s="199">
        <v>1</v>
      </c>
      <c r="AV336" s="199">
        <f t="shared" si="402"/>
        <v>287294.33083094913</v>
      </c>
      <c r="AW336" s="250">
        <f t="shared" si="422"/>
        <v>8.2688954777156969E-3</v>
      </c>
      <c r="AX336" s="199">
        <v>0</v>
      </c>
      <c r="AY336" s="199">
        <f t="shared" si="403"/>
        <v>36804.800770136724</v>
      </c>
      <c r="AZ336" s="199">
        <f t="shared" si="423"/>
        <v>0</v>
      </c>
      <c r="BA336" s="252">
        <f t="shared" si="424"/>
        <v>0</v>
      </c>
      <c r="BB336" s="284">
        <v>1</v>
      </c>
      <c r="BC336" s="199">
        <f t="shared" si="404"/>
        <v>71498.687756011306</v>
      </c>
      <c r="BD336" s="270">
        <f t="shared" si="369"/>
        <v>6.4389640080532032E-3</v>
      </c>
      <c r="BE336" s="199">
        <f t="shared" si="405"/>
        <v>305855.49762293726</v>
      </c>
      <c r="BF336" s="251">
        <f t="shared" si="370"/>
        <v>6.4389641511390927E-3</v>
      </c>
      <c r="BG336" s="204">
        <f t="shared" si="383"/>
        <v>377354.18537894858</v>
      </c>
      <c r="BH336" s="636">
        <v>0</v>
      </c>
      <c r="BI336" s="199">
        <f t="shared" si="425"/>
        <v>158265.32445992087</v>
      </c>
      <c r="BJ336" s="199">
        <f t="shared" si="426"/>
        <v>316530.64891984174</v>
      </c>
      <c r="BK336" s="199">
        <f t="shared" si="433"/>
        <v>474795.97337976261</v>
      </c>
      <c r="BL336" s="251">
        <f t="shared" si="427"/>
        <v>2.0033619102158852E-3</v>
      </c>
      <c r="BM336" s="199">
        <f t="shared" si="406"/>
        <v>56467.809026654002</v>
      </c>
      <c r="BN336" s="251">
        <f t="shared" si="428"/>
        <v>2.4384556055888789E-3</v>
      </c>
      <c r="BT336" s="199">
        <f>'Detailed Budget'!$AD$12</f>
        <v>194045122715</v>
      </c>
      <c r="BU336" s="199">
        <f>'Detailed Budget'!$AD$24</f>
        <v>194045122715</v>
      </c>
      <c r="BV336" s="596">
        <f t="shared" si="407"/>
        <v>8.2688954777156969E-3</v>
      </c>
      <c r="BW336" s="278"/>
      <c r="BX336" s="275">
        <f t="shared" si="397"/>
        <v>1604538837.690851</v>
      </c>
      <c r="BY336" s="275">
        <f t="shared" si="398"/>
        <v>1604538837.690851</v>
      </c>
      <c r="CA336" s="199">
        <f>'Detailed Budget'!$AD$96</f>
        <v>71050111380.677719</v>
      </c>
      <c r="CB336" s="275">
        <f t="shared" si="429"/>
        <v>0</v>
      </c>
      <c r="CE336" s="199">
        <f>'Detailed Budget'!$AD$175</f>
        <v>4330586076.5988197</v>
      </c>
      <c r="CF336" s="275">
        <f t="shared" si="408"/>
        <v>27884487.880996134</v>
      </c>
      <c r="CG336" s="199">
        <f>'Detailed Budget'!$AD$176</f>
        <v>20662817754.37001</v>
      </c>
      <c r="CH336" s="275">
        <f t="shared" si="409"/>
        <v>133047142.78190887</v>
      </c>
      <c r="CI336" s="275">
        <f t="shared" si="410"/>
        <v>160931630.66290501</v>
      </c>
      <c r="CJ336" s="275">
        <f>'Detailed Budget'!$AD$178</f>
        <v>46025131033.061455</v>
      </c>
      <c r="CK336" s="275">
        <f t="shared" si="411"/>
        <v>200752427.07985774</v>
      </c>
      <c r="CL336" s="275">
        <f t="shared" si="436"/>
        <v>361684057.74276274</v>
      </c>
      <c r="CM336" s="278">
        <f>'Detailed Budget'!$AD$189</f>
        <v>77498869683.252869</v>
      </c>
      <c r="CN336" s="275">
        <f t="shared" si="430"/>
        <v>0</v>
      </c>
      <c r="CO336" s="140">
        <f>'Detailed Budget'!$AD$191</f>
        <v>2684962805.4134097</v>
      </c>
      <c r="CP336" s="616">
        <f t="shared" si="431"/>
        <v>0</v>
      </c>
      <c r="CQ336" s="616">
        <f t="shared" si="432"/>
        <v>0</v>
      </c>
      <c r="CR336" s="199">
        <f>'Detailed Budget'!$AD$195</f>
        <v>18734176418</v>
      </c>
      <c r="CS336" s="275">
        <f t="shared" si="412"/>
        <v>45682457.502563082</v>
      </c>
      <c r="CW336" s="278"/>
      <c r="DH336" s="140">
        <f>'Detailed Budget'!$AD$163</f>
        <v>4928560000</v>
      </c>
      <c r="DI336" s="616">
        <f t="shared" si="413"/>
        <v>6160000</v>
      </c>
    </row>
    <row r="337" spans="1:113" outlineLevel="1">
      <c r="A337" s="214" t="s">
        <v>811</v>
      </c>
      <c r="B337" s="215" t="s">
        <v>812</v>
      </c>
      <c r="C337" s="216" t="s">
        <v>234</v>
      </c>
      <c r="D337" s="217" t="s">
        <v>234</v>
      </c>
      <c r="E337" s="216"/>
      <c r="F337" s="216"/>
      <c r="G337" s="216"/>
      <c r="H337" s="216" t="s">
        <v>234</v>
      </c>
      <c r="I337" s="217" t="s">
        <v>234</v>
      </c>
      <c r="J337" s="217"/>
      <c r="K337" s="216" t="s">
        <v>234</v>
      </c>
      <c r="L337" s="216"/>
      <c r="M337" s="217"/>
      <c r="N337" s="216"/>
      <c r="O337" s="217"/>
      <c r="P337" s="216"/>
      <c r="Q337" s="217"/>
      <c r="R337" s="217" t="s">
        <v>234</v>
      </c>
      <c r="S337" s="217"/>
      <c r="T337" s="217"/>
      <c r="U337" s="218">
        <f t="shared" si="401"/>
        <v>6</v>
      </c>
      <c r="V337" s="867" t="s">
        <v>238</v>
      </c>
      <c r="W337" s="219">
        <v>318991</v>
      </c>
      <c r="X337" s="220">
        <v>3.07</v>
      </c>
      <c r="Y337" s="221">
        <f t="shared" si="379"/>
        <v>1.0306999999999999</v>
      </c>
      <c r="Z337" s="199">
        <v>19</v>
      </c>
      <c r="AA337" s="221">
        <f t="shared" si="380"/>
        <v>1.7762874396990105</v>
      </c>
      <c r="AB337" s="199">
        <f t="shared" si="415"/>
        <v>566619.70667702705</v>
      </c>
      <c r="AC337">
        <v>19.2</v>
      </c>
      <c r="AD337" s="199">
        <f t="shared" si="416"/>
        <v>108790.98368198918</v>
      </c>
      <c r="AE337" s="199">
        <f t="shared" si="399"/>
        <v>103351.43449788971</v>
      </c>
      <c r="AF337" s="199">
        <f t="shared" si="435"/>
        <v>103351.43449788971</v>
      </c>
      <c r="AG337" s="614">
        <f t="shared" si="434"/>
        <v>4.7785166098834675E-3</v>
      </c>
      <c r="AH337" s="199">
        <f t="shared" si="414"/>
        <v>28330.985333851353</v>
      </c>
      <c r="AI337" s="252">
        <f t="shared" si="417"/>
        <v>2.194758508177872E-3</v>
      </c>
      <c r="AJ337" s="199">
        <f t="shared" si="418"/>
        <v>137121.96901584053</v>
      </c>
      <c r="AK337" s="199">
        <f t="shared" ref="AK337:AK400" si="437">AB337*0.04</f>
        <v>22664.788267081083</v>
      </c>
      <c r="AL337" s="199">
        <f t="shared" ref="AL337:AL400" si="438">AB337*0.04</f>
        <v>22664.788267081083</v>
      </c>
      <c r="AM337" s="199">
        <f t="shared" si="419"/>
        <v>45329.576534162166</v>
      </c>
      <c r="AN337" s="645">
        <f t="shared" si="420"/>
        <v>2.194758508177872E-3</v>
      </c>
      <c r="AO337">
        <v>11</v>
      </c>
      <c r="AP337" s="250">
        <f t="shared" si="421"/>
        <v>1.2498579706851495E-3</v>
      </c>
      <c r="AQ337">
        <v>11</v>
      </c>
      <c r="AU337" s="199">
        <v>1</v>
      </c>
      <c r="AV337" s="199">
        <f t="shared" si="402"/>
        <v>314741.77168245439</v>
      </c>
      <c r="AW337" s="250">
        <f t="shared" si="422"/>
        <v>9.0588867694875817E-3</v>
      </c>
      <c r="AX337" s="199">
        <v>0</v>
      </c>
      <c r="AY337" s="199">
        <f t="shared" si="403"/>
        <v>40321.046946202718</v>
      </c>
      <c r="AZ337" s="199">
        <f t="shared" si="423"/>
        <v>0</v>
      </c>
      <c r="BA337" s="252">
        <f t="shared" si="424"/>
        <v>0</v>
      </c>
      <c r="BB337" s="284">
        <v>1</v>
      </c>
      <c r="BC337" s="199">
        <f t="shared" si="404"/>
        <v>78329.50825103221</v>
      </c>
      <c r="BD337" s="270">
        <f t="shared" si="369"/>
        <v>7.0541278480247115E-3</v>
      </c>
      <c r="BE337" s="199">
        <f t="shared" si="405"/>
        <v>335076.2297405267</v>
      </c>
      <c r="BF337" s="251">
        <f t="shared" si="370"/>
        <v>7.0541280047806991E-3</v>
      </c>
      <c r="BG337" s="204">
        <f t="shared" si="383"/>
        <v>413405.73799155891</v>
      </c>
      <c r="BH337" s="636">
        <v>0</v>
      </c>
      <c r="BI337" s="199">
        <f t="shared" si="425"/>
        <v>173385.63024317028</v>
      </c>
      <c r="BJ337" s="199">
        <f t="shared" si="426"/>
        <v>346771.26048634056</v>
      </c>
      <c r="BK337" s="199">
        <f t="shared" si="433"/>
        <v>520156.89072951081</v>
      </c>
      <c r="BL337" s="251">
        <f t="shared" si="427"/>
        <v>2.1947585081778715E-3</v>
      </c>
      <c r="BM337" s="199">
        <f t="shared" si="406"/>
        <v>61862.613872925671</v>
      </c>
      <c r="BN337" s="251">
        <f t="shared" si="428"/>
        <v>2.6714200564008413E-3</v>
      </c>
      <c r="BT337" s="199">
        <f>'Detailed Budget'!$AD$12</f>
        <v>194045122715</v>
      </c>
      <c r="BU337" s="199">
        <f>'Detailed Budget'!$AD$24</f>
        <v>194045122715</v>
      </c>
      <c r="BV337" s="596">
        <f t="shared" si="407"/>
        <v>9.0588867694875817E-3</v>
      </c>
      <c r="BW337" s="278"/>
      <c r="BX337" s="275">
        <f t="shared" si="397"/>
        <v>1757832794.8465078</v>
      </c>
      <c r="BY337" s="275">
        <f t="shared" si="398"/>
        <v>1757832794.8465078</v>
      </c>
      <c r="CA337" s="199">
        <f>'Detailed Budget'!$AD$96</f>
        <v>71050111380.677719</v>
      </c>
      <c r="CB337" s="275">
        <f t="shared" si="429"/>
        <v>0</v>
      </c>
      <c r="CE337" s="199">
        <f>'Detailed Budget'!$AD$175</f>
        <v>4330586076.5988197</v>
      </c>
      <c r="CF337" s="275">
        <f t="shared" si="408"/>
        <v>30548507.841203813</v>
      </c>
      <c r="CG337" s="199">
        <f>'Detailed Budget'!$AD$176</f>
        <v>20662817754.37001</v>
      </c>
      <c r="CH337" s="275">
        <f t="shared" si="409"/>
        <v>145758161.37878132</v>
      </c>
      <c r="CI337" s="275">
        <f t="shared" si="410"/>
        <v>176306669.21998513</v>
      </c>
      <c r="CJ337" s="275">
        <f>'Detailed Budget'!$AD$178</f>
        <v>46025131033.061455</v>
      </c>
      <c r="CK337" s="275">
        <f t="shared" si="411"/>
        <v>219931853.11354721</v>
      </c>
      <c r="CL337" s="275">
        <f t="shared" si="436"/>
        <v>396238522.33353233</v>
      </c>
      <c r="CM337" s="278">
        <f>'Detailed Budget'!$AD$189</f>
        <v>77498869683.252869</v>
      </c>
      <c r="CN337" s="275">
        <f t="shared" si="430"/>
        <v>0</v>
      </c>
      <c r="CO337" s="140">
        <f>'Detailed Budget'!$AD$191</f>
        <v>2684962805.4134097</v>
      </c>
      <c r="CP337" s="616">
        <f t="shared" si="431"/>
        <v>0</v>
      </c>
      <c r="CQ337" s="616">
        <f t="shared" si="432"/>
        <v>0</v>
      </c>
      <c r="CR337" s="199">
        <f>'Detailed Budget'!$AD$195</f>
        <v>18734176418</v>
      </c>
      <c r="CS337" s="275">
        <f t="shared" si="412"/>
        <v>50046854.62319687</v>
      </c>
      <c r="CW337" s="278"/>
      <c r="DH337" s="140">
        <f>'Detailed Budget'!$AD$163</f>
        <v>4928560000</v>
      </c>
      <c r="DI337" s="616">
        <f t="shared" si="413"/>
        <v>6160000</v>
      </c>
    </row>
    <row r="338" spans="1:113" outlineLevel="1">
      <c r="A338" s="214" t="s">
        <v>813</v>
      </c>
      <c r="B338" s="215" t="s">
        <v>814</v>
      </c>
      <c r="C338" s="216" t="s">
        <v>234</v>
      </c>
      <c r="D338" s="217" t="s">
        <v>234</v>
      </c>
      <c r="E338" s="216"/>
      <c r="F338" s="216"/>
      <c r="G338" s="216"/>
      <c r="H338" s="216" t="s">
        <v>234</v>
      </c>
      <c r="I338" s="217" t="s">
        <v>234</v>
      </c>
      <c r="J338" s="217"/>
      <c r="K338" s="216" t="s">
        <v>234</v>
      </c>
      <c r="L338" s="216"/>
      <c r="M338" s="217"/>
      <c r="N338" s="216"/>
      <c r="O338" s="217"/>
      <c r="P338" s="216"/>
      <c r="Q338" s="217" t="s">
        <v>234</v>
      </c>
      <c r="R338" s="217"/>
      <c r="S338" s="217"/>
      <c r="T338" s="217"/>
      <c r="U338" s="218">
        <f t="shared" si="401"/>
        <v>6</v>
      </c>
      <c r="V338" s="867" t="s">
        <v>284</v>
      </c>
      <c r="W338" s="219">
        <v>406990</v>
      </c>
      <c r="X338" s="220">
        <v>3.07</v>
      </c>
      <c r="Y338" s="221">
        <f t="shared" si="379"/>
        <v>1.0306999999999999</v>
      </c>
      <c r="Z338" s="199">
        <v>19</v>
      </c>
      <c r="AA338" s="221">
        <f t="shared" si="380"/>
        <v>1.7762874396990105</v>
      </c>
      <c r="AB338" s="199">
        <f t="shared" si="415"/>
        <v>722931.22508310026</v>
      </c>
      <c r="AC338">
        <v>19.2</v>
      </c>
      <c r="AD338" s="199">
        <f t="shared" si="416"/>
        <v>138802.79521595524</v>
      </c>
      <c r="AE338" s="199">
        <f t="shared" si="399"/>
        <v>131862.65545515748</v>
      </c>
      <c r="AF338" s="199">
        <f t="shared" si="435"/>
        <v>131862.65545515748</v>
      </c>
      <c r="AG338" s="614">
        <f t="shared" si="434"/>
        <v>6.0967503003422447E-3</v>
      </c>
      <c r="AH338" s="199">
        <f t="shared" si="414"/>
        <v>36146.561254155014</v>
      </c>
      <c r="AI338" s="252">
        <f t="shared" si="417"/>
        <v>2.8002193329696198E-3</v>
      </c>
      <c r="AJ338" s="199">
        <f t="shared" si="418"/>
        <v>174949.35647011024</v>
      </c>
      <c r="AK338" s="199">
        <f t="shared" si="437"/>
        <v>28917.24900332401</v>
      </c>
      <c r="AL338" s="199">
        <f t="shared" si="438"/>
        <v>28917.24900332401</v>
      </c>
      <c r="AM338" s="199">
        <f t="shared" si="419"/>
        <v>57834.49800664802</v>
      </c>
      <c r="AN338" s="645">
        <f t="shared" si="420"/>
        <v>2.8002193329696198E-3</v>
      </c>
      <c r="AO338">
        <v>13</v>
      </c>
      <c r="AP338" s="250">
        <f t="shared" si="421"/>
        <v>1.4771048744460858E-3</v>
      </c>
      <c r="AQ338">
        <v>13</v>
      </c>
      <c r="AU338" s="199">
        <v>1</v>
      </c>
      <c r="AV338" s="199">
        <f t="shared" si="402"/>
        <v>401568.55101567792</v>
      </c>
      <c r="AW338" s="250">
        <f t="shared" si="422"/>
        <v>1.1557932124460411E-2</v>
      </c>
      <c r="AX338" s="199">
        <v>0</v>
      </c>
      <c r="AY338" s="199">
        <f t="shared" si="403"/>
        <v>51444.281803044745</v>
      </c>
      <c r="AZ338" s="199">
        <f t="shared" si="423"/>
        <v>0</v>
      </c>
      <c r="BA338" s="252">
        <f t="shared" si="424"/>
        <v>0</v>
      </c>
      <c r="BB338" s="284">
        <v>1</v>
      </c>
      <c r="BC338" s="199">
        <f t="shared" si="404"/>
        <v>99938.012555487774</v>
      </c>
      <c r="BD338" s="270">
        <f t="shared" si="369"/>
        <v>9.0001269404703498E-3</v>
      </c>
      <c r="BE338" s="199">
        <f t="shared" si="405"/>
        <v>427512.60926514212</v>
      </c>
      <c r="BF338" s="251">
        <f t="shared" si="370"/>
        <v>9.0001271404700958E-3</v>
      </c>
      <c r="BG338" s="204">
        <f t="shared" si="383"/>
        <v>527450.62182062992</v>
      </c>
      <c r="BH338" s="636">
        <v>0</v>
      </c>
      <c r="BI338" s="199">
        <f t="shared" si="425"/>
        <v>221216.9548754287</v>
      </c>
      <c r="BJ338" s="199">
        <f t="shared" si="426"/>
        <v>442433.90975085739</v>
      </c>
      <c r="BK338" s="199">
        <f t="shared" si="433"/>
        <v>663650.86462628609</v>
      </c>
      <c r="BL338" s="251">
        <f t="shared" si="427"/>
        <v>2.8002193329696198E-3</v>
      </c>
      <c r="BM338" s="199">
        <f t="shared" si="406"/>
        <v>78928.45008210896</v>
      </c>
      <c r="BN338" s="251">
        <f t="shared" si="428"/>
        <v>3.4083759377367337E-3</v>
      </c>
      <c r="BT338" s="199">
        <f>'Detailed Budget'!$AD$12</f>
        <v>194045122715</v>
      </c>
      <c r="BU338" s="199">
        <f>'Detailed Budget'!$AD$24</f>
        <v>194045122715</v>
      </c>
      <c r="BV338" s="596">
        <f t="shared" si="407"/>
        <v>1.1557932124460411E-2</v>
      </c>
      <c r="BW338" s="278"/>
      <c r="BX338" s="275">
        <f t="shared" si="397"/>
        <v>2242760357.4225612</v>
      </c>
      <c r="BY338" s="275">
        <f t="shared" si="398"/>
        <v>2242760357.4225612</v>
      </c>
      <c r="CA338" s="199">
        <f>'Detailed Budget'!$AD$96</f>
        <v>71050111380.677719</v>
      </c>
      <c r="CB338" s="275">
        <f t="shared" si="429"/>
        <v>0</v>
      </c>
      <c r="CE338" s="199">
        <f>'Detailed Budget'!$AD$175</f>
        <v>4330586076.5988197</v>
      </c>
      <c r="CF338" s="275">
        <f t="shared" si="408"/>
        <v>38975824.41602283</v>
      </c>
      <c r="CG338" s="199">
        <f>'Detailed Budget'!$AD$176</f>
        <v>20662817754.37001</v>
      </c>
      <c r="CH338" s="275">
        <f t="shared" si="409"/>
        <v>185967986.86969289</v>
      </c>
      <c r="CI338" s="275">
        <f t="shared" si="410"/>
        <v>224943811.28571573</v>
      </c>
      <c r="CJ338" s="275">
        <f>'Detailed Budget'!$AD$178</f>
        <v>46025131033.061455</v>
      </c>
      <c r="CK338" s="275">
        <f t="shared" si="411"/>
        <v>280603731.4491086</v>
      </c>
      <c r="CL338" s="275">
        <f t="shared" si="436"/>
        <v>505547542.7348243</v>
      </c>
      <c r="CM338" s="278">
        <f>'Detailed Budget'!$AD$189</f>
        <v>77498869683.252869</v>
      </c>
      <c r="CN338" s="275">
        <f t="shared" si="430"/>
        <v>0</v>
      </c>
      <c r="CO338" s="140">
        <f>'Detailed Budget'!$AD$191</f>
        <v>2684962805.4134097</v>
      </c>
      <c r="CP338" s="616">
        <f t="shared" si="431"/>
        <v>0</v>
      </c>
      <c r="CQ338" s="616">
        <f t="shared" si="432"/>
        <v>0</v>
      </c>
      <c r="CR338" s="199">
        <f>'Detailed Budget'!$AD$195</f>
        <v>18734176418</v>
      </c>
      <c r="CS338" s="275">
        <f t="shared" si="412"/>
        <v>63853116.116426155</v>
      </c>
      <c r="CW338" s="278"/>
      <c r="DH338" s="140">
        <f>'Detailed Budget'!$AD$163</f>
        <v>4928560000</v>
      </c>
      <c r="DI338" s="616">
        <f t="shared" si="413"/>
        <v>7280000.0000000009</v>
      </c>
    </row>
    <row r="339" spans="1:113" outlineLevel="1">
      <c r="A339" s="214"/>
      <c r="B339" s="215"/>
      <c r="C339" s="216"/>
      <c r="D339" s="217"/>
      <c r="E339" s="216"/>
      <c r="F339" s="216"/>
      <c r="G339" s="216"/>
      <c r="H339" s="216"/>
      <c r="I339" s="217"/>
      <c r="J339" s="217"/>
      <c r="K339" s="216"/>
      <c r="L339" s="216"/>
      <c r="M339" s="217"/>
      <c r="N339" s="216"/>
      <c r="O339" s="217"/>
      <c r="P339" s="216"/>
      <c r="Q339" s="217"/>
      <c r="R339" s="217"/>
      <c r="S339" s="217"/>
      <c r="T339" s="217"/>
      <c r="U339" s="218"/>
      <c r="V339" s="867"/>
      <c r="W339" s="219"/>
      <c r="X339" s="220"/>
      <c r="Y339" s="221"/>
      <c r="Z339" s="199"/>
      <c r="AA339" s="221"/>
      <c r="AF339" s="199">
        <f t="shared" si="435"/>
        <v>0</v>
      </c>
      <c r="AG339" s="614">
        <f t="shared" si="434"/>
        <v>0</v>
      </c>
      <c r="AJ339" s="199"/>
      <c r="AK339" s="199">
        <f t="shared" si="437"/>
        <v>0</v>
      </c>
      <c r="AL339" s="199">
        <f t="shared" si="438"/>
        <v>0</v>
      </c>
      <c r="AM339" s="199">
        <f t="shared" si="419"/>
        <v>0</v>
      </c>
      <c r="AN339" s="645">
        <f t="shared" si="420"/>
        <v>0</v>
      </c>
      <c r="AO339"/>
      <c r="AP339" s="250">
        <f t="shared" si="421"/>
        <v>0</v>
      </c>
      <c r="AQ339"/>
      <c r="AW339" s="250">
        <f t="shared" si="422"/>
        <v>0</v>
      </c>
      <c r="AX339" s="199"/>
      <c r="BA339" s="252">
        <f t="shared" si="424"/>
        <v>0</v>
      </c>
      <c r="BB339" s="284"/>
      <c r="BD339" s="270"/>
      <c r="BF339" s="251"/>
      <c r="BG339" s="204"/>
      <c r="BH339" s="636"/>
      <c r="BI339" s="199">
        <f t="shared" si="425"/>
        <v>0</v>
      </c>
      <c r="BJ339" s="199">
        <f t="shared" si="426"/>
        <v>0</v>
      </c>
      <c r="BK339" s="199">
        <f t="shared" si="433"/>
        <v>0</v>
      </c>
      <c r="BL339" s="251">
        <f t="shared" si="427"/>
        <v>0</v>
      </c>
      <c r="BN339" s="251">
        <f t="shared" si="428"/>
        <v>0</v>
      </c>
      <c r="BT339" s="199"/>
      <c r="BU339" s="199"/>
      <c r="BV339" s="596"/>
      <c r="BW339" s="278"/>
      <c r="BX339" s="275"/>
      <c r="BY339" s="275"/>
      <c r="CA339" s="199">
        <f>'Detailed Budget'!$AD$96</f>
        <v>71050111380.677719</v>
      </c>
      <c r="CB339" s="275">
        <f t="shared" si="429"/>
        <v>0</v>
      </c>
      <c r="CE339" s="199"/>
      <c r="CF339" s="275"/>
      <c r="CG339" s="199"/>
      <c r="CH339" s="275"/>
      <c r="CI339" s="275"/>
      <c r="CJ339" s="275"/>
      <c r="CK339" s="275"/>
      <c r="CL339" s="275"/>
      <c r="CM339" s="278">
        <f>'Detailed Budget'!$AD$189</f>
        <v>77498869683.252869</v>
      </c>
      <c r="CN339" s="275">
        <f t="shared" si="430"/>
        <v>0</v>
      </c>
      <c r="CO339" s="140">
        <f>'Detailed Budget'!$AD$191</f>
        <v>2684962805.4134097</v>
      </c>
      <c r="CP339" s="616">
        <f t="shared" si="431"/>
        <v>0</v>
      </c>
      <c r="CQ339" s="616">
        <f t="shared" si="432"/>
        <v>0</v>
      </c>
      <c r="CR339" s="199"/>
      <c r="CS339" s="275"/>
      <c r="CW339" s="278"/>
      <c r="DH339" s="140">
        <f>'Detailed Budget'!$AD$163</f>
        <v>4928560000</v>
      </c>
      <c r="DI339" s="616">
        <f t="shared" si="413"/>
        <v>0</v>
      </c>
    </row>
    <row r="340" spans="1:113" s="213" customFormat="1">
      <c r="A340" s="206">
        <v>3.3</v>
      </c>
      <c r="B340" s="207" t="s">
        <v>815</v>
      </c>
      <c r="C340" s="208">
        <f t="shared" ref="C340:T340" si="439">COUNTA(C342:C385)</f>
        <v>44</v>
      </c>
      <c r="D340" s="208">
        <f t="shared" si="439"/>
        <v>44</v>
      </c>
      <c r="E340" s="208">
        <f t="shared" si="439"/>
        <v>0</v>
      </c>
      <c r="F340" s="208">
        <f t="shared" si="439"/>
        <v>0</v>
      </c>
      <c r="G340" s="208">
        <f t="shared" si="439"/>
        <v>0</v>
      </c>
      <c r="H340" s="208">
        <f t="shared" si="439"/>
        <v>44</v>
      </c>
      <c r="I340" s="208">
        <f t="shared" si="439"/>
        <v>44</v>
      </c>
      <c r="J340" s="208">
        <f t="shared" si="439"/>
        <v>0</v>
      </c>
      <c r="K340" s="208">
        <f t="shared" si="439"/>
        <v>42</v>
      </c>
      <c r="L340" s="208">
        <f t="shared" si="439"/>
        <v>0</v>
      </c>
      <c r="M340" s="208">
        <f t="shared" si="439"/>
        <v>2</v>
      </c>
      <c r="N340" s="208">
        <f t="shared" si="439"/>
        <v>0</v>
      </c>
      <c r="O340" s="208">
        <f t="shared" si="439"/>
        <v>0</v>
      </c>
      <c r="P340" s="208">
        <f t="shared" si="439"/>
        <v>0</v>
      </c>
      <c r="Q340" s="208">
        <f t="shared" si="439"/>
        <v>7</v>
      </c>
      <c r="R340" s="208">
        <f t="shared" si="439"/>
        <v>37</v>
      </c>
      <c r="S340" s="208">
        <f t="shared" si="439"/>
        <v>0</v>
      </c>
      <c r="T340" s="208">
        <f t="shared" si="439"/>
        <v>0</v>
      </c>
      <c r="U340" s="209">
        <f>SUM(C340:T340)</f>
        <v>264</v>
      </c>
      <c r="V340" s="866"/>
      <c r="W340" s="210">
        <f>SUM(W342:W385)</f>
        <v>9401288</v>
      </c>
      <c r="X340" s="211">
        <v>3.36</v>
      </c>
      <c r="Y340" s="212">
        <f t="shared" si="379"/>
        <v>1.0336000000000001</v>
      </c>
      <c r="Z340" s="210">
        <v>19</v>
      </c>
      <c r="AA340" s="212">
        <f t="shared" si="380"/>
        <v>1.873689022502546</v>
      </c>
      <c r="AB340" s="210">
        <f t="shared" si="415"/>
        <v>17615090.122984916</v>
      </c>
      <c r="AC340" s="213">
        <v>19.3</v>
      </c>
      <c r="AD340" s="210">
        <f t="shared" si="416"/>
        <v>3399712.3937360886</v>
      </c>
      <c r="AE340" s="210">
        <f t="shared" si="399"/>
        <v>3229726.7740492839</v>
      </c>
      <c r="AF340" s="210">
        <f>SUM(AF342:AF385)</f>
        <v>3229726.7740492844</v>
      </c>
      <c r="AG340" s="614">
        <f t="shared" si="434"/>
        <v>0.1493283872658292</v>
      </c>
      <c r="AH340" s="210">
        <f>SUM(AH342:AH385)</f>
        <v>880754.50614924601</v>
      </c>
      <c r="AI340" s="252">
        <f t="shared" si="417"/>
        <v>6.8230717117959014E-2</v>
      </c>
      <c r="AJ340" s="210">
        <f>SUM(AJ342:AJ385)</f>
        <v>4280466.8998853341</v>
      </c>
      <c r="AK340" s="199">
        <f t="shared" si="437"/>
        <v>704603.60491939669</v>
      </c>
      <c r="AL340" s="199">
        <f t="shared" si="438"/>
        <v>704603.60491939669</v>
      </c>
      <c r="AM340" s="199">
        <f t="shared" si="419"/>
        <v>1409207.2098387934</v>
      </c>
      <c r="AN340" s="645">
        <f t="shared" si="420"/>
        <v>6.8230717117959E-2</v>
      </c>
      <c r="AO340" s="210">
        <f>SUM(AO342:AO385)</f>
        <v>484</v>
      </c>
      <c r="AP340" s="250">
        <f t="shared" si="421"/>
        <v>5.4993750710146574E-2</v>
      </c>
      <c r="AQ340" s="210">
        <f>SUM(AQ342:AQ385)</f>
        <v>484</v>
      </c>
      <c r="AR340" s="210"/>
      <c r="AS340" s="210"/>
      <c r="AT340" s="210"/>
      <c r="AU340" s="199"/>
      <c r="AV340" s="210">
        <v>9786161</v>
      </c>
      <c r="AW340" s="250">
        <f t="shared" si="422"/>
        <v>0.28166494689626653</v>
      </c>
      <c r="AX340" s="199"/>
      <c r="AY340" s="210">
        <v>1226893</v>
      </c>
      <c r="AZ340" s="210">
        <f>SUM(AZ342:AZ385)</f>
        <v>0</v>
      </c>
      <c r="BA340" s="252">
        <f t="shared" si="424"/>
        <v>0</v>
      </c>
      <c r="BB340" s="284"/>
      <c r="BC340" s="210">
        <f>SUM(BC342:BC385)</f>
        <v>2447792.9234899837</v>
      </c>
      <c r="BD340" s="270">
        <f t="shared" ref="BD340:BD404" si="440">BC340/11104067</f>
        <v>0.22044111616851589</v>
      </c>
      <c r="BE340" s="210">
        <f>SUM(BE342:BE385)</f>
        <v>10471114.172707153</v>
      </c>
      <c r="BF340" s="251">
        <f t="shared" ref="BF340:BF404" si="441">BE340/47500730</f>
        <v>0.2204411210671321</v>
      </c>
      <c r="BG340" s="210">
        <f>SUM(BG342:BG385)</f>
        <v>12918907.096197139</v>
      </c>
      <c r="BH340"/>
      <c r="BI340" s="199">
        <f t="shared" si="425"/>
        <v>5390217.5776333846</v>
      </c>
      <c r="BJ340" s="199">
        <f t="shared" si="426"/>
        <v>10780435.155266769</v>
      </c>
      <c r="BK340" s="199">
        <f t="shared" si="433"/>
        <v>16170652.732900154</v>
      </c>
      <c r="BL340" s="251">
        <f t="shared" si="427"/>
        <v>6.8230717117959E-2</v>
      </c>
      <c r="BM340" s="210">
        <v>1380318</v>
      </c>
      <c r="BN340" s="251">
        <f t="shared" si="428"/>
        <v>5.9606423953982003E-2</v>
      </c>
      <c r="BT340" s="210">
        <f>'Detailed Budget'!$AD$12</f>
        <v>194045122715</v>
      </c>
      <c r="BU340" s="210">
        <f>'Detailed Budget'!$AD$24</f>
        <v>194045122715</v>
      </c>
      <c r="BV340" s="596">
        <f>AV340/34743979</f>
        <v>0.28166494689626653</v>
      </c>
      <c r="BW340" s="278">
        <v>1</v>
      </c>
      <c r="BX340" s="613">
        <f t="shared" si="397"/>
        <v>54655709185</v>
      </c>
      <c r="BY340" s="613">
        <f t="shared" si="398"/>
        <v>54655709185</v>
      </c>
      <c r="BZ340" s="613">
        <f>BX340+BY340</f>
        <v>109311418370</v>
      </c>
      <c r="CA340" s="210">
        <f>'Detailed Budget'!$AD$96</f>
        <v>71050111380.677719</v>
      </c>
      <c r="CB340" s="613">
        <f t="shared" si="429"/>
        <v>0</v>
      </c>
      <c r="CE340" s="210">
        <f>'Detailed Budget'!$AD$175</f>
        <v>4330586076.5988197</v>
      </c>
      <c r="CF340" s="613">
        <f>SUM(CF342:CF385)</f>
        <v>954639228.38927794</v>
      </c>
      <c r="CG340" s="632">
        <f>'Detailed Budget'!$AD$176</f>
        <v>20662817754.37001</v>
      </c>
      <c r="CH340" s="613">
        <f>SUM(CH342:CH385)</f>
        <v>4554934710.1791668</v>
      </c>
      <c r="CI340" s="613">
        <f>SUM(CI342:CI385)</f>
        <v>5509573938.5684443</v>
      </c>
      <c r="CJ340" s="275">
        <f>'Detailed Budget'!$AD$178</f>
        <v>46025131033.061455</v>
      </c>
      <c r="CK340" s="613">
        <f>SUM(CK342:CK385)</f>
        <v>6872858590.8655338</v>
      </c>
      <c r="CL340" s="613">
        <f>SUM(CL342:CL385)</f>
        <v>12382432529.433977</v>
      </c>
      <c r="CM340" s="278">
        <f>'Detailed Budget'!$AD$189</f>
        <v>77498869683.252869</v>
      </c>
      <c r="CN340" s="275">
        <f t="shared" si="430"/>
        <v>0</v>
      </c>
      <c r="CO340" s="140">
        <f>'Detailed Budget'!$AD$191</f>
        <v>2684962805.4134097</v>
      </c>
      <c r="CP340" s="616">
        <f t="shared" si="431"/>
        <v>0</v>
      </c>
      <c r="CQ340" s="616">
        <f t="shared" si="432"/>
        <v>0</v>
      </c>
      <c r="CR340" s="210">
        <f>'Detailed Budget'!$AD$195</f>
        <v>18734176418</v>
      </c>
      <c r="CS340" s="275">
        <f>BN340*CR340</f>
        <v>1116677262</v>
      </c>
      <c r="CW340" s="278"/>
      <c r="DH340" s="140">
        <f>'Detailed Budget'!$AD$163</f>
        <v>4928560000</v>
      </c>
      <c r="DI340" s="616">
        <f t="shared" si="413"/>
        <v>271040000</v>
      </c>
    </row>
    <row r="341" spans="1:113" s="213" customFormat="1">
      <c r="A341" s="214" t="s">
        <v>2334</v>
      </c>
      <c r="B341" s="215" t="s">
        <v>2318</v>
      </c>
      <c r="C341" s="208"/>
      <c r="D341" s="208"/>
      <c r="E341" s="208"/>
      <c r="F341" s="208"/>
      <c r="G341" s="208"/>
      <c r="H341" s="208"/>
      <c r="I341" s="208"/>
      <c r="J341" s="208"/>
      <c r="K341" s="208"/>
      <c r="L341" s="208"/>
      <c r="M341" s="208"/>
      <c r="N341" s="208"/>
      <c r="O341" s="208"/>
      <c r="P341" s="208"/>
      <c r="Q341" s="208"/>
      <c r="R341" s="208"/>
      <c r="S341" s="208"/>
      <c r="T341" s="208"/>
      <c r="U341" s="209"/>
      <c r="V341" s="866"/>
      <c r="W341" s="210"/>
      <c r="X341" s="211"/>
      <c r="Y341" s="212"/>
      <c r="Z341" s="210"/>
      <c r="AA341" s="212"/>
      <c r="AB341" s="210"/>
      <c r="AD341" s="210"/>
      <c r="AE341" s="210"/>
      <c r="AF341" s="199"/>
      <c r="AG341" s="614">
        <f t="shared" si="434"/>
        <v>0</v>
      </c>
      <c r="AH341" s="210"/>
      <c r="AI341" s="252"/>
      <c r="AJ341" s="199"/>
      <c r="AK341" s="199">
        <f t="shared" si="437"/>
        <v>0</v>
      </c>
      <c r="AL341" s="199">
        <f t="shared" si="438"/>
        <v>0</v>
      </c>
      <c r="AM341" s="199">
        <f t="shared" si="419"/>
        <v>0</v>
      </c>
      <c r="AN341" s="645">
        <f t="shared" si="420"/>
        <v>0</v>
      </c>
      <c r="AO341" s="210"/>
      <c r="AP341" s="250"/>
      <c r="AQ341" s="210"/>
      <c r="AR341" s="210"/>
      <c r="AS341" s="210"/>
      <c r="AT341" s="210"/>
      <c r="AU341" s="199"/>
      <c r="AV341" s="240"/>
      <c r="AW341" s="250">
        <f t="shared" si="422"/>
        <v>0</v>
      </c>
      <c r="AX341" s="199"/>
      <c r="AY341" s="210"/>
      <c r="AZ341" s="199"/>
      <c r="BA341" s="252">
        <f t="shared" si="424"/>
        <v>0</v>
      </c>
      <c r="BB341" s="284"/>
      <c r="BC341" s="269"/>
      <c r="BD341" s="270">
        <f t="shared" si="440"/>
        <v>0</v>
      </c>
      <c r="BE341" s="269"/>
      <c r="BF341" s="251">
        <f t="shared" si="441"/>
        <v>0</v>
      </c>
      <c r="BG341" s="204"/>
      <c r="BH341"/>
      <c r="BI341" s="199">
        <f t="shared" si="425"/>
        <v>0</v>
      </c>
      <c r="BJ341" s="199">
        <f t="shared" si="426"/>
        <v>0</v>
      </c>
      <c r="BK341" s="199">
        <f t="shared" si="433"/>
        <v>0</v>
      </c>
      <c r="BL341" s="251">
        <f t="shared" si="427"/>
        <v>0</v>
      </c>
      <c r="BM341" s="210"/>
      <c r="BN341" s="251">
        <f t="shared" si="428"/>
        <v>0</v>
      </c>
      <c r="BT341" s="210"/>
      <c r="BU341" s="210">
        <f>'Detailed Budget'!$AD$24</f>
        <v>194045122715</v>
      </c>
      <c r="BV341" s="596"/>
      <c r="BW341" s="278"/>
      <c r="BX341" s="275"/>
      <c r="BY341" s="275"/>
      <c r="CA341" s="210">
        <f>'Detailed Budget'!$AD$96</f>
        <v>71050111380.677719</v>
      </c>
      <c r="CB341" s="275"/>
      <c r="CE341" s="210"/>
      <c r="CF341" s="275"/>
      <c r="CG341" s="240"/>
      <c r="CH341" s="275"/>
      <c r="CI341" s="275"/>
      <c r="CJ341" s="275"/>
      <c r="CK341" s="275"/>
      <c r="CL341" s="275"/>
      <c r="CM341" s="278">
        <f>'Detailed Budget'!$AD$189</f>
        <v>77498869683.252869</v>
      </c>
      <c r="CN341" s="275">
        <f t="shared" si="430"/>
        <v>0</v>
      </c>
      <c r="CO341" s="140">
        <f>'Detailed Budget'!$AD$191</f>
        <v>2684962805.4134097</v>
      </c>
      <c r="CP341" s="616">
        <f t="shared" si="431"/>
        <v>0</v>
      </c>
      <c r="CQ341" s="616">
        <f t="shared" si="432"/>
        <v>0</v>
      </c>
      <c r="CR341" s="210"/>
      <c r="CS341" s="275"/>
      <c r="CW341" s="278"/>
      <c r="DH341" s="140"/>
      <c r="DI341" s="616"/>
    </row>
    <row r="342" spans="1:113" outlineLevel="1">
      <c r="A342" s="214" t="s">
        <v>816</v>
      </c>
      <c r="B342" s="215" t="s">
        <v>817</v>
      </c>
      <c r="C342" s="216" t="s">
        <v>234</v>
      </c>
      <c r="D342" s="217" t="s">
        <v>234</v>
      </c>
      <c r="E342" s="216"/>
      <c r="F342" s="216"/>
      <c r="G342" s="216"/>
      <c r="H342" s="216" t="s">
        <v>234</v>
      </c>
      <c r="I342" s="217" t="s">
        <v>234</v>
      </c>
      <c r="J342" s="217"/>
      <c r="K342" s="216" t="s">
        <v>234</v>
      </c>
      <c r="L342" s="216"/>
      <c r="M342" s="217"/>
      <c r="N342" s="216"/>
      <c r="O342" s="217"/>
      <c r="P342" s="216"/>
      <c r="Q342" s="217"/>
      <c r="R342" s="217" t="s">
        <v>234</v>
      </c>
      <c r="S342" s="217"/>
      <c r="T342" s="216"/>
      <c r="U342" s="218">
        <f t="shared" ref="U342:U385" si="442">COUNTA(C342:T342)</f>
        <v>6</v>
      </c>
      <c r="V342" s="867" t="s">
        <v>238</v>
      </c>
      <c r="W342" s="219">
        <v>172610</v>
      </c>
      <c r="X342" s="220">
        <v>3.36</v>
      </c>
      <c r="Y342" s="221">
        <f t="shared" si="379"/>
        <v>1.0336000000000001</v>
      </c>
      <c r="Z342" s="199">
        <v>19</v>
      </c>
      <c r="AA342" s="221">
        <f t="shared" si="380"/>
        <v>1.873689022502546</v>
      </c>
      <c r="AB342" s="199">
        <f t="shared" si="415"/>
        <v>323417.46217416448</v>
      </c>
      <c r="AC342">
        <v>19.3</v>
      </c>
      <c r="AD342" s="199">
        <f t="shared" si="416"/>
        <v>62419.57019961375</v>
      </c>
      <c r="AE342" s="199">
        <f t="shared" si="399"/>
        <v>59298.59168963306</v>
      </c>
      <c r="AF342" s="199">
        <f t="shared" si="435"/>
        <v>59298.59168963306</v>
      </c>
      <c r="AG342" s="614">
        <f t="shared" si="434"/>
        <v>2.7417065540333175E-3</v>
      </c>
      <c r="AH342" s="199">
        <f>AB342*0.05</f>
        <v>16170.873108708225</v>
      </c>
      <c r="AI342" s="252">
        <f t="shared" si="417"/>
        <v>1.2527330384656766E-3</v>
      </c>
      <c r="AJ342" s="199">
        <f t="shared" si="418"/>
        <v>78590.443308321977</v>
      </c>
      <c r="AK342" s="199">
        <f t="shared" si="437"/>
        <v>12936.698486966579</v>
      </c>
      <c r="AL342" s="199">
        <f t="shared" si="438"/>
        <v>12936.698486966579</v>
      </c>
      <c r="AM342" s="199">
        <f t="shared" si="419"/>
        <v>25873.396973933159</v>
      </c>
      <c r="AN342" s="645">
        <f t="shared" si="420"/>
        <v>1.2527330384656766E-3</v>
      </c>
      <c r="AO342" s="199">
        <v>10</v>
      </c>
      <c r="AP342" s="250">
        <f t="shared" si="421"/>
        <v>1.1362345188046814E-3</v>
      </c>
      <c r="AQ342" s="199">
        <v>10</v>
      </c>
      <c r="AU342" s="199">
        <v>1</v>
      </c>
      <c r="AV342" s="199">
        <f t="shared" ref="AV342:AV385" si="443">W342/9401288*9786161</f>
        <v>179676.36458004478</v>
      </c>
      <c r="AW342" s="250">
        <f t="shared" si="422"/>
        <v>5.1714389011127595E-3</v>
      </c>
      <c r="AX342" s="199">
        <v>0</v>
      </c>
      <c r="AY342" s="199">
        <f t="shared" ref="AY342:AY385" si="444">AJ342/4280467*1226893</f>
        <v>22526.06193713842</v>
      </c>
      <c r="AZ342" s="199">
        <f t="shared" si="423"/>
        <v>0</v>
      </c>
      <c r="BA342" s="252">
        <f t="shared" si="424"/>
        <v>0</v>
      </c>
      <c r="BB342" s="284">
        <v>1</v>
      </c>
      <c r="BC342" s="199">
        <f t="shared" ref="BC342:BC385" si="445">AD342*BB342*0.18*4</f>
        <v>44942.090543721897</v>
      </c>
      <c r="BD342" s="270">
        <f t="shared" si="440"/>
        <v>4.047354049982038E-3</v>
      </c>
      <c r="BE342" s="199">
        <f t="shared" ref="BE342:BE385" si="446">AD342*BB342*0.77*4</f>
        <v>192252.27621481035</v>
      </c>
      <c r="BF342" s="251">
        <f t="shared" si="441"/>
        <v>4.0473541399218566E-3</v>
      </c>
      <c r="BG342" s="204">
        <f t="shared" si="383"/>
        <v>237194.36675853224</v>
      </c>
      <c r="BH342" s="636">
        <v>0</v>
      </c>
      <c r="BI342" s="199">
        <f t="shared" si="425"/>
        <v>98965.743425294335</v>
      </c>
      <c r="BJ342" s="199">
        <f t="shared" si="426"/>
        <v>197931.48685058867</v>
      </c>
      <c r="BK342" s="199">
        <f t="shared" si="433"/>
        <v>296897.23027588299</v>
      </c>
      <c r="BL342" s="251">
        <f t="shared" si="427"/>
        <v>1.2527330384656766E-3</v>
      </c>
      <c r="BM342" s="199">
        <f t="shared" ref="BM342:BM385" si="447">AH342/880755*1380318</f>
        <v>25342.969642710992</v>
      </c>
      <c r="BN342" s="251">
        <f t="shared" si="428"/>
        <v>1.0943882444308683E-3</v>
      </c>
      <c r="BT342" s="199">
        <f>'Detailed Budget'!$AD$12</f>
        <v>194045122715</v>
      </c>
      <c r="BU342" s="199">
        <f>'Detailed Budget'!$AD$24</f>
        <v>194045122715</v>
      </c>
      <c r="BV342" s="596">
        <f t="shared" ref="BV342:BV385" si="448">AV342/34743979</f>
        <v>5.1714389011127595E-3</v>
      </c>
      <c r="BW342" s="278"/>
      <c r="BX342" s="275">
        <f t="shared" si="397"/>
        <v>1003492496.1795502</v>
      </c>
      <c r="BY342" s="275">
        <f t="shared" si="398"/>
        <v>1003492496.1795502</v>
      </c>
      <c r="CA342" s="199">
        <f>'Detailed Budget'!$AD$96</f>
        <v>71050111380.677719</v>
      </c>
      <c r="CB342" s="275">
        <f t="shared" si="429"/>
        <v>0</v>
      </c>
      <c r="CE342" s="199">
        <f>'Detailed Budget'!$AD$175</f>
        <v>4330586076.5988197</v>
      </c>
      <c r="CF342" s="275">
        <f t="shared" ref="CF342:CF385" si="449">BB342*BD342*CE342</f>
        <v>17527415.095918056</v>
      </c>
      <c r="CG342" s="199">
        <f>'Detailed Budget'!$AD$176</f>
        <v>20662817754.37001</v>
      </c>
      <c r="CH342" s="275">
        <f t="shared" ref="CH342:CH385" si="450">BB342*BF342*CG342</f>
        <v>83629740.980600297</v>
      </c>
      <c r="CI342" s="275">
        <f t="shared" si="410"/>
        <v>101157156.07651836</v>
      </c>
      <c r="CJ342" s="275">
        <f>'Detailed Budget'!$AD$178</f>
        <v>46025131033.061455</v>
      </c>
      <c r="CK342" s="275">
        <f t="shared" ref="CK342:CK385" si="451">BB342*AG342*CJ342</f>
        <v>126187403.40358682</v>
      </c>
      <c r="CL342" s="275">
        <f t="shared" si="436"/>
        <v>227344559.48010516</v>
      </c>
      <c r="CM342" s="278">
        <f>'Detailed Budget'!$AD$189</f>
        <v>77498869683.252869</v>
      </c>
      <c r="CN342" s="275">
        <f t="shared" si="430"/>
        <v>0</v>
      </c>
      <c r="CO342" s="140">
        <f>'Detailed Budget'!$AD$191</f>
        <v>2684962805.4134097</v>
      </c>
      <c r="CP342" s="616">
        <f t="shared" si="431"/>
        <v>0</v>
      </c>
      <c r="CQ342" s="616">
        <f t="shared" si="432"/>
        <v>0</v>
      </c>
      <c r="CR342" s="199">
        <f>'Detailed Budget'!$AD$195</f>
        <v>18734176418</v>
      </c>
      <c r="CS342" s="275">
        <f t="shared" ref="CS342:CS385" si="452">BN342*CR342</f>
        <v>20502462.440953191</v>
      </c>
      <c r="CW342" s="278"/>
      <c r="DH342" s="140">
        <f>'Detailed Budget'!$AD$163</f>
        <v>4928560000</v>
      </c>
      <c r="DI342" s="616">
        <f t="shared" ref="DI342:DI387" si="453">AP342*DH342</f>
        <v>5600000</v>
      </c>
    </row>
    <row r="343" spans="1:113" outlineLevel="1">
      <c r="A343" s="214" t="s">
        <v>818</v>
      </c>
      <c r="B343" s="215" t="s">
        <v>819</v>
      </c>
      <c r="C343" s="216" t="s">
        <v>234</v>
      </c>
      <c r="D343" s="217" t="s">
        <v>234</v>
      </c>
      <c r="E343" s="216"/>
      <c r="F343" s="216"/>
      <c r="G343" s="216"/>
      <c r="H343" s="216" t="s">
        <v>234</v>
      </c>
      <c r="I343" s="217" t="s">
        <v>234</v>
      </c>
      <c r="J343" s="217"/>
      <c r="K343" s="216" t="s">
        <v>234</v>
      </c>
      <c r="L343" s="216"/>
      <c r="M343" s="217"/>
      <c r="N343" s="216"/>
      <c r="O343" s="217"/>
      <c r="P343" s="216"/>
      <c r="Q343" s="217"/>
      <c r="R343" s="217" t="s">
        <v>234</v>
      </c>
      <c r="S343" s="217"/>
      <c r="T343" s="216"/>
      <c r="U343" s="218">
        <f t="shared" si="442"/>
        <v>6</v>
      </c>
      <c r="V343" s="867" t="s">
        <v>238</v>
      </c>
      <c r="W343" s="219">
        <v>187639</v>
      </c>
      <c r="X343" s="220">
        <v>3.36</v>
      </c>
      <c r="Y343" s="221">
        <f t="shared" si="379"/>
        <v>1.0336000000000001</v>
      </c>
      <c r="Z343" s="199">
        <v>19</v>
      </c>
      <c r="AA343" s="221">
        <f t="shared" si="380"/>
        <v>1.873689022502546</v>
      </c>
      <c r="AB343" s="199">
        <f t="shared" si="415"/>
        <v>351577.13449335523</v>
      </c>
      <c r="AC343">
        <v>19.3</v>
      </c>
      <c r="AD343" s="199">
        <f t="shared" si="416"/>
        <v>67854.386957217561</v>
      </c>
      <c r="AE343" s="199">
        <f t="shared" si="399"/>
        <v>64461.667609356678</v>
      </c>
      <c r="AF343" s="199">
        <f t="shared" si="435"/>
        <v>64461.667609356678</v>
      </c>
      <c r="AG343" s="614">
        <f t="shared" si="434"/>
        <v>2.9804245182333449E-3</v>
      </c>
      <c r="AH343" s="199">
        <f t="shared" ref="AH343:AH385" si="454">AB343*0.05</f>
        <v>17578.856724667763</v>
      </c>
      <c r="AI343" s="252">
        <f t="shared" si="417"/>
        <v>1.3618073958905109E-3</v>
      </c>
      <c r="AJ343" s="199">
        <f t="shared" si="418"/>
        <v>85433.243681885331</v>
      </c>
      <c r="AK343" s="199">
        <f t="shared" si="437"/>
        <v>14063.08537973421</v>
      </c>
      <c r="AL343" s="199">
        <f t="shared" si="438"/>
        <v>14063.08537973421</v>
      </c>
      <c r="AM343" s="199">
        <f t="shared" si="419"/>
        <v>28126.170759468419</v>
      </c>
      <c r="AN343" s="645">
        <f t="shared" si="420"/>
        <v>1.3618073958905109E-3</v>
      </c>
      <c r="AO343" s="199">
        <v>10</v>
      </c>
      <c r="AP343" s="250">
        <f t="shared" si="421"/>
        <v>1.1362345188046814E-3</v>
      </c>
      <c r="AQ343" s="199">
        <v>10</v>
      </c>
      <c r="AU343" s="199">
        <v>1</v>
      </c>
      <c r="AV343" s="199">
        <f t="shared" si="443"/>
        <v>195320.6266927468</v>
      </c>
      <c r="AW343" s="250">
        <f t="shared" si="422"/>
        <v>5.6217115113023413E-3</v>
      </c>
      <c r="AX343" s="199">
        <v>0</v>
      </c>
      <c r="AY343" s="199">
        <f t="shared" si="444"/>
        <v>24487.386222250829</v>
      </c>
      <c r="AZ343" s="199">
        <f t="shared" si="423"/>
        <v>0</v>
      </c>
      <c r="BA343" s="252">
        <f t="shared" si="424"/>
        <v>0</v>
      </c>
      <c r="BB343" s="284">
        <v>1</v>
      </c>
      <c r="BC343" s="199">
        <f t="shared" si="445"/>
        <v>48855.158609196646</v>
      </c>
      <c r="BD343" s="270">
        <f t="shared" si="440"/>
        <v>4.3997535866090003E-3</v>
      </c>
      <c r="BE343" s="199">
        <f t="shared" si="446"/>
        <v>208991.51182823008</v>
      </c>
      <c r="BF343" s="251">
        <f t="shared" si="441"/>
        <v>4.3997536843797995E-3</v>
      </c>
      <c r="BG343" s="204">
        <f t="shared" si="383"/>
        <v>257846.67043742671</v>
      </c>
      <c r="BH343" s="636">
        <v>0</v>
      </c>
      <c r="BI343" s="199">
        <f t="shared" si="425"/>
        <v>107582.6031549667</v>
      </c>
      <c r="BJ343" s="199">
        <f t="shared" si="426"/>
        <v>215165.20630993339</v>
      </c>
      <c r="BK343" s="199">
        <f t="shared" si="433"/>
        <v>322747.80946490006</v>
      </c>
      <c r="BL343" s="251">
        <f t="shared" si="427"/>
        <v>1.3618073958905105E-3</v>
      </c>
      <c r="BM343" s="199">
        <f t="shared" si="447"/>
        <v>27549.559589761007</v>
      </c>
      <c r="BN343" s="251">
        <f t="shared" si="428"/>
        <v>1.1896756607193307E-3</v>
      </c>
      <c r="BT343" s="199">
        <f>'Detailed Budget'!$AD$12</f>
        <v>194045122715</v>
      </c>
      <c r="BU343" s="199">
        <f>'Detailed Budget'!$AD$24</f>
        <v>194045122715</v>
      </c>
      <c r="BV343" s="596">
        <f t="shared" si="448"/>
        <v>5.6217115113023413E-3</v>
      </c>
      <c r="BW343" s="278"/>
      <c r="BX343" s="275">
        <f t="shared" si="397"/>
        <v>1090865700.0789909</v>
      </c>
      <c r="BY343" s="275">
        <f t="shared" si="398"/>
        <v>1090865700.0789909</v>
      </c>
      <c r="CA343" s="199">
        <f>'Detailed Budget'!$AD$96</f>
        <v>71050111380.677719</v>
      </c>
      <c r="CB343" s="275">
        <f t="shared" si="429"/>
        <v>0</v>
      </c>
      <c r="CE343" s="199">
        <f>'Detailed Budget'!$AD$175</f>
        <v>4330586076.5988197</v>
      </c>
      <c r="CF343" s="275">
        <f t="shared" si="449"/>
        <v>19053511.622634657</v>
      </c>
      <c r="CG343" s="199">
        <f>'Detailed Budget'!$AD$176</f>
        <v>20662817754.37001</v>
      </c>
      <c r="CH343" s="275">
        <f t="shared" si="450"/>
        <v>90911308.544457793</v>
      </c>
      <c r="CI343" s="275">
        <f t="shared" si="410"/>
        <v>109964820.16709244</v>
      </c>
      <c r="CJ343" s="275">
        <f>'Detailed Budget'!$AD$178</f>
        <v>46025131033.061455</v>
      </c>
      <c r="CK343" s="275">
        <f t="shared" si="451"/>
        <v>137174428.98583877</v>
      </c>
      <c r="CL343" s="275">
        <f t="shared" si="436"/>
        <v>247139249.15293121</v>
      </c>
      <c r="CM343" s="278">
        <f>'Detailed Budget'!$AD$189</f>
        <v>77498869683.252869</v>
      </c>
      <c r="CN343" s="275">
        <f t="shared" si="430"/>
        <v>0</v>
      </c>
      <c r="CO343" s="140">
        <f>'Detailed Budget'!$AD$191</f>
        <v>2684962805.4134097</v>
      </c>
      <c r="CP343" s="616">
        <f t="shared" si="431"/>
        <v>0</v>
      </c>
      <c r="CQ343" s="616">
        <f t="shared" si="432"/>
        <v>0</v>
      </c>
      <c r="CR343" s="199">
        <f>'Detailed Budget'!$AD$195</f>
        <v>18734176418</v>
      </c>
      <c r="CS343" s="275">
        <f t="shared" si="452"/>
        <v>22287593.708116654</v>
      </c>
      <c r="CW343" s="278"/>
      <c r="DH343" s="140">
        <f>'Detailed Budget'!$AD$163</f>
        <v>4928560000</v>
      </c>
      <c r="DI343" s="616">
        <f t="shared" si="453"/>
        <v>5600000</v>
      </c>
    </row>
    <row r="344" spans="1:113" outlineLevel="1">
      <c r="A344" s="214" t="s">
        <v>820</v>
      </c>
      <c r="B344" s="215" t="s">
        <v>821</v>
      </c>
      <c r="C344" s="216" t="s">
        <v>234</v>
      </c>
      <c r="D344" s="217" t="s">
        <v>234</v>
      </c>
      <c r="E344" s="216"/>
      <c r="F344" s="216"/>
      <c r="G344" s="216"/>
      <c r="H344" s="216" t="s">
        <v>234</v>
      </c>
      <c r="I344" s="217" t="s">
        <v>234</v>
      </c>
      <c r="J344" s="217"/>
      <c r="K344" s="216" t="s">
        <v>234</v>
      </c>
      <c r="L344" s="216"/>
      <c r="M344" s="217"/>
      <c r="N344" s="216"/>
      <c r="O344" s="217"/>
      <c r="P344" s="216"/>
      <c r="Q344" s="217"/>
      <c r="R344" s="217" t="s">
        <v>234</v>
      </c>
      <c r="S344" s="217"/>
      <c r="T344" s="216"/>
      <c r="U344" s="218">
        <f t="shared" si="442"/>
        <v>6</v>
      </c>
      <c r="V344" s="867" t="s">
        <v>238</v>
      </c>
      <c r="W344" s="219">
        <v>161533</v>
      </c>
      <c r="X344" s="220">
        <v>3.36</v>
      </c>
      <c r="Y344" s="221">
        <f t="shared" si="379"/>
        <v>1.0336000000000001</v>
      </c>
      <c r="Z344" s="199">
        <v>19</v>
      </c>
      <c r="AA344" s="221">
        <f t="shared" si="380"/>
        <v>1.873689022502546</v>
      </c>
      <c r="AB344" s="199">
        <f t="shared" si="415"/>
        <v>302662.60887190374</v>
      </c>
      <c r="AC344">
        <v>19.3</v>
      </c>
      <c r="AD344" s="199">
        <f t="shared" si="416"/>
        <v>58413.883512277425</v>
      </c>
      <c r="AE344" s="199">
        <f t="shared" si="399"/>
        <v>55493.189336663549</v>
      </c>
      <c r="AF344" s="199">
        <f t="shared" si="435"/>
        <v>55493.189336663549</v>
      </c>
      <c r="AG344" s="614">
        <f t="shared" si="434"/>
        <v>2.5657614552613626E-3</v>
      </c>
      <c r="AH344" s="199">
        <f t="shared" si="454"/>
        <v>15133.130443595188</v>
      </c>
      <c r="AI344" s="252">
        <f t="shared" si="417"/>
        <v>1.1723406865330869E-3</v>
      </c>
      <c r="AJ344" s="199">
        <f t="shared" si="418"/>
        <v>73547.013955872608</v>
      </c>
      <c r="AK344" s="199">
        <f t="shared" si="437"/>
        <v>12106.50435487615</v>
      </c>
      <c r="AL344" s="199">
        <f t="shared" si="438"/>
        <v>12106.50435487615</v>
      </c>
      <c r="AM344" s="199">
        <f t="shared" si="419"/>
        <v>24213.008709752299</v>
      </c>
      <c r="AN344" s="645">
        <f t="shared" si="420"/>
        <v>1.1723406865330867E-3</v>
      </c>
      <c r="AO344" s="199">
        <v>10</v>
      </c>
      <c r="AP344" s="250">
        <f t="shared" si="421"/>
        <v>1.1362345188046814E-3</v>
      </c>
      <c r="AQ344" s="199">
        <v>10</v>
      </c>
      <c r="AU344" s="199">
        <v>1</v>
      </c>
      <c r="AV344" s="199">
        <f t="shared" si="443"/>
        <v>168145.89073465252</v>
      </c>
      <c r="AW344" s="250">
        <f t="shared" si="422"/>
        <v>4.8395692023257475E-3</v>
      </c>
      <c r="AX344" s="199">
        <v>0</v>
      </c>
      <c r="AY344" s="199">
        <f t="shared" si="444"/>
        <v>21080.484113850758</v>
      </c>
      <c r="AZ344" s="199">
        <f t="shared" si="423"/>
        <v>0</v>
      </c>
      <c r="BA344" s="252">
        <f t="shared" si="424"/>
        <v>0</v>
      </c>
      <c r="BB344" s="284">
        <v>1</v>
      </c>
      <c r="BC344" s="199">
        <f t="shared" si="445"/>
        <v>42057.996128839746</v>
      </c>
      <c r="BD344" s="270">
        <f t="shared" si="440"/>
        <v>3.7876208896109637E-3</v>
      </c>
      <c r="BE344" s="199">
        <f t="shared" si="446"/>
        <v>179914.76121781446</v>
      </c>
      <c r="BF344" s="251">
        <f t="shared" si="441"/>
        <v>3.7876209737790234E-3</v>
      </c>
      <c r="BG344" s="204">
        <f t="shared" si="383"/>
        <v>221972.75734665419</v>
      </c>
      <c r="BH344" s="636">
        <v>0</v>
      </c>
      <c r="BI344" s="199">
        <f t="shared" si="425"/>
        <v>92614.758314802544</v>
      </c>
      <c r="BJ344" s="199">
        <f t="shared" si="426"/>
        <v>185229.51662960509</v>
      </c>
      <c r="BK344" s="199">
        <f t="shared" si="433"/>
        <v>277844.27494440763</v>
      </c>
      <c r="BL344" s="251">
        <f t="shared" si="427"/>
        <v>1.1723406865330867E-3</v>
      </c>
      <c r="BM344" s="199">
        <f t="shared" si="447"/>
        <v>23716.620794253136</v>
      </c>
      <c r="BN344" s="251">
        <f t="shared" si="428"/>
        <v>1.0241574432979053E-3</v>
      </c>
      <c r="BT344" s="199">
        <f>'Detailed Budget'!$AD$12</f>
        <v>194045122715</v>
      </c>
      <c r="BU344" s="199">
        <f>'Detailed Budget'!$AD$24</f>
        <v>194045122715</v>
      </c>
      <c r="BV344" s="596">
        <f t="shared" si="448"/>
        <v>4.8395692023257475E-3</v>
      </c>
      <c r="BW344" s="278"/>
      <c r="BX344" s="275">
        <f t="shared" si="397"/>
        <v>939094799.75303435</v>
      </c>
      <c r="BY344" s="275">
        <f t="shared" si="398"/>
        <v>939094799.75303435</v>
      </c>
      <c r="CA344" s="199">
        <f>'Detailed Budget'!$AD$96</f>
        <v>71050111380.677719</v>
      </c>
      <c r="CB344" s="275">
        <f t="shared" si="429"/>
        <v>0</v>
      </c>
      <c r="CE344" s="199">
        <f>'Detailed Budget'!$AD$175</f>
        <v>4330586076.5988197</v>
      </c>
      <c r="CF344" s="275">
        <f t="shared" si="449"/>
        <v>16402618.287984075</v>
      </c>
      <c r="CG344" s="199">
        <f>'Detailed Budget'!$AD$176</f>
        <v>20662817754.37001</v>
      </c>
      <c r="CH344" s="275">
        <f t="shared" si="450"/>
        <v>78262921.903825432</v>
      </c>
      <c r="CI344" s="275">
        <f t="shared" si="410"/>
        <v>94665540.191809505</v>
      </c>
      <c r="CJ344" s="275">
        <f>'Detailed Budget'!$AD$178</f>
        <v>46025131033.061455</v>
      </c>
      <c r="CK344" s="275">
        <f t="shared" si="451"/>
        <v>118089507.17798266</v>
      </c>
      <c r="CL344" s="275">
        <f t="shared" si="436"/>
        <v>212755047.36979216</v>
      </c>
      <c r="CM344" s="278">
        <f>'Detailed Budget'!$AD$189</f>
        <v>77498869683.252869</v>
      </c>
      <c r="CN344" s="275">
        <f t="shared" si="430"/>
        <v>0</v>
      </c>
      <c r="CO344" s="140">
        <f>'Detailed Budget'!$AD$191</f>
        <v>2684962805.4134097</v>
      </c>
      <c r="CP344" s="616">
        <f t="shared" si="431"/>
        <v>0</v>
      </c>
      <c r="CQ344" s="616">
        <f t="shared" si="432"/>
        <v>0</v>
      </c>
      <c r="CR344" s="199">
        <f>'Detailed Budget'!$AD$195</f>
        <v>18734176418</v>
      </c>
      <c r="CS344" s="275">
        <f t="shared" si="452"/>
        <v>19186746.222550787</v>
      </c>
      <c r="CW344" s="278"/>
      <c r="DH344" s="140">
        <f>'Detailed Budget'!$AD$163</f>
        <v>4928560000</v>
      </c>
      <c r="DI344" s="616">
        <f t="shared" si="453"/>
        <v>5600000</v>
      </c>
    </row>
    <row r="345" spans="1:113" outlineLevel="1">
      <c r="A345" s="214" t="s">
        <v>822</v>
      </c>
      <c r="B345" s="215" t="s">
        <v>823</v>
      </c>
      <c r="C345" s="216" t="s">
        <v>234</v>
      </c>
      <c r="D345" s="217" t="s">
        <v>234</v>
      </c>
      <c r="E345" s="216"/>
      <c r="F345" s="216"/>
      <c r="G345" s="216"/>
      <c r="H345" s="216" t="s">
        <v>234</v>
      </c>
      <c r="I345" s="217" t="s">
        <v>234</v>
      </c>
      <c r="J345" s="217"/>
      <c r="K345" s="216" t="s">
        <v>234</v>
      </c>
      <c r="L345" s="216"/>
      <c r="M345" s="217"/>
      <c r="N345" s="216"/>
      <c r="O345" s="217"/>
      <c r="P345" s="216"/>
      <c r="Q345" s="217"/>
      <c r="R345" s="217" t="s">
        <v>234</v>
      </c>
      <c r="S345" s="217"/>
      <c r="T345" s="216"/>
      <c r="U345" s="218">
        <f t="shared" si="442"/>
        <v>6</v>
      </c>
      <c r="V345" s="867" t="s">
        <v>238</v>
      </c>
      <c r="W345" s="219">
        <v>191916</v>
      </c>
      <c r="X345" s="220">
        <v>3.36</v>
      </c>
      <c r="Y345" s="221">
        <f t="shared" si="379"/>
        <v>1.0336000000000001</v>
      </c>
      <c r="Z345" s="199">
        <v>19</v>
      </c>
      <c r="AA345" s="221">
        <f t="shared" si="380"/>
        <v>1.873689022502546</v>
      </c>
      <c r="AB345" s="199">
        <f t="shared" si="415"/>
        <v>359590.9024425986</v>
      </c>
      <c r="AC345">
        <v>19.3</v>
      </c>
      <c r="AD345" s="199">
        <f t="shared" si="416"/>
        <v>69401.044171421527</v>
      </c>
      <c r="AE345" s="199">
        <f t="shared" si="399"/>
        <v>65930.991962850443</v>
      </c>
      <c r="AF345" s="199">
        <f t="shared" si="435"/>
        <v>65930.991962850443</v>
      </c>
      <c r="AG345" s="614">
        <f t="shared" si="434"/>
        <v>3.0483596258841206E-3</v>
      </c>
      <c r="AH345" s="199">
        <f t="shared" si="454"/>
        <v>17979.54512212993</v>
      </c>
      <c r="AI345" s="252">
        <f t="shared" si="417"/>
        <v>1.3928481189396833E-3</v>
      </c>
      <c r="AJ345" s="199">
        <f t="shared" si="418"/>
        <v>87380.589293551457</v>
      </c>
      <c r="AK345" s="199">
        <f t="shared" si="437"/>
        <v>14383.636097703944</v>
      </c>
      <c r="AL345" s="199">
        <f t="shared" si="438"/>
        <v>14383.636097703944</v>
      </c>
      <c r="AM345" s="199">
        <f t="shared" si="419"/>
        <v>28767.272195407888</v>
      </c>
      <c r="AN345" s="645">
        <f t="shared" si="420"/>
        <v>1.3928481189396833E-3</v>
      </c>
      <c r="AO345" s="199">
        <v>14</v>
      </c>
      <c r="AP345" s="250">
        <f t="shared" si="421"/>
        <v>1.5907283263265539E-3</v>
      </c>
      <c r="AQ345" s="199">
        <v>14</v>
      </c>
      <c r="AU345" s="199">
        <v>1</v>
      </c>
      <c r="AV345" s="199">
        <f t="shared" si="443"/>
        <v>199772.71991624977</v>
      </c>
      <c r="AW345" s="250">
        <f t="shared" si="422"/>
        <v>5.7498515042347272E-3</v>
      </c>
      <c r="AX345" s="199">
        <v>0</v>
      </c>
      <c r="AY345" s="199">
        <f t="shared" si="444"/>
        <v>25045.546044423008</v>
      </c>
      <c r="AZ345" s="199">
        <f t="shared" si="423"/>
        <v>0</v>
      </c>
      <c r="BA345" s="252">
        <f t="shared" si="424"/>
        <v>0</v>
      </c>
      <c r="BB345" s="284">
        <v>1</v>
      </c>
      <c r="BC345" s="199">
        <f t="shared" si="445"/>
        <v>49968.751803423496</v>
      </c>
      <c r="BD345" s="270">
        <f t="shared" si="440"/>
        <v>4.5000405530175114E-3</v>
      </c>
      <c r="BE345" s="199">
        <f t="shared" si="446"/>
        <v>213755.21604797832</v>
      </c>
      <c r="BF345" s="251">
        <f t="shared" si="441"/>
        <v>4.5000406530168761E-3</v>
      </c>
      <c r="BG345" s="204">
        <f t="shared" si="383"/>
        <v>263723.96785140183</v>
      </c>
      <c r="BH345" s="636">
        <v>0</v>
      </c>
      <c r="BI345" s="199">
        <f t="shared" si="425"/>
        <v>110034.81614743518</v>
      </c>
      <c r="BJ345" s="199">
        <f t="shared" si="426"/>
        <v>220069.63229487036</v>
      </c>
      <c r="BK345" s="199">
        <f t="shared" si="433"/>
        <v>330104.44844230555</v>
      </c>
      <c r="BL345" s="251">
        <f t="shared" si="427"/>
        <v>1.3928481189396835E-3</v>
      </c>
      <c r="BM345" s="199">
        <f t="shared" si="447"/>
        <v>28177.517883961078</v>
      </c>
      <c r="BN345" s="251">
        <f t="shared" si="428"/>
        <v>1.2167928527790654E-3</v>
      </c>
      <c r="BT345" s="199">
        <f>'Detailed Budget'!$AD$12</f>
        <v>194045122715</v>
      </c>
      <c r="BU345" s="199">
        <f>'Detailed Budget'!$AD$24</f>
        <v>194045122715</v>
      </c>
      <c r="BV345" s="596">
        <f t="shared" si="448"/>
        <v>5.7498515042347272E-3</v>
      </c>
      <c r="BW345" s="278"/>
      <c r="BX345" s="275">
        <f t="shared" si="397"/>
        <v>1115730640.732255</v>
      </c>
      <c r="BY345" s="275">
        <f t="shared" si="398"/>
        <v>1115730640.732255</v>
      </c>
      <c r="CA345" s="199">
        <f>'Detailed Budget'!$AD$96</f>
        <v>71050111380.677719</v>
      </c>
      <c r="CB345" s="275">
        <f t="shared" si="429"/>
        <v>0</v>
      </c>
      <c r="CE345" s="199">
        <f>'Detailed Budget'!$AD$175</f>
        <v>4330586076.5988197</v>
      </c>
      <c r="CF345" s="275">
        <f t="shared" si="449"/>
        <v>19487812.96302769</v>
      </c>
      <c r="CG345" s="199">
        <f>'Detailed Budget'!$AD$176</f>
        <v>20662817754.37001</v>
      </c>
      <c r="CH345" s="275">
        <f t="shared" si="450"/>
        <v>92983519.900543928</v>
      </c>
      <c r="CI345" s="275">
        <f t="shared" si="410"/>
        <v>112471332.86357161</v>
      </c>
      <c r="CJ345" s="275">
        <f>'Detailed Budget'!$AD$178</f>
        <v>46025131033.061455</v>
      </c>
      <c r="CK345" s="275">
        <f t="shared" si="451"/>
        <v>140301151.21721086</v>
      </c>
      <c r="CL345" s="275">
        <f t="shared" si="436"/>
        <v>252772484.08078247</v>
      </c>
      <c r="CM345" s="278">
        <f>'Detailed Budget'!$AD$189</f>
        <v>77498869683.252869</v>
      </c>
      <c r="CN345" s="275">
        <f t="shared" si="430"/>
        <v>0</v>
      </c>
      <c r="CO345" s="140">
        <f>'Detailed Budget'!$AD$191</f>
        <v>2684962805.4134097</v>
      </c>
      <c r="CP345" s="616">
        <f t="shared" si="431"/>
        <v>0</v>
      </c>
      <c r="CQ345" s="616">
        <f t="shared" si="432"/>
        <v>0</v>
      </c>
      <c r="CR345" s="199">
        <f>'Detailed Budget'!$AD$195</f>
        <v>18734176418</v>
      </c>
      <c r="CS345" s="275">
        <f t="shared" si="452"/>
        <v>22795611.968124513</v>
      </c>
      <c r="CW345" s="278"/>
      <c r="DH345" s="140">
        <f>'Detailed Budget'!$AD$163</f>
        <v>4928560000</v>
      </c>
      <c r="DI345" s="616">
        <f t="shared" si="453"/>
        <v>7840000.0000000009</v>
      </c>
    </row>
    <row r="346" spans="1:113" outlineLevel="1">
      <c r="A346" s="214" t="s">
        <v>824</v>
      </c>
      <c r="B346" s="215" t="s">
        <v>825</v>
      </c>
      <c r="C346" s="216" t="s">
        <v>234</v>
      </c>
      <c r="D346" s="217" t="s">
        <v>234</v>
      </c>
      <c r="E346" s="216"/>
      <c r="F346" s="216"/>
      <c r="G346" s="216"/>
      <c r="H346" s="216" t="s">
        <v>234</v>
      </c>
      <c r="I346" s="217" t="s">
        <v>234</v>
      </c>
      <c r="J346" s="217"/>
      <c r="K346" s="216" t="s">
        <v>234</v>
      </c>
      <c r="L346" s="216"/>
      <c r="M346" s="217"/>
      <c r="N346" s="216"/>
      <c r="O346" s="217"/>
      <c r="P346" s="216"/>
      <c r="Q346" s="217"/>
      <c r="R346" s="217" t="s">
        <v>234</v>
      </c>
      <c r="S346" s="217"/>
      <c r="T346" s="216"/>
      <c r="U346" s="218">
        <f t="shared" si="442"/>
        <v>6</v>
      </c>
      <c r="V346" s="867" t="s">
        <v>238</v>
      </c>
      <c r="W346" s="219">
        <v>278309</v>
      </c>
      <c r="X346" s="220">
        <v>3.36</v>
      </c>
      <c r="Y346" s="221">
        <f t="shared" si="379"/>
        <v>1.0336000000000001</v>
      </c>
      <c r="Z346" s="199">
        <v>19</v>
      </c>
      <c r="AA346" s="221">
        <f t="shared" si="380"/>
        <v>1.873689022502546</v>
      </c>
      <c r="AB346" s="199">
        <f t="shared" si="415"/>
        <v>521464.51816366107</v>
      </c>
      <c r="AC346">
        <v>19.3</v>
      </c>
      <c r="AD346" s="199">
        <f t="shared" si="416"/>
        <v>100642.65200558658</v>
      </c>
      <c r="AE346" s="199">
        <f t="shared" si="399"/>
        <v>95610.519405307248</v>
      </c>
      <c r="AF346" s="199">
        <f t="shared" si="435"/>
        <v>95610.519405307248</v>
      </c>
      <c r="AG346" s="614">
        <f t="shared" si="434"/>
        <v>4.4206106792564655E-3</v>
      </c>
      <c r="AH346" s="199">
        <f t="shared" si="454"/>
        <v>26073.225908183056</v>
      </c>
      <c r="AI346" s="252">
        <f t="shared" si="417"/>
        <v>2.0198533063110133E-3</v>
      </c>
      <c r="AJ346" s="199">
        <f t="shared" si="418"/>
        <v>126715.87791376964</v>
      </c>
      <c r="AK346" s="199">
        <f t="shared" si="437"/>
        <v>20858.580726546443</v>
      </c>
      <c r="AL346" s="199">
        <f t="shared" si="438"/>
        <v>20858.580726546443</v>
      </c>
      <c r="AM346" s="199">
        <f t="shared" si="419"/>
        <v>41717.161453092885</v>
      </c>
      <c r="AN346" s="645">
        <f t="shared" si="420"/>
        <v>2.0198533063110129E-3</v>
      </c>
      <c r="AO346" s="199">
        <v>11</v>
      </c>
      <c r="AP346" s="250">
        <f t="shared" si="421"/>
        <v>1.2498579706851495E-3</v>
      </c>
      <c r="AQ346" s="199">
        <v>11</v>
      </c>
      <c r="AU346" s="199">
        <v>1</v>
      </c>
      <c r="AV346" s="199">
        <f t="shared" si="443"/>
        <v>289702.50477902603</v>
      </c>
      <c r="AW346" s="250">
        <f t="shared" si="422"/>
        <v>8.3382074568668727E-3</v>
      </c>
      <c r="AX346" s="199">
        <v>0</v>
      </c>
      <c r="AY346" s="199">
        <f t="shared" si="444"/>
        <v>36320.061245947836</v>
      </c>
      <c r="AZ346" s="199">
        <f t="shared" si="423"/>
        <v>0</v>
      </c>
      <c r="BA346" s="252">
        <f t="shared" si="424"/>
        <v>0</v>
      </c>
      <c r="BB346" s="284">
        <v>1</v>
      </c>
      <c r="BC346" s="199">
        <f t="shared" si="445"/>
        <v>72462.709444022345</v>
      </c>
      <c r="BD346" s="270">
        <f t="shared" si="440"/>
        <v>6.5257809993421638E-3</v>
      </c>
      <c r="BE346" s="199">
        <f t="shared" si="446"/>
        <v>309979.36817720666</v>
      </c>
      <c r="BF346" s="251">
        <f t="shared" si="441"/>
        <v>6.5257811443572905E-3</v>
      </c>
      <c r="BG346" s="204">
        <f t="shared" si="383"/>
        <v>382442.07762122899</v>
      </c>
      <c r="BH346" s="636">
        <v>0</v>
      </c>
      <c r="BI346" s="199">
        <f t="shared" si="425"/>
        <v>159568.14255808029</v>
      </c>
      <c r="BJ346" s="199">
        <f t="shared" si="426"/>
        <v>319136.28511616058</v>
      </c>
      <c r="BK346" s="199">
        <f t="shared" si="433"/>
        <v>478704.4276742409</v>
      </c>
      <c r="BL346" s="251">
        <f t="shared" si="427"/>
        <v>2.0198533063110133E-3</v>
      </c>
      <c r="BM346" s="199">
        <f t="shared" si="447"/>
        <v>40861.9230536658</v>
      </c>
      <c r="BN346" s="251">
        <f t="shared" si="428"/>
        <v>1.7645449158178003E-3</v>
      </c>
      <c r="BT346" s="199">
        <f>'Detailed Budget'!$AD$12</f>
        <v>194045122715</v>
      </c>
      <c r="BU346" s="199">
        <f>'Detailed Budget'!$AD$24</f>
        <v>194045122715</v>
      </c>
      <c r="BV346" s="596">
        <f t="shared" si="448"/>
        <v>8.3382074568668727E-3</v>
      </c>
      <c r="BW346" s="278"/>
      <c r="BX346" s="275">
        <f t="shared" si="397"/>
        <v>1617988489.1908603</v>
      </c>
      <c r="BY346" s="275">
        <f t="shared" si="398"/>
        <v>1617988489.1908603</v>
      </c>
      <c r="CA346" s="199">
        <f>'Detailed Budget'!$AD$96</f>
        <v>71050111380.677719</v>
      </c>
      <c r="CB346" s="275">
        <f t="shared" si="429"/>
        <v>0</v>
      </c>
      <c r="CE346" s="199">
        <f>'Detailed Budget'!$AD$175</f>
        <v>4330586076.5988197</v>
      </c>
      <c r="CF346" s="275">
        <f t="shared" si="449"/>
        <v>28260456.334684305</v>
      </c>
      <c r="CG346" s="199">
        <f>'Detailed Budget'!$AD$176</f>
        <v>20662817754.37001</v>
      </c>
      <c r="CH346" s="275">
        <f t="shared" si="450"/>
        <v>134841026.49075887</v>
      </c>
      <c r="CI346" s="275">
        <f t="shared" si="410"/>
        <v>163101482.82544318</v>
      </c>
      <c r="CJ346" s="275">
        <f>'Detailed Budget'!$AD$178</f>
        <v>46025131033.061455</v>
      </c>
      <c r="CK346" s="275">
        <f t="shared" si="451"/>
        <v>203459185.75892964</v>
      </c>
      <c r="CL346" s="275">
        <f t="shared" si="436"/>
        <v>366560668.58437282</v>
      </c>
      <c r="CM346" s="278">
        <f>'Detailed Budget'!$AD$189</f>
        <v>77498869683.252869</v>
      </c>
      <c r="CN346" s="275">
        <f t="shared" si="430"/>
        <v>0</v>
      </c>
      <c r="CO346" s="140">
        <f>'Detailed Budget'!$AD$191</f>
        <v>2684962805.4134097</v>
      </c>
      <c r="CP346" s="616">
        <f t="shared" si="431"/>
        <v>0</v>
      </c>
      <c r="CQ346" s="616">
        <f t="shared" si="432"/>
        <v>0</v>
      </c>
      <c r="CR346" s="199">
        <f>'Detailed Budget'!$AD$195</f>
        <v>18734176418</v>
      </c>
      <c r="CS346" s="275">
        <f t="shared" si="452"/>
        <v>33057295.750415631</v>
      </c>
      <c r="CW346" s="278"/>
      <c r="DH346" s="140">
        <f>'Detailed Budget'!$AD$163</f>
        <v>4928560000</v>
      </c>
      <c r="DI346" s="616">
        <f t="shared" si="453"/>
        <v>6160000</v>
      </c>
    </row>
    <row r="347" spans="1:113" outlineLevel="1">
      <c r="A347" s="214" t="s">
        <v>826</v>
      </c>
      <c r="B347" s="215" t="s">
        <v>827</v>
      </c>
      <c r="C347" s="216" t="s">
        <v>234</v>
      </c>
      <c r="D347" s="217" t="s">
        <v>234</v>
      </c>
      <c r="E347" s="216"/>
      <c r="F347" s="216"/>
      <c r="G347" s="216"/>
      <c r="H347" s="216" t="s">
        <v>234</v>
      </c>
      <c r="I347" s="217" t="s">
        <v>234</v>
      </c>
      <c r="J347" s="217"/>
      <c r="K347" s="216" t="s">
        <v>234</v>
      </c>
      <c r="L347" s="216"/>
      <c r="M347" s="217"/>
      <c r="N347" s="216"/>
      <c r="O347" s="217"/>
      <c r="P347" s="216"/>
      <c r="Q347" s="217"/>
      <c r="R347" s="217" t="s">
        <v>234</v>
      </c>
      <c r="S347" s="217"/>
      <c r="T347" s="216"/>
      <c r="U347" s="218">
        <f t="shared" si="442"/>
        <v>6</v>
      </c>
      <c r="V347" s="867" t="s">
        <v>238</v>
      </c>
      <c r="W347" s="219">
        <v>174467</v>
      </c>
      <c r="X347" s="220">
        <v>3.36</v>
      </c>
      <c r="Y347" s="221">
        <f t="shared" si="379"/>
        <v>1.0336000000000001</v>
      </c>
      <c r="Z347" s="199">
        <v>19</v>
      </c>
      <c r="AA347" s="221">
        <f t="shared" si="380"/>
        <v>1.873689022502546</v>
      </c>
      <c r="AB347" s="199">
        <f t="shared" si="415"/>
        <v>326896.9026889517</v>
      </c>
      <c r="AC347">
        <v>19.3</v>
      </c>
      <c r="AD347" s="199">
        <f t="shared" si="416"/>
        <v>63091.102218967673</v>
      </c>
      <c r="AE347" s="199">
        <f t="shared" si="399"/>
        <v>59936.547108019287</v>
      </c>
      <c r="AF347" s="199">
        <f t="shared" si="435"/>
        <v>59936.547108019287</v>
      </c>
      <c r="AG347" s="614">
        <f t="shared" si="434"/>
        <v>2.7712028119027329E-3</v>
      </c>
      <c r="AH347" s="199">
        <f t="shared" si="454"/>
        <v>16344.845134447585</v>
      </c>
      <c r="AI347" s="252">
        <f t="shared" si="417"/>
        <v>1.2662103877063391E-3</v>
      </c>
      <c r="AJ347" s="199">
        <f t="shared" si="418"/>
        <v>79435.947353415264</v>
      </c>
      <c r="AK347" s="199">
        <f t="shared" si="437"/>
        <v>13075.876107558068</v>
      </c>
      <c r="AL347" s="199">
        <f t="shared" si="438"/>
        <v>13075.876107558068</v>
      </c>
      <c r="AM347" s="199">
        <f t="shared" si="419"/>
        <v>26151.752215116136</v>
      </c>
      <c r="AN347" s="645">
        <f t="shared" si="420"/>
        <v>1.2662103877063391E-3</v>
      </c>
      <c r="AO347" s="199">
        <v>10</v>
      </c>
      <c r="AP347" s="250">
        <f t="shared" si="421"/>
        <v>1.1362345188046814E-3</v>
      </c>
      <c r="AQ347" s="199">
        <v>10</v>
      </c>
      <c r="AU347" s="199">
        <v>1</v>
      </c>
      <c r="AV347" s="199">
        <f t="shared" si="443"/>
        <v>181609.38705281657</v>
      </c>
      <c r="AW347" s="250">
        <f t="shared" si="422"/>
        <v>5.2270750869615875E-3</v>
      </c>
      <c r="AX347" s="199">
        <v>0</v>
      </c>
      <c r="AY347" s="199">
        <f t="shared" si="444"/>
        <v>22768.405353031274</v>
      </c>
      <c r="AZ347" s="199">
        <f t="shared" si="423"/>
        <v>0</v>
      </c>
      <c r="BA347" s="252">
        <f t="shared" si="424"/>
        <v>0</v>
      </c>
      <c r="BB347" s="284">
        <v>1</v>
      </c>
      <c r="BC347" s="199">
        <f t="shared" si="445"/>
        <v>45425.59359765672</v>
      </c>
      <c r="BD347" s="270">
        <f t="shared" si="440"/>
        <v>4.0908969297156362E-3</v>
      </c>
      <c r="BE347" s="199">
        <f t="shared" si="446"/>
        <v>194320.59483442045</v>
      </c>
      <c r="BF347" s="251">
        <f t="shared" si="441"/>
        <v>4.090897020623061E-3</v>
      </c>
      <c r="BG347" s="204">
        <f t="shared" si="383"/>
        <v>239746.18843207718</v>
      </c>
      <c r="BH347" s="636">
        <v>0</v>
      </c>
      <c r="BI347" s="199">
        <f t="shared" si="425"/>
        <v>100030.45222281922</v>
      </c>
      <c r="BJ347" s="199">
        <f t="shared" si="426"/>
        <v>200060.90444563844</v>
      </c>
      <c r="BK347" s="199">
        <f t="shared" si="433"/>
        <v>300091.35666845768</v>
      </c>
      <c r="BL347" s="251">
        <f t="shared" si="427"/>
        <v>1.2662103877063391E-3</v>
      </c>
      <c r="BM347" s="199">
        <f t="shared" si="447"/>
        <v>25615.618357307561</v>
      </c>
      <c r="BN347" s="251">
        <f t="shared" si="428"/>
        <v>1.1061620638498366E-3</v>
      </c>
      <c r="BT347" s="199">
        <f>'Detailed Budget'!$AD$12</f>
        <v>194045122715</v>
      </c>
      <c r="BU347" s="199">
        <f>'Detailed Budget'!$AD$24</f>
        <v>194045122715</v>
      </c>
      <c r="BV347" s="596">
        <f t="shared" si="448"/>
        <v>5.2270750869615875E-3</v>
      </c>
      <c r="BW347" s="278"/>
      <c r="BX347" s="275">
        <f t="shared" si="397"/>
        <v>1014288426.6899805</v>
      </c>
      <c r="BY347" s="275">
        <f t="shared" si="398"/>
        <v>1014288426.6899805</v>
      </c>
      <c r="CA347" s="199">
        <f>'Detailed Budget'!$AD$96</f>
        <v>71050111380.677719</v>
      </c>
      <c r="CB347" s="275">
        <f t="shared" si="429"/>
        <v>0</v>
      </c>
      <c r="CE347" s="199">
        <f>'Detailed Budget'!$AD$175</f>
        <v>4330586076.5988197</v>
      </c>
      <c r="CF347" s="275">
        <f t="shared" si="449"/>
        <v>17715981.284627393</v>
      </c>
      <c r="CG347" s="199">
        <f>'Detailed Budget'!$AD$176</f>
        <v>20662817754.37001</v>
      </c>
      <c r="CH347" s="275">
        <f t="shared" si="450"/>
        <v>84529459.589029565</v>
      </c>
      <c r="CI347" s="275">
        <f t="shared" si="410"/>
        <v>102245440.87365696</v>
      </c>
      <c r="CJ347" s="275">
        <f>'Detailed Budget'!$AD$178</f>
        <v>46025131033.061455</v>
      </c>
      <c r="CK347" s="275">
        <f t="shared" si="451"/>
        <v>127544972.53701164</v>
      </c>
      <c r="CL347" s="275">
        <f t="shared" si="436"/>
        <v>229790413.41066861</v>
      </c>
      <c r="CM347" s="278">
        <f>'Detailed Budget'!$AD$189</f>
        <v>77498869683.252869</v>
      </c>
      <c r="CN347" s="275">
        <f t="shared" si="430"/>
        <v>0</v>
      </c>
      <c r="CO347" s="140">
        <f>'Detailed Budget'!$AD$191</f>
        <v>2684962805.4134097</v>
      </c>
      <c r="CP347" s="616">
        <f t="shared" si="431"/>
        <v>0</v>
      </c>
      <c r="CQ347" s="616">
        <f t="shared" si="432"/>
        <v>0</v>
      </c>
      <c r="CR347" s="199">
        <f>'Detailed Budget'!$AD$195</f>
        <v>18734176418</v>
      </c>
      <c r="CS347" s="275">
        <f t="shared" si="452"/>
        <v>20723035.251061819</v>
      </c>
      <c r="CW347" s="278"/>
      <c r="DH347" s="140">
        <f>'Detailed Budget'!$AD$163</f>
        <v>4928560000</v>
      </c>
      <c r="DI347" s="616">
        <f t="shared" si="453"/>
        <v>5600000</v>
      </c>
    </row>
    <row r="348" spans="1:113" outlineLevel="1">
      <c r="A348" s="214" t="s">
        <v>828</v>
      </c>
      <c r="B348" s="215" t="s">
        <v>829</v>
      </c>
      <c r="C348" s="216" t="s">
        <v>234</v>
      </c>
      <c r="D348" s="217" t="s">
        <v>234</v>
      </c>
      <c r="E348" s="216"/>
      <c r="F348" s="216"/>
      <c r="G348" s="216"/>
      <c r="H348" s="216" t="s">
        <v>234</v>
      </c>
      <c r="I348" s="217" t="s">
        <v>234</v>
      </c>
      <c r="J348" s="217"/>
      <c r="K348" s="216"/>
      <c r="L348" s="216"/>
      <c r="M348" s="217" t="s">
        <v>234</v>
      </c>
      <c r="N348" s="216"/>
      <c r="O348" s="217"/>
      <c r="P348" s="216"/>
      <c r="Q348" s="217" t="s">
        <v>234</v>
      </c>
      <c r="R348" s="217"/>
      <c r="S348" s="217"/>
      <c r="T348" s="216"/>
      <c r="U348" s="218">
        <f t="shared" si="442"/>
        <v>6</v>
      </c>
      <c r="V348" s="867" t="s">
        <v>284</v>
      </c>
      <c r="W348" s="219">
        <v>418759</v>
      </c>
      <c r="X348" s="220">
        <v>3.36</v>
      </c>
      <c r="Y348" s="221">
        <f t="shared" si="379"/>
        <v>1.0336000000000001</v>
      </c>
      <c r="Z348" s="199">
        <v>19</v>
      </c>
      <c r="AA348" s="221">
        <f t="shared" si="380"/>
        <v>1.873689022502546</v>
      </c>
      <c r="AB348" s="199">
        <f t="shared" si="415"/>
        <v>784624.14137414366</v>
      </c>
      <c r="AC348">
        <v>19.3</v>
      </c>
      <c r="AD348" s="199">
        <f t="shared" si="416"/>
        <v>151432.45928520974</v>
      </c>
      <c r="AE348" s="199">
        <f t="shared" si="399"/>
        <v>143860.83632094925</v>
      </c>
      <c r="AF348" s="199">
        <f t="shared" si="435"/>
        <v>143860.83632094925</v>
      </c>
      <c r="AG348" s="614">
        <f t="shared" si="434"/>
        <v>6.651493510575506E-3</v>
      </c>
      <c r="AH348" s="199">
        <f t="shared" si="454"/>
        <v>39231.207068707183</v>
      </c>
      <c r="AI348" s="252">
        <f t="shared" si="417"/>
        <v>3.0391821705280588E-3</v>
      </c>
      <c r="AJ348" s="199">
        <f t="shared" si="418"/>
        <v>190663.66635391692</v>
      </c>
      <c r="AK348" s="199">
        <f t="shared" si="437"/>
        <v>31384.965654965748</v>
      </c>
      <c r="AL348" s="199">
        <f t="shared" si="438"/>
        <v>31384.965654965748</v>
      </c>
      <c r="AM348" s="199">
        <f t="shared" si="419"/>
        <v>62769.931309931497</v>
      </c>
      <c r="AN348" s="645">
        <f t="shared" si="420"/>
        <v>3.0391821705280588E-3</v>
      </c>
      <c r="AO348" s="199">
        <v>12</v>
      </c>
      <c r="AP348" s="250">
        <f t="shared" si="421"/>
        <v>1.3634814225656176E-3</v>
      </c>
      <c r="AQ348" s="199">
        <v>12</v>
      </c>
      <c r="AU348" s="199">
        <v>1</v>
      </c>
      <c r="AV348" s="199">
        <f t="shared" si="443"/>
        <v>435902.29277084162</v>
      </c>
      <c r="AW348" s="250">
        <f t="shared" si="422"/>
        <v>1.2546124690290702E-2</v>
      </c>
      <c r="AX348" s="199">
        <v>0</v>
      </c>
      <c r="AY348" s="199">
        <f t="shared" si="444"/>
        <v>54649.158048398967</v>
      </c>
      <c r="AZ348" s="199">
        <f t="shared" si="423"/>
        <v>0</v>
      </c>
      <c r="BA348" s="252">
        <f t="shared" si="424"/>
        <v>0</v>
      </c>
      <c r="BB348" s="284">
        <v>1</v>
      </c>
      <c r="BC348" s="199">
        <f t="shared" si="445"/>
        <v>109031.37068535101</v>
      </c>
      <c r="BD348" s="270">
        <f t="shared" si="440"/>
        <v>9.819048343760085E-3</v>
      </c>
      <c r="BE348" s="199">
        <f t="shared" si="446"/>
        <v>466411.97459844599</v>
      </c>
      <c r="BF348" s="251">
        <f t="shared" si="441"/>
        <v>9.8190485619578053E-3</v>
      </c>
      <c r="BG348" s="204">
        <f t="shared" si="383"/>
        <v>575443.34528379701</v>
      </c>
      <c r="BH348" s="636">
        <v>0</v>
      </c>
      <c r="BI348" s="199">
        <f t="shared" si="425"/>
        <v>240094.98726048798</v>
      </c>
      <c r="BJ348" s="199">
        <f t="shared" si="426"/>
        <v>480189.97452097596</v>
      </c>
      <c r="BK348" s="199">
        <f t="shared" si="433"/>
        <v>720284.96178146394</v>
      </c>
      <c r="BL348" s="251">
        <f t="shared" si="427"/>
        <v>3.0391821705280588E-3</v>
      </c>
      <c r="BM348" s="199">
        <f t="shared" si="447"/>
        <v>61483.092663298827</v>
      </c>
      <c r="BN348" s="251">
        <f t="shared" si="428"/>
        <v>2.6550311502788128E-3</v>
      </c>
      <c r="BT348" s="199">
        <f>'Detailed Budget'!$AD$12</f>
        <v>194045122715</v>
      </c>
      <c r="BU348" s="199">
        <f>'Detailed Budget'!$AD$24</f>
        <v>194045122715</v>
      </c>
      <c r="BV348" s="596">
        <f t="shared" si="448"/>
        <v>1.2546124690290702E-2</v>
      </c>
      <c r="BW348" s="278"/>
      <c r="BX348" s="275">
        <f t="shared" si="397"/>
        <v>2434514305.1251507</v>
      </c>
      <c r="BY348" s="275">
        <f t="shared" si="398"/>
        <v>2434514305.1251507</v>
      </c>
      <c r="CA348" s="199">
        <f>'Detailed Budget'!$AD$96</f>
        <v>71050111380.677719</v>
      </c>
      <c r="CB348" s="275">
        <f t="shared" si="429"/>
        <v>0</v>
      </c>
      <c r="CE348" s="199">
        <f>'Detailed Budget'!$AD$175</f>
        <v>4330586076.5988197</v>
      </c>
      <c r="CF348" s="275">
        <f t="shared" si="449"/>
        <v>42522234.042938128</v>
      </c>
      <c r="CG348" s="199">
        <f>'Detailed Budget'!$AD$176</f>
        <v>20662817754.37001</v>
      </c>
      <c r="CH348" s="275">
        <f t="shared" si="450"/>
        <v>202889210.95704305</v>
      </c>
      <c r="CI348" s="275">
        <f t="shared" si="410"/>
        <v>245411444.99998116</v>
      </c>
      <c r="CJ348" s="275">
        <f>'Detailed Budget'!$AD$178</f>
        <v>46025131033.061455</v>
      </c>
      <c r="CK348" s="275">
        <f t="shared" si="451"/>
        <v>306135860.3897956</v>
      </c>
      <c r="CL348" s="275">
        <f t="shared" si="436"/>
        <v>551547305.38977671</v>
      </c>
      <c r="CM348" s="278">
        <f>'Detailed Budget'!$AD$189</f>
        <v>77498869683.252869</v>
      </c>
      <c r="CN348" s="275">
        <f t="shared" si="430"/>
        <v>0</v>
      </c>
      <c r="CO348" s="140">
        <f>'Detailed Budget'!$AD$191</f>
        <v>2684962805.4134097</v>
      </c>
      <c r="CP348" s="616">
        <f t="shared" si="431"/>
        <v>0</v>
      </c>
      <c r="CQ348" s="616">
        <f t="shared" si="432"/>
        <v>0</v>
      </c>
      <c r="CR348" s="199">
        <f>'Detailed Budget'!$AD$195</f>
        <v>18734176418</v>
      </c>
      <c r="CS348" s="275">
        <f t="shared" si="452"/>
        <v>49739821.964608751</v>
      </c>
      <c r="CW348" s="278"/>
      <c r="DH348" s="140">
        <f>'Detailed Budget'!$AD$163</f>
        <v>4928560000</v>
      </c>
      <c r="DI348" s="616">
        <f t="shared" si="453"/>
        <v>6720000</v>
      </c>
    </row>
    <row r="349" spans="1:113" outlineLevel="1">
      <c r="A349" s="214" t="s">
        <v>830</v>
      </c>
      <c r="B349" s="215" t="s">
        <v>831</v>
      </c>
      <c r="C349" s="216" t="s">
        <v>234</v>
      </c>
      <c r="D349" s="217" t="s">
        <v>234</v>
      </c>
      <c r="E349" s="216"/>
      <c r="F349" s="216"/>
      <c r="G349" s="216"/>
      <c r="H349" s="216" t="s">
        <v>234</v>
      </c>
      <c r="I349" s="217" t="s">
        <v>234</v>
      </c>
      <c r="J349" s="217"/>
      <c r="K349" s="216" t="s">
        <v>234</v>
      </c>
      <c r="L349" s="216"/>
      <c r="M349" s="217"/>
      <c r="N349" s="216"/>
      <c r="O349" s="217"/>
      <c r="P349" s="216"/>
      <c r="Q349" s="217"/>
      <c r="R349" s="217" t="s">
        <v>234</v>
      </c>
      <c r="S349" s="217"/>
      <c r="T349" s="216"/>
      <c r="U349" s="218">
        <f t="shared" si="442"/>
        <v>6</v>
      </c>
      <c r="V349" s="867" t="s">
        <v>238</v>
      </c>
      <c r="W349" s="219">
        <v>210474</v>
      </c>
      <c r="X349" s="220">
        <v>3.36</v>
      </c>
      <c r="Y349" s="221">
        <f t="shared" si="379"/>
        <v>1.0336000000000001</v>
      </c>
      <c r="Z349" s="199">
        <v>19</v>
      </c>
      <c r="AA349" s="221">
        <f t="shared" si="380"/>
        <v>1.873689022502546</v>
      </c>
      <c r="AB349" s="199">
        <f t="shared" si="415"/>
        <v>394362.82332220086</v>
      </c>
      <c r="AC349">
        <v>19.3</v>
      </c>
      <c r="AD349" s="199">
        <f t="shared" si="416"/>
        <v>76112.024901184763</v>
      </c>
      <c r="AE349" s="199">
        <f t="shared" si="399"/>
        <v>72306.423656125524</v>
      </c>
      <c r="AF349" s="199">
        <f t="shared" si="435"/>
        <v>72306.423656125524</v>
      </c>
      <c r="AG349" s="614">
        <f t="shared" si="434"/>
        <v>3.3431315987115951E-3</v>
      </c>
      <c r="AH349" s="199">
        <f t="shared" si="454"/>
        <v>19718.141166110043</v>
      </c>
      <c r="AI349" s="252">
        <f t="shared" si="417"/>
        <v>1.5275345202365146E-3</v>
      </c>
      <c r="AJ349" s="199">
        <f t="shared" si="418"/>
        <v>95830.166067294806</v>
      </c>
      <c r="AK349" s="199">
        <f t="shared" si="437"/>
        <v>15774.512932888034</v>
      </c>
      <c r="AL349" s="199">
        <f t="shared" si="438"/>
        <v>15774.512932888034</v>
      </c>
      <c r="AM349" s="199">
        <f t="shared" si="419"/>
        <v>31549.025865776068</v>
      </c>
      <c r="AN349" s="645">
        <f t="shared" si="420"/>
        <v>1.5275345202365146E-3</v>
      </c>
      <c r="AO349" s="199">
        <v>10</v>
      </c>
      <c r="AP349" s="250">
        <f t="shared" si="421"/>
        <v>1.1362345188046814E-3</v>
      </c>
      <c r="AQ349" s="199">
        <v>10</v>
      </c>
      <c r="AU349" s="199">
        <v>1</v>
      </c>
      <c r="AV349" s="199">
        <f t="shared" si="443"/>
        <v>219090.45338404694</v>
      </c>
      <c r="AW349" s="250">
        <f t="shared" si="422"/>
        <v>6.3058538397126867E-3</v>
      </c>
      <c r="AX349" s="199">
        <v>0</v>
      </c>
      <c r="AY349" s="199">
        <f t="shared" si="444"/>
        <v>27467.414171584904</v>
      </c>
      <c r="AZ349" s="199">
        <f t="shared" si="423"/>
        <v>0</v>
      </c>
      <c r="BA349" s="252">
        <f t="shared" si="424"/>
        <v>0</v>
      </c>
      <c r="BB349" s="284">
        <v>1</v>
      </c>
      <c r="BC349" s="199">
        <f t="shared" si="445"/>
        <v>54800.657928853027</v>
      </c>
      <c r="BD349" s="270">
        <f t="shared" si="440"/>
        <v>4.9351879747171036E-3</v>
      </c>
      <c r="BE349" s="199">
        <f t="shared" si="446"/>
        <v>234425.03669564906</v>
      </c>
      <c r="BF349" s="251">
        <f t="shared" si="441"/>
        <v>4.9351880843862619E-3</v>
      </c>
      <c r="BG349" s="204">
        <f t="shared" si="383"/>
        <v>289225.6946245021</v>
      </c>
      <c r="BH349" s="636">
        <v>0</v>
      </c>
      <c r="BI349" s="199">
        <f t="shared" si="425"/>
        <v>120675.02393659344</v>
      </c>
      <c r="BJ349" s="199">
        <f t="shared" si="426"/>
        <v>241350.04787318688</v>
      </c>
      <c r="BK349" s="199">
        <f t="shared" si="433"/>
        <v>362025.07180978032</v>
      </c>
      <c r="BL349" s="251">
        <f t="shared" si="427"/>
        <v>1.5275345202365143E-3</v>
      </c>
      <c r="BM349" s="199">
        <f t="shared" si="447"/>
        <v>30902.243164242816</v>
      </c>
      <c r="BN349" s="251">
        <f t="shared" si="428"/>
        <v>1.3344549641292078E-3</v>
      </c>
      <c r="BT349" s="199">
        <f>'Detailed Budget'!$AD$12</f>
        <v>194045122715</v>
      </c>
      <c r="BU349" s="199">
        <f>'Detailed Budget'!$AD$24</f>
        <v>194045122715</v>
      </c>
      <c r="BV349" s="596">
        <f t="shared" si="448"/>
        <v>6.3058538397126867E-3</v>
      </c>
      <c r="BW349" s="278"/>
      <c r="BX349" s="275">
        <f t="shared" si="397"/>
        <v>1223620182.1499023</v>
      </c>
      <c r="BY349" s="275">
        <f t="shared" si="398"/>
        <v>1223620182.1499023</v>
      </c>
      <c r="CA349" s="199">
        <f>'Detailed Budget'!$AD$96</f>
        <v>71050111380.677719</v>
      </c>
      <c r="CB349" s="275">
        <f t="shared" si="429"/>
        <v>0</v>
      </c>
      <c r="CE349" s="199">
        <f>'Detailed Budget'!$AD$175</f>
        <v>4330586076.5988197</v>
      </c>
      <c r="CF349" s="275">
        <f t="shared" si="449"/>
        <v>21372256.328707818</v>
      </c>
      <c r="CG349" s="199">
        <f>'Detailed Budget'!$AD$176</f>
        <v>20662817754.37001</v>
      </c>
      <c r="CH349" s="275">
        <f t="shared" si="450"/>
        <v>101974891.97121178</v>
      </c>
      <c r="CI349" s="275">
        <f t="shared" si="410"/>
        <v>123347148.29991959</v>
      </c>
      <c r="CJ349" s="275">
        <f>'Detailed Budget'!$AD$178</f>
        <v>46025131033.061455</v>
      </c>
      <c r="CK349" s="275">
        <f t="shared" si="451"/>
        <v>153868069.89146939</v>
      </c>
      <c r="CL349" s="275">
        <f t="shared" si="436"/>
        <v>277215218.19138896</v>
      </c>
      <c r="CM349" s="278">
        <f>'Detailed Budget'!$AD$189</f>
        <v>77498869683.252869</v>
      </c>
      <c r="CN349" s="275">
        <f t="shared" si="430"/>
        <v>0</v>
      </c>
      <c r="CO349" s="140">
        <f>'Detailed Budget'!$AD$191</f>
        <v>2684962805.4134097</v>
      </c>
      <c r="CP349" s="616">
        <f t="shared" si="431"/>
        <v>0</v>
      </c>
      <c r="CQ349" s="616">
        <f t="shared" si="432"/>
        <v>0</v>
      </c>
      <c r="CR349" s="199">
        <f>'Detailed Budget'!$AD$195</f>
        <v>18734176418</v>
      </c>
      <c r="CS349" s="275">
        <f t="shared" si="452"/>
        <v>24999914.719872441</v>
      </c>
      <c r="CW349" s="278"/>
      <c r="DH349" s="140">
        <f>'Detailed Budget'!$AD$163</f>
        <v>4928560000</v>
      </c>
      <c r="DI349" s="616">
        <f t="shared" si="453"/>
        <v>5600000</v>
      </c>
    </row>
    <row r="350" spans="1:113" outlineLevel="1">
      <c r="A350" s="214" t="s">
        <v>832</v>
      </c>
      <c r="B350" s="215" t="s">
        <v>833</v>
      </c>
      <c r="C350" s="216" t="s">
        <v>234</v>
      </c>
      <c r="D350" s="217" t="s">
        <v>234</v>
      </c>
      <c r="E350" s="216"/>
      <c r="F350" s="216"/>
      <c r="G350" s="216"/>
      <c r="H350" s="216" t="s">
        <v>234</v>
      </c>
      <c r="I350" s="217" t="s">
        <v>234</v>
      </c>
      <c r="J350" s="217"/>
      <c r="K350" s="216" t="s">
        <v>234</v>
      </c>
      <c r="L350" s="216"/>
      <c r="M350" s="217"/>
      <c r="N350" s="216"/>
      <c r="O350" s="217"/>
      <c r="P350" s="216"/>
      <c r="Q350" s="217"/>
      <c r="R350" s="217" t="s">
        <v>234</v>
      </c>
      <c r="S350" s="217"/>
      <c r="T350" s="216"/>
      <c r="U350" s="218">
        <f t="shared" si="442"/>
        <v>6</v>
      </c>
      <c r="V350" s="867" t="s">
        <v>238</v>
      </c>
      <c r="W350" s="219">
        <v>225497</v>
      </c>
      <c r="X350" s="220">
        <v>3.36</v>
      </c>
      <c r="Y350" s="221">
        <f t="shared" si="379"/>
        <v>1.0336000000000001</v>
      </c>
      <c r="Z350" s="199">
        <v>19</v>
      </c>
      <c r="AA350" s="221">
        <f t="shared" si="380"/>
        <v>1.873689022502546</v>
      </c>
      <c r="AB350" s="199">
        <f t="shared" si="415"/>
        <v>422511.25350725662</v>
      </c>
      <c r="AC350">
        <v>19.3</v>
      </c>
      <c r="AD350" s="199">
        <f t="shared" si="416"/>
        <v>81544.671926900526</v>
      </c>
      <c r="AE350" s="199">
        <f t="shared" si="399"/>
        <v>77467.438330555495</v>
      </c>
      <c r="AF350" s="199">
        <f t="shared" si="435"/>
        <v>77467.438330555495</v>
      </c>
      <c r="AG350" s="614">
        <f t="shared" si="434"/>
        <v>3.5817542599782802E-3</v>
      </c>
      <c r="AH350" s="199">
        <f t="shared" si="454"/>
        <v>21125.562675362831</v>
      </c>
      <c r="AI350" s="252">
        <f t="shared" si="417"/>
        <v>1.6365653321064519E-3</v>
      </c>
      <c r="AJ350" s="199">
        <f t="shared" si="418"/>
        <v>102670.23460226336</v>
      </c>
      <c r="AK350" s="199">
        <f t="shared" si="437"/>
        <v>16900.450140290264</v>
      </c>
      <c r="AL350" s="199">
        <f t="shared" si="438"/>
        <v>16900.450140290264</v>
      </c>
      <c r="AM350" s="199">
        <f t="shared" si="419"/>
        <v>33800.900280580528</v>
      </c>
      <c r="AN350" s="645">
        <f t="shared" si="420"/>
        <v>1.6365653321064517E-3</v>
      </c>
      <c r="AO350" s="199">
        <v>15</v>
      </c>
      <c r="AP350" s="250">
        <f t="shared" si="421"/>
        <v>1.7043517782070218E-3</v>
      </c>
      <c r="AQ350" s="199">
        <v>15</v>
      </c>
      <c r="AU350" s="199">
        <v>1</v>
      </c>
      <c r="AV350" s="199">
        <f t="shared" si="443"/>
        <v>234728.46986678845</v>
      </c>
      <c r="AW350" s="250">
        <f t="shared" si="422"/>
        <v>6.755946688397102E-3</v>
      </c>
      <c r="AX350" s="199">
        <v>0</v>
      </c>
      <c r="AY350" s="199">
        <f t="shared" si="444"/>
        <v>29427.955440813981</v>
      </c>
      <c r="AZ350" s="199">
        <f t="shared" si="423"/>
        <v>0</v>
      </c>
      <c r="BA350" s="252">
        <f t="shared" si="424"/>
        <v>0</v>
      </c>
      <c r="BB350" s="284">
        <v>1</v>
      </c>
      <c r="BC350" s="199">
        <f t="shared" si="445"/>
        <v>58712.163787368379</v>
      </c>
      <c r="BD350" s="270">
        <f t="shared" si="440"/>
        <v>5.287446823525865E-3</v>
      </c>
      <c r="BE350" s="199">
        <f t="shared" si="446"/>
        <v>251157.58953485361</v>
      </c>
      <c r="BF350" s="251">
        <f t="shared" si="441"/>
        <v>5.2874469410228771E-3</v>
      </c>
      <c r="BG350" s="204">
        <f t="shared" si="383"/>
        <v>309869.75332222198</v>
      </c>
      <c r="BH350" s="636">
        <v>0</v>
      </c>
      <c r="BI350" s="199">
        <f t="shared" si="425"/>
        <v>129288.44357322052</v>
      </c>
      <c r="BJ350" s="199">
        <f t="shared" si="426"/>
        <v>258576.88714644103</v>
      </c>
      <c r="BK350" s="199">
        <f t="shared" si="433"/>
        <v>387865.33071966155</v>
      </c>
      <c r="BL350" s="251">
        <f t="shared" si="427"/>
        <v>1.6365653321064517E-3</v>
      </c>
      <c r="BM350" s="199">
        <f t="shared" si="447"/>
        <v>33107.95217845084</v>
      </c>
      <c r="BN350" s="251">
        <f t="shared" si="428"/>
        <v>1.4297043389978996E-3</v>
      </c>
      <c r="BT350" s="199">
        <f>'Detailed Budget'!$AD$12</f>
        <v>194045122715</v>
      </c>
      <c r="BU350" s="199">
        <f>'Detailed Budget'!$AD$24</f>
        <v>194045122715</v>
      </c>
      <c r="BV350" s="596">
        <f t="shared" si="448"/>
        <v>6.755946688397102E-3</v>
      </c>
      <c r="BW350" s="278"/>
      <c r="BX350" s="275">
        <f t="shared" si="397"/>
        <v>1310958504.2060134</v>
      </c>
      <c r="BY350" s="275">
        <f t="shared" si="398"/>
        <v>1310958504.2060134</v>
      </c>
      <c r="CA350" s="199">
        <f>'Detailed Budget'!$AD$96</f>
        <v>71050111380.677719</v>
      </c>
      <c r="CB350" s="275">
        <f t="shared" si="429"/>
        <v>0</v>
      </c>
      <c r="CE350" s="199">
        <f>'Detailed Budget'!$AD$175</f>
        <v>4330586076.5988197</v>
      </c>
      <c r="CF350" s="275">
        <f t="shared" si="449"/>
        <v>22897743.594717767</v>
      </c>
      <c r="CG350" s="199">
        <f>'Detailed Budget'!$AD$176</f>
        <v>20662817754.37001</v>
      </c>
      <c r="CH350" s="275">
        <f t="shared" si="450"/>
        <v>109253552.52825691</v>
      </c>
      <c r="CI350" s="275">
        <f t="shared" si="410"/>
        <v>132151296.12297468</v>
      </c>
      <c r="CJ350" s="275">
        <f>'Detailed Budget'!$AD$178</f>
        <v>46025131033.061455</v>
      </c>
      <c r="CK350" s="275">
        <f t="shared" si="451"/>
        <v>164850709.14372641</v>
      </c>
      <c r="CL350" s="275">
        <f t="shared" si="436"/>
        <v>297002005.2667011</v>
      </c>
      <c r="CM350" s="278">
        <f>'Detailed Budget'!$AD$189</f>
        <v>77498869683.252869</v>
      </c>
      <c r="CN350" s="275">
        <f t="shared" si="430"/>
        <v>0</v>
      </c>
      <c r="CO350" s="140">
        <f>'Detailed Budget'!$AD$191</f>
        <v>2684962805.4134097</v>
      </c>
      <c r="CP350" s="616">
        <f t="shared" si="431"/>
        <v>0</v>
      </c>
      <c r="CQ350" s="616">
        <f t="shared" si="432"/>
        <v>0</v>
      </c>
      <c r="CR350" s="199">
        <f>'Detailed Budget'!$AD$195</f>
        <v>18734176418</v>
      </c>
      <c r="CS350" s="275">
        <f t="shared" si="452"/>
        <v>26784333.312366728</v>
      </c>
      <c r="CW350" s="278"/>
      <c r="DH350" s="140">
        <f>'Detailed Budget'!$AD$163</f>
        <v>4928560000</v>
      </c>
      <c r="DI350" s="616">
        <f t="shared" si="453"/>
        <v>8400000</v>
      </c>
    </row>
    <row r="351" spans="1:113" outlineLevel="1">
      <c r="A351" s="214" t="s">
        <v>834</v>
      </c>
      <c r="B351" s="215" t="s">
        <v>835</v>
      </c>
      <c r="C351" s="216" t="s">
        <v>234</v>
      </c>
      <c r="D351" s="217" t="s">
        <v>234</v>
      </c>
      <c r="E351" s="216"/>
      <c r="F351" s="216"/>
      <c r="G351" s="216"/>
      <c r="H351" s="216" t="s">
        <v>234</v>
      </c>
      <c r="I351" s="217" t="s">
        <v>234</v>
      </c>
      <c r="J351" s="217"/>
      <c r="K351" s="216" t="s">
        <v>234</v>
      </c>
      <c r="L351" s="216"/>
      <c r="M351" s="217"/>
      <c r="N351" s="216"/>
      <c r="O351" s="217"/>
      <c r="P351" s="216"/>
      <c r="Q351" s="217"/>
      <c r="R351" s="217" t="s">
        <v>234</v>
      </c>
      <c r="S351" s="217"/>
      <c r="T351" s="216"/>
      <c r="U351" s="218">
        <f t="shared" si="442"/>
        <v>6</v>
      </c>
      <c r="V351" s="867" t="s">
        <v>238</v>
      </c>
      <c r="W351" s="219">
        <v>246197</v>
      </c>
      <c r="X351" s="220">
        <v>3.36</v>
      </c>
      <c r="Y351" s="221">
        <f t="shared" si="379"/>
        <v>1.0336000000000001</v>
      </c>
      <c r="Z351" s="199">
        <v>19</v>
      </c>
      <c r="AA351" s="221">
        <f t="shared" si="380"/>
        <v>1.873689022502546</v>
      </c>
      <c r="AB351" s="199">
        <f t="shared" si="415"/>
        <v>461296.61627305934</v>
      </c>
      <c r="AC351">
        <v>19.3</v>
      </c>
      <c r="AD351" s="199">
        <f t="shared" si="416"/>
        <v>89030.246940700454</v>
      </c>
      <c r="AE351" s="199">
        <f t="shared" si="399"/>
        <v>84578.734593665431</v>
      </c>
      <c r="AF351" s="199">
        <f t="shared" si="435"/>
        <v>84578.734593665431</v>
      </c>
      <c r="AG351" s="614">
        <f t="shared" si="434"/>
        <v>3.9105493800089255E-3</v>
      </c>
      <c r="AH351" s="199">
        <f t="shared" si="454"/>
        <v>23064.830813652967</v>
      </c>
      <c r="AI351" s="252">
        <f t="shared" si="417"/>
        <v>1.7867974965015594E-3</v>
      </c>
      <c r="AJ351" s="199">
        <f t="shared" si="418"/>
        <v>112095.07775435342</v>
      </c>
      <c r="AK351" s="199">
        <f t="shared" si="437"/>
        <v>18451.864650922373</v>
      </c>
      <c r="AL351" s="199">
        <f t="shared" si="438"/>
        <v>18451.864650922373</v>
      </c>
      <c r="AM351" s="199">
        <f t="shared" si="419"/>
        <v>36903.729301844745</v>
      </c>
      <c r="AN351" s="645">
        <f t="shared" si="420"/>
        <v>1.7867974965015594E-3</v>
      </c>
      <c r="AO351" s="199">
        <v>11</v>
      </c>
      <c r="AP351" s="250">
        <f t="shared" si="421"/>
        <v>1.2498579706851495E-3</v>
      </c>
      <c r="AQ351" s="199">
        <v>11</v>
      </c>
      <c r="AU351" s="199">
        <v>1</v>
      </c>
      <c r="AV351" s="199">
        <f t="shared" si="443"/>
        <v>256275.89323048075</v>
      </c>
      <c r="AW351" s="250">
        <f t="shared" si="422"/>
        <v>7.3761238812192686E-3</v>
      </c>
      <c r="AX351" s="199">
        <v>0</v>
      </c>
      <c r="AY351" s="199">
        <f t="shared" si="444"/>
        <v>32129.360238327248</v>
      </c>
      <c r="AZ351" s="199">
        <f t="shared" si="423"/>
        <v>0</v>
      </c>
      <c r="BA351" s="252">
        <f t="shared" si="424"/>
        <v>0</v>
      </c>
      <c r="BB351" s="284">
        <v>1</v>
      </c>
      <c r="BC351" s="199">
        <f t="shared" si="445"/>
        <v>64101.777797304327</v>
      </c>
      <c r="BD351" s="270">
        <f t="shared" si="440"/>
        <v>5.7728197963236643E-3</v>
      </c>
      <c r="BE351" s="199">
        <f t="shared" si="446"/>
        <v>274213.1605773574</v>
      </c>
      <c r="BF351" s="251">
        <f t="shared" si="441"/>
        <v>5.7728199246065773E-3</v>
      </c>
      <c r="BG351" s="204">
        <f t="shared" si="383"/>
        <v>338314.93837466172</v>
      </c>
      <c r="BH351" s="636">
        <v>0</v>
      </c>
      <c r="BI351" s="199">
        <f t="shared" si="425"/>
        <v>141156.76457955615</v>
      </c>
      <c r="BJ351" s="199">
        <f t="shared" si="426"/>
        <v>282313.52915911231</v>
      </c>
      <c r="BK351" s="199">
        <f t="shared" si="433"/>
        <v>423470.29373866844</v>
      </c>
      <c r="BL351" s="251">
        <f t="shared" si="427"/>
        <v>1.7867974965015592E-3</v>
      </c>
      <c r="BM351" s="199">
        <f t="shared" si="447"/>
        <v>36147.170483323782</v>
      </c>
      <c r="BN351" s="251">
        <f t="shared" si="428"/>
        <v>1.560947237206109E-3</v>
      </c>
      <c r="BT351" s="199">
        <f>'Detailed Budget'!$AD$12</f>
        <v>194045122715</v>
      </c>
      <c r="BU351" s="199">
        <f>'Detailed Budget'!$AD$24</f>
        <v>194045122715</v>
      </c>
      <c r="BV351" s="596">
        <f t="shared" si="448"/>
        <v>7.3761238812192686E-3</v>
      </c>
      <c r="BW351" s="278"/>
      <c r="BX351" s="275">
        <f t="shared" si="397"/>
        <v>1431300863.692235</v>
      </c>
      <c r="BY351" s="275">
        <f t="shared" si="398"/>
        <v>1431300863.692235</v>
      </c>
      <c r="CA351" s="199">
        <f>'Detailed Budget'!$AD$96</f>
        <v>71050111380.677719</v>
      </c>
      <c r="CB351" s="275">
        <f t="shared" si="429"/>
        <v>0</v>
      </c>
      <c r="CE351" s="199">
        <f>'Detailed Budget'!$AD$175</f>
        <v>4330586076.5988197</v>
      </c>
      <c r="CF351" s="275">
        <f t="shared" si="449"/>
        <v>24999693.032673296</v>
      </c>
      <c r="CG351" s="199">
        <f>'Detailed Budget'!$AD$176</f>
        <v>20662817754.37001</v>
      </c>
      <c r="CH351" s="275">
        <f t="shared" si="450"/>
        <v>119282726.03094172</v>
      </c>
      <c r="CI351" s="275">
        <f t="shared" si="410"/>
        <v>144282419.06361502</v>
      </c>
      <c r="CJ351" s="275">
        <f>'Detailed Budget'!$AD$178</f>
        <v>46025131033.061455</v>
      </c>
      <c r="CK351" s="275">
        <f t="shared" si="451"/>
        <v>179983547.62616804</v>
      </c>
      <c r="CL351" s="275">
        <f t="shared" si="436"/>
        <v>324265966.6897831</v>
      </c>
      <c r="CM351" s="278">
        <f>'Detailed Budget'!$AD$189</f>
        <v>77498869683.252869</v>
      </c>
      <c r="CN351" s="275">
        <f t="shared" si="430"/>
        <v>0</v>
      </c>
      <c r="CO351" s="140">
        <f>'Detailed Budget'!$AD$191</f>
        <v>2684962805.4134097</v>
      </c>
      <c r="CP351" s="616">
        <f t="shared" si="431"/>
        <v>0</v>
      </c>
      <c r="CQ351" s="616">
        <f t="shared" si="432"/>
        <v>0</v>
      </c>
      <c r="CR351" s="199">
        <f>'Detailed Budget'!$AD$195</f>
        <v>18734176418</v>
      </c>
      <c r="CS351" s="275">
        <f t="shared" si="452"/>
        <v>29243060.921008937</v>
      </c>
      <c r="CW351" s="278"/>
      <c r="DH351" s="140">
        <f>'Detailed Budget'!$AD$163</f>
        <v>4928560000</v>
      </c>
      <c r="DI351" s="616">
        <f t="shared" si="453"/>
        <v>6160000</v>
      </c>
    </row>
    <row r="352" spans="1:113" outlineLevel="1">
      <c r="A352" s="214" t="s">
        <v>836</v>
      </c>
      <c r="B352" s="215" t="s">
        <v>837</v>
      </c>
      <c r="C352" s="216" t="s">
        <v>234</v>
      </c>
      <c r="D352" s="217" t="s">
        <v>234</v>
      </c>
      <c r="E352" s="216"/>
      <c r="F352" s="216"/>
      <c r="G352" s="216"/>
      <c r="H352" s="216" t="s">
        <v>234</v>
      </c>
      <c r="I352" s="217" t="s">
        <v>234</v>
      </c>
      <c r="J352" s="217"/>
      <c r="K352" s="216" t="s">
        <v>234</v>
      </c>
      <c r="L352" s="216"/>
      <c r="M352" s="217"/>
      <c r="N352" s="216"/>
      <c r="O352" s="217"/>
      <c r="P352" s="216"/>
      <c r="Q352" s="217"/>
      <c r="R352" s="217" t="s">
        <v>234</v>
      </c>
      <c r="S352" s="217"/>
      <c r="T352" s="216"/>
      <c r="U352" s="218">
        <f t="shared" si="442"/>
        <v>6</v>
      </c>
      <c r="V352" s="867" t="s">
        <v>238</v>
      </c>
      <c r="W352" s="219">
        <v>150645</v>
      </c>
      <c r="X352" s="220">
        <v>3.36</v>
      </c>
      <c r="Y352" s="221">
        <f t="shared" si="379"/>
        <v>1.0336000000000001</v>
      </c>
      <c r="Z352" s="199">
        <v>19</v>
      </c>
      <c r="AA352" s="221">
        <f t="shared" si="380"/>
        <v>1.873689022502546</v>
      </c>
      <c r="AB352" s="199">
        <f t="shared" si="415"/>
        <v>282261.88279489602</v>
      </c>
      <c r="AC352">
        <v>19.3</v>
      </c>
      <c r="AD352" s="199">
        <f t="shared" si="416"/>
        <v>54476.543379414936</v>
      </c>
      <c r="AE352" s="199">
        <f t="shared" si="399"/>
        <v>51752.716210444189</v>
      </c>
      <c r="AF352" s="199">
        <f t="shared" si="435"/>
        <v>51752.716210444189</v>
      </c>
      <c r="AG352" s="614">
        <f t="shared" si="434"/>
        <v>2.3928183988896883E-3</v>
      </c>
      <c r="AH352" s="199">
        <f t="shared" si="454"/>
        <v>14113.094139744802</v>
      </c>
      <c r="AI352" s="252">
        <f t="shared" si="417"/>
        <v>1.0933200195797569E-3</v>
      </c>
      <c r="AJ352" s="199">
        <f t="shared" si="418"/>
        <v>68589.637519159733</v>
      </c>
      <c r="AK352" s="199">
        <f t="shared" si="437"/>
        <v>11290.475311795841</v>
      </c>
      <c r="AL352" s="199">
        <f t="shared" si="438"/>
        <v>11290.475311795841</v>
      </c>
      <c r="AM352" s="199">
        <f t="shared" si="419"/>
        <v>22580.950623591682</v>
      </c>
      <c r="AN352" s="645">
        <f t="shared" si="420"/>
        <v>1.0933200195797567E-3</v>
      </c>
      <c r="AO352" s="199">
        <v>10</v>
      </c>
      <c r="AP352" s="250">
        <f t="shared" si="421"/>
        <v>1.1362345188046814E-3</v>
      </c>
      <c r="AQ352" s="199">
        <v>10</v>
      </c>
      <c r="AU352" s="199">
        <v>1</v>
      </c>
      <c r="AV352" s="199">
        <f t="shared" si="443"/>
        <v>156812.15423301572</v>
      </c>
      <c r="AW352" s="250">
        <f t="shared" si="422"/>
        <v>4.5133619909514602E-3</v>
      </c>
      <c r="AX352" s="199">
        <v>0</v>
      </c>
      <c r="AY352" s="199">
        <f t="shared" si="444"/>
        <v>19659.571290888227</v>
      </c>
      <c r="AZ352" s="199">
        <f t="shared" si="423"/>
        <v>0</v>
      </c>
      <c r="BA352" s="252">
        <f t="shared" si="424"/>
        <v>0</v>
      </c>
      <c r="BB352" s="284">
        <v>1</v>
      </c>
      <c r="BC352" s="199">
        <f t="shared" si="445"/>
        <v>39223.111233178752</v>
      </c>
      <c r="BD352" s="270">
        <f t="shared" si="440"/>
        <v>3.5323193955132614E-3</v>
      </c>
      <c r="BE352" s="199">
        <f t="shared" si="446"/>
        <v>167787.753608598</v>
      </c>
      <c r="BF352" s="251">
        <f t="shared" si="441"/>
        <v>3.5323194740080415E-3</v>
      </c>
      <c r="BG352" s="204">
        <f t="shared" ref="BG352:BG417" si="455">BC352+BE352</f>
        <v>207010.86484177675</v>
      </c>
      <c r="BH352" s="636">
        <v>0</v>
      </c>
      <c r="BI352" s="199">
        <f t="shared" si="425"/>
        <v>86372.136135238194</v>
      </c>
      <c r="BJ352" s="199">
        <f t="shared" si="426"/>
        <v>172744.27227047639</v>
      </c>
      <c r="BK352" s="199">
        <f t="shared" si="433"/>
        <v>259116.40840571458</v>
      </c>
      <c r="BL352" s="251">
        <f t="shared" si="427"/>
        <v>1.0933200195797569E-3</v>
      </c>
      <c r="BM352" s="199">
        <f t="shared" si="447"/>
        <v>22118.021330318039</v>
      </c>
      <c r="BN352" s="251">
        <f t="shared" si="428"/>
        <v>9.5512494688771289E-4</v>
      </c>
      <c r="BT352" s="199">
        <f>'Detailed Budget'!$AD$12</f>
        <v>194045122715</v>
      </c>
      <c r="BU352" s="199">
        <f>'Detailed Budget'!$AD$24</f>
        <v>194045122715</v>
      </c>
      <c r="BV352" s="596">
        <f t="shared" si="448"/>
        <v>4.5133619909514602E-3</v>
      </c>
      <c r="BW352" s="278"/>
      <c r="BX352" s="275">
        <f t="shared" si="397"/>
        <v>875795881.39139283</v>
      </c>
      <c r="BY352" s="275">
        <f t="shared" si="398"/>
        <v>875795881.39139283</v>
      </c>
      <c r="CA352" s="199">
        <f>'Detailed Budget'!$AD$96</f>
        <v>71050111380.677719</v>
      </c>
      <c r="CB352" s="275">
        <f t="shared" si="429"/>
        <v>0</v>
      </c>
      <c r="CE352" s="199">
        <f>'Detailed Budget'!$AD$175</f>
        <v>4330586076.5988197</v>
      </c>
      <c r="CF352" s="275">
        <f t="shared" si="449"/>
        <v>15297013.192309689</v>
      </c>
      <c r="CG352" s="199">
        <f>'Detailed Budget'!$AD$176</f>
        <v>20662817754.37001</v>
      </c>
      <c r="CH352" s="275">
        <f t="shared" si="450"/>
        <v>72987673.541640297</v>
      </c>
      <c r="CI352" s="275">
        <f t="shared" si="410"/>
        <v>88284686.733949989</v>
      </c>
      <c r="CJ352" s="275">
        <f>'Detailed Budget'!$AD$178</f>
        <v>46025131033.061455</v>
      </c>
      <c r="CK352" s="275">
        <f t="shared" si="451"/>
        <v>110129780.34721822</v>
      </c>
      <c r="CL352" s="275">
        <f t="shared" si="436"/>
        <v>198414467.0811682</v>
      </c>
      <c r="CM352" s="278">
        <f>'Detailed Budget'!$AD$189</f>
        <v>77498869683.252869</v>
      </c>
      <c r="CN352" s="275">
        <f t="shared" si="430"/>
        <v>0</v>
      </c>
      <c r="CO352" s="140">
        <f>'Detailed Budget'!$AD$191</f>
        <v>2684962805.4134097</v>
      </c>
      <c r="CP352" s="616">
        <f t="shared" si="431"/>
        <v>0</v>
      </c>
      <c r="CQ352" s="616">
        <f t="shared" si="432"/>
        <v>0</v>
      </c>
      <c r="CR352" s="199">
        <f>'Detailed Budget'!$AD$195</f>
        <v>18734176418</v>
      </c>
      <c r="CS352" s="275">
        <f t="shared" si="452"/>
        <v>17893479.256227292</v>
      </c>
      <c r="CW352" s="278"/>
      <c r="DH352" s="140">
        <f>'Detailed Budget'!$AD$163</f>
        <v>4928560000</v>
      </c>
      <c r="DI352" s="616">
        <f t="shared" si="453"/>
        <v>5600000</v>
      </c>
    </row>
    <row r="353" spans="1:113" outlineLevel="1">
      <c r="A353" s="214" t="s">
        <v>838</v>
      </c>
      <c r="B353" s="215" t="s">
        <v>839</v>
      </c>
      <c r="C353" s="216" t="s">
        <v>234</v>
      </c>
      <c r="D353" s="217" t="s">
        <v>234</v>
      </c>
      <c r="E353" s="216"/>
      <c r="F353" s="216"/>
      <c r="G353" s="216"/>
      <c r="H353" s="216" t="s">
        <v>234</v>
      </c>
      <c r="I353" s="217" t="s">
        <v>234</v>
      </c>
      <c r="J353" s="217"/>
      <c r="K353" s="216"/>
      <c r="L353" s="216"/>
      <c r="M353" s="217" t="s">
        <v>234</v>
      </c>
      <c r="N353" s="216"/>
      <c r="O353" s="217"/>
      <c r="P353" s="216"/>
      <c r="Q353" s="217" t="s">
        <v>234</v>
      </c>
      <c r="R353" s="217"/>
      <c r="S353" s="217"/>
      <c r="T353" s="216"/>
      <c r="U353" s="218">
        <f t="shared" si="442"/>
        <v>6</v>
      </c>
      <c r="V353" s="867" t="s">
        <v>284</v>
      </c>
      <c r="W353" s="219">
        <v>200095</v>
      </c>
      <c r="X353" s="220">
        <v>3.36</v>
      </c>
      <c r="Y353" s="221">
        <f t="shared" ref="Y353:Y418" si="456">1+X353/100</f>
        <v>1.0336000000000001</v>
      </c>
      <c r="Z353" s="199">
        <v>19</v>
      </c>
      <c r="AA353" s="221">
        <f t="shared" ref="AA353:AA418" si="457">POWER(Y353,Z353)</f>
        <v>1.873689022502546</v>
      </c>
      <c r="AB353" s="199">
        <f t="shared" ref="AB353:AB384" si="458">W353*AA353</f>
        <v>374915.80495764693</v>
      </c>
      <c r="AC353">
        <v>19.3</v>
      </c>
      <c r="AD353" s="199">
        <f t="shared" ref="AD353:AD384" si="459">AB353*AC353/100</f>
        <v>72358.750356825854</v>
      </c>
      <c r="AE353" s="199">
        <f t="shared" si="399"/>
        <v>68740.812838984551</v>
      </c>
      <c r="AF353" s="199">
        <f t="shared" si="435"/>
        <v>68740.812838984551</v>
      </c>
      <c r="AG353" s="614">
        <f t="shared" si="434"/>
        <v>3.1782734078517846E-3</v>
      </c>
      <c r="AH353" s="199">
        <f t="shared" si="454"/>
        <v>18745.790247882349</v>
      </c>
      <c r="AI353" s="252">
        <f t="shared" si="417"/>
        <v>1.4522079678569583E-3</v>
      </c>
      <c r="AJ353" s="199">
        <f t="shared" si="418"/>
        <v>91104.540604708207</v>
      </c>
      <c r="AK353" s="199">
        <f t="shared" si="437"/>
        <v>14996.632198305877</v>
      </c>
      <c r="AL353" s="199">
        <f t="shared" si="438"/>
        <v>14996.632198305877</v>
      </c>
      <c r="AM353" s="199">
        <f t="shared" si="419"/>
        <v>29993.264396611754</v>
      </c>
      <c r="AN353" s="645">
        <f t="shared" si="420"/>
        <v>1.4522079678569581E-3</v>
      </c>
      <c r="AO353" s="199">
        <v>10</v>
      </c>
      <c r="AP353" s="250">
        <f t="shared" si="421"/>
        <v>1.1362345188046814E-3</v>
      </c>
      <c r="AQ353" s="199">
        <v>10</v>
      </c>
      <c r="AU353" s="199">
        <v>1</v>
      </c>
      <c r="AV353" s="199">
        <f t="shared" si="443"/>
        <v>208286.5544907251</v>
      </c>
      <c r="AW353" s="250">
        <f t="shared" si="422"/>
        <v>5.9948963960266355E-3</v>
      </c>
      <c r="AX353" s="199">
        <v>0</v>
      </c>
      <c r="AY353" s="199">
        <f t="shared" si="444"/>
        <v>26112.927196058812</v>
      </c>
      <c r="AZ353" s="199">
        <f t="shared" si="423"/>
        <v>0</v>
      </c>
      <c r="BA353" s="252">
        <f t="shared" si="424"/>
        <v>0</v>
      </c>
      <c r="BB353" s="284">
        <v>1</v>
      </c>
      <c r="BC353" s="199">
        <f t="shared" si="445"/>
        <v>52098.300256914612</v>
      </c>
      <c r="BD353" s="270">
        <f t="shared" si="440"/>
        <v>4.6918214971968927E-3</v>
      </c>
      <c r="BE353" s="199">
        <f t="shared" si="446"/>
        <v>222864.95109902363</v>
      </c>
      <c r="BF353" s="251">
        <f t="shared" si="441"/>
        <v>4.6918216014579907E-3</v>
      </c>
      <c r="BG353" s="204">
        <f t="shared" si="455"/>
        <v>274963.25135593826</v>
      </c>
      <c r="BH353" s="636">
        <v>0</v>
      </c>
      <c r="BI353" s="199">
        <f t="shared" si="425"/>
        <v>114724.23631703996</v>
      </c>
      <c r="BJ353" s="199">
        <f t="shared" si="426"/>
        <v>229448.47263407992</v>
      </c>
      <c r="BK353" s="199">
        <f t="shared" si="433"/>
        <v>344172.70895111992</v>
      </c>
      <c r="BL353" s="251">
        <f t="shared" si="427"/>
        <v>1.4522079678569583E-3</v>
      </c>
      <c r="BM353" s="199">
        <f t="shared" si="447"/>
        <v>29378.376169736723</v>
      </c>
      <c r="BN353" s="251">
        <f t="shared" si="428"/>
        <v>1.2686496481628792E-3</v>
      </c>
      <c r="BT353" s="199">
        <f>'Detailed Budget'!$AD$12</f>
        <v>194045122715</v>
      </c>
      <c r="BU353" s="199">
        <f>'Detailed Budget'!$AD$24</f>
        <v>194045122715</v>
      </c>
      <c r="BV353" s="596">
        <f t="shared" si="448"/>
        <v>5.9948963960266355E-3</v>
      </c>
      <c r="BW353" s="278"/>
      <c r="BX353" s="275">
        <f t="shared" si="397"/>
        <v>1163280406.8306997</v>
      </c>
      <c r="BY353" s="275">
        <f t="shared" si="398"/>
        <v>1163280406.8306997</v>
      </c>
      <c r="CA353" s="199">
        <f>'Detailed Budget'!$AD$96</f>
        <v>71050111380.677719</v>
      </c>
      <c r="CB353" s="275">
        <f t="shared" si="429"/>
        <v>0</v>
      </c>
      <c r="CE353" s="199">
        <f>'Detailed Budget'!$AD$175</f>
        <v>4330586076.5988197</v>
      </c>
      <c r="CF353" s="275">
        <f t="shared" si="449"/>
        <v>20318336.849647891</v>
      </c>
      <c r="CG353" s="199">
        <f>'Detailed Budget'!$AD$176</f>
        <v>20662817754.37001</v>
      </c>
      <c r="CH353" s="275">
        <f t="shared" si="450"/>
        <v>96946254.686942905</v>
      </c>
      <c r="CI353" s="275">
        <f t="shared" si="410"/>
        <v>117264591.5365908</v>
      </c>
      <c r="CJ353" s="275">
        <f>'Detailed Budget'!$AD$178</f>
        <v>46025131033.061455</v>
      </c>
      <c r="CK353" s="275">
        <f t="shared" si="451"/>
        <v>146280450.05527315</v>
      </c>
      <c r="CL353" s="275">
        <f t="shared" si="436"/>
        <v>263545041.59186393</v>
      </c>
      <c r="CM353" s="278">
        <f>'Detailed Budget'!$AD$189</f>
        <v>77498869683.252869</v>
      </c>
      <c r="CN353" s="275">
        <f t="shared" si="430"/>
        <v>0</v>
      </c>
      <c r="CO353" s="140">
        <f>'Detailed Budget'!$AD$191</f>
        <v>2684962805.4134097</v>
      </c>
      <c r="CP353" s="616">
        <f t="shared" si="431"/>
        <v>0</v>
      </c>
      <c r="CQ353" s="616">
        <f t="shared" si="432"/>
        <v>0</v>
      </c>
      <c r="CR353" s="199">
        <f>'Detailed Budget'!$AD$195</f>
        <v>18734176418</v>
      </c>
      <c r="CS353" s="275">
        <f t="shared" si="452"/>
        <v>23767106.32131701</v>
      </c>
      <c r="CW353" s="278"/>
      <c r="DH353" s="140">
        <f>'Detailed Budget'!$AD$163</f>
        <v>4928560000</v>
      </c>
      <c r="DI353" s="616">
        <f t="shared" si="453"/>
        <v>5600000</v>
      </c>
    </row>
    <row r="354" spans="1:113" outlineLevel="1">
      <c r="A354" s="214" t="s">
        <v>840</v>
      </c>
      <c r="B354" s="215" t="s">
        <v>841</v>
      </c>
      <c r="C354" s="216" t="s">
        <v>234</v>
      </c>
      <c r="D354" s="217" t="s">
        <v>234</v>
      </c>
      <c r="E354" s="216"/>
      <c r="F354" s="216"/>
      <c r="G354" s="216"/>
      <c r="H354" s="216" t="s">
        <v>234</v>
      </c>
      <c r="I354" s="217" t="s">
        <v>234</v>
      </c>
      <c r="J354" s="217"/>
      <c r="K354" s="216" t="s">
        <v>234</v>
      </c>
      <c r="L354" s="216"/>
      <c r="M354" s="217"/>
      <c r="N354" s="216"/>
      <c r="O354" s="217"/>
      <c r="P354" s="216"/>
      <c r="Q354" s="217"/>
      <c r="R354" s="217" t="s">
        <v>234</v>
      </c>
      <c r="S354" s="217"/>
      <c r="T354" s="216"/>
      <c r="U354" s="218">
        <f t="shared" si="442"/>
        <v>6</v>
      </c>
      <c r="V354" s="867" t="s">
        <v>238</v>
      </c>
      <c r="W354" s="219">
        <v>211204</v>
      </c>
      <c r="X354" s="220">
        <v>3.36</v>
      </c>
      <c r="Y354" s="221">
        <f t="shared" si="456"/>
        <v>1.0336000000000001</v>
      </c>
      <c r="Z354" s="199">
        <v>19</v>
      </c>
      <c r="AA354" s="221">
        <f t="shared" si="457"/>
        <v>1.873689022502546</v>
      </c>
      <c r="AB354" s="199">
        <f t="shared" si="458"/>
        <v>395730.61630862771</v>
      </c>
      <c r="AC354">
        <v>19.3</v>
      </c>
      <c r="AD354" s="199">
        <f t="shared" si="459"/>
        <v>76376.008947565162</v>
      </c>
      <c r="AE354" s="199">
        <f t="shared" si="399"/>
        <v>72557.208500186898</v>
      </c>
      <c r="AF354" s="199">
        <f t="shared" si="435"/>
        <v>72557.208500186898</v>
      </c>
      <c r="AG354" s="614">
        <f t="shared" si="434"/>
        <v>3.3547267889348985E-3</v>
      </c>
      <c r="AH354" s="199">
        <f t="shared" si="454"/>
        <v>19786.530815431386</v>
      </c>
      <c r="AI354" s="252">
        <f t="shared" si="417"/>
        <v>1.5328325627489991E-3</v>
      </c>
      <c r="AJ354" s="199">
        <f t="shared" si="418"/>
        <v>96162.539762996545</v>
      </c>
      <c r="AK354" s="199">
        <f t="shared" si="437"/>
        <v>15829.224652345109</v>
      </c>
      <c r="AL354" s="199">
        <f t="shared" si="438"/>
        <v>15829.224652345109</v>
      </c>
      <c r="AM354" s="199">
        <f t="shared" si="419"/>
        <v>31658.449304690217</v>
      </c>
      <c r="AN354" s="645">
        <f t="shared" si="420"/>
        <v>1.5328325627489991E-3</v>
      </c>
      <c r="AO354" s="199">
        <v>11</v>
      </c>
      <c r="AP354" s="250">
        <f t="shared" si="421"/>
        <v>1.2498579706851495E-3</v>
      </c>
      <c r="AQ354" s="199">
        <v>11</v>
      </c>
      <c r="AU354" s="199">
        <v>1</v>
      </c>
      <c r="AV354" s="199">
        <f t="shared" si="443"/>
        <v>219850.3383625733</v>
      </c>
      <c r="AW354" s="250">
        <f t="shared" si="422"/>
        <v>6.3277248228411978E-3</v>
      </c>
      <c r="AX354" s="199">
        <v>0</v>
      </c>
      <c r="AY354" s="199">
        <f t="shared" si="444"/>
        <v>27562.681104057599</v>
      </c>
      <c r="AZ354" s="199">
        <f t="shared" si="423"/>
        <v>0</v>
      </c>
      <c r="BA354" s="252">
        <f t="shared" si="424"/>
        <v>0</v>
      </c>
      <c r="BB354" s="284">
        <v>1</v>
      </c>
      <c r="BC354" s="199">
        <f t="shared" si="445"/>
        <v>54990.726442246916</v>
      </c>
      <c r="BD354" s="270">
        <f t="shared" si="440"/>
        <v>4.9523049925983796E-3</v>
      </c>
      <c r="BE354" s="199">
        <f t="shared" si="446"/>
        <v>235238.10755850069</v>
      </c>
      <c r="BF354" s="251">
        <f t="shared" si="441"/>
        <v>4.9523051026479107E-3</v>
      </c>
      <c r="BG354" s="204">
        <f t="shared" si="455"/>
        <v>290228.83400074759</v>
      </c>
      <c r="BH354" s="636">
        <v>0</v>
      </c>
      <c r="BI354" s="199">
        <f t="shared" si="425"/>
        <v>121093.56859044009</v>
      </c>
      <c r="BJ354" s="199">
        <f t="shared" si="426"/>
        <v>242187.13718088018</v>
      </c>
      <c r="BK354" s="199">
        <f t="shared" si="433"/>
        <v>363280.70577132027</v>
      </c>
      <c r="BL354" s="251">
        <f t="shared" si="427"/>
        <v>1.5328325627489991E-3</v>
      </c>
      <c r="BM354" s="199">
        <f t="shared" si="447"/>
        <v>31009.423326685199</v>
      </c>
      <c r="BN354" s="251">
        <f t="shared" si="428"/>
        <v>1.3390833368679515E-3</v>
      </c>
      <c r="BT354" s="199">
        <f>'Detailed Budget'!$AD$12</f>
        <v>194045122715</v>
      </c>
      <c r="BU354" s="199">
        <f>'Detailed Budget'!$AD$24</f>
        <v>194045122715</v>
      </c>
      <c r="BV354" s="596">
        <f t="shared" si="448"/>
        <v>6.3277248228411978E-3</v>
      </c>
      <c r="BW354" s="278"/>
      <c r="BX354" s="275">
        <f t="shared" si="397"/>
        <v>1227864139.754972</v>
      </c>
      <c r="BY354" s="275">
        <f t="shared" si="398"/>
        <v>1227864139.754972</v>
      </c>
      <c r="CA354" s="199">
        <f>'Detailed Budget'!$AD$96</f>
        <v>71050111380.677719</v>
      </c>
      <c r="CB354" s="275">
        <f t="shared" si="429"/>
        <v>0</v>
      </c>
      <c r="CE354" s="199">
        <f>'Detailed Budget'!$AD$175</f>
        <v>4330586076.5988197</v>
      </c>
      <c r="CF354" s="275">
        <f t="shared" si="449"/>
        <v>21446383.048017364</v>
      </c>
      <c r="CG354" s="199">
        <f>'Detailed Budget'!$AD$176</f>
        <v>20662817754.37001</v>
      </c>
      <c r="CH354" s="275">
        <f t="shared" si="450"/>
        <v>102328577.80005045</v>
      </c>
      <c r="CI354" s="275">
        <f t="shared" si="410"/>
        <v>123774960.84806782</v>
      </c>
      <c r="CJ354" s="275">
        <f>'Detailed Budget'!$AD$178</f>
        <v>46025131033.061455</v>
      </c>
      <c r="CK354" s="275">
        <f t="shared" si="451"/>
        <v>154401740.04085019</v>
      </c>
      <c r="CL354" s="275">
        <f t="shared" si="436"/>
        <v>278176700.88891804</v>
      </c>
      <c r="CM354" s="278">
        <f>'Detailed Budget'!$AD$189</f>
        <v>77498869683.252869</v>
      </c>
      <c r="CN354" s="275">
        <f t="shared" si="430"/>
        <v>0</v>
      </c>
      <c r="CO354" s="140">
        <f>'Detailed Budget'!$AD$191</f>
        <v>2684962805.4134097</v>
      </c>
      <c r="CP354" s="616">
        <f t="shared" si="431"/>
        <v>0</v>
      </c>
      <c r="CQ354" s="616">
        <f t="shared" si="432"/>
        <v>0</v>
      </c>
      <c r="CR354" s="199">
        <f>'Detailed Budget'!$AD$195</f>
        <v>18734176418</v>
      </c>
      <c r="CS354" s="275">
        <f t="shared" si="452"/>
        <v>25086623.471288327</v>
      </c>
      <c r="CW354" s="278"/>
      <c r="DH354" s="140">
        <f>'Detailed Budget'!$AD$163</f>
        <v>4928560000</v>
      </c>
      <c r="DI354" s="616">
        <f t="shared" si="453"/>
        <v>6160000</v>
      </c>
    </row>
    <row r="355" spans="1:113" outlineLevel="1">
      <c r="A355" s="214" t="s">
        <v>842</v>
      </c>
      <c r="B355" s="215" t="s">
        <v>843</v>
      </c>
      <c r="C355" s="216" t="s">
        <v>234</v>
      </c>
      <c r="D355" s="217" t="s">
        <v>234</v>
      </c>
      <c r="E355" s="216"/>
      <c r="F355" s="216"/>
      <c r="G355" s="216"/>
      <c r="H355" s="216" t="s">
        <v>234</v>
      </c>
      <c r="I355" s="217" t="s">
        <v>234</v>
      </c>
      <c r="J355" s="217"/>
      <c r="K355" s="216" t="s">
        <v>234</v>
      </c>
      <c r="L355" s="216"/>
      <c r="M355" s="217"/>
      <c r="N355" s="216"/>
      <c r="O355" s="217"/>
      <c r="P355" s="216"/>
      <c r="Q355" s="217"/>
      <c r="R355" s="217" t="s">
        <v>234</v>
      </c>
      <c r="S355" s="217"/>
      <c r="T355" s="216"/>
      <c r="U355" s="218">
        <f t="shared" si="442"/>
        <v>6</v>
      </c>
      <c r="V355" s="867" t="s">
        <v>238</v>
      </c>
      <c r="W355" s="219">
        <v>161966</v>
      </c>
      <c r="X355" s="220">
        <v>3.36</v>
      </c>
      <c r="Y355" s="221">
        <f t="shared" si="456"/>
        <v>1.0336000000000001</v>
      </c>
      <c r="Z355" s="199">
        <v>19</v>
      </c>
      <c r="AA355" s="221">
        <f t="shared" si="457"/>
        <v>1.873689022502546</v>
      </c>
      <c r="AB355" s="199">
        <f t="shared" si="458"/>
        <v>303473.91621864738</v>
      </c>
      <c r="AC355">
        <v>19.3</v>
      </c>
      <c r="AD355" s="199">
        <f t="shared" si="459"/>
        <v>58570.465830198948</v>
      </c>
      <c r="AE355" s="199">
        <f t="shared" si="399"/>
        <v>55641.942538689</v>
      </c>
      <c r="AF355" s="199">
        <f t="shared" si="435"/>
        <v>55641.942538689</v>
      </c>
      <c r="AG355" s="614">
        <f t="shared" si="434"/>
        <v>2.5726391502842263E-3</v>
      </c>
      <c r="AH355" s="199">
        <f t="shared" si="454"/>
        <v>15173.69581093237</v>
      </c>
      <c r="AI355" s="252">
        <f t="shared" si="417"/>
        <v>1.1754832240781633E-3</v>
      </c>
      <c r="AJ355" s="199">
        <f t="shared" si="418"/>
        <v>73744.161641131315</v>
      </c>
      <c r="AK355" s="199">
        <f t="shared" si="437"/>
        <v>12138.956648745896</v>
      </c>
      <c r="AL355" s="199">
        <f t="shared" si="438"/>
        <v>12138.956648745896</v>
      </c>
      <c r="AM355" s="199">
        <f t="shared" si="419"/>
        <v>24277.913297491792</v>
      </c>
      <c r="AN355" s="645">
        <f t="shared" si="420"/>
        <v>1.1754832240781633E-3</v>
      </c>
      <c r="AO355" s="199">
        <v>10</v>
      </c>
      <c r="AP355" s="250">
        <f t="shared" si="421"/>
        <v>1.1362345188046814E-3</v>
      </c>
      <c r="AQ355" s="199">
        <v>10</v>
      </c>
      <c r="AU355" s="199">
        <v>1</v>
      </c>
      <c r="AV355" s="199">
        <f t="shared" si="443"/>
        <v>168596.6170301346</v>
      </c>
      <c r="AW355" s="250">
        <f t="shared" si="422"/>
        <v>4.8525419909485499E-3</v>
      </c>
      <c r="AX355" s="199">
        <v>0</v>
      </c>
      <c r="AY355" s="199">
        <f t="shared" si="444"/>
        <v>21136.991760098263</v>
      </c>
      <c r="AZ355" s="199">
        <f t="shared" si="423"/>
        <v>0</v>
      </c>
      <c r="BA355" s="252">
        <f t="shared" si="424"/>
        <v>0</v>
      </c>
      <c r="BB355" s="284">
        <v>1</v>
      </c>
      <c r="BC355" s="199">
        <f t="shared" si="445"/>
        <v>42170.735397743243</v>
      </c>
      <c r="BD355" s="270">
        <f t="shared" si="440"/>
        <v>3.7977738604912277E-3</v>
      </c>
      <c r="BE355" s="199">
        <f t="shared" si="446"/>
        <v>180397.03475701276</v>
      </c>
      <c r="BF355" s="251">
        <f t="shared" si="441"/>
        <v>3.7977739448849051E-3</v>
      </c>
      <c r="BG355" s="204">
        <f t="shared" si="455"/>
        <v>222567.770154756</v>
      </c>
      <c r="BH355" s="636">
        <v>0</v>
      </c>
      <c r="BI355" s="199">
        <f t="shared" si="425"/>
        <v>92863.018362906107</v>
      </c>
      <c r="BJ355" s="199">
        <f t="shared" si="426"/>
        <v>185726.03672581221</v>
      </c>
      <c r="BK355" s="199">
        <f t="shared" si="433"/>
        <v>278589.05508871831</v>
      </c>
      <c r="BL355" s="251">
        <f t="shared" si="427"/>
        <v>1.1754832240781633E-3</v>
      </c>
      <c r="BM355" s="199">
        <f t="shared" si="447"/>
        <v>23780.194781016908</v>
      </c>
      <c r="BN355" s="251">
        <f t="shared" si="428"/>
        <v>1.0269027657580094E-3</v>
      </c>
      <c r="BT355" s="199">
        <f>'Detailed Budget'!$AD$12</f>
        <v>194045122715</v>
      </c>
      <c r="BU355" s="199">
        <f>'Detailed Budget'!$AD$24</f>
        <v>194045122715</v>
      </c>
      <c r="BV355" s="596">
        <f t="shared" si="448"/>
        <v>4.8525419909485499E-3</v>
      </c>
      <c r="BW355" s="278"/>
      <c r="BX355" s="275">
        <f t="shared" si="397"/>
        <v>941612106.11330175</v>
      </c>
      <c r="BY355" s="275">
        <f t="shared" si="398"/>
        <v>941612106.11330175</v>
      </c>
      <c r="CA355" s="199">
        <f>'Detailed Budget'!$AD$96</f>
        <v>71050111380.677719</v>
      </c>
      <c r="CB355" s="275">
        <f t="shared" si="429"/>
        <v>0</v>
      </c>
      <c r="CE355" s="199">
        <f>'Detailed Budget'!$AD$175</f>
        <v>4330586076.5988197</v>
      </c>
      <c r="CF355" s="275">
        <f t="shared" si="449"/>
        <v>16446586.60231426</v>
      </c>
      <c r="CG355" s="199">
        <f>'Detailed Budget'!$AD$176</f>
        <v>20662817754.37001</v>
      </c>
      <c r="CH355" s="275">
        <f t="shared" si="450"/>
        <v>78472710.89545165</v>
      </c>
      <c r="CI355" s="275">
        <f t="shared" si="410"/>
        <v>94919297.497765914</v>
      </c>
      <c r="CJ355" s="275">
        <f>'Detailed Budget'!$AD$178</f>
        <v>46025131033.061455</v>
      </c>
      <c r="CK355" s="275">
        <f t="shared" si="451"/>
        <v>118406053.9926154</v>
      </c>
      <c r="CL355" s="275">
        <f t="shared" si="436"/>
        <v>213325351.4903813</v>
      </c>
      <c r="CM355" s="278">
        <f>'Detailed Budget'!$AD$189</f>
        <v>77498869683.252869</v>
      </c>
      <c r="CN355" s="275">
        <f t="shared" si="430"/>
        <v>0</v>
      </c>
      <c r="CO355" s="140">
        <f>'Detailed Budget'!$AD$191</f>
        <v>2684962805.4134097</v>
      </c>
      <c r="CP355" s="616">
        <f t="shared" si="431"/>
        <v>0</v>
      </c>
      <c r="CQ355" s="616">
        <f t="shared" si="432"/>
        <v>0</v>
      </c>
      <c r="CR355" s="199">
        <f>'Detailed Budget'!$AD$195</f>
        <v>18734176418</v>
      </c>
      <c r="CS355" s="275">
        <f t="shared" si="452"/>
        <v>19238177.577842679</v>
      </c>
      <c r="CW355" s="278"/>
      <c r="DH355" s="140">
        <f>'Detailed Budget'!$AD$163</f>
        <v>4928560000</v>
      </c>
      <c r="DI355" s="616">
        <f t="shared" si="453"/>
        <v>5600000</v>
      </c>
    </row>
    <row r="356" spans="1:113" outlineLevel="1">
      <c r="A356" s="214" t="s">
        <v>844</v>
      </c>
      <c r="B356" s="215" t="s">
        <v>845</v>
      </c>
      <c r="C356" s="216" t="s">
        <v>234</v>
      </c>
      <c r="D356" s="217" t="s">
        <v>234</v>
      </c>
      <c r="E356" s="216"/>
      <c r="F356" s="216"/>
      <c r="G356" s="216"/>
      <c r="H356" s="216" t="s">
        <v>234</v>
      </c>
      <c r="I356" s="217" t="s">
        <v>234</v>
      </c>
      <c r="J356" s="217"/>
      <c r="K356" s="216" t="s">
        <v>234</v>
      </c>
      <c r="L356" s="216"/>
      <c r="M356" s="217"/>
      <c r="N356" s="216"/>
      <c r="O356" s="217"/>
      <c r="P356" s="216"/>
      <c r="Q356" s="217"/>
      <c r="R356" s="217" t="s">
        <v>234</v>
      </c>
      <c r="S356" s="217"/>
      <c r="T356" s="216"/>
      <c r="U356" s="218">
        <f t="shared" si="442"/>
        <v>6</v>
      </c>
      <c r="V356" s="867" t="s">
        <v>238</v>
      </c>
      <c r="W356" s="219">
        <v>118622</v>
      </c>
      <c r="X356" s="220">
        <v>3.36</v>
      </c>
      <c r="Y356" s="221">
        <f t="shared" si="456"/>
        <v>1.0336000000000001</v>
      </c>
      <c r="Z356" s="199">
        <v>19</v>
      </c>
      <c r="AA356" s="221">
        <f t="shared" si="457"/>
        <v>1.873689022502546</v>
      </c>
      <c r="AB356" s="199">
        <f t="shared" si="458"/>
        <v>222260.73922729702</v>
      </c>
      <c r="AC356">
        <v>19.3</v>
      </c>
      <c r="AD356" s="199">
        <f t="shared" si="459"/>
        <v>42896.322670868329</v>
      </c>
      <c r="AE356" s="199">
        <f t="shared" si="399"/>
        <v>40751.506537324909</v>
      </c>
      <c r="AF356" s="199">
        <f t="shared" si="435"/>
        <v>40751.506537324909</v>
      </c>
      <c r="AG356" s="614">
        <f t="shared" si="434"/>
        <v>1.8841707598200579E-3</v>
      </c>
      <c r="AH356" s="199">
        <f t="shared" si="454"/>
        <v>11113.036961364851</v>
      </c>
      <c r="AI356" s="252">
        <f t="shared" si="417"/>
        <v>8.6091013550127729E-4</v>
      </c>
      <c r="AJ356" s="199">
        <f t="shared" si="418"/>
        <v>54009.35963223318</v>
      </c>
      <c r="AK356" s="199">
        <f t="shared" si="437"/>
        <v>8890.4295690918807</v>
      </c>
      <c r="AL356" s="199">
        <f t="shared" si="438"/>
        <v>8890.4295690918807</v>
      </c>
      <c r="AM356" s="199">
        <f t="shared" si="419"/>
        <v>17780.859138183761</v>
      </c>
      <c r="AN356" s="645">
        <f t="shared" si="420"/>
        <v>8.6091013550127729E-4</v>
      </c>
      <c r="AO356" s="199">
        <v>10</v>
      </c>
      <c r="AP356" s="250">
        <f t="shared" si="421"/>
        <v>1.1362345188046814E-3</v>
      </c>
      <c r="AQ356" s="199">
        <v>10</v>
      </c>
      <c r="AU356" s="199">
        <v>1</v>
      </c>
      <c r="AV356" s="199">
        <f t="shared" si="443"/>
        <v>123478.18619555107</v>
      </c>
      <c r="AW356" s="250">
        <f t="shared" si="422"/>
        <v>3.5539448776304829E-3</v>
      </c>
      <c r="AX356" s="199">
        <v>0</v>
      </c>
      <c r="AY356" s="199">
        <f t="shared" si="444"/>
        <v>15480.485018870479</v>
      </c>
      <c r="AZ356" s="199">
        <f t="shared" si="423"/>
        <v>0</v>
      </c>
      <c r="BA356" s="252">
        <f t="shared" si="424"/>
        <v>0</v>
      </c>
      <c r="BB356" s="284">
        <v>1</v>
      </c>
      <c r="BC356" s="199">
        <f t="shared" si="445"/>
        <v>30885.352323025196</v>
      </c>
      <c r="BD356" s="270">
        <f t="shared" si="440"/>
        <v>2.7814450617980957E-3</v>
      </c>
      <c r="BE356" s="199">
        <f t="shared" si="446"/>
        <v>132120.67382627446</v>
      </c>
      <c r="BF356" s="251">
        <f t="shared" si="441"/>
        <v>2.7814451236070365E-3</v>
      </c>
      <c r="BG356" s="204">
        <f t="shared" si="455"/>
        <v>163006.02614929967</v>
      </c>
      <c r="BH356" s="636">
        <v>0</v>
      </c>
      <c r="BI356" s="199">
        <f t="shared" si="425"/>
        <v>68011.786203552881</v>
      </c>
      <c r="BJ356" s="199">
        <f t="shared" si="426"/>
        <v>136023.57240710576</v>
      </c>
      <c r="BK356" s="199">
        <f t="shared" si="433"/>
        <v>204035.35861065864</v>
      </c>
      <c r="BL356" s="251">
        <f t="shared" si="427"/>
        <v>8.6091013550127729E-4</v>
      </c>
      <c r="BM356" s="199">
        <f t="shared" si="447"/>
        <v>17416.335930465575</v>
      </c>
      <c r="BN356" s="251">
        <f t="shared" si="428"/>
        <v>7.5209154933595062E-4</v>
      </c>
      <c r="BT356" s="199">
        <f>'Detailed Budget'!$AD$12</f>
        <v>194045122715</v>
      </c>
      <c r="BU356" s="199">
        <f>'Detailed Budget'!$AD$24</f>
        <v>194045122715</v>
      </c>
      <c r="BV356" s="596">
        <f t="shared" si="448"/>
        <v>3.5539448776304829E-3</v>
      </c>
      <c r="BW356" s="278"/>
      <c r="BX356" s="275">
        <f t="shared" si="397"/>
        <v>689625669.90215266</v>
      </c>
      <c r="BY356" s="275">
        <f t="shared" si="398"/>
        <v>689625669.90215266</v>
      </c>
      <c r="CA356" s="199">
        <f>'Detailed Budget'!$AD$96</f>
        <v>71050111380.677719</v>
      </c>
      <c r="CB356" s="275">
        <f t="shared" si="429"/>
        <v>0</v>
      </c>
      <c r="CE356" s="199">
        <f>'Detailed Budget'!$AD$175</f>
        <v>4330586076.5988197</v>
      </c>
      <c r="CF356" s="275">
        <f t="shared" si="449"/>
        <v>12045287.257447377</v>
      </c>
      <c r="CG356" s="199">
        <f>'Detailed Budget'!$AD$176</f>
        <v>20662817754.37001</v>
      </c>
      <c r="CH356" s="275">
        <f t="shared" si="450"/>
        <v>57472493.682873361</v>
      </c>
      <c r="CI356" s="275">
        <f t="shared" si="410"/>
        <v>69517780.94032073</v>
      </c>
      <c r="CJ356" s="275">
        <f>'Detailed Budget'!$AD$178</f>
        <v>46025131033.061455</v>
      </c>
      <c r="CK356" s="275">
        <f t="shared" si="451"/>
        <v>86719206.109381124</v>
      </c>
      <c r="CL356" s="275">
        <f t="shared" si="436"/>
        <v>156236987.04970187</v>
      </c>
      <c r="CM356" s="278">
        <f>'Detailed Budget'!$AD$189</f>
        <v>77498869683.252869</v>
      </c>
      <c r="CN356" s="275">
        <f t="shared" si="430"/>
        <v>0</v>
      </c>
      <c r="CO356" s="140">
        <f>'Detailed Budget'!$AD$191</f>
        <v>2684962805.4134097</v>
      </c>
      <c r="CP356" s="616">
        <f t="shared" si="431"/>
        <v>0</v>
      </c>
      <c r="CQ356" s="616">
        <f t="shared" si="432"/>
        <v>0</v>
      </c>
      <c r="CR356" s="199">
        <f>'Detailed Budget'!$AD$195</f>
        <v>18734176418</v>
      </c>
      <c r="CS356" s="275">
        <f t="shared" si="452"/>
        <v>14089815.76774665</v>
      </c>
      <c r="CW356" s="278"/>
      <c r="DH356" s="140">
        <f>'Detailed Budget'!$AD$163</f>
        <v>4928560000</v>
      </c>
      <c r="DI356" s="616">
        <f t="shared" si="453"/>
        <v>5600000</v>
      </c>
    </row>
    <row r="357" spans="1:113" outlineLevel="1">
      <c r="A357" s="214" t="s">
        <v>846</v>
      </c>
      <c r="B357" s="215" t="s">
        <v>847</v>
      </c>
      <c r="C357" s="216" t="s">
        <v>234</v>
      </c>
      <c r="D357" s="217" t="s">
        <v>234</v>
      </c>
      <c r="E357" s="216"/>
      <c r="F357" s="216"/>
      <c r="G357" s="216"/>
      <c r="H357" s="216" t="s">
        <v>234</v>
      </c>
      <c r="I357" s="217" t="s">
        <v>234</v>
      </c>
      <c r="J357" s="217"/>
      <c r="K357" s="216" t="s">
        <v>234</v>
      </c>
      <c r="L357" s="216"/>
      <c r="M357" s="217"/>
      <c r="N357" s="216"/>
      <c r="O357" s="217"/>
      <c r="P357" s="216"/>
      <c r="Q357" s="217"/>
      <c r="R357" s="217" t="s">
        <v>234</v>
      </c>
      <c r="S357" s="217"/>
      <c r="T357" s="216"/>
      <c r="U357" s="218">
        <f t="shared" si="442"/>
        <v>6</v>
      </c>
      <c r="V357" s="867" t="s">
        <v>238</v>
      </c>
      <c r="W357" s="219">
        <v>207419</v>
      </c>
      <c r="X357" s="220">
        <v>3.36</v>
      </c>
      <c r="Y357" s="221">
        <f t="shared" si="456"/>
        <v>1.0336000000000001</v>
      </c>
      <c r="Z357" s="199">
        <v>19</v>
      </c>
      <c r="AA357" s="221">
        <f t="shared" si="457"/>
        <v>1.873689022502546</v>
      </c>
      <c r="AB357" s="199">
        <f t="shared" si="458"/>
        <v>388638.70335845556</v>
      </c>
      <c r="AC357">
        <v>19.3</v>
      </c>
      <c r="AD357" s="199">
        <f t="shared" si="459"/>
        <v>75007.26974818192</v>
      </c>
      <c r="AE357" s="199">
        <f t="shared" si="399"/>
        <v>71256.906260772826</v>
      </c>
      <c r="AF357" s="199">
        <f t="shared" si="435"/>
        <v>71256.906260772826</v>
      </c>
      <c r="AG357" s="614">
        <f t="shared" si="434"/>
        <v>3.2946065218181831E-3</v>
      </c>
      <c r="AH357" s="199">
        <f t="shared" si="454"/>
        <v>19431.93516792278</v>
      </c>
      <c r="AI357" s="252">
        <f t="shared" si="417"/>
        <v>1.5053625752013914E-3</v>
      </c>
      <c r="AJ357" s="199">
        <f t="shared" si="418"/>
        <v>94439.204916104703</v>
      </c>
      <c r="AK357" s="199">
        <f t="shared" si="437"/>
        <v>15545.548134338223</v>
      </c>
      <c r="AL357" s="199">
        <f t="shared" si="438"/>
        <v>15545.548134338223</v>
      </c>
      <c r="AM357" s="199">
        <f t="shared" si="419"/>
        <v>31091.096268676447</v>
      </c>
      <c r="AN357" s="645">
        <f t="shared" si="420"/>
        <v>1.5053625752013912E-3</v>
      </c>
      <c r="AO357" s="199">
        <v>10</v>
      </c>
      <c r="AP357" s="250">
        <f t="shared" si="421"/>
        <v>1.1362345188046814E-3</v>
      </c>
      <c r="AQ357" s="199">
        <v>10</v>
      </c>
      <c r="AU357" s="199">
        <v>1</v>
      </c>
      <c r="AV357" s="199">
        <f t="shared" si="443"/>
        <v>215910.38679583053</v>
      </c>
      <c r="AW357" s="250">
        <f t="shared" si="422"/>
        <v>6.2143252733324102E-3</v>
      </c>
      <c r="AX357" s="199">
        <v>0</v>
      </c>
      <c r="AY357" s="199">
        <f t="shared" si="444"/>
        <v>27068.728584319058</v>
      </c>
      <c r="AZ357" s="199">
        <f t="shared" si="423"/>
        <v>0</v>
      </c>
      <c r="BA357" s="252">
        <f t="shared" si="424"/>
        <v>0</v>
      </c>
      <c r="BB357" s="284">
        <v>1</v>
      </c>
      <c r="BC357" s="199">
        <f t="shared" si="445"/>
        <v>54005.234218690981</v>
      </c>
      <c r="BD357" s="270">
        <f t="shared" si="440"/>
        <v>4.8635544272824524E-3</v>
      </c>
      <c r="BE357" s="199">
        <f t="shared" si="446"/>
        <v>231022.39082440033</v>
      </c>
      <c r="BF357" s="251">
        <f t="shared" si="441"/>
        <v>4.863554535359779E-3</v>
      </c>
      <c r="BG357" s="204">
        <f t="shared" si="455"/>
        <v>285027.62504309131</v>
      </c>
      <c r="BH357" s="636">
        <v>0</v>
      </c>
      <c r="BI357" s="199">
        <f t="shared" si="425"/>
        <v>118923.44322768741</v>
      </c>
      <c r="BJ357" s="199">
        <f t="shared" si="426"/>
        <v>237846.88645537483</v>
      </c>
      <c r="BK357" s="199">
        <f t="shared" si="433"/>
        <v>356770.32968306227</v>
      </c>
      <c r="BL357" s="251">
        <f t="shared" si="427"/>
        <v>1.5053625752013914E-3</v>
      </c>
      <c r="BM357" s="199">
        <f t="shared" si="447"/>
        <v>30453.701525528479</v>
      </c>
      <c r="BN357" s="251">
        <f t="shared" si="428"/>
        <v>1.3150855412293971E-3</v>
      </c>
      <c r="BT357" s="199">
        <f>'Detailed Budget'!$AD$12</f>
        <v>194045122715</v>
      </c>
      <c r="BU357" s="199">
        <f>'Detailed Budget'!$AD$24</f>
        <v>194045122715</v>
      </c>
      <c r="BV357" s="596">
        <f t="shared" si="448"/>
        <v>6.2143252733324102E-3</v>
      </c>
      <c r="BW357" s="278"/>
      <c r="BX357" s="275">
        <f t="shared" si="397"/>
        <v>1205859510.2547135</v>
      </c>
      <c r="BY357" s="275">
        <f t="shared" si="398"/>
        <v>1205859510.2547135</v>
      </c>
      <c r="CA357" s="199">
        <f>'Detailed Budget'!$AD$96</f>
        <v>71050111380.677719</v>
      </c>
      <c r="CB357" s="275">
        <f t="shared" si="429"/>
        <v>0</v>
      </c>
      <c r="CE357" s="199">
        <f>'Detailed Budget'!$AD$175</f>
        <v>4330586076.5988197</v>
      </c>
      <c r="CF357" s="275">
        <f t="shared" si="449"/>
        <v>21062041.085569937</v>
      </c>
      <c r="CG357" s="199">
        <f>'Detailed Budget'!$AD$176</f>
        <v>20662817754.37001</v>
      </c>
      <c r="CH357" s="275">
        <f t="shared" si="450"/>
        <v>100494741.00257882</v>
      </c>
      <c r="CI357" s="275">
        <f t="shared" si="410"/>
        <v>121556782.08814876</v>
      </c>
      <c r="CJ357" s="275">
        <f>'Detailed Budget'!$AD$178</f>
        <v>46025131033.061455</v>
      </c>
      <c r="CK357" s="275">
        <f t="shared" si="451"/>
        <v>151634696.86906072</v>
      </c>
      <c r="CL357" s="275">
        <f t="shared" si="436"/>
        <v>273191478.95720947</v>
      </c>
      <c r="CM357" s="278">
        <f>'Detailed Budget'!$AD$189</f>
        <v>77498869683.252869</v>
      </c>
      <c r="CN357" s="275">
        <f t="shared" si="430"/>
        <v>0</v>
      </c>
      <c r="CO357" s="140">
        <f>'Detailed Budget'!$AD$191</f>
        <v>2684962805.4134097</v>
      </c>
      <c r="CP357" s="616">
        <f t="shared" si="431"/>
        <v>0</v>
      </c>
      <c r="CQ357" s="616">
        <f t="shared" si="432"/>
        <v>0</v>
      </c>
      <c r="CR357" s="199">
        <f>'Detailed Budget'!$AD$195</f>
        <v>18734176418</v>
      </c>
      <c r="CS357" s="275">
        <f t="shared" si="452"/>
        <v>24637044.534152538</v>
      </c>
      <c r="CW357" s="278"/>
      <c r="DH357" s="140">
        <f>'Detailed Budget'!$AD$163</f>
        <v>4928560000</v>
      </c>
      <c r="DI357" s="616">
        <f t="shared" si="453"/>
        <v>5600000</v>
      </c>
    </row>
    <row r="358" spans="1:113" outlineLevel="1">
      <c r="A358" s="214" t="s">
        <v>848</v>
      </c>
      <c r="B358" s="215" t="s">
        <v>849</v>
      </c>
      <c r="C358" s="216" t="s">
        <v>234</v>
      </c>
      <c r="D358" s="217" t="s">
        <v>234</v>
      </c>
      <c r="E358" s="216"/>
      <c r="F358" s="216"/>
      <c r="G358" s="216"/>
      <c r="H358" s="216" t="s">
        <v>234</v>
      </c>
      <c r="I358" s="217" t="s">
        <v>234</v>
      </c>
      <c r="J358" s="217"/>
      <c r="K358" s="216" t="s">
        <v>234</v>
      </c>
      <c r="L358" s="216"/>
      <c r="M358" s="217"/>
      <c r="N358" s="216"/>
      <c r="O358" s="217"/>
      <c r="P358" s="216"/>
      <c r="Q358" s="217"/>
      <c r="R358" s="217" t="s">
        <v>234</v>
      </c>
      <c r="S358" s="217"/>
      <c r="T358" s="216"/>
      <c r="U358" s="218">
        <f t="shared" si="442"/>
        <v>6</v>
      </c>
      <c r="V358" s="867" t="s">
        <v>238</v>
      </c>
      <c r="W358" s="219">
        <v>282328</v>
      </c>
      <c r="X358" s="220">
        <v>3.36</v>
      </c>
      <c r="Y358" s="221">
        <f t="shared" si="456"/>
        <v>1.0336000000000001</v>
      </c>
      <c r="Z358" s="199">
        <v>19</v>
      </c>
      <c r="AA358" s="221">
        <f t="shared" si="457"/>
        <v>1.873689022502546</v>
      </c>
      <c r="AB358" s="199">
        <f t="shared" si="458"/>
        <v>528994.87434509885</v>
      </c>
      <c r="AC358">
        <v>19.3</v>
      </c>
      <c r="AD358" s="199">
        <f t="shared" si="459"/>
        <v>102096.01074860409</v>
      </c>
      <c r="AE358" s="199">
        <f t="shared" si="399"/>
        <v>96991.210211173879</v>
      </c>
      <c r="AF358" s="199">
        <f t="shared" si="435"/>
        <v>96991.210211173879</v>
      </c>
      <c r="AG358" s="614">
        <f t="shared" si="434"/>
        <v>4.4844477607735274E-3</v>
      </c>
      <c r="AH358" s="199">
        <f t="shared" si="454"/>
        <v>26449.743717254943</v>
      </c>
      <c r="AI358" s="252">
        <f t="shared" si="417"/>
        <v>2.0490215704996092E-3</v>
      </c>
      <c r="AJ358" s="199">
        <f t="shared" si="418"/>
        <v>128545.75446585903</v>
      </c>
      <c r="AK358" s="199">
        <f t="shared" si="437"/>
        <v>21159.794973803953</v>
      </c>
      <c r="AL358" s="199">
        <f t="shared" si="438"/>
        <v>21159.794973803953</v>
      </c>
      <c r="AM358" s="199">
        <f t="shared" si="419"/>
        <v>42319.589947607907</v>
      </c>
      <c r="AN358" s="645">
        <f t="shared" si="420"/>
        <v>2.0490215704996092E-3</v>
      </c>
      <c r="AO358" s="199">
        <v>11</v>
      </c>
      <c r="AP358" s="250">
        <f t="shared" si="421"/>
        <v>1.2498579706851495E-3</v>
      </c>
      <c r="AQ358" s="199">
        <v>11</v>
      </c>
      <c r="AU358" s="199">
        <v>1</v>
      </c>
      <c r="AV358" s="199">
        <f t="shared" si="443"/>
        <v>293886.03591422795</v>
      </c>
      <c r="AW358" s="250">
        <f t="shared" si="422"/>
        <v>8.4586177050771285E-3</v>
      </c>
      <c r="AX358" s="199">
        <v>0</v>
      </c>
      <c r="AY358" s="199">
        <f t="shared" si="444"/>
        <v>36844.551385136525</v>
      </c>
      <c r="AZ358" s="199">
        <f t="shared" si="423"/>
        <v>0</v>
      </c>
      <c r="BA358" s="252">
        <f t="shared" si="424"/>
        <v>0</v>
      </c>
      <c r="BB358" s="284">
        <v>1</v>
      </c>
      <c r="BC358" s="199">
        <f t="shared" si="445"/>
        <v>73509.127738994939</v>
      </c>
      <c r="BD358" s="270">
        <f t="shared" si="440"/>
        <v>6.6200183895679787E-3</v>
      </c>
      <c r="BE358" s="199">
        <f t="shared" si="446"/>
        <v>314455.71310570062</v>
      </c>
      <c r="BF358" s="251">
        <f t="shared" si="441"/>
        <v>6.6200185366772392E-3</v>
      </c>
      <c r="BG358" s="204">
        <f t="shared" si="455"/>
        <v>387964.84084469557</v>
      </c>
      <c r="BH358" s="636">
        <v>0</v>
      </c>
      <c r="BI358" s="199">
        <f t="shared" si="425"/>
        <v>161872.43154960027</v>
      </c>
      <c r="BJ358" s="199">
        <f t="shared" si="426"/>
        <v>323744.86309920053</v>
      </c>
      <c r="BK358" s="199">
        <f t="shared" si="433"/>
        <v>485617.2946488008</v>
      </c>
      <c r="BL358" s="251">
        <f t="shared" si="427"/>
        <v>2.0490215704996096E-3</v>
      </c>
      <c r="BM358" s="199">
        <f t="shared" si="447"/>
        <v>41452.001235660209</v>
      </c>
      <c r="BN358" s="251">
        <f t="shared" si="428"/>
        <v>1.7900263268274038E-3</v>
      </c>
      <c r="BT358" s="199">
        <f>'Detailed Budget'!$AD$12</f>
        <v>194045122715</v>
      </c>
      <c r="BU358" s="199">
        <f>'Detailed Budget'!$AD$24</f>
        <v>194045122715</v>
      </c>
      <c r="BV358" s="596">
        <f t="shared" si="448"/>
        <v>8.4586177050771285E-3</v>
      </c>
      <c r="BW358" s="278"/>
      <c r="BX358" s="275">
        <f t="shared" ref="BX358:BX424" si="460">BT358*BV358</f>
        <v>1641353510.5809631</v>
      </c>
      <c r="BY358" s="275">
        <f t="shared" ref="BY358:BY424" si="461">BU358*BV358</f>
        <v>1641353510.5809631</v>
      </c>
      <c r="CA358" s="199">
        <f>'Detailed Budget'!$AD$96</f>
        <v>71050111380.677719</v>
      </c>
      <c r="CB358" s="275">
        <f t="shared" si="429"/>
        <v>0</v>
      </c>
      <c r="CE358" s="199">
        <f>'Detailed Budget'!$AD$175</f>
        <v>4330586076.5988197</v>
      </c>
      <c r="CF358" s="275">
        <f t="shared" si="449"/>
        <v>28668559.464691229</v>
      </c>
      <c r="CG358" s="199">
        <f>'Detailed Budget'!$AD$176</f>
        <v>20662817754.37001</v>
      </c>
      <c r="CH358" s="275">
        <f t="shared" si="450"/>
        <v>136788236.55391303</v>
      </c>
      <c r="CI358" s="275">
        <f t="shared" si="410"/>
        <v>165456796.01860425</v>
      </c>
      <c r="CJ358" s="275">
        <f>'Detailed Budget'!$AD$178</f>
        <v>46025131033.061455</v>
      </c>
      <c r="CK358" s="275">
        <f t="shared" si="451"/>
        <v>206397295.80052063</v>
      </c>
      <c r="CL358" s="275">
        <f t="shared" si="436"/>
        <v>371854091.81912488</v>
      </c>
      <c r="CM358" s="278">
        <f>'Detailed Budget'!$AD$189</f>
        <v>77498869683.252869</v>
      </c>
      <c r="CN358" s="275">
        <f t="shared" si="430"/>
        <v>0</v>
      </c>
      <c r="CO358" s="140">
        <f>'Detailed Budget'!$AD$191</f>
        <v>2684962805.4134097</v>
      </c>
      <c r="CP358" s="616">
        <f t="shared" si="431"/>
        <v>0</v>
      </c>
      <c r="CQ358" s="616">
        <f t="shared" si="432"/>
        <v>0</v>
      </c>
      <c r="CR358" s="199">
        <f>'Detailed Budget'!$AD$195</f>
        <v>18734176418</v>
      </c>
      <c r="CS358" s="275">
        <f t="shared" si="452"/>
        <v>33534668.999649107</v>
      </c>
      <c r="CW358" s="278"/>
      <c r="DH358" s="140">
        <f>'Detailed Budget'!$AD$163</f>
        <v>4928560000</v>
      </c>
      <c r="DI358" s="616">
        <f t="shared" si="453"/>
        <v>6160000</v>
      </c>
    </row>
    <row r="359" spans="1:113" outlineLevel="1">
      <c r="A359" s="214" t="s">
        <v>850</v>
      </c>
      <c r="B359" s="215" t="s">
        <v>851</v>
      </c>
      <c r="C359" s="216" t="s">
        <v>234</v>
      </c>
      <c r="D359" s="217" t="s">
        <v>234</v>
      </c>
      <c r="E359" s="216"/>
      <c r="F359" s="216"/>
      <c r="G359" s="216"/>
      <c r="H359" s="216" t="s">
        <v>234</v>
      </c>
      <c r="I359" s="217" t="s">
        <v>234</v>
      </c>
      <c r="J359" s="217"/>
      <c r="K359" s="216" t="s">
        <v>234</v>
      </c>
      <c r="L359" s="216"/>
      <c r="M359" s="217"/>
      <c r="N359" s="216"/>
      <c r="O359" s="217"/>
      <c r="P359" s="216"/>
      <c r="Q359" s="217" t="s">
        <v>234</v>
      </c>
      <c r="R359" s="217"/>
      <c r="S359" s="217"/>
      <c r="T359" s="216"/>
      <c r="U359" s="218">
        <f t="shared" si="442"/>
        <v>6</v>
      </c>
      <c r="V359" s="867" t="s">
        <v>284</v>
      </c>
      <c r="W359" s="219">
        <v>357827</v>
      </c>
      <c r="X359" s="220">
        <v>3.36</v>
      </c>
      <c r="Y359" s="221">
        <f t="shared" si="456"/>
        <v>1.0336000000000001</v>
      </c>
      <c r="Z359" s="199">
        <v>19</v>
      </c>
      <c r="AA359" s="221">
        <f t="shared" si="457"/>
        <v>1.873689022502546</v>
      </c>
      <c r="AB359" s="199">
        <f t="shared" si="458"/>
        <v>670456.52185501857</v>
      </c>
      <c r="AC359">
        <v>19.3</v>
      </c>
      <c r="AD359" s="199">
        <f t="shared" si="459"/>
        <v>129398.10871801859</v>
      </c>
      <c r="AE359" s="199">
        <f t="shared" si="399"/>
        <v>122928.20328211765</v>
      </c>
      <c r="AF359" s="199">
        <f t="shared" si="435"/>
        <v>122928.20328211765</v>
      </c>
      <c r="AG359" s="614">
        <f t="shared" si="434"/>
        <v>5.6836604548408543E-3</v>
      </c>
      <c r="AH359" s="199">
        <f t="shared" si="454"/>
        <v>33522.826092750933</v>
      </c>
      <c r="AI359" s="252">
        <f t="shared" si="417"/>
        <v>2.596962545362712E-3</v>
      </c>
      <c r="AJ359" s="199">
        <f t="shared" si="418"/>
        <v>162920.93481076951</v>
      </c>
      <c r="AK359" s="199">
        <f t="shared" si="437"/>
        <v>26818.260874200743</v>
      </c>
      <c r="AL359" s="199">
        <f t="shared" si="438"/>
        <v>26818.260874200743</v>
      </c>
      <c r="AM359" s="199">
        <f t="shared" si="419"/>
        <v>53636.521748401487</v>
      </c>
      <c r="AN359" s="645">
        <f t="shared" si="420"/>
        <v>2.5969625453627116E-3</v>
      </c>
      <c r="AO359" s="199">
        <v>10</v>
      </c>
      <c r="AP359" s="250">
        <f t="shared" si="421"/>
        <v>1.1362345188046814E-3</v>
      </c>
      <c r="AQ359" s="199">
        <v>10</v>
      </c>
      <c r="AU359" s="199">
        <v>1</v>
      </c>
      <c r="AV359" s="199">
        <f t="shared" si="443"/>
        <v>372475.83864540688</v>
      </c>
      <c r="AW359" s="250">
        <f t="shared" si="422"/>
        <v>1.072058668482982E-2</v>
      </c>
      <c r="AX359" s="199">
        <v>0</v>
      </c>
      <c r="AY359" s="199">
        <f t="shared" si="444"/>
        <v>46697.370747815468</v>
      </c>
      <c r="AZ359" s="199">
        <f t="shared" si="423"/>
        <v>0</v>
      </c>
      <c r="BA359" s="252">
        <f t="shared" si="424"/>
        <v>0</v>
      </c>
      <c r="BB359" s="284">
        <v>1</v>
      </c>
      <c r="BC359" s="199">
        <f t="shared" si="445"/>
        <v>93166.638276973375</v>
      </c>
      <c r="BD359" s="270">
        <f t="shared" si="440"/>
        <v>8.3903166539767253E-3</v>
      </c>
      <c r="BE359" s="199">
        <f t="shared" si="446"/>
        <v>398546.17485149723</v>
      </c>
      <c r="BF359" s="251">
        <f t="shared" si="441"/>
        <v>8.3903168404253423E-3</v>
      </c>
      <c r="BG359" s="204">
        <f t="shared" si="455"/>
        <v>491712.81312847062</v>
      </c>
      <c r="BH359" s="636">
        <v>0</v>
      </c>
      <c r="BI359" s="199">
        <f t="shared" si="425"/>
        <v>205159.69568763571</v>
      </c>
      <c r="BJ359" s="199">
        <f t="shared" si="426"/>
        <v>410319.39137527143</v>
      </c>
      <c r="BK359" s="199">
        <f t="shared" si="433"/>
        <v>615479.08706290717</v>
      </c>
      <c r="BL359" s="251">
        <f t="shared" si="427"/>
        <v>2.596962545362712E-3</v>
      </c>
      <c r="BM359" s="199">
        <f t="shared" si="447"/>
        <v>52536.926008587841</v>
      </c>
      <c r="BN359" s="251">
        <f t="shared" si="428"/>
        <v>2.268707852036176E-3</v>
      </c>
      <c r="BT359" s="199">
        <f>'Detailed Budget'!$AD$12</f>
        <v>194045122715</v>
      </c>
      <c r="BU359" s="199">
        <f>'Detailed Budget'!$AD$24</f>
        <v>194045122715</v>
      </c>
      <c r="BV359" s="596">
        <f t="shared" si="448"/>
        <v>1.072058668482982E-2</v>
      </c>
      <c r="BW359" s="278"/>
      <c r="BX359" s="275">
        <f t="shared" si="460"/>
        <v>2080277558.8345976</v>
      </c>
      <c r="BY359" s="275">
        <f t="shared" si="461"/>
        <v>2080277558.8345976</v>
      </c>
      <c r="CA359" s="199">
        <f>'Detailed Budget'!$AD$96</f>
        <v>71050111380.677719</v>
      </c>
      <c r="CB359" s="275">
        <f t="shared" si="429"/>
        <v>0</v>
      </c>
      <c r="CE359" s="199">
        <f>'Detailed Budget'!$AD$175</f>
        <v>4330586076.5988197</v>
      </c>
      <c r="CF359" s="275">
        <f t="shared" si="449"/>
        <v>36334988.479966804</v>
      </c>
      <c r="CG359" s="199">
        <f>'Detailed Budget'!$AD$176</f>
        <v>20662817754.37001</v>
      </c>
      <c r="CH359" s="275">
        <f t="shared" si="450"/>
        <v>173367587.77513045</v>
      </c>
      <c r="CI359" s="275">
        <f t="shared" si="410"/>
        <v>209702576.25509727</v>
      </c>
      <c r="CJ359" s="275">
        <f>'Detailed Budget'!$AD$178</f>
        <v>46025131033.061455</v>
      </c>
      <c r="CK359" s="275">
        <f t="shared" si="451"/>
        <v>261591217.18147999</v>
      </c>
      <c r="CL359" s="275">
        <f t="shared" si="436"/>
        <v>471293793.43657726</v>
      </c>
      <c r="CM359" s="278">
        <f>'Detailed Budget'!$AD$189</f>
        <v>77498869683.252869</v>
      </c>
      <c r="CN359" s="275">
        <f t="shared" si="430"/>
        <v>0</v>
      </c>
      <c r="CO359" s="140">
        <f>'Detailed Budget'!$AD$191</f>
        <v>2684962805.4134097</v>
      </c>
      <c r="CP359" s="616">
        <f t="shared" si="431"/>
        <v>0</v>
      </c>
      <c r="CQ359" s="616">
        <f t="shared" si="432"/>
        <v>0</v>
      </c>
      <c r="CR359" s="199">
        <f>'Detailed Budget'!$AD$195</f>
        <v>18734176418</v>
      </c>
      <c r="CS359" s="275">
        <f t="shared" si="452"/>
        <v>42502373.140947565</v>
      </c>
      <c r="CW359" s="278"/>
      <c r="DH359" s="140">
        <f>'Detailed Budget'!$AD$163</f>
        <v>4928560000</v>
      </c>
      <c r="DI359" s="616">
        <f t="shared" si="453"/>
        <v>5600000</v>
      </c>
    </row>
    <row r="360" spans="1:113" outlineLevel="1">
      <c r="A360" s="214" t="s">
        <v>852</v>
      </c>
      <c r="B360" s="215" t="s">
        <v>853</v>
      </c>
      <c r="C360" s="216" t="s">
        <v>234</v>
      </c>
      <c r="D360" s="217" t="s">
        <v>234</v>
      </c>
      <c r="E360" s="216"/>
      <c r="F360" s="216"/>
      <c r="G360" s="216"/>
      <c r="H360" s="216" t="s">
        <v>234</v>
      </c>
      <c r="I360" s="217" t="s">
        <v>234</v>
      </c>
      <c r="J360" s="217"/>
      <c r="K360" s="216" t="s">
        <v>234</v>
      </c>
      <c r="L360" s="216"/>
      <c r="M360" s="217"/>
      <c r="N360" s="216"/>
      <c r="O360" s="217"/>
      <c r="P360" s="216"/>
      <c r="Q360" s="217"/>
      <c r="R360" s="217" t="s">
        <v>234</v>
      </c>
      <c r="S360" s="217"/>
      <c r="T360" s="216"/>
      <c r="U360" s="218">
        <f t="shared" si="442"/>
        <v>6</v>
      </c>
      <c r="V360" s="867" t="s">
        <v>238</v>
      </c>
      <c r="W360" s="219">
        <v>183624</v>
      </c>
      <c r="X360" s="220">
        <v>3.36</v>
      </c>
      <c r="Y360" s="221">
        <f t="shared" si="456"/>
        <v>1.0336000000000001</v>
      </c>
      <c r="Z360" s="199">
        <v>19</v>
      </c>
      <c r="AA360" s="221">
        <f t="shared" si="457"/>
        <v>1.873689022502546</v>
      </c>
      <c r="AB360" s="199">
        <f t="shared" si="458"/>
        <v>344054.27306800749</v>
      </c>
      <c r="AC360">
        <v>19.3</v>
      </c>
      <c r="AD360" s="199">
        <f t="shared" si="459"/>
        <v>66402.474702125459</v>
      </c>
      <c r="AE360" s="199">
        <f t="shared" ref="AE360:AE427" si="462">AD360*0.95</f>
        <v>63082.350967019185</v>
      </c>
      <c r="AF360" s="199">
        <f t="shared" si="435"/>
        <v>63082.350967019185</v>
      </c>
      <c r="AG360" s="614">
        <f t="shared" si="434"/>
        <v>2.9166509720051788E-3</v>
      </c>
      <c r="AH360" s="199">
        <f t="shared" si="454"/>
        <v>17202.713653400377</v>
      </c>
      <c r="AI360" s="252">
        <f t="shared" si="417"/>
        <v>1.3326681620718464E-3</v>
      </c>
      <c r="AJ360" s="199">
        <f t="shared" si="418"/>
        <v>83605.188355525839</v>
      </c>
      <c r="AK360" s="199">
        <f t="shared" si="437"/>
        <v>13762.170922720299</v>
      </c>
      <c r="AL360" s="199">
        <f t="shared" si="438"/>
        <v>13762.170922720299</v>
      </c>
      <c r="AM360" s="199">
        <f t="shared" si="419"/>
        <v>27524.341845440598</v>
      </c>
      <c r="AN360" s="645">
        <f t="shared" si="420"/>
        <v>1.3326681620718461E-3</v>
      </c>
      <c r="AO360" s="199">
        <v>10</v>
      </c>
      <c r="AP360" s="250">
        <f t="shared" si="421"/>
        <v>1.1362345188046814E-3</v>
      </c>
      <c r="AQ360" s="199">
        <v>10</v>
      </c>
      <c r="AU360" s="199">
        <v>1</v>
      </c>
      <c r="AV360" s="199">
        <f t="shared" si="443"/>
        <v>191141.25931085186</v>
      </c>
      <c r="AW360" s="250">
        <f t="shared" si="422"/>
        <v>5.5014211040955285E-3</v>
      </c>
      <c r="AX360" s="199">
        <v>0</v>
      </c>
      <c r="AY360" s="199">
        <f t="shared" si="444"/>
        <v>23963.418093651035</v>
      </c>
      <c r="AZ360" s="199">
        <f t="shared" si="423"/>
        <v>0</v>
      </c>
      <c r="BA360" s="252">
        <f t="shared" si="424"/>
        <v>0</v>
      </c>
      <c r="BB360" s="284">
        <v>1</v>
      </c>
      <c r="BC360" s="199">
        <f t="shared" si="445"/>
        <v>47809.781785530329</v>
      </c>
      <c r="BD360" s="270">
        <f t="shared" si="440"/>
        <v>4.305609988261988E-3</v>
      </c>
      <c r="BE360" s="199">
        <f t="shared" si="446"/>
        <v>204519.62208254641</v>
      </c>
      <c r="BF360" s="251">
        <f t="shared" si="441"/>
        <v>4.3056100839407394E-3</v>
      </c>
      <c r="BG360" s="204">
        <f t="shared" si="455"/>
        <v>252329.40386807674</v>
      </c>
      <c r="BH360" s="636">
        <v>0</v>
      </c>
      <c r="BI360" s="199">
        <f t="shared" si="425"/>
        <v>105280.6075588103</v>
      </c>
      <c r="BJ360" s="199">
        <f t="shared" si="426"/>
        <v>210561.2151176206</v>
      </c>
      <c r="BK360" s="199">
        <f t="shared" si="433"/>
        <v>315841.82267643092</v>
      </c>
      <c r="BL360" s="251">
        <f t="shared" si="427"/>
        <v>1.3326681620718464E-3</v>
      </c>
      <c r="BM360" s="199">
        <f t="shared" si="447"/>
        <v>26960.068696327922</v>
      </c>
      <c r="BN360" s="251">
        <f t="shared" si="428"/>
        <v>1.1642196106562408E-3</v>
      </c>
      <c r="BT360" s="199">
        <f>'Detailed Budget'!$AD$12</f>
        <v>194045122715</v>
      </c>
      <c r="BU360" s="199">
        <f>'Detailed Budget'!$AD$24</f>
        <v>194045122715</v>
      </c>
      <c r="BV360" s="596">
        <f t="shared" si="448"/>
        <v>5.5014211040955285E-3</v>
      </c>
      <c r="BW360" s="278"/>
      <c r="BX360" s="275">
        <f t="shared" si="460"/>
        <v>1067523933.2511076</v>
      </c>
      <c r="BY360" s="275">
        <f t="shared" si="461"/>
        <v>1067523933.2511076</v>
      </c>
      <c r="CA360" s="199">
        <f>'Detailed Budget'!$AD$96</f>
        <v>71050111380.677719</v>
      </c>
      <c r="CB360" s="275">
        <f t="shared" si="429"/>
        <v>0</v>
      </c>
      <c r="CE360" s="199">
        <f>'Detailed Budget'!$AD$175</f>
        <v>4330586076.5988197</v>
      </c>
      <c r="CF360" s="275">
        <f t="shared" si="449"/>
        <v>18645814.666432172</v>
      </c>
      <c r="CG360" s="199">
        <f>'Detailed Budget'!$AD$176</f>
        <v>20662817754.37001</v>
      </c>
      <c r="CH360" s="275">
        <f t="shared" si="450"/>
        <v>88966036.485845268</v>
      </c>
      <c r="CI360" s="275">
        <f t="shared" si="410"/>
        <v>107611851.15227744</v>
      </c>
      <c r="CJ360" s="275">
        <f>'Detailed Budget'!$AD$178</f>
        <v>46025131033.061455</v>
      </c>
      <c r="CK360" s="275">
        <f t="shared" si="451"/>
        <v>134239243.16424441</v>
      </c>
      <c r="CL360" s="275">
        <f t="shared" si="436"/>
        <v>241851094.31652185</v>
      </c>
      <c r="CM360" s="278">
        <f>'Detailed Budget'!$AD$189</f>
        <v>77498869683.252869</v>
      </c>
      <c r="CN360" s="275">
        <f t="shared" si="430"/>
        <v>0</v>
      </c>
      <c r="CO360" s="140">
        <f>'Detailed Budget'!$AD$191</f>
        <v>2684962805.4134097</v>
      </c>
      <c r="CP360" s="616">
        <f t="shared" si="431"/>
        <v>0</v>
      </c>
      <c r="CQ360" s="616">
        <f t="shared" si="432"/>
        <v>0</v>
      </c>
      <c r="CR360" s="199">
        <f>'Detailed Budget'!$AD$195</f>
        <v>18734176418</v>
      </c>
      <c r="CS360" s="275">
        <f t="shared" si="452"/>
        <v>21810695.575329289</v>
      </c>
      <c r="CW360" s="278"/>
      <c r="DH360" s="140">
        <f>'Detailed Budget'!$AD$163</f>
        <v>4928560000</v>
      </c>
      <c r="DI360" s="616">
        <f t="shared" si="453"/>
        <v>5600000</v>
      </c>
    </row>
    <row r="361" spans="1:113" outlineLevel="1">
      <c r="A361" s="214" t="s">
        <v>854</v>
      </c>
      <c r="B361" s="215" t="s">
        <v>855</v>
      </c>
      <c r="C361" s="216" t="s">
        <v>234</v>
      </c>
      <c r="D361" s="217" t="s">
        <v>234</v>
      </c>
      <c r="E361" s="216"/>
      <c r="F361" s="216"/>
      <c r="G361" s="216"/>
      <c r="H361" s="216" t="s">
        <v>234</v>
      </c>
      <c r="I361" s="217" t="s">
        <v>234</v>
      </c>
      <c r="J361" s="217"/>
      <c r="K361" s="216" t="s">
        <v>234</v>
      </c>
      <c r="L361" s="216"/>
      <c r="M361" s="217"/>
      <c r="N361" s="216"/>
      <c r="O361" s="217"/>
      <c r="P361" s="216"/>
      <c r="Q361" s="217"/>
      <c r="R361" s="217" t="s">
        <v>234</v>
      </c>
      <c r="S361" s="217"/>
      <c r="T361" s="216"/>
      <c r="U361" s="218">
        <f t="shared" si="442"/>
        <v>6</v>
      </c>
      <c r="V361" s="867" t="s">
        <v>238</v>
      </c>
      <c r="W361" s="219">
        <v>153158</v>
      </c>
      <c r="X361" s="220">
        <v>3.36</v>
      </c>
      <c r="Y361" s="221">
        <f t="shared" si="456"/>
        <v>1.0336000000000001</v>
      </c>
      <c r="Z361" s="199">
        <v>19</v>
      </c>
      <c r="AA361" s="221">
        <f t="shared" si="457"/>
        <v>1.873689022502546</v>
      </c>
      <c r="AB361" s="199">
        <f t="shared" si="458"/>
        <v>286970.46330844495</v>
      </c>
      <c r="AC361">
        <v>19.3</v>
      </c>
      <c r="AD361" s="199">
        <f t="shared" si="459"/>
        <v>55385.299418529874</v>
      </c>
      <c r="AE361" s="199">
        <f t="shared" si="462"/>
        <v>52616.034447603379</v>
      </c>
      <c r="AF361" s="199">
        <f t="shared" si="435"/>
        <v>52616.034447603379</v>
      </c>
      <c r="AG361" s="614">
        <f t="shared" si="434"/>
        <v>2.432734444137853E-3</v>
      </c>
      <c r="AH361" s="199">
        <f t="shared" si="454"/>
        <v>14348.523165422248</v>
      </c>
      <c r="AI361" s="252">
        <f t="shared" si="417"/>
        <v>1.1115583494891727E-3</v>
      </c>
      <c r="AJ361" s="199">
        <f t="shared" si="418"/>
        <v>69733.822583952118</v>
      </c>
      <c r="AK361" s="199">
        <f t="shared" si="437"/>
        <v>11478.818532337798</v>
      </c>
      <c r="AL361" s="199">
        <f t="shared" si="438"/>
        <v>11478.818532337798</v>
      </c>
      <c r="AM361" s="199">
        <f t="shared" si="419"/>
        <v>22957.637064675597</v>
      </c>
      <c r="AN361" s="645">
        <f t="shared" si="420"/>
        <v>1.1115583494891727E-3</v>
      </c>
      <c r="AO361" s="199">
        <v>10</v>
      </c>
      <c r="AP361" s="250">
        <f t="shared" si="421"/>
        <v>1.1362345188046814E-3</v>
      </c>
      <c r="AQ361" s="199">
        <v>10</v>
      </c>
      <c r="AU361" s="199">
        <v>1</v>
      </c>
      <c r="AV361" s="199">
        <f t="shared" si="443"/>
        <v>159428.03224813452</v>
      </c>
      <c r="AW361" s="250">
        <f t="shared" si="422"/>
        <v>4.5886521013650886E-3</v>
      </c>
      <c r="AX361" s="199">
        <v>0</v>
      </c>
      <c r="AY361" s="199">
        <f t="shared" si="444"/>
        <v>19987.524443359282</v>
      </c>
      <c r="AZ361" s="199">
        <f t="shared" si="423"/>
        <v>0</v>
      </c>
      <c r="BA361" s="252">
        <f t="shared" si="424"/>
        <v>0</v>
      </c>
      <c r="BB361" s="284">
        <v>1</v>
      </c>
      <c r="BC361" s="199">
        <f t="shared" si="445"/>
        <v>39877.415581341505</v>
      </c>
      <c r="BD361" s="270">
        <f t="shared" si="440"/>
        <v>3.5912441433703078E-3</v>
      </c>
      <c r="BE361" s="199">
        <f t="shared" si="446"/>
        <v>170586.722209072</v>
      </c>
      <c r="BF361" s="251">
        <f t="shared" si="441"/>
        <v>3.591244223174507E-3</v>
      </c>
      <c r="BG361" s="204">
        <f t="shared" si="455"/>
        <v>210464.13779041352</v>
      </c>
      <c r="BH361" s="636">
        <v>0</v>
      </c>
      <c r="BI361" s="199">
        <f t="shared" si="425"/>
        <v>87812.961772384151</v>
      </c>
      <c r="BJ361" s="199">
        <f t="shared" si="426"/>
        <v>175625.9235447683</v>
      </c>
      <c r="BK361" s="199">
        <f t="shared" si="433"/>
        <v>263438.88531715248</v>
      </c>
      <c r="BL361" s="251">
        <f t="shared" si="427"/>
        <v>1.1115583494891727E-3</v>
      </c>
      <c r="BM361" s="199">
        <f t="shared" si="447"/>
        <v>22486.985368972422</v>
      </c>
      <c r="BN361" s="251">
        <f t="shared" si="428"/>
        <v>9.710579615349221E-4</v>
      </c>
      <c r="BT361" s="199">
        <f>'Detailed Budget'!$AD$12</f>
        <v>194045122715</v>
      </c>
      <c r="BU361" s="199">
        <f>'Detailed Budget'!$AD$24</f>
        <v>194045122715</v>
      </c>
      <c r="BV361" s="596">
        <f t="shared" si="448"/>
        <v>4.5886521013650886E-3</v>
      </c>
      <c r="BW361" s="278"/>
      <c r="BX361" s="275">
        <f t="shared" si="460"/>
        <v>890405560.10583127</v>
      </c>
      <c r="BY361" s="275">
        <f t="shared" si="461"/>
        <v>890405560.10583127</v>
      </c>
      <c r="CA361" s="199">
        <f>'Detailed Budget'!$AD$96</f>
        <v>71050111380.677719</v>
      </c>
      <c r="CB361" s="275">
        <f t="shared" si="429"/>
        <v>0</v>
      </c>
      <c r="CE361" s="199">
        <f>'Detailed Budget'!$AD$175</f>
        <v>4330586076.5988197</v>
      </c>
      <c r="CF361" s="275">
        <f t="shared" si="449"/>
        <v>15552191.88494651</v>
      </c>
      <c r="CG361" s="199">
        <f>'Detailed Budget'!$AD$176</f>
        <v>20662817754.37001</v>
      </c>
      <c r="CH361" s="275">
        <f t="shared" si="450"/>
        <v>74205224.894888937</v>
      </c>
      <c r="CI361" s="275">
        <f t="shared" si="410"/>
        <v>89757416.779835448</v>
      </c>
      <c r="CJ361" s="275">
        <f>'Detailed Budget'!$AD$178</f>
        <v>46025131033.061455</v>
      </c>
      <c r="CK361" s="275">
        <f t="shared" si="451"/>
        <v>111966921.56008661</v>
      </c>
      <c r="CL361" s="275">
        <f t="shared" si="436"/>
        <v>201724338.33992207</v>
      </c>
      <c r="CM361" s="278">
        <f>'Detailed Budget'!$AD$189</f>
        <v>77498869683.252869</v>
      </c>
      <c r="CN361" s="275">
        <f t="shared" si="430"/>
        <v>0</v>
      </c>
      <c r="CO361" s="140">
        <f>'Detailed Budget'!$AD$191</f>
        <v>2684962805.4134097</v>
      </c>
      <c r="CP361" s="616">
        <f t="shared" si="431"/>
        <v>0</v>
      </c>
      <c r="CQ361" s="616">
        <f t="shared" si="432"/>
        <v>0</v>
      </c>
      <c r="CR361" s="199">
        <f>'Detailed Budget'!$AD$195</f>
        <v>18734176418</v>
      </c>
      <c r="CS361" s="275">
        <f t="shared" si="452"/>
        <v>18191971.163498688</v>
      </c>
      <c r="CW361" s="278"/>
      <c r="DH361" s="140">
        <f>'Detailed Budget'!$AD$163</f>
        <v>4928560000</v>
      </c>
      <c r="DI361" s="616">
        <f t="shared" si="453"/>
        <v>5600000</v>
      </c>
    </row>
    <row r="362" spans="1:113" outlineLevel="1">
      <c r="A362" s="214" t="s">
        <v>856</v>
      </c>
      <c r="B362" s="215" t="s">
        <v>857</v>
      </c>
      <c r="C362" s="216" t="s">
        <v>234</v>
      </c>
      <c r="D362" s="217" t="s">
        <v>234</v>
      </c>
      <c r="E362" s="216"/>
      <c r="F362" s="216"/>
      <c r="G362" s="216"/>
      <c r="H362" s="216" t="s">
        <v>234</v>
      </c>
      <c r="I362" s="217" t="s">
        <v>234</v>
      </c>
      <c r="J362" s="217"/>
      <c r="K362" s="216" t="s">
        <v>234</v>
      </c>
      <c r="L362" s="216"/>
      <c r="M362" s="217"/>
      <c r="N362" s="216"/>
      <c r="O362" s="217"/>
      <c r="P362" s="216"/>
      <c r="Q362" s="217" t="s">
        <v>234</v>
      </c>
      <c r="R362" s="217"/>
      <c r="S362" s="217"/>
      <c r="T362" s="216"/>
      <c r="U362" s="218">
        <f t="shared" si="442"/>
        <v>6</v>
      </c>
      <c r="V362" s="867" t="s">
        <v>284</v>
      </c>
      <c r="W362" s="219">
        <v>371243</v>
      </c>
      <c r="X362" s="220">
        <v>3.36</v>
      </c>
      <c r="Y362" s="221">
        <f t="shared" si="456"/>
        <v>1.0336000000000001</v>
      </c>
      <c r="Z362" s="199">
        <v>19</v>
      </c>
      <c r="AA362" s="221">
        <f t="shared" si="457"/>
        <v>1.873689022502546</v>
      </c>
      <c r="AB362" s="199">
        <f t="shared" si="458"/>
        <v>695593.93378091266</v>
      </c>
      <c r="AC362">
        <v>19.3</v>
      </c>
      <c r="AD362" s="199">
        <f t="shared" si="459"/>
        <v>134249.62921971615</v>
      </c>
      <c r="AE362" s="199">
        <f t="shared" si="462"/>
        <v>127537.14775873034</v>
      </c>
      <c r="AF362" s="199">
        <f t="shared" si="435"/>
        <v>127537.14775873034</v>
      </c>
      <c r="AG362" s="614">
        <f t="shared" si="434"/>
        <v>5.8967578137940494E-3</v>
      </c>
      <c r="AH362" s="199">
        <f t="shared" si="454"/>
        <v>34779.696689045632</v>
      </c>
      <c r="AI362" s="252">
        <f t="shared" si="417"/>
        <v>2.6943304061126999E-3</v>
      </c>
      <c r="AJ362" s="199">
        <f t="shared" si="418"/>
        <v>169029.32590876179</v>
      </c>
      <c r="AK362" s="199">
        <f t="shared" si="437"/>
        <v>27823.757351236505</v>
      </c>
      <c r="AL362" s="199">
        <f t="shared" si="438"/>
        <v>27823.757351236505</v>
      </c>
      <c r="AM362" s="199">
        <f t="shared" si="419"/>
        <v>55647.51470247301</v>
      </c>
      <c r="AN362" s="645">
        <f t="shared" si="420"/>
        <v>2.6943304061126999E-3</v>
      </c>
      <c r="AO362" s="199">
        <v>13</v>
      </c>
      <c r="AP362" s="250">
        <f t="shared" si="421"/>
        <v>1.4771048744460858E-3</v>
      </c>
      <c r="AQ362" s="199">
        <v>13</v>
      </c>
      <c r="AU362" s="199">
        <v>1</v>
      </c>
      <c r="AV362" s="199">
        <f t="shared" si="443"/>
        <v>386441.06723706366</v>
      </c>
      <c r="AW362" s="250">
        <f t="shared" si="422"/>
        <v>1.112253341038065E-2</v>
      </c>
      <c r="AX362" s="199">
        <v>0</v>
      </c>
      <c r="AY362" s="199">
        <f t="shared" si="444"/>
        <v>48448.194262957404</v>
      </c>
      <c r="AZ362" s="199">
        <f t="shared" si="423"/>
        <v>0</v>
      </c>
      <c r="BA362" s="252">
        <f t="shared" si="424"/>
        <v>0</v>
      </c>
      <c r="BB362" s="284">
        <v>1</v>
      </c>
      <c r="BC362" s="199">
        <f t="shared" si="445"/>
        <v>96659.733038195627</v>
      </c>
      <c r="BD362" s="270">
        <f t="shared" si="440"/>
        <v>8.7048946154769796E-3</v>
      </c>
      <c r="BE362" s="199">
        <f t="shared" si="446"/>
        <v>413488.85799672577</v>
      </c>
      <c r="BF362" s="251">
        <f t="shared" si="441"/>
        <v>8.7048948089161107E-3</v>
      </c>
      <c r="BG362" s="204">
        <f t="shared" si="455"/>
        <v>510148.59103492141</v>
      </c>
      <c r="BH362" s="636">
        <v>0</v>
      </c>
      <c r="BI362" s="199">
        <f t="shared" si="425"/>
        <v>212851.74373695924</v>
      </c>
      <c r="BJ362" s="199">
        <f t="shared" si="426"/>
        <v>425703.48747391847</v>
      </c>
      <c r="BK362" s="199">
        <f t="shared" si="433"/>
        <v>638555.23121087765</v>
      </c>
      <c r="BL362" s="251">
        <f t="shared" si="427"/>
        <v>2.694330406112699E-3</v>
      </c>
      <c r="BM362" s="199">
        <f t="shared" si="447"/>
        <v>54506.691843282286</v>
      </c>
      <c r="BN362" s="251">
        <f t="shared" si="428"/>
        <v>2.3537684666430033E-3</v>
      </c>
      <c r="BT362" s="199">
        <f>'Detailed Budget'!$AD$12</f>
        <v>194045122715</v>
      </c>
      <c r="BU362" s="199">
        <f>'Detailed Budget'!$AD$24</f>
        <v>194045122715</v>
      </c>
      <c r="BV362" s="596">
        <f t="shared" si="448"/>
        <v>1.112253341038065E-2</v>
      </c>
      <c r="BW362" s="278"/>
      <c r="BX362" s="275">
        <f t="shared" si="460"/>
        <v>2158273360.5190005</v>
      </c>
      <c r="BY362" s="275">
        <f t="shared" si="461"/>
        <v>2158273360.5190005</v>
      </c>
      <c r="CA362" s="199">
        <f>'Detailed Budget'!$AD$96</f>
        <v>71050111380.677719</v>
      </c>
      <c r="CB362" s="275">
        <f t="shared" si="429"/>
        <v>0</v>
      </c>
      <c r="CE362" s="199">
        <f>'Detailed Budget'!$AD$175</f>
        <v>4330586076.5988197</v>
      </c>
      <c r="CF362" s="275">
        <f t="shared" si="449"/>
        <v>37697295.420044646</v>
      </c>
      <c r="CG362" s="199">
        <f>'Detailed Budget'!$AD$176</f>
        <v>20662817754.37001</v>
      </c>
      <c r="CH362" s="275">
        <f t="shared" si="450"/>
        <v>179867655.00759515</v>
      </c>
      <c r="CI362" s="275">
        <f t="shared" si="410"/>
        <v>217564950.42763978</v>
      </c>
      <c r="CJ362" s="275">
        <f>'Detailed Budget'!$AD$178</f>
        <v>46025131033.061455</v>
      </c>
      <c r="CK362" s="275">
        <f t="shared" si="451"/>
        <v>271399051.05010015</v>
      </c>
      <c r="CL362" s="275">
        <f t="shared" si="436"/>
        <v>488964001.47773993</v>
      </c>
      <c r="CM362" s="278">
        <f>'Detailed Budget'!$AD$189</f>
        <v>77498869683.252869</v>
      </c>
      <c r="CN362" s="275">
        <f t="shared" si="430"/>
        <v>0</v>
      </c>
      <c r="CO362" s="140">
        <f>'Detailed Budget'!$AD$191</f>
        <v>2684962805.4134097</v>
      </c>
      <c r="CP362" s="616">
        <f t="shared" si="431"/>
        <v>0</v>
      </c>
      <c r="CQ362" s="616">
        <f t="shared" si="432"/>
        <v>0</v>
      </c>
      <c r="CR362" s="199">
        <f>'Detailed Budget'!$AD$195</f>
        <v>18734176418</v>
      </c>
      <c r="CS362" s="275">
        <f t="shared" si="452"/>
        <v>44095913.701215371</v>
      </c>
      <c r="CW362" s="278"/>
      <c r="DH362" s="140">
        <f>'Detailed Budget'!$AD$163</f>
        <v>4928560000</v>
      </c>
      <c r="DI362" s="616">
        <f t="shared" si="453"/>
        <v>7280000.0000000009</v>
      </c>
    </row>
    <row r="363" spans="1:113" outlineLevel="1">
      <c r="A363" s="214" t="s">
        <v>858</v>
      </c>
      <c r="B363" s="215" t="s">
        <v>859</v>
      </c>
      <c r="C363" s="216" t="s">
        <v>234</v>
      </c>
      <c r="D363" s="217" t="s">
        <v>234</v>
      </c>
      <c r="E363" s="216"/>
      <c r="F363" s="216"/>
      <c r="G363" s="216"/>
      <c r="H363" s="216" t="s">
        <v>234</v>
      </c>
      <c r="I363" s="217" t="s">
        <v>234</v>
      </c>
      <c r="J363" s="217"/>
      <c r="K363" s="216" t="s">
        <v>234</v>
      </c>
      <c r="L363" s="216"/>
      <c r="M363" s="217"/>
      <c r="N363" s="216"/>
      <c r="O363" s="217"/>
      <c r="P363" s="216"/>
      <c r="Q363" s="217"/>
      <c r="R363" s="217" t="s">
        <v>234</v>
      </c>
      <c r="S363" s="217"/>
      <c r="T363" s="216"/>
      <c r="U363" s="218">
        <f t="shared" si="442"/>
        <v>6</v>
      </c>
      <c r="V363" s="867" t="s">
        <v>238</v>
      </c>
      <c r="W363" s="219">
        <v>144045</v>
      </c>
      <c r="X363" s="220">
        <v>3.36</v>
      </c>
      <c r="Y363" s="221">
        <f t="shared" si="456"/>
        <v>1.0336000000000001</v>
      </c>
      <c r="Z363" s="199">
        <v>19</v>
      </c>
      <c r="AA363" s="221">
        <f t="shared" si="457"/>
        <v>1.873689022502546</v>
      </c>
      <c r="AB363" s="199">
        <f t="shared" si="458"/>
        <v>269895.53524637921</v>
      </c>
      <c r="AC363">
        <v>19.3</v>
      </c>
      <c r="AD363" s="199">
        <f t="shared" si="459"/>
        <v>52089.838302551194</v>
      </c>
      <c r="AE363" s="199">
        <f t="shared" si="462"/>
        <v>49485.346387423633</v>
      </c>
      <c r="AF363" s="199">
        <f t="shared" si="435"/>
        <v>49485.346387423633</v>
      </c>
      <c r="AG363" s="614">
        <f t="shared" si="434"/>
        <v>2.2879851722132508E-3</v>
      </c>
      <c r="AH363" s="199">
        <f t="shared" si="454"/>
        <v>13494.776762318961</v>
      </c>
      <c r="AI363" s="252">
        <f t="shared" si="417"/>
        <v>1.045419909192911E-3</v>
      </c>
      <c r="AJ363" s="199">
        <f t="shared" si="418"/>
        <v>65584.615064870159</v>
      </c>
      <c r="AK363" s="199">
        <f t="shared" si="437"/>
        <v>10795.821409855169</v>
      </c>
      <c r="AL363" s="199">
        <f t="shared" si="438"/>
        <v>10795.821409855169</v>
      </c>
      <c r="AM363" s="199">
        <f t="shared" si="419"/>
        <v>21591.642819710338</v>
      </c>
      <c r="AN363" s="645">
        <f t="shared" si="420"/>
        <v>1.045419909192911E-3</v>
      </c>
      <c r="AO363" s="199">
        <v>10</v>
      </c>
      <c r="AP363" s="250">
        <f t="shared" si="421"/>
        <v>1.1362345188046814E-3</v>
      </c>
      <c r="AQ363" s="199">
        <v>10</v>
      </c>
      <c r="AU363" s="199">
        <v>1</v>
      </c>
      <c r="AV363" s="199">
        <f t="shared" si="443"/>
        <v>149941.96127647616</v>
      </c>
      <c r="AW363" s="250">
        <f t="shared" si="422"/>
        <v>4.3156243352690301E-3</v>
      </c>
      <c r="AX363" s="199">
        <v>0</v>
      </c>
      <c r="AY363" s="199">
        <f t="shared" si="444"/>
        <v>18798.253819217327</v>
      </c>
      <c r="AZ363" s="199">
        <f t="shared" si="423"/>
        <v>0</v>
      </c>
      <c r="BA363" s="252">
        <f t="shared" si="424"/>
        <v>0</v>
      </c>
      <c r="BB363" s="284">
        <v>1</v>
      </c>
      <c r="BC363" s="199">
        <f t="shared" si="445"/>
        <v>37504.683577836855</v>
      </c>
      <c r="BD363" s="270">
        <f t="shared" si="440"/>
        <v>3.3775627954907741E-3</v>
      </c>
      <c r="BE363" s="199">
        <f t="shared" si="446"/>
        <v>160436.70197185769</v>
      </c>
      <c r="BF363" s="251">
        <f t="shared" si="441"/>
        <v>3.3775628705465725E-3</v>
      </c>
      <c r="BG363" s="204">
        <f t="shared" si="455"/>
        <v>197941.38554969453</v>
      </c>
      <c r="BH363" s="636">
        <v>0</v>
      </c>
      <c r="BI363" s="199">
        <f t="shared" si="425"/>
        <v>82588.033785392035</v>
      </c>
      <c r="BJ363" s="199">
        <f t="shared" si="426"/>
        <v>165176.06757078407</v>
      </c>
      <c r="BK363" s="199">
        <f t="shared" si="433"/>
        <v>247764.10135617611</v>
      </c>
      <c r="BL363" s="251">
        <f t="shared" si="427"/>
        <v>1.045419909192911E-3</v>
      </c>
      <c r="BM363" s="199">
        <f t="shared" si="447"/>
        <v>21148.99520412667</v>
      </c>
      <c r="BN363" s="251">
        <f t="shared" si="428"/>
        <v>9.1327938514016804E-4</v>
      </c>
      <c r="BT363" s="199">
        <f>'Detailed Budget'!$AD$12</f>
        <v>194045122715</v>
      </c>
      <c r="BU363" s="199">
        <f>'Detailed Budget'!$AD$24</f>
        <v>194045122715</v>
      </c>
      <c r="BV363" s="596">
        <f t="shared" si="448"/>
        <v>4.3156243352690301E-3</v>
      </c>
      <c r="BW363" s="278"/>
      <c r="BX363" s="275">
        <f t="shared" si="460"/>
        <v>837425853.7291193</v>
      </c>
      <c r="BY363" s="275">
        <f t="shared" si="461"/>
        <v>837425853.7291193</v>
      </c>
      <c r="CA363" s="199">
        <f>'Detailed Budget'!$AD$96</f>
        <v>71050111380.677719</v>
      </c>
      <c r="CB363" s="275">
        <f t="shared" si="429"/>
        <v>0</v>
      </c>
      <c r="CE363" s="199">
        <f>'Detailed Budget'!$AD$175</f>
        <v>4330586076.5988197</v>
      </c>
      <c r="CF363" s="275">
        <f t="shared" si="449"/>
        <v>14626826.414990533</v>
      </c>
      <c r="CG363" s="199">
        <f>'Detailed Budget'!$AD$176</f>
        <v>20662817754.37001</v>
      </c>
      <c r="CH363" s="275">
        <f t="shared" si="450"/>
        <v>69789966.04803066</v>
      </c>
      <c r="CI363" s="275">
        <f t="shared" si="410"/>
        <v>84416792.463021189</v>
      </c>
      <c r="CJ363" s="275">
        <f>'Detailed Budget'!$AD$178</f>
        <v>46025131033.061455</v>
      </c>
      <c r="CK363" s="275">
        <f t="shared" si="451"/>
        <v>105304817.35281655</v>
      </c>
      <c r="CL363" s="275">
        <f t="shared" si="436"/>
        <v>189721609.81583774</v>
      </c>
      <c r="CM363" s="278">
        <f>'Detailed Budget'!$AD$189</f>
        <v>77498869683.252869</v>
      </c>
      <c r="CN363" s="275">
        <f t="shared" si="430"/>
        <v>0</v>
      </c>
      <c r="CO363" s="140">
        <f>'Detailed Budget'!$AD$191</f>
        <v>2684962805.4134097</v>
      </c>
      <c r="CP363" s="616">
        <f t="shared" si="431"/>
        <v>0</v>
      </c>
      <c r="CQ363" s="616">
        <f t="shared" si="432"/>
        <v>0</v>
      </c>
      <c r="CR363" s="199">
        <f>'Detailed Budget'!$AD$195</f>
        <v>18734176418</v>
      </c>
      <c r="CS363" s="275">
        <f t="shared" si="452"/>
        <v>17109537.120138478</v>
      </c>
      <c r="CW363" s="278"/>
      <c r="DH363" s="140">
        <f>'Detailed Budget'!$AD$163</f>
        <v>4928560000</v>
      </c>
      <c r="DI363" s="616">
        <f t="shared" si="453"/>
        <v>5600000</v>
      </c>
    </row>
    <row r="364" spans="1:113" outlineLevel="1">
      <c r="A364" s="214" t="s">
        <v>860</v>
      </c>
      <c r="B364" s="215" t="s">
        <v>861</v>
      </c>
      <c r="C364" s="216" t="s">
        <v>234</v>
      </c>
      <c r="D364" s="217" t="s">
        <v>234</v>
      </c>
      <c r="E364" s="216"/>
      <c r="F364" s="216"/>
      <c r="G364" s="216"/>
      <c r="H364" s="216" t="s">
        <v>234</v>
      </c>
      <c r="I364" s="217" t="s">
        <v>234</v>
      </c>
      <c r="J364" s="217"/>
      <c r="K364" s="216" t="s">
        <v>234</v>
      </c>
      <c r="L364" s="216"/>
      <c r="M364" s="217"/>
      <c r="N364" s="216"/>
      <c r="O364" s="217"/>
      <c r="P364" s="216"/>
      <c r="Q364" s="217"/>
      <c r="R364" s="217" t="s">
        <v>234</v>
      </c>
      <c r="S364" s="217"/>
      <c r="T364" s="216"/>
      <c r="U364" s="218">
        <f t="shared" si="442"/>
        <v>6</v>
      </c>
      <c r="V364" s="867" t="s">
        <v>238</v>
      </c>
      <c r="W364" s="219">
        <v>138618</v>
      </c>
      <c r="X364" s="220">
        <v>3.36</v>
      </c>
      <c r="Y364" s="221">
        <f t="shared" si="456"/>
        <v>1.0336000000000001</v>
      </c>
      <c r="Z364" s="199">
        <v>19</v>
      </c>
      <c r="AA364" s="221">
        <f t="shared" si="457"/>
        <v>1.873689022502546</v>
      </c>
      <c r="AB364" s="199">
        <f t="shared" si="458"/>
        <v>259727.02492125792</v>
      </c>
      <c r="AC364">
        <v>19.3</v>
      </c>
      <c r="AD364" s="199">
        <f t="shared" si="459"/>
        <v>50127.315809802778</v>
      </c>
      <c r="AE364" s="199">
        <f t="shared" si="462"/>
        <v>47620.950019312637</v>
      </c>
      <c r="AF364" s="199">
        <f t="shared" si="435"/>
        <v>47620.950019312637</v>
      </c>
      <c r="AG364" s="614">
        <f t="shared" si="434"/>
        <v>2.2017836690052164E-3</v>
      </c>
      <c r="AH364" s="199">
        <f t="shared" si="454"/>
        <v>12986.351246062897</v>
      </c>
      <c r="AI364" s="252">
        <f t="shared" si="417"/>
        <v>1.0060329547884547E-3</v>
      </c>
      <c r="AJ364" s="199">
        <f t="shared" si="418"/>
        <v>63113.667055865677</v>
      </c>
      <c r="AK364" s="199">
        <f t="shared" si="437"/>
        <v>10389.080996850316</v>
      </c>
      <c r="AL364" s="199">
        <f t="shared" si="438"/>
        <v>10389.080996850316</v>
      </c>
      <c r="AM364" s="199">
        <f t="shared" si="419"/>
        <v>20778.161993700633</v>
      </c>
      <c r="AN364" s="645">
        <f t="shared" si="420"/>
        <v>1.0060329547884545E-3</v>
      </c>
      <c r="AO364" s="199">
        <v>10</v>
      </c>
      <c r="AP364" s="250">
        <f t="shared" si="421"/>
        <v>1.1362345188046814E-3</v>
      </c>
      <c r="AQ364" s="199">
        <v>10</v>
      </c>
      <c r="AU364" s="199">
        <v>1</v>
      </c>
      <c r="AV364" s="199">
        <f t="shared" si="443"/>
        <v>144292.78897721248</v>
      </c>
      <c r="AW364" s="250">
        <f t="shared" si="422"/>
        <v>4.153030053846523E-3</v>
      </c>
      <c r="AX364" s="199">
        <v>0</v>
      </c>
      <c r="AY364" s="199">
        <f t="shared" si="444"/>
        <v>18090.01595273885</v>
      </c>
      <c r="AZ364" s="199">
        <f t="shared" si="423"/>
        <v>0</v>
      </c>
      <c r="BA364" s="252">
        <f t="shared" si="424"/>
        <v>0</v>
      </c>
      <c r="BB364" s="284">
        <v>1</v>
      </c>
      <c r="BC364" s="199">
        <f t="shared" si="445"/>
        <v>36091.667383057997</v>
      </c>
      <c r="BD364" s="270">
        <f t="shared" si="440"/>
        <v>3.2503106639268295E-3</v>
      </c>
      <c r="BE364" s="199">
        <f t="shared" si="446"/>
        <v>154392.13269419255</v>
      </c>
      <c r="BF364" s="251">
        <f t="shared" si="441"/>
        <v>3.2503107361548456E-3</v>
      </c>
      <c r="BG364" s="204">
        <f t="shared" si="455"/>
        <v>190483.80007725055</v>
      </c>
      <c r="BH364" s="636">
        <v>0</v>
      </c>
      <c r="BI364" s="199">
        <f t="shared" si="425"/>
        <v>79476.469625904923</v>
      </c>
      <c r="BJ364" s="199">
        <f t="shared" si="426"/>
        <v>158952.93925180985</v>
      </c>
      <c r="BK364" s="199">
        <f t="shared" si="433"/>
        <v>238429.40887771477</v>
      </c>
      <c r="BL364" s="251">
        <f t="shared" si="427"/>
        <v>1.0060329547884545E-3</v>
      </c>
      <c r="BM364" s="199">
        <f t="shared" si="447"/>
        <v>20352.191448544767</v>
      </c>
      <c r="BN364" s="251">
        <f t="shared" si="428"/>
        <v>8.7887092095775506E-4</v>
      </c>
      <c r="BT364" s="199">
        <f>'Detailed Budget'!$AD$12</f>
        <v>194045122715</v>
      </c>
      <c r="BU364" s="199">
        <f>'Detailed Budget'!$AD$24</f>
        <v>194045122715</v>
      </c>
      <c r="BV364" s="596">
        <f t="shared" si="448"/>
        <v>4.153030053846523E-3</v>
      </c>
      <c r="BW364" s="278"/>
      <c r="BX364" s="275">
        <f t="shared" si="460"/>
        <v>805875226.43773162</v>
      </c>
      <c r="BY364" s="275">
        <f t="shared" si="461"/>
        <v>805875226.43773162</v>
      </c>
      <c r="CA364" s="199">
        <f>'Detailed Budget'!$AD$96</f>
        <v>71050111380.677719</v>
      </c>
      <c r="CB364" s="275">
        <f t="shared" si="429"/>
        <v>0</v>
      </c>
      <c r="CE364" s="199">
        <f>'Detailed Budget'!$AD$175</f>
        <v>4330586076.5988197</v>
      </c>
      <c r="CF364" s="275">
        <f t="shared" si="449"/>
        <v>14075750.105822194</v>
      </c>
      <c r="CG364" s="199">
        <f>'Detailed Budget'!$AD$176</f>
        <v>20662817754.37001</v>
      </c>
      <c r="CH364" s="275">
        <f t="shared" si="450"/>
        <v>67160578.386239797</v>
      </c>
      <c r="CI364" s="275">
        <f t="shared" si="410"/>
        <v>81236328.492061988</v>
      </c>
      <c r="CJ364" s="275">
        <f>'Detailed Budget'!$AD$178</f>
        <v>46025131033.061455</v>
      </c>
      <c r="CK364" s="275">
        <f t="shared" si="451"/>
        <v>101337381.87241989</v>
      </c>
      <c r="CL364" s="275">
        <f t="shared" si="436"/>
        <v>182573710.36448187</v>
      </c>
      <c r="CM364" s="278">
        <f>'Detailed Budget'!$AD$189</f>
        <v>77498869683.252869</v>
      </c>
      <c r="CN364" s="275">
        <f t="shared" si="430"/>
        <v>0</v>
      </c>
      <c r="CO364" s="140">
        <f>'Detailed Budget'!$AD$191</f>
        <v>2684962805.4134097</v>
      </c>
      <c r="CP364" s="616">
        <f t="shared" si="431"/>
        <v>0</v>
      </c>
      <c r="CQ364" s="616">
        <f t="shared" si="432"/>
        <v>0</v>
      </c>
      <c r="CR364" s="199">
        <f>'Detailed Budget'!$AD$195</f>
        <v>18734176418</v>
      </c>
      <c r="CS364" s="275">
        <f t="shared" si="452"/>
        <v>16464922.881872717</v>
      </c>
      <c r="CW364" s="278"/>
      <c r="DH364" s="140">
        <f>'Detailed Budget'!$AD$163</f>
        <v>4928560000</v>
      </c>
      <c r="DI364" s="616">
        <f t="shared" si="453"/>
        <v>5600000</v>
      </c>
    </row>
    <row r="365" spans="1:113" outlineLevel="1">
      <c r="A365" s="214" t="s">
        <v>862</v>
      </c>
      <c r="B365" s="215" t="s">
        <v>863</v>
      </c>
      <c r="C365" s="216" t="s">
        <v>234</v>
      </c>
      <c r="D365" s="217" t="s">
        <v>234</v>
      </c>
      <c r="E365" s="216"/>
      <c r="F365" s="216"/>
      <c r="G365" s="216"/>
      <c r="H365" s="216" t="s">
        <v>234</v>
      </c>
      <c r="I365" s="217" t="s">
        <v>234</v>
      </c>
      <c r="J365" s="217"/>
      <c r="K365" s="216" t="s">
        <v>234</v>
      </c>
      <c r="L365" s="216"/>
      <c r="M365" s="217"/>
      <c r="N365" s="216"/>
      <c r="O365" s="217"/>
      <c r="P365" s="216"/>
      <c r="Q365" s="217"/>
      <c r="R365" s="217" t="s">
        <v>234</v>
      </c>
      <c r="S365" s="217"/>
      <c r="T365" s="216"/>
      <c r="U365" s="218">
        <f t="shared" si="442"/>
        <v>6</v>
      </c>
      <c r="V365" s="867" t="s">
        <v>238</v>
      </c>
      <c r="W365" s="219">
        <v>267168</v>
      </c>
      <c r="X365" s="220">
        <v>3.36</v>
      </c>
      <c r="Y365" s="221">
        <f t="shared" si="456"/>
        <v>1.0336000000000001</v>
      </c>
      <c r="Z365" s="199">
        <v>19</v>
      </c>
      <c r="AA365" s="221">
        <f t="shared" si="457"/>
        <v>1.873689022502546</v>
      </c>
      <c r="AB365" s="199">
        <f t="shared" si="458"/>
        <v>500589.7487639602</v>
      </c>
      <c r="AC365">
        <v>19.3</v>
      </c>
      <c r="AD365" s="199">
        <f t="shared" si="459"/>
        <v>96613.821511444316</v>
      </c>
      <c r="AE365" s="199">
        <f t="shared" si="462"/>
        <v>91783.130435872095</v>
      </c>
      <c r="AF365" s="199">
        <f t="shared" si="435"/>
        <v>91783.130435872095</v>
      </c>
      <c r="AG365" s="614">
        <f t="shared" si="434"/>
        <v>4.2436490158621939E-3</v>
      </c>
      <c r="AH365" s="199">
        <f t="shared" si="454"/>
        <v>25029.487438198012</v>
      </c>
      <c r="AI365" s="252">
        <f t="shared" si="417"/>
        <v>1.9389964684595206E-3</v>
      </c>
      <c r="AJ365" s="199">
        <f t="shared" si="418"/>
        <v>121643.30894964232</v>
      </c>
      <c r="AK365" s="199">
        <f t="shared" si="437"/>
        <v>20023.589950558409</v>
      </c>
      <c r="AL365" s="199">
        <f t="shared" si="438"/>
        <v>20023.589950558409</v>
      </c>
      <c r="AM365" s="199">
        <f t="shared" si="419"/>
        <v>40047.179901116819</v>
      </c>
      <c r="AN365" s="645">
        <f t="shared" si="420"/>
        <v>1.9389964684595206E-3</v>
      </c>
      <c r="AO365" s="199">
        <v>15</v>
      </c>
      <c r="AP365" s="250">
        <f t="shared" si="421"/>
        <v>1.7043517782070218E-3</v>
      </c>
      <c r="AQ365" s="199">
        <v>15</v>
      </c>
      <c r="AU365" s="199">
        <v>1</v>
      </c>
      <c r="AV365" s="199">
        <f t="shared" si="443"/>
        <v>278105.41088072187</v>
      </c>
      <c r="AW365" s="250">
        <f t="shared" si="422"/>
        <v>8.0044203020247593E-3</v>
      </c>
      <c r="AX365" s="199">
        <v>0</v>
      </c>
      <c r="AY365" s="199">
        <f t="shared" si="444"/>
        <v>34866.131253237909</v>
      </c>
      <c r="AZ365" s="199">
        <f t="shared" si="423"/>
        <v>0</v>
      </c>
      <c r="BA365" s="252">
        <f t="shared" si="424"/>
        <v>0</v>
      </c>
      <c r="BB365" s="284">
        <v>1</v>
      </c>
      <c r="BC365" s="199">
        <f t="shared" si="445"/>
        <v>69561.951488239909</v>
      </c>
      <c r="BD365" s="270">
        <f t="shared" si="440"/>
        <v>6.2645471689102656E-3</v>
      </c>
      <c r="BE365" s="199">
        <f t="shared" si="446"/>
        <v>297570.57025524852</v>
      </c>
      <c r="BF365" s="251">
        <f t="shared" si="441"/>
        <v>6.2645473081202859E-3</v>
      </c>
      <c r="BG365" s="204">
        <f t="shared" si="455"/>
        <v>367132.52174348844</v>
      </c>
      <c r="BH365" s="636">
        <v>0</v>
      </c>
      <c r="BI365" s="199">
        <f t="shared" si="425"/>
        <v>153180.46312177181</v>
      </c>
      <c r="BJ365" s="199">
        <f t="shared" si="426"/>
        <v>306360.92624354362</v>
      </c>
      <c r="BK365" s="199">
        <f t="shared" si="433"/>
        <v>459541.38936531544</v>
      </c>
      <c r="BL365" s="251">
        <f t="shared" si="427"/>
        <v>1.9389964684595204E-3</v>
      </c>
      <c r="BM365" s="199">
        <f t="shared" si="447"/>
        <v>39226.177588226696</v>
      </c>
      <c r="BN365" s="251">
        <f t="shared" si="428"/>
        <v>1.6939083395406188E-3</v>
      </c>
      <c r="BT365" s="199">
        <f>'Detailed Budget'!$AD$12</f>
        <v>194045122715</v>
      </c>
      <c r="BU365" s="199">
        <f>'Detailed Budget'!$AD$24</f>
        <v>194045122715</v>
      </c>
      <c r="BV365" s="596">
        <f t="shared" si="448"/>
        <v>8.0044203020247593E-3</v>
      </c>
      <c r="BW365" s="278"/>
      <c r="BX365" s="275">
        <f t="shared" si="460"/>
        <v>1553218719.7688317</v>
      </c>
      <c r="BY365" s="275">
        <f t="shared" si="461"/>
        <v>1553218719.7688317</v>
      </c>
      <c r="CA365" s="199">
        <f>'Detailed Budget'!$AD$96</f>
        <v>71050111380.677719</v>
      </c>
      <c r="CB365" s="275">
        <f t="shared" si="429"/>
        <v>0</v>
      </c>
      <c r="CE365" s="199">
        <f>'Detailed Budget'!$AD$175</f>
        <v>4330586076.5988197</v>
      </c>
      <c r="CF365" s="275">
        <f t="shared" si="449"/>
        <v>27129160.745879352</v>
      </c>
      <c r="CG365" s="199">
        <f>'Detailed Budget'!$AD$176</f>
        <v>20662817754.37001</v>
      </c>
      <c r="CH365" s="275">
        <f t="shared" si="450"/>
        <v>129443199.3413187</v>
      </c>
      <c r="CI365" s="275">
        <f t="shared" si="410"/>
        <v>156572360.08719805</v>
      </c>
      <c r="CJ365" s="275">
        <f>'Detailed Budget'!$AD$178</f>
        <v>46025131033.061455</v>
      </c>
      <c r="CK365" s="275">
        <f t="shared" si="451"/>
        <v>195314502.01337975</v>
      </c>
      <c r="CL365" s="275">
        <f t="shared" si="436"/>
        <v>351886862.10057783</v>
      </c>
      <c r="CM365" s="278">
        <f>'Detailed Budget'!$AD$189</f>
        <v>77498869683.252869</v>
      </c>
      <c r="CN365" s="275">
        <f t="shared" si="430"/>
        <v>0</v>
      </c>
      <c r="CO365" s="140">
        <f>'Detailed Budget'!$AD$191</f>
        <v>2684962805.4134097</v>
      </c>
      <c r="CP365" s="616">
        <f t="shared" si="431"/>
        <v>0</v>
      </c>
      <c r="CQ365" s="616">
        <f t="shared" si="432"/>
        <v>0</v>
      </c>
      <c r="CR365" s="199">
        <f>'Detailed Budget'!$AD$195</f>
        <v>18734176418</v>
      </c>
      <c r="CS365" s="275">
        <f t="shared" si="452"/>
        <v>31733977.668875396</v>
      </c>
      <c r="CW365" s="278"/>
      <c r="DH365" s="140">
        <f>'Detailed Budget'!$AD$163</f>
        <v>4928560000</v>
      </c>
      <c r="DI365" s="616">
        <f t="shared" si="453"/>
        <v>8400000</v>
      </c>
    </row>
    <row r="366" spans="1:113" outlineLevel="1">
      <c r="A366" s="214" t="s">
        <v>864</v>
      </c>
      <c r="B366" s="215" t="s">
        <v>865</v>
      </c>
      <c r="C366" s="216" t="s">
        <v>234</v>
      </c>
      <c r="D366" s="217" t="s">
        <v>234</v>
      </c>
      <c r="E366" s="216"/>
      <c r="F366" s="216"/>
      <c r="G366" s="216"/>
      <c r="H366" s="216" t="s">
        <v>234</v>
      </c>
      <c r="I366" s="217" t="s">
        <v>234</v>
      </c>
      <c r="J366" s="217"/>
      <c r="K366" s="216" t="s">
        <v>234</v>
      </c>
      <c r="L366" s="216"/>
      <c r="M366" s="217"/>
      <c r="N366" s="216"/>
      <c r="O366" s="217"/>
      <c r="P366" s="216"/>
      <c r="Q366" s="217" t="s">
        <v>234</v>
      </c>
      <c r="R366" s="217"/>
      <c r="S366" s="217"/>
      <c r="T366" s="216"/>
      <c r="U366" s="218">
        <f t="shared" si="442"/>
        <v>6</v>
      </c>
      <c r="V366" s="867" t="s">
        <v>284</v>
      </c>
      <c r="W366" s="219">
        <v>294391</v>
      </c>
      <c r="X366" s="220">
        <v>3.36</v>
      </c>
      <c r="Y366" s="221">
        <f t="shared" si="456"/>
        <v>1.0336000000000001</v>
      </c>
      <c r="Z366" s="199">
        <v>19</v>
      </c>
      <c r="AA366" s="221">
        <f t="shared" si="457"/>
        <v>1.873689022502546</v>
      </c>
      <c r="AB366" s="199">
        <f t="shared" si="458"/>
        <v>551597.18502354703</v>
      </c>
      <c r="AC366">
        <v>19.3</v>
      </c>
      <c r="AD366" s="199">
        <f t="shared" si="459"/>
        <v>106458.25670954458</v>
      </c>
      <c r="AE366" s="199">
        <f t="shared" si="462"/>
        <v>101135.34387406734</v>
      </c>
      <c r="AF366" s="199">
        <f t="shared" si="435"/>
        <v>101135.34387406734</v>
      </c>
      <c r="AG366" s="614">
        <f t="shared" si="434"/>
        <v>4.6760543082580517E-3</v>
      </c>
      <c r="AH366" s="199">
        <f t="shared" si="454"/>
        <v>27579.859251177353</v>
      </c>
      <c r="AI366" s="252">
        <f t="shared" si="417"/>
        <v>2.1365699086202941E-3</v>
      </c>
      <c r="AJ366" s="199">
        <f t="shared" si="418"/>
        <v>134038.11596072195</v>
      </c>
      <c r="AK366" s="199">
        <f t="shared" si="437"/>
        <v>22063.887400941883</v>
      </c>
      <c r="AL366" s="199">
        <f t="shared" si="438"/>
        <v>22063.887400941883</v>
      </c>
      <c r="AM366" s="199">
        <f t="shared" si="419"/>
        <v>44127.774801883766</v>
      </c>
      <c r="AN366" s="645">
        <f t="shared" si="420"/>
        <v>2.1365699086202945E-3</v>
      </c>
      <c r="AO366" s="199">
        <v>11</v>
      </c>
      <c r="AP366" s="250">
        <f t="shared" si="421"/>
        <v>1.2498579706851495E-3</v>
      </c>
      <c r="AQ366" s="199">
        <v>11</v>
      </c>
      <c r="AU366" s="199">
        <v>1</v>
      </c>
      <c r="AV366" s="199">
        <f t="shared" si="443"/>
        <v>306442.87494979409</v>
      </c>
      <c r="AW366" s="250">
        <f t="shared" si="422"/>
        <v>8.8200282112130598E-3</v>
      </c>
      <c r="AX366" s="199">
        <v>0</v>
      </c>
      <c r="AY366" s="199">
        <f t="shared" si="444"/>
        <v>38418.804818585922</v>
      </c>
      <c r="AZ366" s="199">
        <f t="shared" si="423"/>
        <v>0</v>
      </c>
      <c r="BA366" s="252">
        <f t="shared" si="424"/>
        <v>0</v>
      </c>
      <c r="BB366" s="284">
        <v>1</v>
      </c>
      <c r="BC366" s="199">
        <f t="shared" si="445"/>
        <v>76649.944830872104</v>
      </c>
      <c r="BD366" s="270">
        <f t="shared" si="440"/>
        <v>6.902871248063624E-3</v>
      </c>
      <c r="BE366" s="199">
        <f t="shared" si="446"/>
        <v>327891.43066539732</v>
      </c>
      <c r="BF366" s="251">
        <f t="shared" si="441"/>
        <v>6.9028714014584052E-3</v>
      </c>
      <c r="BG366" s="204">
        <f t="shared" si="455"/>
        <v>404541.37549626944</v>
      </c>
      <c r="BH366" s="636">
        <v>0</v>
      </c>
      <c r="BI366" s="199">
        <f t="shared" si="425"/>
        <v>168788.73861720538</v>
      </c>
      <c r="BJ366" s="199">
        <f t="shared" si="426"/>
        <v>337577.47723441076</v>
      </c>
      <c r="BK366" s="199">
        <f t="shared" si="433"/>
        <v>506366.21585161611</v>
      </c>
      <c r="BL366" s="251">
        <f t="shared" si="427"/>
        <v>2.1365699086202941E-3</v>
      </c>
      <c r="BM366" s="199">
        <f t="shared" si="447"/>
        <v>43223.116714485441</v>
      </c>
      <c r="BN366" s="251">
        <f t="shared" si="428"/>
        <v>1.866508601275985E-3</v>
      </c>
      <c r="BT366" s="199">
        <f>'Detailed Budget'!$AD$12</f>
        <v>194045122715</v>
      </c>
      <c r="BU366" s="199">
        <f>'Detailed Budget'!$AD$24</f>
        <v>194045122715</v>
      </c>
      <c r="BV366" s="596">
        <f t="shared" si="448"/>
        <v>8.8200282112130598E-3</v>
      </c>
      <c r="BW366" s="278"/>
      <c r="BX366" s="275">
        <f t="shared" si="460"/>
        <v>1711483456.5946002</v>
      </c>
      <c r="BY366" s="275">
        <f t="shared" si="461"/>
        <v>1711483456.5946002</v>
      </c>
      <c r="CA366" s="199">
        <f>'Detailed Budget'!$AD$96</f>
        <v>71050111380.677719</v>
      </c>
      <c r="CB366" s="275">
        <f t="shared" si="429"/>
        <v>0</v>
      </c>
      <c r="CE366" s="199">
        <f>'Detailed Budget'!$AD$175</f>
        <v>4330586076.5988197</v>
      </c>
      <c r="CF366" s="275">
        <f t="shared" si="449"/>
        <v>29893478.115418646</v>
      </c>
      <c r="CG366" s="199">
        <f>'Detailed Budget'!$AD$176</f>
        <v>20662817754.37001</v>
      </c>
      <c r="CH366" s="275">
        <f t="shared" si="450"/>
        <v>142632773.75018772</v>
      </c>
      <c r="CI366" s="275">
        <f t="shared" si="410"/>
        <v>172526251.86560637</v>
      </c>
      <c r="CJ366" s="275">
        <f>'Detailed Budget'!$AD$178</f>
        <v>46025131033.061455</v>
      </c>
      <c r="CK366" s="275">
        <f t="shared" si="451"/>
        <v>215216012.25528836</v>
      </c>
      <c r="CL366" s="275">
        <f t="shared" si="436"/>
        <v>387742264.12089473</v>
      </c>
      <c r="CM366" s="278">
        <f>'Detailed Budget'!$AD$189</f>
        <v>77498869683.252869</v>
      </c>
      <c r="CN366" s="275">
        <f t="shared" si="430"/>
        <v>0</v>
      </c>
      <c r="CO366" s="140">
        <f>'Detailed Budget'!$AD$191</f>
        <v>2684962805.4134097</v>
      </c>
      <c r="CP366" s="616">
        <f t="shared" si="431"/>
        <v>0</v>
      </c>
      <c r="CQ366" s="616">
        <f t="shared" si="432"/>
        <v>0</v>
      </c>
      <c r="CR366" s="199">
        <f>'Detailed Budget'!$AD$195</f>
        <v>18734176418</v>
      </c>
      <c r="CS366" s="275">
        <f t="shared" si="452"/>
        <v>34967501.422018722</v>
      </c>
      <c r="CW366" s="278"/>
      <c r="DH366" s="140">
        <f>'Detailed Budget'!$AD$163</f>
        <v>4928560000</v>
      </c>
      <c r="DI366" s="616">
        <f t="shared" si="453"/>
        <v>6160000</v>
      </c>
    </row>
    <row r="367" spans="1:113" outlineLevel="1">
      <c r="A367" s="214" t="s">
        <v>866</v>
      </c>
      <c r="B367" s="215" t="s">
        <v>867</v>
      </c>
      <c r="C367" s="216" t="s">
        <v>234</v>
      </c>
      <c r="D367" s="217" t="s">
        <v>234</v>
      </c>
      <c r="E367" s="216"/>
      <c r="F367" s="216"/>
      <c r="G367" s="216"/>
      <c r="H367" s="216" t="s">
        <v>234</v>
      </c>
      <c r="I367" s="217" t="s">
        <v>234</v>
      </c>
      <c r="J367" s="217"/>
      <c r="K367" s="216" t="s">
        <v>234</v>
      </c>
      <c r="L367" s="216"/>
      <c r="M367" s="217"/>
      <c r="N367" s="216"/>
      <c r="O367" s="217"/>
      <c r="P367" s="216"/>
      <c r="Q367" s="217"/>
      <c r="R367" s="217" t="s">
        <v>234</v>
      </c>
      <c r="S367" s="217"/>
      <c r="T367" s="216"/>
      <c r="U367" s="218">
        <f t="shared" si="442"/>
        <v>6</v>
      </c>
      <c r="V367" s="867" t="s">
        <v>238</v>
      </c>
      <c r="W367" s="219">
        <v>110170</v>
      </c>
      <c r="X367" s="220">
        <v>3.36</v>
      </c>
      <c r="Y367" s="221">
        <f t="shared" si="456"/>
        <v>1.0336000000000001</v>
      </c>
      <c r="Z367" s="199">
        <v>19</v>
      </c>
      <c r="AA367" s="221">
        <f t="shared" si="457"/>
        <v>1.873689022502546</v>
      </c>
      <c r="AB367" s="199">
        <f t="shared" si="458"/>
        <v>206424.3196091055</v>
      </c>
      <c r="AC367">
        <v>19.3</v>
      </c>
      <c r="AD367" s="199">
        <f t="shared" si="459"/>
        <v>39839.893684557363</v>
      </c>
      <c r="AE367" s="199">
        <f t="shared" si="462"/>
        <v>37847.899000329489</v>
      </c>
      <c r="AF367" s="199">
        <f t="shared" si="435"/>
        <v>37847.899000329489</v>
      </c>
      <c r="AG367" s="614">
        <f t="shared" si="434"/>
        <v>1.7499206943853228E-3</v>
      </c>
      <c r="AH367" s="199">
        <f t="shared" si="454"/>
        <v>10321.215980455276</v>
      </c>
      <c r="AI367" s="252">
        <f t="shared" si="417"/>
        <v>7.9956896383618324E-4</v>
      </c>
      <c r="AJ367" s="199">
        <f t="shared" si="418"/>
        <v>50161.109665012642</v>
      </c>
      <c r="AK367" s="199">
        <f t="shared" si="437"/>
        <v>8256.9727843642195</v>
      </c>
      <c r="AL367" s="199">
        <f t="shared" si="438"/>
        <v>8256.9727843642195</v>
      </c>
      <c r="AM367" s="199">
        <f t="shared" si="419"/>
        <v>16513.945568728439</v>
      </c>
      <c r="AN367" s="645">
        <f t="shared" si="420"/>
        <v>7.9956896383618313E-4</v>
      </c>
      <c r="AO367" s="199">
        <v>10</v>
      </c>
      <c r="AP367" s="250">
        <f t="shared" si="421"/>
        <v>1.1362345188046814E-3</v>
      </c>
      <c r="AQ367" s="199">
        <v>10</v>
      </c>
      <c r="AU367" s="199">
        <v>1</v>
      </c>
      <c r="AV367" s="199">
        <f t="shared" si="443"/>
        <v>114680.17545787343</v>
      </c>
      <c r="AW367" s="250">
        <f t="shared" si="422"/>
        <v>3.300720837353529E-3</v>
      </c>
      <c r="AX367" s="199">
        <v>0</v>
      </c>
      <c r="AY367" s="199">
        <f t="shared" si="444"/>
        <v>14377.476644542841</v>
      </c>
      <c r="AZ367" s="199">
        <f t="shared" si="423"/>
        <v>0</v>
      </c>
      <c r="BA367" s="252">
        <f t="shared" si="424"/>
        <v>0</v>
      </c>
      <c r="BB367" s="284">
        <v>1</v>
      </c>
      <c r="BC367" s="199">
        <f t="shared" si="445"/>
        <v>28684.723452881299</v>
      </c>
      <c r="BD367" s="270">
        <f t="shared" si="440"/>
        <v>2.5832628218905107E-3</v>
      </c>
      <c r="BE367" s="199">
        <f t="shared" si="446"/>
        <v>122706.87254843667</v>
      </c>
      <c r="BF367" s="251">
        <f t="shared" si="441"/>
        <v>2.5832628792954691E-3</v>
      </c>
      <c r="BG367" s="204">
        <f t="shared" si="455"/>
        <v>151391.59600131796</v>
      </c>
      <c r="BH367" s="636">
        <v>0</v>
      </c>
      <c r="BI367" s="199">
        <f t="shared" si="425"/>
        <v>63165.841800386283</v>
      </c>
      <c r="BJ367" s="199">
        <f t="shared" si="426"/>
        <v>126331.68360077257</v>
      </c>
      <c r="BK367" s="199">
        <f t="shared" si="433"/>
        <v>189497.52540115884</v>
      </c>
      <c r="BL367" s="251">
        <f t="shared" si="427"/>
        <v>7.9956896383618313E-4</v>
      </c>
      <c r="BM367" s="199">
        <f t="shared" si="447"/>
        <v>16175.395200379295</v>
      </c>
      <c r="BN367" s="251">
        <f t="shared" si="428"/>
        <v>6.9850386935257957E-4</v>
      </c>
      <c r="BT367" s="199">
        <f>'Detailed Budget'!$AD$12</f>
        <v>194045122715</v>
      </c>
      <c r="BU367" s="199">
        <f>'Detailed Budget'!$AD$24</f>
        <v>194045122715</v>
      </c>
      <c r="BV367" s="596">
        <f t="shared" si="448"/>
        <v>3.300720837353529E-3</v>
      </c>
      <c r="BW367" s="278"/>
      <c r="BX367" s="275">
        <f t="shared" si="460"/>
        <v>640488779.93222308</v>
      </c>
      <c r="BY367" s="275">
        <f t="shared" si="461"/>
        <v>640488779.93222308</v>
      </c>
      <c r="CA367" s="199">
        <f>'Detailed Budget'!$AD$96</f>
        <v>71050111380.677719</v>
      </c>
      <c r="CB367" s="275">
        <f t="shared" si="429"/>
        <v>0</v>
      </c>
      <c r="CE367" s="199">
        <f>'Detailed Budget'!$AD$175</f>
        <v>4330586076.5988197</v>
      </c>
      <c r="CF367" s="275">
        <f t="shared" si="449"/>
        <v>11187042.008674422</v>
      </c>
      <c r="CG367" s="199">
        <f>'Detailed Budget'!$AD$176</f>
        <v>20662817754.37001</v>
      </c>
      <c r="CH367" s="275">
        <f t="shared" si="450"/>
        <v>53377490.086511411</v>
      </c>
      <c r="CI367" s="275">
        <f t="shared" si="410"/>
        <v>64564532.095185831</v>
      </c>
      <c r="CJ367" s="275">
        <f>'Detailed Budget'!$AD$178</f>
        <v>46025131033.061455</v>
      </c>
      <c r="CK367" s="275">
        <f t="shared" si="451"/>
        <v>80540329.256550372</v>
      </c>
      <c r="CL367" s="275">
        <f t="shared" si="436"/>
        <v>145104861.35173619</v>
      </c>
      <c r="CM367" s="278">
        <f>'Detailed Budget'!$AD$189</f>
        <v>77498869683.252869</v>
      </c>
      <c r="CN367" s="275">
        <f t="shared" si="430"/>
        <v>0</v>
      </c>
      <c r="CO367" s="140">
        <f>'Detailed Budget'!$AD$191</f>
        <v>2684962805.4134097</v>
      </c>
      <c r="CP367" s="616">
        <f t="shared" si="431"/>
        <v>0</v>
      </c>
      <c r="CQ367" s="616">
        <f t="shared" si="432"/>
        <v>0</v>
      </c>
      <c r="CR367" s="199">
        <f>'Detailed Budget'!$AD$195</f>
        <v>18734176418</v>
      </c>
      <c r="CS367" s="275">
        <f t="shared" si="452"/>
        <v>13085894.717106849</v>
      </c>
      <c r="CW367" s="278"/>
      <c r="DH367" s="140">
        <f>'Detailed Budget'!$AD$163</f>
        <v>4928560000</v>
      </c>
      <c r="DI367" s="616">
        <f t="shared" si="453"/>
        <v>5600000</v>
      </c>
    </row>
    <row r="368" spans="1:113" outlineLevel="1">
      <c r="A368" s="214" t="s">
        <v>868</v>
      </c>
      <c r="B368" s="215" t="s">
        <v>869</v>
      </c>
      <c r="C368" s="216" t="s">
        <v>234</v>
      </c>
      <c r="D368" s="217" t="s">
        <v>234</v>
      </c>
      <c r="E368" s="216"/>
      <c r="F368" s="216"/>
      <c r="G368" s="216"/>
      <c r="H368" s="216" t="s">
        <v>234</v>
      </c>
      <c r="I368" s="217" t="s">
        <v>234</v>
      </c>
      <c r="J368" s="217"/>
      <c r="K368" s="216" t="s">
        <v>234</v>
      </c>
      <c r="L368" s="216"/>
      <c r="M368" s="217"/>
      <c r="N368" s="216"/>
      <c r="O368" s="217"/>
      <c r="P368" s="216"/>
      <c r="Q368" s="217"/>
      <c r="R368" s="217" t="s">
        <v>234</v>
      </c>
      <c r="S368" s="217"/>
      <c r="T368" s="216"/>
      <c r="U368" s="218">
        <f t="shared" si="442"/>
        <v>6</v>
      </c>
      <c r="V368" s="867" t="s">
        <v>238</v>
      </c>
      <c r="W368" s="219">
        <v>143094</v>
      </c>
      <c r="X368" s="220">
        <v>3.36</v>
      </c>
      <c r="Y368" s="221">
        <f t="shared" si="456"/>
        <v>1.0336000000000001</v>
      </c>
      <c r="Z368" s="199">
        <v>19</v>
      </c>
      <c r="AA368" s="221">
        <f t="shared" si="457"/>
        <v>1.873689022502546</v>
      </c>
      <c r="AB368" s="199">
        <f t="shared" si="458"/>
        <v>268113.65698597929</v>
      </c>
      <c r="AC368">
        <v>19.3</v>
      </c>
      <c r="AD368" s="199">
        <f t="shared" si="459"/>
        <v>51745.935798294006</v>
      </c>
      <c r="AE368" s="199">
        <f t="shared" si="462"/>
        <v>49158.639008379301</v>
      </c>
      <c r="AF368" s="199">
        <f t="shared" si="435"/>
        <v>49158.639008379301</v>
      </c>
      <c r="AG368" s="614">
        <f t="shared" si="434"/>
        <v>2.2728796572785092E-3</v>
      </c>
      <c r="AH368" s="199">
        <f t="shared" si="454"/>
        <v>13405.682849298966</v>
      </c>
      <c r="AI368" s="252">
        <f t="shared" si="417"/>
        <v>1.0385179387417155E-3</v>
      </c>
      <c r="AJ368" s="199">
        <f t="shared" si="418"/>
        <v>65151.618647592972</v>
      </c>
      <c r="AK368" s="199">
        <f t="shared" si="437"/>
        <v>10724.546279439171</v>
      </c>
      <c r="AL368" s="199">
        <f t="shared" si="438"/>
        <v>10724.546279439171</v>
      </c>
      <c r="AM368" s="199">
        <f t="shared" si="419"/>
        <v>21449.092558878343</v>
      </c>
      <c r="AN368" s="645">
        <f t="shared" si="420"/>
        <v>1.0385179387417153E-3</v>
      </c>
      <c r="AO368" s="199">
        <v>10</v>
      </c>
      <c r="AP368" s="250">
        <f t="shared" si="421"/>
        <v>1.1362345188046814E-3</v>
      </c>
      <c r="AQ368" s="199">
        <v>10</v>
      </c>
      <c r="AU368" s="199">
        <v>1</v>
      </c>
      <c r="AV368" s="199">
        <f t="shared" si="443"/>
        <v>148952.02892773843</v>
      </c>
      <c r="AW368" s="250">
        <f t="shared" si="422"/>
        <v>4.2871321367002448E-3</v>
      </c>
      <c r="AX368" s="199">
        <v>0</v>
      </c>
      <c r="AY368" s="199">
        <f t="shared" si="444"/>
        <v>18674.145801708386</v>
      </c>
      <c r="AZ368" s="199">
        <f t="shared" si="423"/>
        <v>0</v>
      </c>
      <c r="BA368" s="252">
        <f t="shared" si="424"/>
        <v>0</v>
      </c>
      <c r="BB368" s="284">
        <v>1</v>
      </c>
      <c r="BC368" s="199">
        <f t="shared" si="445"/>
        <v>37257.073774771685</v>
      </c>
      <c r="BD368" s="270">
        <f t="shared" si="440"/>
        <v>3.3552637763057161E-3</v>
      </c>
      <c r="BE368" s="199">
        <f t="shared" si="446"/>
        <v>159377.48225874553</v>
      </c>
      <c r="BF368" s="251">
        <f t="shared" si="441"/>
        <v>3.3552638508659873E-3</v>
      </c>
      <c r="BG368" s="204">
        <f t="shared" si="455"/>
        <v>196634.5560335172</v>
      </c>
      <c r="BH368" s="636">
        <v>0</v>
      </c>
      <c r="BI368" s="199">
        <f t="shared" si="425"/>
        <v>82042.779037709668</v>
      </c>
      <c r="BJ368" s="199">
        <f t="shared" si="426"/>
        <v>164085.55807541934</v>
      </c>
      <c r="BK368" s="199">
        <f t="shared" si="433"/>
        <v>246128.337113129</v>
      </c>
      <c r="BL368" s="251">
        <f t="shared" si="427"/>
        <v>1.0385179387417155E-3</v>
      </c>
      <c r="BM368" s="199">
        <f t="shared" si="447"/>
        <v>21009.367348670912</v>
      </c>
      <c r="BN368" s="251">
        <f t="shared" si="428"/>
        <v>9.0724982010654447E-4</v>
      </c>
      <c r="BT368" s="199">
        <f>'Detailed Budget'!$AD$12</f>
        <v>194045122715</v>
      </c>
      <c r="BU368" s="199">
        <f>'Detailed Budget'!$AD$24</f>
        <v>194045122715</v>
      </c>
      <c r="BV368" s="596">
        <f t="shared" si="448"/>
        <v>4.2871321367002448E-3</v>
      </c>
      <c r="BW368" s="278"/>
      <c r="BX368" s="275">
        <f t="shared" si="460"/>
        <v>831897081.56141913</v>
      </c>
      <c r="BY368" s="275">
        <f t="shared" si="461"/>
        <v>831897081.56141913</v>
      </c>
      <c r="CA368" s="199">
        <f>'Detailed Budget'!$AD$96</f>
        <v>71050111380.677719</v>
      </c>
      <c r="CB368" s="275">
        <f t="shared" si="429"/>
        <v>0</v>
      </c>
      <c r="CE368" s="199">
        <f>'Detailed Budget'!$AD$175</f>
        <v>4330586076.5988197</v>
      </c>
      <c r="CF368" s="275">
        <f t="shared" si="449"/>
        <v>14530258.592985911</v>
      </c>
      <c r="CG368" s="199">
        <f>'Detailed Budget'!$AD$176</f>
        <v>20662817754.37001</v>
      </c>
      <c r="CH368" s="275">
        <f t="shared" si="450"/>
        <v>69329205.468269616</v>
      </c>
      <c r="CI368" s="275">
        <f t="shared" si="410"/>
        <v>83859464.06125553</v>
      </c>
      <c r="CJ368" s="275">
        <f>'Detailed Budget'!$AD$178</f>
        <v>46025131033.061455</v>
      </c>
      <c r="CK368" s="275">
        <f t="shared" si="451"/>
        <v>104609584.04862319</v>
      </c>
      <c r="CL368" s="275">
        <f t="shared" si="436"/>
        <v>188469048.10987872</v>
      </c>
      <c r="CM368" s="278">
        <f>'Detailed Budget'!$AD$189</f>
        <v>77498869683.252869</v>
      </c>
      <c r="CN368" s="275">
        <f t="shared" si="430"/>
        <v>0</v>
      </c>
      <c r="CO368" s="140">
        <f>'Detailed Budget'!$AD$191</f>
        <v>2684962805.4134097</v>
      </c>
      <c r="CP368" s="616">
        <f t="shared" si="431"/>
        <v>0</v>
      </c>
      <c r="CQ368" s="616">
        <f t="shared" si="432"/>
        <v>0</v>
      </c>
      <c r="CR368" s="199">
        <f>'Detailed Budget'!$AD$195</f>
        <v>18734176418</v>
      </c>
      <c r="CS368" s="275">
        <f t="shared" si="452"/>
        <v>16996578.185074769</v>
      </c>
      <c r="CW368" s="278"/>
      <c r="DH368" s="140">
        <f>'Detailed Budget'!$AD$163</f>
        <v>4928560000</v>
      </c>
      <c r="DI368" s="616">
        <f t="shared" si="453"/>
        <v>5600000</v>
      </c>
    </row>
    <row r="369" spans="1:113" outlineLevel="1">
      <c r="A369" s="214" t="s">
        <v>870</v>
      </c>
      <c r="B369" s="215" t="s">
        <v>871</v>
      </c>
      <c r="C369" s="216" t="s">
        <v>234</v>
      </c>
      <c r="D369" s="217" t="s">
        <v>234</v>
      </c>
      <c r="E369" s="216"/>
      <c r="F369" s="216"/>
      <c r="G369" s="216"/>
      <c r="H369" s="216" t="s">
        <v>234</v>
      </c>
      <c r="I369" s="217" t="s">
        <v>234</v>
      </c>
      <c r="J369" s="217"/>
      <c r="K369" s="216" t="s">
        <v>234</v>
      </c>
      <c r="L369" s="216"/>
      <c r="M369" s="217"/>
      <c r="N369" s="216"/>
      <c r="O369" s="217"/>
      <c r="P369" s="216"/>
      <c r="Q369" s="217"/>
      <c r="R369" s="217" t="s">
        <v>234</v>
      </c>
      <c r="S369" s="217"/>
      <c r="T369" s="216"/>
      <c r="U369" s="218">
        <f t="shared" si="442"/>
        <v>6</v>
      </c>
      <c r="V369" s="867" t="s">
        <v>238</v>
      </c>
      <c r="W369" s="219">
        <v>137685</v>
      </c>
      <c r="X369" s="220">
        <v>3.36</v>
      </c>
      <c r="Y369" s="221">
        <f t="shared" si="456"/>
        <v>1.0336000000000001</v>
      </c>
      <c r="Z369" s="199">
        <v>19</v>
      </c>
      <c r="AA369" s="221">
        <f t="shared" si="457"/>
        <v>1.873689022502546</v>
      </c>
      <c r="AB369" s="199">
        <f t="shared" si="458"/>
        <v>257978.87306326305</v>
      </c>
      <c r="AC369">
        <v>19.3</v>
      </c>
      <c r="AD369" s="199">
        <f t="shared" si="459"/>
        <v>49789.922501209767</v>
      </c>
      <c r="AE369" s="199">
        <f t="shared" si="462"/>
        <v>47300.426376149277</v>
      </c>
      <c r="AF369" s="199">
        <f t="shared" si="435"/>
        <v>47300.426376149277</v>
      </c>
      <c r="AG369" s="614">
        <f t="shared" si="434"/>
        <v>2.1869640628705018E-3</v>
      </c>
      <c r="AH369" s="199">
        <f t="shared" si="454"/>
        <v>12898.943653163153</v>
      </c>
      <c r="AI369" s="252">
        <f t="shared" si="417"/>
        <v>9.9926162100195059E-4</v>
      </c>
      <c r="AJ369" s="199">
        <f t="shared" si="418"/>
        <v>62688.866154372918</v>
      </c>
      <c r="AK369" s="199">
        <f t="shared" si="437"/>
        <v>10319.154922530523</v>
      </c>
      <c r="AL369" s="199">
        <f t="shared" si="438"/>
        <v>10319.154922530523</v>
      </c>
      <c r="AM369" s="199">
        <f t="shared" si="419"/>
        <v>20638.309845061045</v>
      </c>
      <c r="AN369" s="645">
        <f t="shared" si="420"/>
        <v>9.9926162100195059E-4</v>
      </c>
      <c r="AO369" s="199">
        <v>12</v>
      </c>
      <c r="AP369" s="250">
        <f t="shared" si="421"/>
        <v>1.3634814225656176E-3</v>
      </c>
      <c r="AQ369" s="199">
        <v>12</v>
      </c>
      <c r="AU369" s="199">
        <v>1</v>
      </c>
      <c r="AV369" s="199">
        <f t="shared" si="443"/>
        <v>143321.59351835621</v>
      </c>
      <c r="AW369" s="250">
        <f t="shared" si="422"/>
        <v>4.1250771397932347E-3</v>
      </c>
      <c r="AX369" s="199">
        <v>0</v>
      </c>
      <c r="AY369" s="199">
        <f t="shared" si="444"/>
        <v>17968.256982879917</v>
      </c>
      <c r="AZ369" s="199">
        <f t="shared" si="423"/>
        <v>0</v>
      </c>
      <c r="BA369" s="252">
        <f t="shared" si="424"/>
        <v>0</v>
      </c>
      <c r="BB369" s="284">
        <v>1</v>
      </c>
      <c r="BC369" s="199">
        <f t="shared" si="445"/>
        <v>35848.744200871028</v>
      </c>
      <c r="BD369" s="270">
        <f t="shared" si="440"/>
        <v>3.2284337081963776E-3</v>
      </c>
      <c r="BE369" s="199">
        <f t="shared" si="446"/>
        <v>153352.96130372607</v>
      </c>
      <c r="BF369" s="251">
        <f t="shared" si="441"/>
        <v>3.2284337799382465E-3</v>
      </c>
      <c r="BG369" s="204">
        <f t="shared" si="455"/>
        <v>189201.70550459711</v>
      </c>
      <c r="BH369" s="636">
        <v>0</v>
      </c>
      <c r="BI369" s="199">
        <f t="shared" si="425"/>
        <v>78941.535157358507</v>
      </c>
      <c r="BJ369" s="199">
        <f t="shared" si="426"/>
        <v>157883.07031471701</v>
      </c>
      <c r="BK369" s="199">
        <f t="shared" si="433"/>
        <v>236824.60547207552</v>
      </c>
      <c r="BL369" s="251">
        <f t="shared" si="427"/>
        <v>9.9926162100195059E-4</v>
      </c>
      <c r="BM369" s="199">
        <f t="shared" si="447"/>
        <v>20215.206391614985</v>
      </c>
      <c r="BN369" s="251">
        <f t="shared" si="428"/>
        <v>8.7295548018344294E-4</v>
      </c>
      <c r="BT369" s="199">
        <f>'Detailed Budget'!$AD$12</f>
        <v>194045122715</v>
      </c>
      <c r="BU369" s="199">
        <f>'Detailed Budget'!$AD$24</f>
        <v>194045122715</v>
      </c>
      <c r="BV369" s="596">
        <f t="shared" si="448"/>
        <v>4.1250771397932347E-3</v>
      </c>
      <c r="BW369" s="278"/>
      <c r="BX369" s="275">
        <f t="shared" si="460"/>
        <v>800451099.80001938</v>
      </c>
      <c r="BY369" s="275">
        <f t="shared" si="461"/>
        <v>800451099.80001938</v>
      </c>
      <c r="CA369" s="199">
        <f>'Detailed Budget'!$AD$96</f>
        <v>71050111380.677719</v>
      </c>
      <c r="CB369" s="275">
        <f t="shared" si="429"/>
        <v>0</v>
      </c>
      <c r="CE369" s="199">
        <f>'Detailed Budget'!$AD$175</f>
        <v>4330586076.5988197</v>
      </c>
      <c r="CF369" s="275">
        <f t="shared" si="449"/>
        <v>13981010.06593753</v>
      </c>
      <c r="CG369" s="199">
        <f>'Detailed Budget'!$AD$176</f>
        <v>20662817754.37001</v>
      </c>
      <c r="CH369" s="275">
        <f t="shared" si="450"/>
        <v>66708538.826915883</v>
      </c>
      <c r="CI369" s="275">
        <f t="shared" si="410"/>
        <v>80689548.892853409</v>
      </c>
      <c r="CJ369" s="275">
        <f>'Detailed Budget'!$AD$178</f>
        <v>46025131033.061455</v>
      </c>
      <c r="CK369" s="275">
        <f t="shared" si="451"/>
        <v>100655307.5582113</v>
      </c>
      <c r="CL369" s="275">
        <f t="shared" si="436"/>
        <v>181344856.45106471</v>
      </c>
      <c r="CM369" s="278">
        <f>'Detailed Budget'!$AD$189</f>
        <v>77498869683.252869</v>
      </c>
      <c r="CN369" s="275">
        <f t="shared" si="430"/>
        <v>0</v>
      </c>
      <c r="CO369" s="140">
        <f>'Detailed Budget'!$AD$191</f>
        <v>2684962805.4134097</v>
      </c>
      <c r="CP369" s="616">
        <f t="shared" si="431"/>
        <v>0</v>
      </c>
      <c r="CQ369" s="616">
        <f t="shared" si="432"/>
        <v>0</v>
      </c>
      <c r="CR369" s="199">
        <f>'Detailed Budget'!$AD$195</f>
        <v>18734176418</v>
      </c>
      <c r="CS369" s="275">
        <f t="shared" si="452"/>
        <v>16354101.970816523</v>
      </c>
      <c r="CW369" s="278"/>
      <c r="DH369" s="140">
        <f>'Detailed Budget'!$AD$163</f>
        <v>4928560000</v>
      </c>
      <c r="DI369" s="616">
        <f t="shared" si="453"/>
        <v>6720000</v>
      </c>
    </row>
    <row r="370" spans="1:113" outlineLevel="1">
      <c r="A370" s="214" t="s">
        <v>872</v>
      </c>
      <c r="B370" s="215" t="s">
        <v>873</v>
      </c>
      <c r="C370" s="216" t="s">
        <v>234</v>
      </c>
      <c r="D370" s="217" t="s">
        <v>234</v>
      </c>
      <c r="E370" s="216"/>
      <c r="F370" s="216"/>
      <c r="G370" s="216"/>
      <c r="H370" s="216" t="s">
        <v>234</v>
      </c>
      <c r="I370" s="217" t="s">
        <v>234</v>
      </c>
      <c r="J370" s="217"/>
      <c r="K370" s="216" t="s">
        <v>234</v>
      </c>
      <c r="L370" s="216"/>
      <c r="M370" s="217"/>
      <c r="N370" s="216"/>
      <c r="O370" s="217"/>
      <c r="P370" s="216"/>
      <c r="Q370" s="217"/>
      <c r="R370" s="217" t="s">
        <v>234</v>
      </c>
      <c r="S370" s="217"/>
      <c r="T370" s="216"/>
      <c r="U370" s="218">
        <f t="shared" si="442"/>
        <v>6</v>
      </c>
      <c r="V370" s="867" t="s">
        <v>238</v>
      </c>
      <c r="W370" s="219">
        <v>220094</v>
      </c>
      <c r="X370" s="220">
        <v>3.36</v>
      </c>
      <c r="Y370" s="221">
        <f t="shared" si="456"/>
        <v>1.0336000000000001</v>
      </c>
      <c r="Z370" s="199">
        <v>19</v>
      </c>
      <c r="AA370" s="221">
        <f t="shared" si="457"/>
        <v>1.873689022502546</v>
      </c>
      <c r="AB370" s="199">
        <f t="shared" si="458"/>
        <v>412387.71171867533</v>
      </c>
      <c r="AC370">
        <v>19.3</v>
      </c>
      <c r="AD370" s="199">
        <f t="shared" si="459"/>
        <v>79590.828361704334</v>
      </c>
      <c r="AE370" s="199">
        <f t="shared" si="462"/>
        <v>75611.28694361911</v>
      </c>
      <c r="AF370" s="199">
        <f t="shared" si="435"/>
        <v>75611.28694361911</v>
      </c>
      <c r="AG370" s="614">
        <f t="shared" si="434"/>
        <v>3.4959339685036142E-3</v>
      </c>
      <c r="AH370" s="199">
        <f t="shared" si="454"/>
        <v>20619.385585933767</v>
      </c>
      <c r="AI370" s="252">
        <f t="shared" si="417"/>
        <v>1.5973525599215839E-3</v>
      </c>
      <c r="AJ370" s="199">
        <f t="shared" si="418"/>
        <v>100210.2139476381</v>
      </c>
      <c r="AK370" s="199">
        <f t="shared" si="437"/>
        <v>16495.508468747015</v>
      </c>
      <c r="AL370" s="199">
        <f t="shared" si="438"/>
        <v>16495.508468747015</v>
      </c>
      <c r="AM370" s="199">
        <f t="shared" si="419"/>
        <v>32991.016937494031</v>
      </c>
      <c r="AN370" s="645">
        <f t="shared" si="420"/>
        <v>1.5973525599215839E-3</v>
      </c>
      <c r="AO370" s="199">
        <v>11</v>
      </c>
      <c r="AP370" s="250">
        <f t="shared" si="421"/>
        <v>1.2498579706851495E-3</v>
      </c>
      <c r="AQ370" s="199">
        <v>11</v>
      </c>
      <c r="AU370" s="199">
        <v>1</v>
      </c>
      <c r="AV370" s="199">
        <f t="shared" si="443"/>
        <v>229104.28008736673</v>
      </c>
      <c r="AW370" s="250">
        <f t="shared" si="422"/>
        <v>6.5940714529952576E-3</v>
      </c>
      <c r="AX370" s="199">
        <v>0</v>
      </c>
      <c r="AY370" s="199">
        <f t="shared" si="444"/>
        <v>28722.849637868847</v>
      </c>
      <c r="AZ370" s="199">
        <f t="shared" si="423"/>
        <v>0</v>
      </c>
      <c r="BA370" s="252">
        <f t="shared" si="424"/>
        <v>0</v>
      </c>
      <c r="BB370" s="284">
        <v>1</v>
      </c>
      <c r="BC370" s="199">
        <f t="shared" si="445"/>
        <v>57305.396420427118</v>
      </c>
      <c r="BD370" s="270">
        <f t="shared" si="440"/>
        <v>5.1607574432347278E-3</v>
      </c>
      <c r="BE370" s="199">
        <f t="shared" si="446"/>
        <v>245139.75135404937</v>
      </c>
      <c r="BF370" s="251">
        <f t="shared" si="441"/>
        <v>5.160757557916465E-3</v>
      </c>
      <c r="BG370" s="204">
        <f t="shared" si="455"/>
        <v>302445.1477744765</v>
      </c>
      <c r="BH370" s="636">
        <v>0</v>
      </c>
      <c r="BI370" s="199">
        <f t="shared" si="425"/>
        <v>126190.63978591465</v>
      </c>
      <c r="BJ370" s="199">
        <f t="shared" si="426"/>
        <v>252381.27957182931</v>
      </c>
      <c r="BK370" s="199">
        <f t="shared" si="433"/>
        <v>378571.91935774393</v>
      </c>
      <c r="BL370" s="251">
        <f t="shared" si="427"/>
        <v>1.5973525599215837E-3</v>
      </c>
      <c r="BM370" s="199">
        <f t="shared" si="447"/>
        <v>32314.672154236909</v>
      </c>
      <c r="BN370" s="251">
        <f t="shared" si="428"/>
        <v>1.3954480404945687E-3</v>
      </c>
      <c r="BT370" s="199">
        <f>'Detailed Budget'!$AD$12</f>
        <v>194045122715</v>
      </c>
      <c r="BU370" s="199">
        <f>'Detailed Budget'!$AD$24</f>
        <v>194045122715</v>
      </c>
      <c r="BV370" s="596">
        <f t="shared" si="448"/>
        <v>6.5940714529952576E-3</v>
      </c>
      <c r="BW370" s="278"/>
      <c r="BX370" s="275">
        <f t="shared" si="460"/>
        <v>1279547404.2879431</v>
      </c>
      <c r="BY370" s="275">
        <f t="shared" si="461"/>
        <v>1279547404.2879431</v>
      </c>
      <c r="CA370" s="199">
        <f>'Detailed Budget'!$AD$96</f>
        <v>71050111380.677719</v>
      </c>
      <c r="CB370" s="275">
        <f t="shared" si="429"/>
        <v>0</v>
      </c>
      <c r="CE370" s="199">
        <f>'Detailed Budget'!$AD$175</f>
        <v>4330586076.5988197</v>
      </c>
      <c r="CF370" s="275">
        <f t="shared" si="449"/>
        <v>22349104.328376036</v>
      </c>
      <c r="CG370" s="199">
        <f>'Detailed Budget'!$AD$176</f>
        <v>20662817754.37001</v>
      </c>
      <c r="CH370" s="275">
        <f t="shared" si="450"/>
        <v>106635792.89371555</v>
      </c>
      <c r="CI370" s="275">
        <f t="shared" si="410"/>
        <v>128984897.22209159</v>
      </c>
      <c r="CJ370" s="275">
        <f>'Detailed Budget'!$AD$178</f>
        <v>46025131033.061455</v>
      </c>
      <c r="CK370" s="275">
        <f t="shared" si="451"/>
        <v>160900818.98330939</v>
      </c>
      <c r="CL370" s="275">
        <f t="shared" si="436"/>
        <v>289885716.20540094</v>
      </c>
      <c r="CM370" s="278">
        <f>'Detailed Budget'!$AD$189</f>
        <v>77498869683.252869</v>
      </c>
      <c r="CN370" s="275">
        <f t="shared" si="430"/>
        <v>0</v>
      </c>
      <c r="CO370" s="140">
        <f>'Detailed Budget'!$AD$191</f>
        <v>2684962805.4134097</v>
      </c>
      <c r="CP370" s="616">
        <f t="shared" si="431"/>
        <v>0</v>
      </c>
      <c r="CQ370" s="616">
        <f t="shared" si="432"/>
        <v>0</v>
      </c>
      <c r="CR370" s="199">
        <f>'Detailed Budget'!$AD$195</f>
        <v>18734176418</v>
      </c>
      <c r="CS370" s="275">
        <f t="shared" si="452"/>
        <v>26142569.772777658</v>
      </c>
      <c r="CW370" s="278"/>
      <c r="DH370" s="140">
        <f>'Detailed Budget'!$AD$163</f>
        <v>4928560000</v>
      </c>
      <c r="DI370" s="616">
        <f t="shared" si="453"/>
        <v>6160000</v>
      </c>
    </row>
    <row r="371" spans="1:113" outlineLevel="1">
      <c r="A371" s="214" t="s">
        <v>874</v>
      </c>
      <c r="B371" s="215" t="s">
        <v>875</v>
      </c>
      <c r="C371" s="216" t="s">
        <v>234</v>
      </c>
      <c r="D371" s="217" t="s">
        <v>234</v>
      </c>
      <c r="E371" s="216"/>
      <c r="F371" s="216"/>
      <c r="G371" s="216"/>
      <c r="H371" s="216" t="s">
        <v>234</v>
      </c>
      <c r="I371" s="217" t="s">
        <v>234</v>
      </c>
      <c r="J371" s="217"/>
      <c r="K371" s="216" t="s">
        <v>234</v>
      </c>
      <c r="L371" s="216"/>
      <c r="M371" s="217"/>
      <c r="N371" s="216"/>
      <c r="O371" s="217"/>
      <c r="P371" s="216"/>
      <c r="Q371" s="217"/>
      <c r="R371" s="217" t="s">
        <v>234</v>
      </c>
      <c r="S371" s="217"/>
      <c r="T371" s="216"/>
      <c r="U371" s="218">
        <f t="shared" si="442"/>
        <v>6</v>
      </c>
      <c r="V371" s="867" t="s">
        <v>238</v>
      </c>
      <c r="W371" s="219">
        <v>219611</v>
      </c>
      <c r="X371" s="220">
        <v>3.36</v>
      </c>
      <c r="Y371" s="221">
        <f t="shared" si="456"/>
        <v>1.0336000000000001</v>
      </c>
      <c r="Z371" s="199">
        <v>19</v>
      </c>
      <c r="AA371" s="221">
        <f t="shared" si="457"/>
        <v>1.873689022502546</v>
      </c>
      <c r="AB371" s="199">
        <f t="shared" si="458"/>
        <v>411482.71992080664</v>
      </c>
      <c r="AC371">
        <v>19.3</v>
      </c>
      <c r="AD371" s="199">
        <f t="shared" si="459"/>
        <v>79416.164944715681</v>
      </c>
      <c r="AE371" s="199">
        <f t="shared" si="462"/>
        <v>75445.356697479889</v>
      </c>
      <c r="AF371" s="199">
        <f t="shared" si="435"/>
        <v>75445.356697479889</v>
      </c>
      <c r="AG371" s="614">
        <f t="shared" si="434"/>
        <v>3.4882620823695662E-3</v>
      </c>
      <c r="AH371" s="199">
        <f t="shared" si="454"/>
        <v>20574.135996040335</v>
      </c>
      <c r="AI371" s="252">
        <f t="shared" si="417"/>
        <v>1.5938471427523651E-3</v>
      </c>
      <c r="AJ371" s="199">
        <f t="shared" si="418"/>
        <v>99990.300940756017</v>
      </c>
      <c r="AK371" s="199">
        <f t="shared" si="437"/>
        <v>16459.308796832265</v>
      </c>
      <c r="AL371" s="199">
        <f t="shared" si="438"/>
        <v>16459.308796832265</v>
      </c>
      <c r="AM371" s="199">
        <f t="shared" si="419"/>
        <v>32918.61759366453</v>
      </c>
      <c r="AN371" s="645">
        <f t="shared" si="420"/>
        <v>1.5938471427523648E-3</v>
      </c>
      <c r="AO371" s="199">
        <v>11</v>
      </c>
      <c r="AP371" s="250">
        <f t="shared" si="421"/>
        <v>1.2498579706851495E-3</v>
      </c>
      <c r="AQ371" s="199">
        <v>11</v>
      </c>
      <c r="AU371" s="199">
        <v>1</v>
      </c>
      <c r="AV371" s="199">
        <f t="shared" si="443"/>
        <v>228601.50687554729</v>
      </c>
      <c r="AW371" s="250">
        <f t="shared" si="422"/>
        <v>6.5796006518294087E-3</v>
      </c>
      <c r="AX371" s="199">
        <v>0</v>
      </c>
      <c r="AY371" s="199">
        <f t="shared" si="444"/>
        <v>28659.816859260209</v>
      </c>
      <c r="AZ371" s="199">
        <f t="shared" si="423"/>
        <v>0</v>
      </c>
      <c r="BA371" s="252">
        <f t="shared" si="424"/>
        <v>0</v>
      </c>
      <c r="BB371" s="284">
        <v>1</v>
      </c>
      <c r="BC371" s="199">
        <f t="shared" si="445"/>
        <v>57179.638760195288</v>
      </c>
      <c r="BD371" s="270">
        <f t="shared" si="440"/>
        <v>5.1494320738694468E-3</v>
      </c>
      <c r="BE371" s="199">
        <f t="shared" si="446"/>
        <v>244601.7880297243</v>
      </c>
      <c r="BF371" s="251">
        <f t="shared" si="441"/>
        <v>5.1494321882995121E-3</v>
      </c>
      <c r="BG371" s="204">
        <f t="shared" si="455"/>
        <v>301781.42678991961</v>
      </c>
      <c r="BH371" s="636">
        <v>0</v>
      </c>
      <c r="BI371" s="199">
        <f t="shared" si="425"/>
        <v>125913.71229576682</v>
      </c>
      <c r="BJ371" s="199">
        <f t="shared" si="426"/>
        <v>251827.42459153364</v>
      </c>
      <c r="BK371" s="199">
        <f t="shared" si="433"/>
        <v>377741.13688730047</v>
      </c>
      <c r="BL371" s="251">
        <f t="shared" si="427"/>
        <v>1.5938471427523646E-3</v>
      </c>
      <c r="BM371" s="199">
        <f t="shared" si="447"/>
        <v>32243.757060456544</v>
      </c>
      <c r="BN371" s="251">
        <f t="shared" si="428"/>
        <v>1.3923857062030441E-3</v>
      </c>
      <c r="BT371" s="199">
        <f>'Detailed Budget'!$AD$12</f>
        <v>194045122715</v>
      </c>
      <c r="BU371" s="199">
        <f>'Detailed Budget'!$AD$24</f>
        <v>194045122715</v>
      </c>
      <c r="BV371" s="596">
        <f t="shared" si="448"/>
        <v>6.5796006518294087E-3</v>
      </c>
      <c r="BW371" s="278"/>
      <c r="BX371" s="275">
        <f t="shared" si="460"/>
        <v>1276739415.8999317</v>
      </c>
      <c r="BY371" s="275">
        <f t="shared" si="461"/>
        <v>1276739415.8999317</v>
      </c>
      <c r="CA371" s="199">
        <f>'Detailed Budget'!$AD$96</f>
        <v>71050111380.677719</v>
      </c>
      <c r="CB371" s="275">
        <f t="shared" si="429"/>
        <v>0</v>
      </c>
      <c r="CE371" s="199">
        <f>'Detailed Budget'!$AD$175</f>
        <v>4330586076.5988197</v>
      </c>
      <c r="CF371" s="275">
        <f t="shared" si="449"/>
        <v>22300058.84149041</v>
      </c>
      <c r="CG371" s="199">
        <f>'Detailed Budget'!$AD$176</f>
        <v>20662817754.37001</v>
      </c>
      <c r="CH371" s="275">
        <f t="shared" si="450"/>
        <v>106401778.84531957</v>
      </c>
      <c r="CI371" s="275">
        <f t="shared" si="410"/>
        <v>128701837.68680999</v>
      </c>
      <c r="CJ371" s="275">
        <f>'Detailed Budget'!$AD$178</f>
        <v>46025131033.061455</v>
      </c>
      <c r="CK371" s="275">
        <f t="shared" si="451"/>
        <v>160547719.41871908</v>
      </c>
      <c r="CL371" s="275">
        <f t="shared" si="436"/>
        <v>289249557.10552907</v>
      </c>
      <c r="CM371" s="278">
        <f>'Detailed Budget'!$AD$189</f>
        <v>77498869683.252869</v>
      </c>
      <c r="CN371" s="275">
        <f t="shared" si="430"/>
        <v>0</v>
      </c>
      <c r="CO371" s="140">
        <f>'Detailed Budget'!$AD$191</f>
        <v>2684962805.4134097</v>
      </c>
      <c r="CP371" s="616">
        <f t="shared" si="431"/>
        <v>0</v>
      </c>
      <c r="CQ371" s="616">
        <f t="shared" si="432"/>
        <v>0</v>
      </c>
      <c r="CR371" s="199">
        <f>'Detailed Budget'!$AD$195</f>
        <v>18734176418</v>
      </c>
      <c r="CS371" s="275">
        <f t="shared" si="452"/>
        <v>26085199.461909346</v>
      </c>
      <c r="CW371" s="278"/>
      <c r="DH371" s="140">
        <f>'Detailed Budget'!$AD$163</f>
        <v>4928560000</v>
      </c>
      <c r="DI371" s="616">
        <f t="shared" si="453"/>
        <v>6160000</v>
      </c>
    </row>
    <row r="372" spans="1:113" outlineLevel="1">
      <c r="A372" s="214" t="s">
        <v>876</v>
      </c>
      <c r="B372" s="215" t="s">
        <v>877</v>
      </c>
      <c r="C372" s="216" t="s">
        <v>234</v>
      </c>
      <c r="D372" s="217" t="s">
        <v>234</v>
      </c>
      <c r="E372" s="216"/>
      <c r="F372" s="216"/>
      <c r="G372" s="216"/>
      <c r="H372" s="216" t="s">
        <v>234</v>
      </c>
      <c r="I372" s="217" t="s">
        <v>234</v>
      </c>
      <c r="J372" s="217"/>
      <c r="K372" s="216" t="s">
        <v>234</v>
      </c>
      <c r="L372" s="216"/>
      <c r="M372" s="217"/>
      <c r="N372" s="216"/>
      <c r="O372" s="217"/>
      <c r="P372" s="216"/>
      <c r="Q372" s="217" t="s">
        <v>234</v>
      </c>
      <c r="R372" s="217"/>
      <c r="S372" s="217"/>
      <c r="T372" s="216"/>
      <c r="U372" s="218">
        <f t="shared" si="442"/>
        <v>6</v>
      </c>
      <c r="V372" s="867" t="s">
        <v>284</v>
      </c>
      <c r="W372" s="219">
        <v>596411</v>
      </c>
      <c r="X372" s="220">
        <v>3.36</v>
      </c>
      <c r="Y372" s="221">
        <f t="shared" si="456"/>
        <v>1.0336000000000001</v>
      </c>
      <c r="Z372" s="199">
        <v>19</v>
      </c>
      <c r="AA372" s="221">
        <f t="shared" si="457"/>
        <v>1.873689022502546</v>
      </c>
      <c r="AB372" s="199">
        <f t="shared" si="458"/>
        <v>1117488.7435997659</v>
      </c>
      <c r="AC372">
        <v>19.3</v>
      </c>
      <c r="AD372" s="199">
        <f t="shared" si="459"/>
        <v>215675.32751475484</v>
      </c>
      <c r="AE372" s="199">
        <f t="shared" si="462"/>
        <v>204891.56113901708</v>
      </c>
      <c r="AF372" s="199">
        <f t="shared" si="435"/>
        <v>204891.56113901708</v>
      </c>
      <c r="AG372" s="614">
        <f t="shared" si="434"/>
        <v>9.4732862962607304E-3</v>
      </c>
      <c r="AH372" s="199">
        <f t="shared" si="454"/>
        <v>55874.437179988301</v>
      </c>
      <c r="AI372" s="252">
        <f t="shared" si="417"/>
        <v>4.3285079902922923E-3</v>
      </c>
      <c r="AJ372" s="199">
        <f t="shared" si="418"/>
        <v>271549.76469474315</v>
      </c>
      <c r="AK372" s="199">
        <f t="shared" si="437"/>
        <v>44699.549743990639</v>
      </c>
      <c r="AL372" s="199">
        <f t="shared" si="438"/>
        <v>44699.549743990639</v>
      </c>
      <c r="AM372" s="199">
        <f t="shared" si="419"/>
        <v>89399.099487981279</v>
      </c>
      <c r="AN372" s="645">
        <f t="shared" si="420"/>
        <v>4.3285079902922923E-3</v>
      </c>
      <c r="AO372" s="199">
        <v>11</v>
      </c>
      <c r="AP372" s="250">
        <f t="shared" si="421"/>
        <v>1.2498579706851495E-3</v>
      </c>
      <c r="AQ372" s="199">
        <v>11</v>
      </c>
      <c r="AU372" s="199">
        <v>1</v>
      </c>
      <c r="AV372" s="199">
        <f t="shared" si="443"/>
        <v>620827.06839435198</v>
      </c>
      <c r="AW372" s="250">
        <f t="shared" si="422"/>
        <v>1.7868623176244495E-2</v>
      </c>
      <c r="AX372" s="199">
        <v>0</v>
      </c>
      <c r="AY372" s="199">
        <f t="shared" si="444"/>
        <v>77833.214332835065</v>
      </c>
      <c r="AZ372" s="199">
        <f t="shared" si="423"/>
        <v>0</v>
      </c>
      <c r="BA372" s="252">
        <f t="shared" si="424"/>
        <v>0</v>
      </c>
      <c r="BB372" s="284">
        <v>1</v>
      </c>
      <c r="BC372" s="199">
        <f t="shared" si="445"/>
        <v>155286.23581062348</v>
      </c>
      <c r="BD372" s="270">
        <f t="shared" si="440"/>
        <v>1.398462705697142E-2</v>
      </c>
      <c r="BE372" s="199">
        <f t="shared" si="446"/>
        <v>664280.00874544494</v>
      </c>
      <c r="BF372" s="251">
        <f t="shared" si="441"/>
        <v>1.3984627367736136E-2</v>
      </c>
      <c r="BG372" s="204">
        <f t="shared" si="455"/>
        <v>819566.24455606844</v>
      </c>
      <c r="BH372" s="636">
        <v>0</v>
      </c>
      <c r="BI372" s="199">
        <f t="shared" si="425"/>
        <v>341951.55554152839</v>
      </c>
      <c r="BJ372" s="199">
        <f t="shared" si="426"/>
        <v>683903.11108305678</v>
      </c>
      <c r="BK372" s="199">
        <f t="shared" si="433"/>
        <v>1025854.6666245852</v>
      </c>
      <c r="BL372" s="251">
        <f t="shared" si="427"/>
        <v>4.3285079902922923E-3</v>
      </c>
      <c r="BM372" s="199">
        <f t="shared" si="447"/>
        <v>87566.339537563908</v>
      </c>
      <c r="BN372" s="251">
        <f t="shared" si="428"/>
        <v>3.7813868677901547E-3</v>
      </c>
      <c r="BT372" s="199">
        <f>'Detailed Budget'!$AD$12</f>
        <v>194045122715</v>
      </c>
      <c r="BU372" s="199">
        <f>'Detailed Budget'!$AD$24</f>
        <v>194045122715</v>
      </c>
      <c r="BV372" s="596">
        <f t="shared" si="448"/>
        <v>1.7868623176244495E-2</v>
      </c>
      <c r="BW372" s="278"/>
      <c r="BX372" s="275">
        <f t="shared" si="460"/>
        <v>3467319176.9824562</v>
      </c>
      <c r="BY372" s="275">
        <f t="shared" si="461"/>
        <v>3467319176.9824562</v>
      </c>
      <c r="CA372" s="199">
        <f>'Detailed Budget'!$AD$96</f>
        <v>71050111380.677719</v>
      </c>
      <c r="CB372" s="275">
        <f t="shared" si="429"/>
        <v>0</v>
      </c>
      <c r="CE372" s="199">
        <f>'Detailed Budget'!$AD$175</f>
        <v>4330586076.5988197</v>
      </c>
      <c r="CF372" s="275">
        <f t="shared" si="449"/>
        <v>60561631.219347559</v>
      </c>
      <c r="CG372" s="199">
        <f>'Detailed Budget'!$AD$176</f>
        <v>20662817754.37001</v>
      </c>
      <c r="CH372" s="275">
        <f t="shared" si="450"/>
        <v>288961806.66230696</v>
      </c>
      <c r="CI372" s="275">
        <f t="shared" si="410"/>
        <v>349523437.8816545</v>
      </c>
      <c r="CJ372" s="275">
        <f>'Detailed Budget'!$AD$178</f>
        <v>46025131033.061455</v>
      </c>
      <c r="CK372" s="275">
        <f t="shared" si="451"/>
        <v>436009243.09910554</v>
      </c>
      <c r="CL372" s="275">
        <f t="shared" si="436"/>
        <v>785532680.9807601</v>
      </c>
      <c r="CM372" s="278">
        <f>'Detailed Budget'!$AD$189</f>
        <v>77498869683.252869</v>
      </c>
      <c r="CN372" s="275">
        <f t="shared" si="430"/>
        <v>0</v>
      </c>
      <c r="CO372" s="140">
        <f>'Detailed Budget'!$AD$191</f>
        <v>2684962805.4134097</v>
      </c>
      <c r="CP372" s="616">
        <f t="shared" si="431"/>
        <v>0</v>
      </c>
      <c r="CQ372" s="616">
        <f t="shared" si="432"/>
        <v>0</v>
      </c>
      <c r="CR372" s="199">
        <f>'Detailed Budget'!$AD$195</f>
        <v>18734176418</v>
      </c>
      <c r="CS372" s="275">
        <f t="shared" si="452"/>
        <v>70841168.685889199</v>
      </c>
      <c r="CW372" s="278"/>
      <c r="DH372" s="140">
        <f>'Detailed Budget'!$AD$163</f>
        <v>4928560000</v>
      </c>
      <c r="DI372" s="616">
        <f t="shared" si="453"/>
        <v>6160000</v>
      </c>
    </row>
    <row r="373" spans="1:113" outlineLevel="1">
      <c r="A373" s="214" t="s">
        <v>878</v>
      </c>
      <c r="B373" s="215" t="s">
        <v>879</v>
      </c>
      <c r="C373" s="216" t="s">
        <v>234</v>
      </c>
      <c r="D373" s="217" t="s">
        <v>234</v>
      </c>
      <c r="E373" s="216"/>
      <c r="F373" s="216"/>
      <c r="G373" s="216"/>
      <c r="H373" s="216" t="s">
        <v>234</v>
      </c>
      <c r="I373" s="217" t="s">
        <v>234</v>
      </c>
      <c r="J373" s="217"/>
      <c r="K373" s="216" t="s">
        <v>234</v>
      </c>
      <c r="L373" s="216"/>
      <c r="M373" s="217"/>
      <c r="N373" s="216"/>
      <c r="O373" s="217"/>
      <c r="P373" s="216"/>
      <c r="Q373" s="217"/>
      <c r="R373" s="217" t="s">
        <v>234</v>
      </c>
      <c r="S373" s="217"/>
      <c r="T373" s="216"/>
      <c r="U373" s="218">
        <f t="shared" si="442"/>
        <v>6</v>
      </c>
      <c r="V373" s="867" t="s">
        <v>238</v>
      </c>
      <c r="W373" s="219">
        <v>148276</v>
      </c>
      <c r="X373" s="220">
        <v>3.36</v>
      </c>
      <c r="Y373" s="221">
        <f t="shared" si="456"/>
        <v>1.0336000000000001</v>
      </c>
      <c r="Z373" s="199">
        <v>19</v>
      </c>
      <c r="AA373" s="221">
        <f t="shared" si="457"/>
        <v>1.873689022502546</v>
      </c>
      <c r="AB373" s="199">
        <f t="shared" si="458"/>
        <v>277823.11350058753</v>
      </c>
      <c r="AC373">
        <v>19.3</v>
      </c>
      <c r="AD373" s="199">
        <f t="shared" si="459"/>
        <v>53619.860905613394</v>
      </c>
      <c r="AE373" s="199">
        <f t="shared" si="462"/>
        <v>50938.867860332721</v>
      </c>
      <c r="AF373" s="199">
        <f t="shared" si="435"/>
        <v>50938.867860332721</v>
      </c>
      <c r="AG373" s="614">
        <f t="shared" si="434"/>
        <v>2.3551896240417368E-3</v>
      </c>
      <c r="AH373" s="199">
        <f t="shared" si="454"/>
        <v>13891.155675029377</v>
      </c>
      <c r="AI373" s="252">
        <f t="shared" si="417"/>
        <v>1.0761267829878724E-3</v>
      </c>
      <c r="AJ373" s="199">
        <f t="shared" si="418"/>
        <v>67511.016580642769</v>
      </c>
      <c r="AK373" s="199">
        <f t="shared" si="437"/>
        <v>11112.924540023501</v>
      </c>
      <c r="AL373" s="199">
        <f t="shared" si="438"/>
        <v>11112.924540023501</v>
      </c>
      <c r="AM373" s="199">
        <f t="shared" si="419"/>
        <v>22225.849080047003</v>
      </c>
      <c r="AN373" s="645">
        <f t="shared" si="420"/>
        <v>1.0761267829878724E-3</v>
      </c>
      <c r="AO373" s="199">
        <v>10</v>
      </c>
      <c r="AP373" s="250">
        <f t="shared" si="421"/>
        <v>1.1362345188046814E-3</v>
      </c>
      <c r="AQ373" s="199">
        <v>10</v>
      </c>
      <c r="AU373" s="199">
        <v>1</v>
      </c>
      <c r="AV373" s="199">
        <f t="shared" si="443"/>
        <v>154346.1713369487</v>
      </c>
      <c r="AW373" s="250">
        <f t="shared" si="422"/>
        <v>4.4423861566618116E-3</v>
      </c>
      <c r="AX373" s="199">
        <v>0</v>
      </c>
      <c r="AY373" s="199">
        <f t="shared" si="444"/>
        <v>19350.41051961726</v>
      </c>
      <c r="AZ373" s="199">
        <f t="shared" si="423"/>
        <v>0</v>
      </c>
      <c r="BA373" s="252">
        <f t="shared" si="424"/>
        <v>0</v>
      </c>
      <c r="BB373" s="284">
        <v>1</v>
      </c>
      <c r="BC373" s="199">
        <f t="shared" si="445"/>
        <v>38606.299852041644</v>
      </c>
      <c r="BD373" s="270">
        <f t="shared" si="440"/>
        <v>3.4767711552930692E-3</v>
      </c>
      <c r="BE373" s="199">
        <f t="shared" si="446"/>
        <v>165149.17158928927</v>
      </c>
      <c r="BF373" s="251">
        <f t="shared" si="441"/>
        <v>3.4767712325534631E-3</v>
      </c>
      <c r="BG373" s="204">
        <f t="shared" si="455"/>
        <v>203755.47144133091</v>
      </c>
      <c r="BH373" s="636">
        <v>0</v>
      </c>
      <c r="BI373" s="199">
        <f t="shared" si="425"/>
        <v>85013.872731179785</v>
      </c>
      <c r="BJ373" s="199">
        <f t="shared" si="426"/>
        <v>170027.74546235957</v>
      </c>
      <c r="BK373" s="199">
        <f t="shared" si="433"/>
        <v>255041.61819353935</v>
      </c>
      <c r="BL373" s="251">
        <f t="shared" si="427"/>
        <v>1.0761267829878724E-3</v>
      </c>
      <c r="BM373" s="199">
        <f t="shared" si="447"/>
        <v>21770.199679871472</v>
      </c>
      <c r="BN373" s="251">
        <f t="shared" si="428"/>
        <v>9.4010492631499572E-4</v>
      </c>
      <c r="BT373" s="199">
        <f>'Detailed Budget'!$AD$12</f>
        <v>194045122715</v>
      </c>
      <c r="BU373" s="199">
        <f>'Detailed Budget'!$AD$24</f>
        <v>194045122715</v>
      </c>
      <c r="BV373" s="596">
        <f t="shared" si="448"/>
        <v>4.4423861566618116E-3</v>
      </c>
      <c r="BW373" s="278"/>
      <c r="BX373" s="275">
        <f t="shared" si="460"/>
        <v>862023366.91685843</v>
      </c>
      <c r="BY373" s="275">
        <f t="shared" si="461"/>
        <v>862023366.91685843</v>
      </c>
      <c r="CA373" s="199">
        <f>'Detailed Budget'!$AD$96</f>
        <v>71050111380.677719</v>
      </c>
      <c r="CB373" s="275">
        <f t="shared" si="429"/>
        <v>0</v>
      </c>
      <c r="CE373" s="199">
        <f>'Detailed Budget'!$AD$175</f>
        <v>4330586076.5988197</v>
      </c>
      <c r="CF373" s="275">
        <f t="shared" si="449"/>
        <v>15056456.756632559</v>
      </c>
      <c r="CG373" s="199">
        <f>'Detailed Budget'!$AD$176</f>
        <v>20662817754.37001</v>
      </c>
      <c r="CH373" s="275">
        <f t="shared" si="450"/>
        <v>71839890.351888597</v>
      </c>
      <c r="CI373" s="275">
        <f t="shared" si="410"/>
        <v>86896347.108521163</v>
      </c>
      <c r="CJ373" s="275">
        <f>'Detailed Budget'!$AD$178</f>
        <v>46025131033.061455</v>
      </c>
      <c r="CK373" s="275">
        <f t="shared" si="451"/>
        <v>108397911.05422768</v>
      </c>
      <c r="CL373" s="275">
        <f t="shared" si="436"/>
        <v>195294258.16274884</v>
      </c>
      <c r="CM373" s="278">
        <f>'Detailed Budget'!$AD$189</f>
        <v>77498869683.252869</v>
      </c>
      <c r="CN373" s="275">
        <f t="shared" si="430"/>
        <v>0</v>
      </c>
      <c r="CO373" s="140">
        <f>'Detailed Budget'!$AD$191</f>
        <v>2684962805.4134097</v>
      </c>
      <c r="CP373" s="616">
        <f t="shared" si="431"/>
        <v>0</v>
      </c>
      <c r="CQ373" s="616">
        <f t="shared" si="432"/>
        <v>0</v>
      </c>
      <c r="CR373" s="199">
        <f>'Detailed Budget'!$AD$195</f>
        <v>18734176418</v>
      </c>
      <c r="CS373" s="275">
        <f t="shared" si="452"/>
        <v>17612091.54101602</v>
      </c>
      <c r="CW373" s="278"/>
      <c r="DH373" s="140">
        <f>'Detailed Budget'!$AD$163</f>
        <v>4928560000</v>
      </c>
      <c r="DI373" s="616">
        <f t="shared" si="453"/>
        <v>5600000</v>
      </c>
    </row>
    <row r="374" spans="1:113" outlineLevel="1">
      <c r="A374" s="214" t="s">
        <v>880</v>
      </c>
      <c r="B374" s="215" t="s">
        <v>881</v>
      </c>
      <c r="C374" s="216" t="s">
        <v>234</v>
      </c>
      <c r="D374" s="217" t="s">
        <v>234</v>
      </c>
      <c r="E374" s="216"/>
      <c r="F374" s="216"/>
      <c r="G374" s="216"/>
      <c r="H374" s="216" t="s">
        <v>234</v>
      </c>
      <c r="I374" s="217" t="s">
        <v>234</v>
      </c>
      <c r="J374" s="217"/>
      <c r="K374" s="216" t="s">
        <v>234</v>
      </c>
      <c r="L374" s="216"/>
      <c r="M374" s="217"/>
      <c r="N374" s="216"/>
      <c r="O374" s="217"/>
      <c r="P374" s="216"/>
      <c r="Q374" s="217"/>
      <c r="R374" s="217" t="s">
        <v>234</v>
      </c>
      <c r="S374" s="217"/>
      <c r="T374" s="216"/>
      <c r="U374" s="218">
        <f t="shared" si="442"/>
        <v>6</v>
      </c>
      <c r="V374" s="867" t="s">
        <v>238</v>
      </c>
      <c r="W374" s="219">
        <v>103371</v>
      </c>
      <c r="X374" s="220">
        <v>3.36</v>
      </c>
      <c r="Y374" s="221">
        <f t="shared" si="456"/>
        <v>1.0336000000000001</v>
      </c>
      <c r="Z374" s="199">
        <v>19</v>
      </c>
      <c r="AA374" s="221">
        <f t="shared" si="457"/>
        <v>1.873689022502546</v>
      </c>
      <c r="AB374" s="199">
        <f t="shared" si="458"/>
        <v>193685.10794511068</v>
      </c>
      <c r="AC374">
        <v>19.3</v>
      </c>
      <c r="AD374" s="199">
        <f t="shared" si="459"/>
        <v>37381.225833406366</v>
      </c>
      <c r="AE374" s="199">
        <f t="shared" si="462"/>
        <v>35512.164541736049</v>
      </c>
      <c r="AF374" s="199">
        <f t="shared" si="435"/>
        <v>35512.164541736049</v>
      </c>
      <c r="AG374" s="614">
        <f t="shared" si="434"/>
        <v>1.6419265870863686E-3</v>
      </c>
      <c r="AH374" s="199">
        <f t="shared" si="454"/>
        <v>9684.2553972555343</v>
      </c>
      <c r="AI374" s="252">
        <f t="shared" si="417"/>
        <v>7.5022459254524905E-4</v>
      </c>
      <c r="AJ374" s="199">
        <f t="shared" si="418"/>
        <v>47065.481230661899</v>
      </c>
      <c r="AK374" s="199">
        <f t="shared" si="437"/>
        <v>7747.4043178044276</v>
      </c>
      <c r="AL374" s="199">
        <f t="shared" si="438"/>
        <v>7747.4043178044276</v>
      </c>
      <c r="AM374" s="199">
        <f t="shared" si="419"/>
        <v>15494.808635608855</v>
      </c>
      <c r="AN374" s="645">
        <f t="shared" si="420"/>
        <v>7.5022459254524916E-4</v>
      </c>
      <c r="AO374" s="199">
        <v>12</v>
      </c>
      <c r="AP374" s="250">
        <f t="shared" si="421"/>
        <v>1.3634814225656176E-3</v>
      </c>
      <c r="AQ374" s="199">
        <v>12</v>
      </c>
      <c r="AU374" s="199">
        <v>1</v>
      </c>
      <c r="AV374" s="199">
        <f t="shared" si="443"/>
        <v>107602.83577431092</v>
      </c>
      <c r="AW374" s="250">
        <f t="shared" si="422"/>
        <v>3.0970210917497655E-3</v>
      </c>
      <c r="AX374" s="199">
        <v>0</v>
      </c>
      <c r="AY374" s="199">
        <f t="shared" si="444"/>
        <v>13490.189146074592</v>
      </c>
      <c r="AZ374" s="199">
        <f t="shared" si="423"/>
        <v>0</v>
      </c>
      <c r="BA374" s="252">
        <f t="shared" si="424"/>
        <v>0</v>
      </c>
      <c r="BB374" s="284">
        <v>1</v>
      </c>
      <c r="BC374" s="199">
        <f t="shared" si="445"/>
        <v>26914.482600052583</v>
      </c>
      <c r="BD374" s="270">
        <f t="shared" si="440"/>
        <v>2.4238400758976493E-3</v>
      </c>
      <c r="BE374" s="199">
        <f t="shared" si="446"/>
        <v>115134.17556689162</v>
      </c>
      <c r="BF374" s="251">
        <f t="shared" si="441"/>
        <v>2.4238401297599346E-3</v>
      </c>
      <c r="BG374" s="204">
        <f t="shared" si="455"/>
        <v>142048.65816694419</v>
      </c>
      <c r="BH374" s="636">
        <v>0</v>
      </c>
      <c r="BI374" s="199">
        <f t="shared" si="425"/>
        <v>59267.643031203865</v>
      </c>
      <c r="BJ374" s="199">
        <f t="shared" si="426"/>
        <v>118535.28606240773</v>
      </c>
      <c r="BK374" s="199">
        <f t="shared" si="433"/>
        <v>177802.9290936116</v>
      </c>
      <c r="BL374" s="251">
        <f t="shared" si="427"/>
        <v>7.5022459254524905E-4</v>
      </c>
      <c r="BM374" s="199">
        <f t="shared" si="447"/>
        <v>15177.151468261849</v>
      </c>
      <c r="BN374" s="251">
        <f t="shared" si="428"/>
        <v>6.5539660051597986E-4</v>
      </c>
      <c r="BT374" s="199">
        <f>'Detailed Budget'!$AD$12</f>
        <v>194045122715</v>
      </c>
      <c r="BU374" s="199">
        <f>'Detailed Budget'!$AD$24</f>
        <v>194045122715</v>
      </c>
      <c r="BV374" s="596">
        <f t="shared" si="448"/>
        <v>3.0970210917497655E-3</v>
      </c>
      <c r="BW374" s="278"/>
      <c r="BX374" s="275">
        <f t="shared" si="460"/>
        <v>600961837.79952657</v>
      </c>
      <c r="BY374" s="275">
        <f t="shared" si="461"/>
        <v>600961837.79952657</v>
      </c>
      <c r="CA374" s="199">
        <f>'Detailed Budget'!$AD$96</f>
        <v>71050111380.677719</v>
      </c>
      <c r="CB374" s="275">
        <f t="shared" si="429"/>
        <v>0</v>
      </c>
      <c r="CE374" s="199">
        <f>'Detailed Budget'!$AD$175</f>
        <v>4330586076.5988197</v>
      </c>
      <c r="CF374" s="275">
        <f t="shared" si="449"/>
        <v>10496648.084584586</v>
      </c>
      <c r="CG374" s="199">
        <f>'Detailed Budget'!$AD$176</f>
        <v>20662817754.37001</v>
      </c>
      <c r="CH374" s="275">
        <f t="shared" si="450"/>
        <v>50083366.866958089</v>
      </c>
      <c r="CI374" s="275">
        <f t="shared" si="410"/>
        <v>60580014.951542675</v>
      </c>
      <c r="CJ374" s="275">
        <f>'Detailed Budget'!$AD$178</f>
        <v>46025131033.061455</v>
      </c>
      <c r="CK374" s="275">
        <f t="shared" si="451"/>
        <v>75569886.317317501</v>
      </c>
      <c r="CL374" s="275">
        <f t="shared" si="436"/>
        <v>136149901.26886016</v>
      </c>
      <c r="CM374" s="278">
        <f>'Detailed Budget'!$AD$189</f>
        <v>77498869683.252869</v>
      </c>
      <c r="CN374" s="275">
        <f t="shared" si="430"/>
        <v>0</v>
      </c>
      <c r="CO374" s="140">
        <f>'Detailed Budget'!$AD$191</f>
        <v>2684962805.4134097</v>
      </c>
      <c r="CP374" s="616">
        <f t="shared" si="431"/>
        <v>0</v>
      </c>
      <c r="CQ374" s="616">
        <f t="shared" si="432"/>
        <v>0</v>
      </c>
      <c r="CR374" s="199">
        <f>'Detailed Budget'!$AD$195</f>
        <v>18734176418</v>
      </c>
      <c r="CS374" s="275">
        <f t="shared" si="452"/>
        <v>12278315.537823837</v>
      </c>
      <c r="CW374" s="278"/>
      <c r="DH374" s="140">
        <f>'Detailed Budget'!$AD$163</f>
        <v>4928560000</v>
      </c>
      <c r="DI374" s="616">
        <f t="shared" si="453"/>
        <v>6720000</v>
      </c>
    </row>
    <row r="375" spans="1:113" outlineLevel="1">
      <c r="A375" s="214" t="s">
        <v>882</v>
      </c>
      <c r="B375" s="215" t="s">
        <v>883</v>
      </c>
      <c r="C375" s="216" t="s">
        <v>234</v>
      </c>
      <c r="D375" s="217" t="s">
        <v>234</v>
      </c>
      <c r="E375" s="216"/>
      <c r="F375" s="216"/>
      <c r="G375" s="216"/>
      <c r="H375" s="216" t="s">
        <v>234</v>
      </c>
      <c r="I375" s="217" t="s">
        <v>234</v>
      </c>
      <c r="J375" s="217"/>
      <c r="K375" s="216" t="s">
        <v>234</v>
      </c>
      <c r="L375" s="216"/>
      <c r="M375" s="217"/>
      <c r="N375" s="216"/>
      <c r="O375" s="217"/>
      <c r="P375" s="216"/>
      <c r="Q375" s="217"/>
      <c r="R375" s="217" t="s">
        <v>234</v>
      </c>
      <c r="S375" s="217"/>
      <c r="T375" s="216"/>
      <c r="U375" s="218">
        <f t="shared" si="442"/>
        <v>6</v>
      </c>
      <c r="V375" s="867" t="s">
        <v>238</v>
      </c>
      <c r="W375" s="219">
        <v>227607</v>
      </c>
      <c r="X375" s="220">
        <v>3.36</v>
      </c>
      <c r="Y375" s="221">
        <f t="shared" si="456"/>
        <v>1.0336000000000001</v>
      </c>
      <c r="Z375" s="199">
        <v>19</v>
      </c>
      <c r="AA375" s="221">
        <f t="shared" si="457"/>
        <v>1.873689022502546</v>
      </c>
      <c r="AB375" s="199">
        <f t="shared" si="458"/>
        <v>426464.73734473699</v>
      </c>
      <c r="AC375">
        <v>19.3</v>
      </c>
      <c r="AD375" s="199">
        <f t="shared" si="459"/>
        <v>82307.694307534242</v>
      </c>
      <c r="AE375" s="199">
        <f t="shared" si="462"/>
        <v>78192.30959215753</v>
      </c>
      <c r="AF375" s="199">
        <f t="shared" si="435"/>
        <v>78192.30959215753</v>
      </c>
      <c r="AG375" s="614">
        <f t="shared" si="434"/>
        <v>3.6152691248702933E-3</v>
      </c>
      <c r="AH375" s="199">
        <f t="shared" si="454"/>
        <v>21323.23686723685</v>
      </c>
      <c r="AI375" s="252">
        <f t="shared" si="417"/>
        <v>1.6518788522452768E-3</v>
      </c>
      <c r="AJ375" s="199">
        <f t="shared" si="418"/>
        <v>103630.93117477109</v>
      </c>
      <c r="AK375" s="199">
        <f t="shared" si="437"/>
        <v>17058.589493789481</v>
      </c>
      <c r="AL375" s="199">
        <f t="shared" si="438"/>
        <v>17058.589493789481</v>
      </c>
      <c r="AM375" s="199">
        <f t="shared" si="419"/>
        <v>34117.178987578962</v>
      </c>
      <c r="AN375" s="645">
        <f t="shared" si="420"/>
        <v>1.651878852245277E-3</v>
      </c>
      <c r="AO375" s="199">
        <v>10</v>
      </c>
      <c r="AP375" s="250">
        <f t="shared" si="421"/>
        <v>1.1362345188046814E-3</v>
      </c>
      <c r="AQ375" s="199">
        <v>10</v>
      </c>
      <c r="AU375" s="199">
        <v>1</v>
      </c>
      <c r="AV375" s="199">
        <f t="shared" si="443"/>
        <v>236924.84973622762</v>
      </c>
      <c r="AW375" s="250">
        <f t="shared" si="422"/>
        <v>6.819162817713758E-3</v>
      </c>
      <c r="AX375" s="199">
        <v>0</v>
      </c>
      <c r="AY375" s="199">
        <f t="shared" si="444"/>
        <v>29703.316026454224</v>
      </c>
      <c r="AZ375" s="199">
        <f t="shared" si="423"/>
        <v>0</v>
      </c>
      <c r="BA375" s="252">
        <f t="shared" si="424"/>
        <v>0</v>
      </c>
      <c r="BB375" s="284">
        <v>1</v>
      </c>
      <c r="BC375" s="199">
        <f t="shared" si="445"/>
        <v>59261.53990142465</v>
      </c>
      <c r="BD375" s="270">
        <f t="shared" si="440"/>
        <v>5.33692203959366E-3</v>
      </c>
      <c r="BE375" s="199">
        <f t="shared" si="446"/>
        <v>253507.69846720548</v>
      </c>
      <c r="BF375" s="251">
        <f t="shared" si="441"/>
        <v>5.3369221581901051E-3</v>
      </c>
      <c r="BG375" s="204">
        <f t="shared" si="455"/>
        <v>312769.23836863012</v>
      </c>
      <c r="BH375" s="636">
        <v>0</v>
      </c>
      <c r="BI375" s="199">
        <f t="shared" si="425"/>
        <v>130498.20962748953</v>
      </c>
      <c r="BJ375" s="199">
        <f t="shared" si="426"/>
        <v>260996.41925497906</v>
      </c>
      <c r="BK375" s="199">
        <f t="shared" si="433"/>
        <v>391494.62888246856</v>
      </c>
      <c r="BL375" s="251">
        <f t="shared" si="427"/>
        <v>1.6518788522452768E-3</v>
      </c>
      <c r="BM375" s="199">
        <f t="shared" si="447"/>
        <v>33417.746894551419</v>
      </c>
      <c r="BN375" s="251">
        <f t="shared" si="428"/>
        <v>1.4430822382838573E-3</v>
      </c>
      <c r="BT375" s="199">
        <f>'Detailed Budget'!$AD$12</f>
        <v>194045122715</v>
      </c>
      <c r="BU375" s="199">
        <f>'Detailed Budget'!$AD$24</f>
        <v>194045122715</v>
      </c>
      <c r="BV375" s="596">
        <f t="shared" si="448"/>
        <v>6.819162817713758E-3</v>
      </c>
      <c r="BW375" s="278"/>
      <c r="BX375" s="275">
        <f t="shared" si="460"/>
        <v>1323225285.7768314</v>
      </c>
      <c r="BY375" s="275">
        <f t="shared" si="461"/>
        <v>1323225285.7768314</v>
      </c>
      <c r="CA375" s="199">
        <f>'Detailed Budget'!$AD$96</f>
        <v>71050111380.677719</v>
      </c>
      <c r="CB375" s="275">
        <f t="shared" si="429"/>
        <v>0</v>
      </c>
      <c r="CE375" s="199">
        <f>'Detailed Budget'!$AD$175</f>
        <v>4330586076.5988197</v>
      </c>
      <c r="CF375" s="275">
        <f t="shared" si="449"/>
        <v>23112000.27655768</v>
      </c>
      <c r="CG375" s="199">
        <f>'Detailed Budget'!$AD$176</f>
        <v>20662817754.37001</v>
      </c>
      <c r="CH375" s="275">
        <f t="shared" si="450"/>
        <v>110275849.92394122</v>
      </c>
      <c r="CI375" s="275">
        <f t="shared" si="410"/>
        <v>133387850.20049891</v>
      </c>
      <c r="CJ375" s="275">
        <f>'Detailed Budget'!$AD$178</f>
        <v>46025131033.061455</v>
      </c>
      <c r="CK375" s="275">
        <f t="shared" si="451"/>
        <v>166393235.19193667</v>
      </c>
      <c r="CL375" s="275">
        <f t="shared" si="436"/>
        <v>299781085.39243555</v>
      </c>
      <c r="CM375" s="278">
        <f>'Detailed Budget'!$AD$189</f>
        <v>77498869683.252869</v>
      </c>
      <c r="CN375" s="275">
        <f t="shared" si="430"/>
        <v>0</v>
      </c>
      <c r="CO375" s="140">
        <f>'Detailed Budget'!$AD$191</f>
        <v>2684962805.4134097</v>
      </c>
      <c r="CP375" s="616">
        <f t="shared" si="431"/>
        <v>0</v>
      </c>
      <c r="CQ375" s="616">
        <f t="shared" si="432"/>
        <v>0</v>
      </c>
      <c r="CR375" s="199">
        <f>'Detailed Budget'!$AD$195</f>
        <v>18734176418</v>
      </c>
      <c r="CS375" s="275">
        <f t="shared" si="452"/>
        <v>27034957.237692095</v>
      </c>
      <c r="CW375" s="278"/>
      <c r="DH375" s="140">
        <f>'Detailed Budget'!$AD$163</f>
        <v>4928560000</v>
      </c>
      <c r="DI375" s="616">
        <f t="shared" si="453"/>
        <v>5600000</v>
      </c>
    </row>
    <row r="376" spans="1:113" outlineLevel="1">
      <c r="A376" s="214" t="s">
        <v>884</v>
      </c>
      <c r="B376" s="215" t="s">
        <v>885</v>
      </c>
      <c r="C376" s="216" t="s">
        <v>234</v>
      </c>
      <c r="D376" s="217" t="s">
        <v>234</v>
      </c>
      <c r="E376" s="216"/>
      <c r="F376" s="216"/>
      <c r="G376" s="216"/>
      <c r="H376" s="216" t="s">
        <v>234</v>
      </c>
      <c r="I376" s="217" t="s">
        <v>234</v>
      </c>
      <c r="J376" s="217"/>
      <c r="K376" s="216" t="s">
        <v>234</v>
      </c>
      <c r="L376" s="216"/>
      <c r="M376" s="217"/>
      <c r="N376" s="216"/>
      <c r="O376" s="217"/>
      <c r="P376" s="216"/>
      <c r="Q376" s="217"/>
      <c r="R376" s="217" t="s">
        <v>234</v>
      </c>
      <c r="S376" s="217"/>
      <c r="T376" s="216"/>
      <c r="U376" s="218">
        <f t="shared" si="442"/>
        <v>6</v>
      </c>
      <c r="V376" s="867" t="s">
        <v>238</v>
      </c>
      <c r="W376" s="219">
        <v>139128</v>
      </c>
      <c r="X376" s="220">
        <v>3.36</v>
      </c>
      <c r="Y376" s="221">
        <f t="shared" si="456"/>
        <v>1.0336000000000001</v>
      </c>
      <c r="Z376" s="199">
        <v>19</v>
      </c>
      <c r="AA376" s="221">
        <f t="shared" si="457"/>
        <v>1.873689022502546</v>
      </c>
      <c r="AB376" s="199">
        <f t="shared" si="458"/>
        <v>260682.60632273421</v>
      </c>
      <c r="AC376">
        <v>19.3</v>
      </c>
      <c r="AD376" s="199">
        <f t="shared" si="459"/>
        <v>50311.743020287708</v>
      </c>
      <c r="AE376" s="199">
        <f t="shared" si="462"/>
        <v>47796.155869273323</v>
      </c>
      <c r="AF376" s="199">
        <f t="shared" si="435"/>
        <v>47796.155869273323</v>
      </c>
      <c r="AG376" s="614">
        <f t="shared" si="434"/>
        <v>2.2098844183393051E-3</v>
      </c>
      <c r="AH376" s="199">
        <f t="shared" si="454"/>
        <v>13034.13031613671</v>
      </c>
      <c r="AI376" s="252">
        <f t="shared" si="417"/>
        <v>1.0097343269547109E-3</v>
      </c>
      <c r="AJ376" s="199">
        <f t="shared" si="418"/>
        <v>63345.873336424418</v>
      </c>
      <c r="AK376" s="199">
        <f t="shared" si="437"/>
        <v>10427.304252909369</v>
      </c>
      <c r="AL376" s="199">
        <f t="shared" si="438"/>
        <v>10427.304252909369</v>
      </c>
      <c r="AM376" s="199">
        <f t="shared" si="419"/>
        <v>20854.608505818738</v>
      </c>
      <c r="AN376" s="645">
        <f t="shared" si="420"/>
        <v>1.0097343269547109E-3</v>
      </c>
      <c r="AO376" s="199">
        <v>10</v>
      </c>
      <c r="AP376" s="250">
        <f t="shared" si="421"/>
        <v>1.1362345188046814E-3</v>
      </c>
      <c r="AQ376" s="199">
        <v>10</v>
      </c>
      <c r="AU376" s="199">
        <v>1</v>
      </c>
      <c r="AV376" s="199">
        <f t="shared" si="443"/>
        <v>144823.66752385418</v>
      </c>
      <c r="AW376" s="250">
        <f t="shared" si="422"/>
        <v>4.1683097817856209E-3</v>
      </c>
      <c r="AX376" s="199">
        <v>0</v>
      </c>
      <c r="AY376" s="199">
        <f t="shared" si="444"/>
        <v>18156.572302822511</v>
      </c>
      <c r="AZ376" s="199">
        <f t="shared" si="423"/>
        <v>0</v>
      </c>
      <c r="BA376" s="252">
        <f t="shared" si="424"/>
        <v>0</v>
      </c>
      <c r="BB376" s="284">
        <v>1</v>
      </c>
      <c r="BC376" s="199">
        <f t="shared" si="445"/>
        <v>36224.45497460715</v>
      </c>
      <c r="BD376" s="270">
        <f t="shared" si="440"/>
        <v>3.2622691284740222E-3</v>
      </c>
      <c r="BE376" s="199">
        <f t="shared" si="446"/>
        <v>154960.16850248614</v>
      </c>
      <c r="BF376" s="251">
        <f t="shared" si="441"/>
        <v>3.2622692009677775E-3</v>
      </c>
      <c r="BG376" s="204">
        <f t="shared" si="455"/>
        <v>191184.62347709329</v>
      </c>
      <c r="BH376" s="636">
        <v>0</v>
      </c>
      <c r="BI376" s="199">
        <f t="shared" si="425"/>
        <v>79768.87753475667</v>
      </c>
      <c r="BJ376" s="199">
        <f t="shared" si="426"/>
        <v>159537.75506951334</v>
      </c>
      <c r="BK376" s="199">
        <f t="shared" si="433"/>
        <v>239306.63260427001</v>
      </c>
      <c r="BL376" s="251">
        <f t="shared" si="427"/>
        <v>1.0097343269547109E-3</v>
      </c>
      <c r="BM376" s="199">
        <f t="shared" si="447"/>
        <v>20427.070740114097</v>
      </c>
      <c r="BN376" s="251">
        <f t="shared" si="428"/>
        <v>8.8210444163824701E-4</v>
      </c>
      <c r="BT376" s="199">
        <f>'Detailed Budget'!$AD$12</f>
        <v>194045122715</v>
      </c>
      <c r="BU376" s="199">
        <f>'Detailed Budget'!$AD$24</f>
        <v>194045122715</v>
      </c>
      <c r="BV376" s="596">
        <f t="shared" si="448"/>
        <v>4.1683097817856209E-3</v>
      </c>
      <c r="BW376" s="278"/>
      <c r="BX376" s="275">
        <f t="shared" si="460"/>
        <v>808840183.12072563</v>
      </c>
      <c r="BY376" s="275">
        <f t="shared" si="461"/>
        <v>808840183.12072563</v>
      </c>
      <c r="CA376" s="199">
        <f>'Detailed Budget'!$AD$96</f>
        <v>71050111380.677719</v>
      </c>
      <c r="CB376" s="275">
        <f t="shared" si="429"/>
        <v>0</v>
      </c>
      <c r="CE376" s="199">
        <f>'Detailed Budget'!$AD$175</f>
        <v>4330586076.5988197</v>
      </c>
      <c r="CF376" s="275">
        <f t="shared" si="449"/>
        <v>14127537.265887767</v>
      </c>
      <c r="CG376" s="199">
        <f>'Detailed Budget'!$AD$176</f>
        <v>20662817754.37001</v>
      </c>
      <c r="CH376" s="275">
        <f t="shared" si="450"/>
        <v>67407673.965291455</v>
      </c>
      <c r="CI376" s="275">
        <f t="shared" si="410"/>
        <v>81535211.231179222</v>
      </c>
      <c r="CJ376" s="275">
        <f>'Detailed Budget'!$AD$178</f>
        <v>46025131033.061455</v>
      </c>
      <c r="CK376" s="275">
        <f t="shared" si="451"/>
        <v>101710219.92198731</v>
      </c>
      <c r="CL376" s="275">
        <f t="shared" si="436"/>
        <v>183245431.15316653</v>
      </c>
      <c r="CM376" s="278">
        <f>'Detailed Budget'!$AD$189</f>
        <v>77498869683.252869</v>
      </c>
      <c r="CN376" s="275">
        <f t="shared" si="430"/>
        <v>0</v>
      </c>
      <c r="CO376" s="140">
        <f>'Detailed Budget'!$AD$191</f>
        <v>2684962805.4134097</v>
      </c>
      <c r="CP376" s="616">
        <f t="shared" si="431"/>
        <v>0</v>
      </c>
      <c r="CQ376" s="616">
        <f t="shared" si="432"/>
        <v>0</v>
      </c>
      <c r="CR376" s="199">
        <f>'Detailed Budget'!$AD$195</f>
        <v>18734176418</v>
      </c>
      <c r="CS376" s="275">
        <f t="shared" si="452"/>
        <v>16525500.228752304</v>
      </c>
      <c r="CW376" s="278"/>
      <c r="DH376" s="140">
        <f>'Detailed Budget'!$AD$163</f>
        <v>4928560000</v>
      </c>
      <c r="DI376" s="616">
        <f t="shared" si="453"/>
        <v>5600000</v>
      </c>
    </row>
    <row r="377" spans="1:113" outlineLevel="1">
      <c r="A377" s="214" t="s">
        <v>886</v>
      </c>
      <c r="B377" s="215" t="s">
        <v>887</v>
      </c>
      <c r="C377" s="216" t="s">
        <v>234</v>
      </c>
      <c r="D377" s="217" t="s">
        <v>234</v>
      </c>
      <c r="E377" s="216"/>
      <c r="F377" s="216"/>
      <c r="G377" s="216"/>
      <c r="H377" s="216" t="s">
        <v>234</v>
      </c>
      <c r="I377" s="217" t="s">
        <v>234</v>
      </c>
      <c r="J377" s="217"/>
      <c r="K377" s="216" t="s">
        <v>234</v>
      </c>
      <c r="L377" s="216"/>
      <c r="M377" s="217"/>
      <c r="N377" s="216"/>
      <c r="O377" s="217"/>
      <c r="P377" s="216"/>
      <c r="Q377" s="217"/>
      <c r="R377" s="217" t="s">
        <v>234</v>
      </c>
      <c r="S377" s="217"/>
      <c r="T377" s="216"/>
      <c r="U377" s="218">
        <f t="shared" si="442"/>
        <v>6</v>
      </c>
      <c r="V377" s="867" t="s">
        <v>238</v>
      </c>
      <c r="W377" s="219">
        <v>250379</v>
      </c>
      <c r="X377" s="220">
        <v>3.36</v>
      </c>
      <c r="Y377" s="221">
        <f t="shared" si="456"/>
        <v>1.0336000000000001</v>
      </c>
      <c r="Z377" s="199">
        <v>19</v>
      </c>
      <c r="AA377" s="221">
        <f t="shared" si="457"/>
        <v>1.873689022502546</v>
      </c>
      <c r="AB377" s="199">
        <f t="shared" si="458"/>
        <v>469132.38376516494</v>
      </c>
      <c r="AC377">
        <v>19.3</v>
      </c>
      <c r="AD377" s="199">
        <f t="shared" si="459"/>
        <v>90542.550066676835</v>
      </c>
      <c r="AE377" s="199">
        <f t="shared" si="462"/>
        <v>86015.422563342989</v>
      </c>
      <c r="AF377" s="199">
        <f t="shared" si="435"/>
        <v>86015.422563342989</v>
      </c>
      <c r="AG377" s="614">
        <f t="shared" si="434"/>
        <v>3.9769755245484496E-3</v>
      </c>
      <c r="AH377" s="199">
        <f t="shared" si="454"/>
        <v>23456.61918825825</v>
      </c>
      <c r="AI377" s="252">
        <f t="shared" si="417"/>
        <v>1.8171487482648609E-3</v>
      </c>
      <c r="AJ377" s="199">
        <f t="shared" si="418"/>
        <v>113999.16925493508</v>
      </c>
      <c r="AK377" s="199">
        <f t="shared" si="437"/>
        <v>18765.295350606597</v>
      </c>
      <c r="AL377" s="199">
        <f t="shared" si="438"/>
        <v>18765.295350606597</v>
      </c>
      <c r="AM377" s="199">
        <f t="shared" si="419"/>
        <v>37530.590701213194</v>
      </c>
      <c r="AN377" s="645">
        <f t="shared" si="420"/>
        <v>1.8171487482648606E-3</v>
      </c>
      <c r="AO377" s="199">
        <v>11</v>
      </c>
      <c r="AP377" s="250">
        <f t="shared" si="421"/>
        <v>1.2498579706851495E-3</v>
      </c>
      <c r="AQ377" s="199">
        <v>11</v>
      </c>
      <c r="AU377" s="199">
        <v>1</v>
      </c>
      <c r="AV377" s="199">
        <f t="shared" si="443"/>
        <v>260629.09731294267</v>
      </c>
      <c r="AW377" s="250">
        <f t="shared" si="422"/>
        <v>7.5014176503198629E-3</v>
      </c>
      <c r="AX377" s="199">
        <v>0</v>
      </c>
      <c r="AY377" s="199">
        <f t="shared" si="444"/>
        <v>32675.122309013263</v>
      </c>
      <c r="AZ377" s="199">
        <f t="shared" si="423"/>
        <v>0</v>
      </c>
      <c r="BA377" s="252">
        <f t="shared" si="424"/>
        <v>0</v>
      </c>
      <c r="BB377" s="284">
        <v>1</v>
      </c>
      <c r="BC377" s="199">
        <f t="shared" si="445"/>
        <v>65190.63604800732</v>
      </c>
      <c r="BD377" s="270">
        <f t="shared" si="440"/>
        <v>5.8708792056106395E-3</v>
      </c>
      <c r="BE377" s="199">
        <f t="shared" si="446"/>
        <v>278871.05420536466</v>
      </c>
      <c r="BF377" s="251">
        <f t="shared" si="441"/>
        <v>5.8708793360726175E-3</v>
      </c>
      <c r="BG377" s="204">
        <f t="shared" si="455"/>
        <v>344061.69025337195</v>
      </c>
      <c r="BH377" s="636">
        <v>0</v>
      </c>
      <c r="BI377" s="199">
        <f t="shared" si="425"/>
        <v>143554.50943214048</v>
      </c>
      <c r="BJ377" s="199">
        <f t="shared" si="426"/>
        <v>287109.01886428095</v>
      </c>
      <c r="BK377" s="199">
        <f t="shared" si="433"/>
        <v>430663.5282964214</v>
      </c>
      <c r="BL377" s="251">
        <f t="shared" si="427"/>
        <v>1.8171487482648606E-3</v>
      </c>
      <c r="BM377" s="199">
        <f t="shared" si="447"/>
        <v>36761.180674192314</v>
      </c>
      <c r="BN377" s="251">
        <f t="shared" si="428"/>
        <v>1.5874621067861444E-3</v>
      </c>
      <c r="BT377" s="199">
        <f>'Detailed Budget'!$AD$12</f>
        <v>194045122715</v>
      </c>
      <c r="BU377" s="199">
        <f>'Detailed Budget'!$AD$24</f>
        <v>194045122715</v>
      </c>
      <c r="BV377" s="596">
        <f t="shared" si="448"/>
        <v>7.5014176503198629E-3</v>
      </c>
      <c r="BW377" s="278"/>
      <c r="BX377" s="275">
        <f t="shared" si="460"/>
        <v>1455613508.4927847</v>
      </c>
      <c r="BY377" s="275">
        <f t="shared" si="461"/>
        <v>1455613508.4927847</v>
      </c>
      <c r="CA377" s="199">
        <f>'Detailed Budget'!$AD$96</f>
        <v>71050111380.677719</v>
      </c>
      <c r="CB377" s="275">
        <f t="shared" si="429"/>
        <v>0</v>
      </c>
      <c r="CE377" s="199">
        <f>'Detailed Budget'!$AD$175</f>
        <v>4330586076.5988197</v>
      </c>
      <c r="CF377" s="275">
        <f t="shared" si="449"/>
        <v>25424347.745210975</v>
      </c>
      <c r="CG377" s="199">
        <f>'Detailed Budget'!$AD$176</f>
        <v>20662817754.37001</v>
      </c>
      <c r="CH377" s="275">
        <f t="shared" si="450"/>
        <v>121308909.7791653</v>
      </c>
      <c r="CI377" s="275">
        <f t="shared" si="410"/>
        <v>146733257.52437627</v>
      </c>
      <c r="CJ377" s="275">
        <f>'Detailed Budget'!$AD$178</f>
        <v>46025131033.061455</v>
      </c>
      <c r="CK377" s="275">
        <f t="shared" si="451"/>
        <v>183040819.63262069</v>
      </c>
      <c r="CL377" s="275">
        <f t="shared" si="436"/>
        <v>329774077.15699697</v>
      </c>
      <c r="CM377" s="278">
        <f>'Detailed Budget'!$AD$189</f>
        <v>77498869683.252869</v>
      </c>
      <c r="CN377" s="275">
        <f t="shared" si="430"/>
        <v>0</v>
      </c>
      <c r="CO377" s="140">
        <f>'Detailed Budget'!$AD$191</f>
        <v>2684962805.4134097</v>
      </c>
      <c r="CP377" s="616">
        <f t="shared" si="431"/>
        <v>0</v>
      </c>
      <c r="CQ377" s="616">
        <f t="shared" si="432"/>
        <v>0</v>
      </c>
      <c r="CR377" s="199">
        <f>'Detailed Budget'!$AD$195</f>
        <v>18734176418</v>
      </c>
      <c r="CS377" s="275">
        <f t="shared" si="452"/>
        <v>29739795.165421583</v>
      </c>
      <c r="CW377" s="278"/>
      <c r="DH377" s="140">
        <f>'Detailed Budget'!$AD$163</f>
        <v>4928560000</v>
      </c>
      <c r="DI377" s="616">
        <f t="shared" si="453"/>
        <v>6160000</v>
      </c>
    </row>
    <row r="378" spans="1:113" outlineLevel="1">
      <c r="A378" s="214" t="s">
        <v>888</v>
      </c>
      <c r="B378" s="215" t="s">
        <v>889</v>
      </c>
      <c r="C378" s="216" t="s">
        <v>234</v>
      </c>
      <c r="D378" s="217" t="s">
        <v>234</v>
      </c>
      <c r="E378" s="216"/>
      <c r="F378" s="216"/>
      <c r="G378" s="216"/>
      <c r="H378" s="216" t="s">
        <v>234</v>
      </c>
      <c r="I378" s="217" t="s">
        <v>234</v>
      </c>
      <c r="J378" s="217"/>
      <c r="K378" s="216" t="s">
        <v>234</v>
      </c>
      <c r="L378" s="216"/>
      <c r="M378" s="217"/>
      <c r="N378" s="216"/>
      <c r="O378" s="217"/>
      <c r="P378" s="216"/>
      <c r="Q378" s="217"/>
      <c r="R378" s="217" t="s">
        <v>234</v>
      </c>
      <c r="S378" s="217"/>
      <c r="T378" s="216"/>
      <c r="U378" s="218">
        <f t="shared" si="442"/>
        <v>6</v>
      </c>
      <c r="V378" s="867" t="s">
        <v>238</v>
      </c>
      <c r="W378" s="219">
        <v>202639</v>
      </c>
      <c r="X378" s="220">
        <v>3.36</v>
      </c>
      <c r="Y378" s="221">
        <f t="shared" si="456"/>
        <v>1.0336000000000001</v>
      </c>
      <c r="Z378" s="199">
        <v>19</v>
      </c>
      <c r="AA378" s="221">
        <f t="shared" si="457"/>
        <v>1.873689022502546</v>
      </c>
      <c r="AB378" s="199">
        <f t="shared" si="458"/>
        <v>379682.46983089339</v>
      </c>
      <c r="AC378">
        <v>19.3</v>
      </c>
      <c r="AD378" s="199">
        <f t="shared" si="459"/>
        <v>73278.716677362419</v>
      </c>
      <c r="AE378" s="199">
        <f t="shared" si="462"/>
        <v>69614.7808434943</v>
      </c>
      <c r="AF378" s="199">
        <f t="shared" si="435"/>
        <v>69614.7808434943</v>
      </c>
      <c r="AG378" s="614">
        <f t="shared" si="434"/>
        <v>3.2186818515888846E-3</v>
      </c>
      <c r="AH378" s="199">
        <f t="shared" si="454"/>
        <v>18984.123491544669</v>
      </c>
      <c r="AI378" s="252">
        <f t="shared" si="417"/>
        <v>1.4706712831333423E-3</v>
      </c>
      <c r="AJ378" s="199">
        <f t="shared" si="418"/>
        <v>92262.840168907089</v>
      </c>
      <c r="AK378" s="199">
        <f t="shared" si="437"/>
        <v>15187.298793235736</v>
      </c>
      <c r="AL378" s="199">
        <f t="shared" si="438"/>
        <v>15187.298793235736</v>
      </c>
      <c r="AM378" s="199">
        <f t="shared" si="419"/>
        <v>30374.597586471471</v>
      </c>
      <c r="AN378" s="645">
        <f t="shared" si="420"/>
        <v>1.4706712831333423E-3</v>
      </c>
      <c r="AO378" s="199">
        <v>10</v>
      </c>
      <c r="AP378" s="250">
        <f t="shared" si="421"/>
        <v>1.1362345188046814E-3</v>
      </c>
      <c r="AQ378" s="199">
        <v>10</v>
      </c>
      <c r="AU378" s="199">
        <v>1</v>
      </c>
      <c r="AV378" s="199">
        <f t="shared" si="443"/>
        <v>210934.70159397309</v>
      </c>
      <c r="AW378" s="250">
        <f t="shared" si="422"/>
        <v>6.071115274216954E-3</v>
      </c>
      <c r="AX378" s="199">
        <v>0</v>
      </c>
      <c r="AY378" s="199">
        <f t="shared" si="444"/>
        <v>26444.92593059377</v>
      </c>
      <c r="AZ378" s="199">
        <f t="shared" si="423"/>
        <v>0</v>
      </c>
      <c r="BA378" s="252">
        <f t="shared" si="424"/>
        <v>0</v>
      </c>
      <c r="BB378" s="284">
        <v>1</v>
      </c>
      <c r="BC378" s="199">
        <f t="shared" si="445"/>
        <v>52760.676007700938</v>
      </c>
      <c r="BD378" s="270">
        <f t="shared" si="440"/>
        <v>4.7514731321146508E-3</v>
      </c>
      <c r="BE378" s="199">
        <f t="shared" si="446"/>
        <v>225698.44736627626</v>
      </c>
      <c r="BF378" s="251">
        <f t="shared" si="441"/>
        <v>4.7514732377013204E-3</v>
      </c>
      <c r="BG378" s="204">
        <f t="shared" si="455"/>
        <v>278459.1233739772</v>
      </c>
      <c r="BH378" s="636">
        <v>0</v>
      </c>
      <c r="BI378" s="199">
        <f t="shared" si="425"/>
        <v>116182.83576825337</v>
      </c>
      <c r="BJ378" s="199">
        <f t="shared" si="426"/>
        <v>232365.67153650674</v>
      </c>
      <c r="BK378" s="199">
        <f t="shared" si="433"/>
        <v>348548.5073047601</v>
      </c>
      <c r="BL378" s="251">
        <f t="shared" si="427"/>
        <v>1.4706712831333421E-3</v>
      </c>
      <c r="BM378" s="199">
        <f t="shared" si="447"/>
        <v>29751.891694741393</v>
      </c>
      <c r="BN378" s="251">
        <f t="shared" si="428"/>
        <v>1.2847792101455691E-3</v>
      </c>
      <c r="BT378" s="199">
        <f>'Detailed Budget'!$AD$12</f>
        <v>194045122715</v>
      </c>
      <c r="BU378" s="199">
        <f>'Detailed Budget'!$AD$24</f>
        <v>194045122715</v>
      </c>
      <c r="BV378" s="596">
        <f t="shared" si="448"/>
        <v>6.071115274216954E-3</v>
      </c>
      <c r="BW378" s="278"/>
      <c r="BX378" s="275">
        <f t="shared" si="460"/>
        <v>1178070308.4023397</v>
      </c>
      <c r="BY378" s="275">
        <f t="shared" si="461"/>
        <v>1178070308.4023397</v>
      </c>
      <c r="CA378" s="199">
        <f>'Detailed Budget'!$AD$96</f>
        <v>71050111380.677719</v>
      </c>
      <c r="CB378" s="275">
        <f t="shared" si="429"/>
        <v>0</v>
      </c>
      <c r="CE378" s="199">
        <f>'Detailed Budget'!$AD$175</f>
        <v>4330586076.5988197</v>
      </c>
      <c r="CF378" s="275">
        <f t="shared" si="449"/>
        <v>20576663.389269091</v>
      </c>
      <c r="CG378" s="199">
        <f>'Detailed Budget'!$AD$176</f>
        <v>20662817754.37001</v>
      </c>
      <c r="CH378" s="275">
        <f t="shared" si="450"/>
        <v>98178825.575388804</v>
      </c>
      <c r="CI378" s="275">
        <f t="shared" si="410"/>
        <v>118755488.9646579</v>
      </c>
      <c r="CJ378" s="275">
        <f>'Detailed Budget'!$AD$178</f>
        <v>46025131033.061455</v>
      </c>
      <c r="CK378" s="275">
        <f t="shared" si="451"/>
        <v>148140253.97311527</v>
      </c>
      <c r="CL378" s="275">
        <f t="shared" si="436"/>
        <v>266895742.93777317</v>
      </c>
      <c r="CM378" s="278">
        <f>'Detailed Budget'!$AD$189</f>
        <v>77498869683.252869</v>
      </c>
      <c r="CN378" s="275">
        <f t="shared" si="430"/>
        <v>0</v>
      </c>
      <c r="CO378" s="140">
        <f>'Detailed Budget'!$AD$191</f>
        <v>2684962805.4134097</v>
      </c>
      <c r="CP378" s="616">
        <f t="shared" si="431"/>
        <v>0</v>
      </c>
      <c r="CQ378" s="616">
        <f t="shared" si="432"/>
        <v>0</v>
      </c>
      <c r="CR378" s="199">
        <f>'Detailed Budget'!$AD$195</f>
        <v>18734176418</v>
      </c>
      <c r="CS378" s="275">
        <f t="shared" si="452"/>
        <v>24069280.381045789</v>
      </c>
      <c r="CW378" s="278"/>
      <c r="DH378" s="140">
        <f>'Detailed Budget'!$AD$163</f>
        <v>4928560000</v>
      </c>
      <c r="DI378" s="616">
        <f t="shared" si="453"/>
        <v>5600000</v>
      </c>
    </row>
    <row r="379" spans="1:113" outlineLevel="1">
      <c r="A379" s="214" t="s">
        <v>890</v>
      </c>
      <c r="B379" s="215" t="s">
        <v>891</v>
      </c>
      <c r="C379" s="216" t="s">
        <v>234</v>
      </c>
      <c r="D379" s="217" t="s">
        <v>234</v>
      </c>
      <c r="E379" s="216"/>
      <c r="F379" s="216"/>
      <c r="G379" s="216"/>
      <c r="H379" s="216" t="s">
        <v>234</v>
      </c>
      <c r="I379" s="217" t="s">
        <v>234</v>
      </c>
      <c r="J379" s="217"/>
      <c r="K379" s="216" t="s">
        <v>234</v>
      </c>
      <c r="L379" s="216"/>
      <c r="M379" s="217"/>
      <c r="N379" s="216"/>
      <c r="O379" s="217"/>
      <c r="P379" s="216"/>
      <c r="Q379" s="217" t="s">
        <v>234</v>
      </c>
      <c r="R379" s="217"/>
      <c r="S379" s="217"/>
      <c r="T379" s="216"/>
      <c r="U379" s="218">
        <f t="shared" si="442"/>
        <v>6</v>
      </c>
      <c r="V379" s="867" t="s">
        <v>284</v>
      </c>
      <c r="W379" s="219">
        <v>221844</v>
      </c>
      <c r="X379" s="220">
        <v>3.36</v>
      </c>
      <c r="Y379" s="221">
        <f t="shared" si="456"/>
        <v>1.0336000000000001</v>
      </c>
      <c r="Z379" s="199">
        <v>19</v>
      </c>
      <c r="AA379" s="221">
        <f t="shared" si="457"/>
        <v>1.873689022502546</v>
      </c>
      <c r="AB379" s="199">
        <f t="shared" si="458"/>
        <v>415666.66750805482</v>
      </c>
      <c r="AC379">
        <v>19.3</v>
      </c>
      <c r="AD379" s="199">
        <f t="shared" si="459"/>
        <v>80223.666829054579</v>
      </c>
      <c r="AE379" s="199">
        <f t="shared" si="462"/>
        <v>76212.483487601843</v>
      </c>
      <c r="AF379" s="199">
        <f t="shared" si="435"/>
        <v>76212.483487601843</v>
      </c>
      <c r="AG379" s="614">
        <f t="shared" si="434"/>
        <v>3.5237306573950942E-3</v>
      </c>
      <c r="AH379" s="199">
        <f t="shared" si="454"/>
        <v>20783.333375402741</v>
      </c>
      <c r="AI379" s="252">
        <f t="shared" si="417"/>
        <v>1.6100533467665809E-3</v>
      </c>
      <c r="AJ379" s="199">
        <f t="shared" si="418"/>
        <v>101007.00020445732</v>
      </c>
      <c r="AK379" s="199">
        <f t="shared" si="437"/>
        <v>16626.666700322192</v>
      </c>
      <c r="AL379" s="199">
        <f t="shared" si="438"/>
        <v>16626.666700322192</v>
      </c>
      <c r="AM379" s="199">
        <f t="shared" si="419"/>
        <v>33253.333400644384</v>
      </c>
      <c r="AN379" s="645">
        <f t="shared" si="420"/>
        <v>1.6100533467665809E-3</v>
      </c>
      <c r="AO379" s="199">
        <v>10</v>
      </c>
      <c r="AP379" s="250">
        <f t="shared" si="421"/>
        <v>1.1362345188046814E-3</v>
      </c>
      <c r="AQ379" s="199">
        <v>10</v>
      </c>
      <c r="AU379" s="199">
        <v>1</v>
      </c>
      <c r="AV379" s="199">
        <f t="shared" si="443"/>
        <v>230925.92215917649</v>
      </c>
      <c r="AW379" s="250">
        <f t="shared" si="422"/>
        <v>6.6465018920019636E-3</v>
      </c>
      <c r="AX379" s="199">
        <v>0</v>
      </c>
      <c r="AY379" s="199">
        <f t="shared" si="444"/>
        <v>28951.229270508858</v>
      </c>
      <c r="AZ379" s="199">
        <f t="shared" si="423"/>
        <v>0</v>
      </c>
      <c r="BA379" s="252">
        <f t="shared" si="424"/>
        <v>0</v>
      </c>
      <c r="BB379" s="284">
        <v>1</v>
      </c>
      <c r="BC379" s="199">
        <f t="shared" si="445"/>
        <v>57761.040116919292</v>
      </c>
      <c r="BD379" s="270">
        <f t="shared" si="440"/>
        <v>5.2017913902103882E-3</v>
      </c>
      <c r="BE379" s="199">
        <f t="shared" si="446"/>
        <v>247088.89383348811</v>
      </c>
      <c r="BF379" s="251">
        <f t="shared" si="441"/>
        <v>5.2017915058039758E-3</v>
      </c>
      <c r="BG379" s="204">
        <f t="shared" si="455"/>
        <v>304849.93395040743</v>
      </c>
      <c r="BH379" s="636">
        <v>0</v>
      </c>
      <c r="BI379" s="199">
        <f t="shared" si="425"/>
        <v>127194.00025746478</v>
      </c>
      <c r="BJ379" s="199">
        <f t="shared" si="426"/>
        <v>254388.00051492956</v>
      </c>
      <c r="BK379" s="199">
        <f t="shared" si="433"/>
        <v>381582.00077239436</v>
      </c>
      <c r="BL379" s="251">
        <f t="shared" si="427"/>
        <v>1.6100533467665811E-3</v>
      </c>
      <c r="BM379" s="199">
        <f t="shared" si="447"/>
        <v>32571.610899817955</v>
      </c>
      <c r="BN379" s="251">
        <f t="shared" si="428"/>
        <v>1.4065434545942966E-3</v>
      </c>
      <c r="BT379" s="199">
        <f>'Detailed Budget'!$AD$12</f>
        <v>194045122715</v>
      </c>
      <c r="BU379" s="199">
        <f>'Detailed Budget'!$AD$24</f>
        <v>194045122715</v>
      </c>
      <c r="BV379" s="596">
        <f t="shared" si="448"/>
        <v>6.6465018920019636E-3</v>
      </c>
      <c r="BW379" s="278"/>
      <c r="BX379" s="275">
        <f t="shared" si="460"/>
        <v>1289721275.2590008</v>
      </c>
      <c r="BY379" s="275">
        <f t="shared" si="461"/>
        <v>1289721275.2590008</v>
      </c>
      <c r="CA379" s="199">
        <f>'Detailed Budget'!$AD$96</f>
        <v>71050111380.677719</v>
      </c>
      <c r="CB379" s="275">
        <f t="shared" si="429"/>
        <v>0</v>
      </c>
      <c r="CE379" s="199">
        <f>'Detailed Budget'!$AD$175</f>
        <v>4330586076.5988197</v>
      </c>
      <c r="CF379" s="275">
        <f t="shared" si="449"/>
        <v>22526805.367816724</v>
      </c>
      <c r="CG379" s="199">
        <f>'Detailed Budget'!$AD$176</f>
        <v>20662817754.37001</v>
      </c>
      <c r="CH379" s="275">
        <f t="shared" si="450"/>
        <v>107483669.88065751</v>
      </c>
      <c r="CI379" s="275">
        <f t="shared" si="410"/>
        <v>130010475.24847424</v>
      </c>
      <c r="CJ379" s="275">
        <f>'Detailed Budget'!$AD$178</f>
        <v>46025131033.061455</v>
      </c>
      <c r="CK379" s="275">
        <f t="shared" si="451"/>
        <v>162180165.23182499</v>
      </c>
      <c r="CL379" s="275">
        <f t="shared" si="436"/>
        <v>292190640.48029923</v>
      </c>
      <c r="CM379" s="278">
        <f>'Detailed Budget'!$AD$189</f>
        <v>77498869683.252869</v>
      </c>
      <c r="CN379" s="275">
        <f t="shared" si="430"/>
        <v>0</v>
      </c>
      <c r="CO379" s="140">
        <f>'Detailed Budget'!$AD$191</f>
        <v>2684962805.4134097</v>
      </c>
      <c r="CP379" s="616">
        <f t="shared" si="431"/>
        <v>0</v>
      </c>
      <c r="CQ379" s="616">
        <f t="shared" si="432"/>
        <v>0</v>
      </c>
      <c r="CR379" s="199">
        <f>'Detailed Budget'!$AD$195</f>
        <v>18734176418</v>
      </c>
      <c r="CS379" s="275">
        <f t="shared" si="452"/>
        <v>26350433.217952725</v>
      </c>
      <c r="CW379" s="278"/>
      <c r="DH379" s="140">
        <f>'Detailed Budget'!$AD$163</f>
        <v>4928560000</v>
      </c>
      <c r="DI379" s="616">
        <f t="shared" si="453"/>
        <v>5600000</v>
      </c>
    </row>
    <row r="380" spans="1:113" outlineLevel="1">
      <c r="A380" s="214" t="s">
        <v>892</v>
      </c>
      <c r="B380" s="215" t="s">
        <v>893</v>
      </c>
      <c r="C380" s="216" t="s">
        <v>234</v>
      </c>
      <c r="D380" s="217" t="s">
        <v>234</v>
      </c>
      <c r="E380" s="216"/>
      <c r="F380" s="216"/>
      <c r="G380" s="216"/>
      <c r="H380" s="216" t="s">
        <v>234</v>
      </c>
      <c r="I380" s="217" t="s">
        <v>234</v>
      </c>
      <c r="J380" s="217"/>
      <c r="K380" s="216" t="s">
        <v>234</v>
      </c>
      <c r="L380" s="216"/>
      <c r="M380" s="217"/>
      <c r="N380" s="216"/>
      <c r="O380" s="217"/>
      <c r="P380" s="216"/>
      <c r="Q380" s="217"/>
      <c r="R380" s="217" t="s">
        <v>234</v>
      </c>
      <c r="S380" s="217"/>
      <c r="T380" s="216"/>
      <c r="U380" s="218">
        <f t="shared" si="442"/>
        <v>6</v>
      </c>
      <c r="V380" s="867" t="s">
        <v>238</v>
      </c>
      <c r="W380" s="219">
        <v>98603</v>
      </c>
      <c r="X380" s="220">
        <v>3.36</v>
      </c>
      <c r="Y380" s="221">
        <f t="shared" si="456"/>
        <v>1.0336000000000001</v>
      </c>
      <c r="Z380" s="199">
        <v>19</v>
      </c>
      <c r="AA380" s="221">
        <f t="shared" si="457"/>
        <v>1.873689022502546</v>
      </c>
      <c r="AB380" s="199">
        <f t="shared" si="458"/>
        <v>184751.35868581853</v>
      </c>
      <c r="AC380">
        <v>19.3</v>
      </c>
      <c r="AD380" s="199">
        <f t="shared" si="459"/>
        <v>35657.012226362975</v>
      </c>
      <c r="AE380" s="199">
        <f t="shared" si="462"/>
        <v>33874.161615044824</v>
      </c>
      <c r="AF380" s="199">
        <f t="shared" si="435"/>
        <v>33874.161615044824</v>
      </c>
      <c r="AG380" s="614">
        <f t="shared" si="434"/>
        <v>1.5661925227237539E-3</v>
      </c>
      <c r="AH380" s="199">
        <f t="shared" si="454"/>
        <v>9237.5679342909261</v>
      </c>
      <c r="AI380" s="252">
        <f t="shared" si="417"/>
        <v>7.1562039158699431E-4</v>
      </c>
      <c r="AJ380" s="199">
        <f t="shared" si="418"/>
        <v>44894.580160653903</v>
      </c>
      <c r="AK380" s="199">
        <f t="shared" si="437"/>
        <v>7390.0543474327415</v>
      </c>
      <c r="AL380" s="199">
        <f t="shared" si="438"/>
        <v>7390.0543474327415</v>
      </c>
      <c r="AM380" s="199">
        <f t="shared" si="419"/>
        <v>14780.108694865483</v>
      </c>
      <c r="AN380" s="645">
        <f t="shared" si="420"/>
        <v>7.1562039158699431E-4</v>
      </c>
      <c r="AO380" s="199">
        <v>15</v>
      </c>
      <c r="AP380" s="250">
        <f t="shared" si="421"/>
        <v>1.7043517782070218E-3</v>
      </c>
      <c r="AQ380" s="199">
        <v>15</v>
      </c>
      <c r="AU380" s="199">
        <v>1</v>
      </c>
      <c r="AV380" s="199">
        <f t="shared" si="443"/>
        <v>102639.64183237446</v>
      </c>
      <c r="AW380" s="250">
        <f t="shared" si="422"/>
        <v>2.9541706156446406E-3</v>
      </c>
      <c r="AX380" s="199">
        <v>0</v>
      </c>
      <c r="AY380" s="199">
        <f t="shared" si="444"/>
        <v>12867.952524115977</v>
      </c>
      <c r="AZ380" s="199">
        <f t="shared" si="423"/>
        <v>0</v>
      </c>
      <c r="BA380" s="252">
        <f t="shared" si="424"/>
        <v>0</v>
      </c>
      <c r="BB380" s="284">
        <v>1</v>
      </c>
      <c r="BC380" s="199">
        <f t="shared" si="445"/>
        <v>25673.048802981342</v>
      </c>
      <c r="BD380" s="270">
        <f t="shared" si="440"/>
        <v>2.3120401563662524E-3</v>
      </c>
      <c r="BE380" s="199">
        <f t="shared" si="446"/>
        <v>109823.59765719797</v>
      </c>
      <c r="BF380" s="251">
        <f t="shared" si="441"/>
        <v>2.3120402077441331E-3</v>
      </c>
      <c r="BG380" s="204">
        <f t="shared" si="455"/>
        <v>135496.6464601793</v>
      </c>
      <c r="BH380" s="636">
        <v>0</v>
      </c>
      <c r="BI380" s="199">
        <f t="shared" si="425"/>
        <v>56533.915757860465</v>
      </c>
      <c r="BJ380" s="199">
        <f t="shared" si="426"/>
        <v>113067.83151572093</v>
      </c>
      <c r="BK380" s="199">
        <f t="shared" si="433"/>
        <v>169601.74727358139</v>
      </c>
      <c r="BL380" s="251">
        <f t="shared" si="427"/>
        <v>7.156203915869942E-4</v>
      </c>
      <c r="BM380" s="199">
        <f t="shared" si="447"/>
        <v>14477.103503158749</v>
      </c>
      <c r="BN380" s="251">
        <f t="shared" si="428"/>
        <v>6.2516635227169274E-4</v>
      </c>
      <c r="BT380" s="199">
        <f>'Detailed Budget'!$AD$12</f>
        <v>194045122715</v>
      </c>
      <c r="BU380" s="199">
        <f>'Detailed Budget'!$AD$24</f>
        <v>194045122715</v>
      </c>
      <c r="BV380" s="596">
        <f t="shared" si="448"/>
        <v>2.9541706156446406E-3</v>
      </c>
      <c r="BW380" s="278"/>
      <c r="BX380" s="275">
        <f t="shared" si="460"/>
        <v>573242399.63381135</v>
      </c>
      <c r="BY380" s="275">
        <f t="shared" si="461"/>
        <v>573242399.63381135</v>
      </c>
      <c r="CA380" s="199">
        <f>'Detailed Budget'!$AD$96</f>
        <v>71050111380.677719</v>
      </c>
      <c r="CB380" s="275">
        <f t="shared" si="429"/>
        <v>0</v>
      </c>
      <c r="CE380" s="199">
        <f>'Detailed Budget'!$AD$175</f>
        <v>4330586076.5988197</v>
      </c>
      <c r="CF380" s="275">
        <f t="shared" si="449"/>
        <v>10012488.90969705</v>
      </c>
      <c r="CG380" s="199">
        <f>'Detailed Budget'!$AD$176</f>
        <v>20662817754.37001</v>
      </c>
      <c r="CH380" s="275">
        <f t="shared" si="450"/>
        <v>47773265.453392804</v>
      </c>
      <c r="CI380" s="275">
        <f t="shared" si="410"/>
        <v>57785754.363089852</v>
      </c>
      <c r="CJ380" s="275">
        <f>'Detailed Budget'!$AD$178</f>
        <v>46025131033.061455</v>
      </c>
      <c r="CK380" s="275">
        <f t="shared" si="451"/>
        <v>72084216.08136186</v>
      </c>
      <c r="CL380" s="275">
        <f t="shared" si="436"/>
        <v>129869970.44445172</v>
      </c>
      <c r="CM380" s="278">
        <f>'Detailed Budget'!$AD$189</f>
        <v>77498869683.252869</v>
      </c>
      <c r="CN380" s="275">
        <f t="shared" si="430"/>
        <v>0</v>
      </c>
      <c r="CO380" s="140">
        <f>'Detailed Budget'!$AD$191</f>
        <v>2684962805.4134097</v>
      </c>
      <c r="CP380" s="616">
        <f t="shared" si="431"/>
        <v>0</v>
      </c>
      <c r="CQ380" s="616">
        <f t="shared" si="432"/>
        <v>0</v>
      </c>
      <c r="CR380" s="199">
        <f>'Detailed Budget'!$AD$195</f>
        <v>18734176418</v>
      </c>
      <c r="CS380" s="275">
        <f t="shared" si="452"/>
        <v>11711976.734055428</v>
      </c>
      <c r="CW380" s="278"/>
      <c r="DH380" s="140">
        <f>'Detailed Budget'!$AD$163</f>
        <v>4928560000</v>
      </c>
      <c r="DI380" s="616">
        <f t="shared" si="453"/>
        <v>8400000</v>
      </c>
    </row>
    <row r="381" spans="1:113" outlineLevel="1">
      <c r="A381" s="214" t="s">
        <v>894</v>
      </c>
      <c r="B381" s="215" t="s">
        <v>895</v>
      </c>
      <c r="C381" s="216" t="s">
        <v>234</v>
      </c>
      <c r="D381" s="217" t="s">
        <v>234</v>
      </c>
      <c r="E381" s="216"/>
      <c r="F381" s="216"/>
      <c r="G381" s="216"/>
      <c r="H381" s="216" t="s">
        <v>234</v>
      </c>
      <c r="I381" s="217" t="s">
        <v>234</v>
      </c>
      <c r="J381" s="217"/>
      <c r="K381" s="216" t="s">
        <v>234</v>
      </c>
      <c r="L381" s="216"/>
      <c r="M381" s="217"/>
      <c r="N381" s="216"/>
      <c r="O381" s="217"/>
      <c r="P381" s="216"/>
      <c r="Q381" s="217"/>
      <c r="R381" s="217" t="s">
        <v>234</v>
      </c>
      <c r="S381" s="217"/>
      <c r="T381" s="216"/>
      <c r="U381" s="218">
        <f t="shared" si="442"/>
        <v>6</v>
      </c>
      <c r="V381" s="867" t="s">
        <v>238</v>
      </c>
      <c r="W381" s="219">
        <v>157730</v>
      </c>
      <c r="X381" s="220">
        <v>3.36</v>
      </c>
      <c r="Y381" s="221">
        <f t="shared" si="456"/>
        <v>1.0336000000000001</v>
      </c>
      <c r="Z381" s="199">
        <v>19</v>
      </c>
      <c r="AA381" s="221">
        <f t="shared" si="457"/>
        <v>1.873689022502546</v>
      </c>
      <c r="AB381" s="199">
        <f t="shared" si="458"/>
        <v>295536.96951932658</v>
      </c>
      <c r="AC381">
        <v>19.3</v>
      </c>
      <c r="AD381" s="199">
        <f t="shared" si="459"/>
        <v>57038.635117230035</v>
      </c>
      <c r="AE381" s="199">
        <f t="shared" si="462"/>
        <v>54186.703361368527</v>
      </c>
      <c r="AF381" s="199">
        <f t="shared" si="435"/>
        <v>54186.703361368527</v>
      </c>
      <c r="AG381" s="614">
        <f t="shared" si="434"/>
        <v>2.5053552793446216E-3</v>
      </c>
      <c r="AH381" s="199">
        <f t="shared" si="454"/>
        <v>14776.84847596633</v>
      </c>
      <c r="AI381" s="252">
        <f t="shared" si="417"/>
        <v>1.1447400623207876E-3</v>
      </c>
      <c r="AJ381" s="199">
        <f t="shared" si="418"/>
        <v>71815.483593196361</v>
      </c>
      <c r="AK381" s="199">
        <f t="shared" si="437"/>
        <v>11821.478780773063</v>
      </c>
      <c r="AL381" s="199">
        <f t="shared" si="438"/>
        <v>11821.478780773063</v>
      </c>
      <c r="AM381" s="199">
        <f t="shared" si="419"/>
        <v>23642.957561546125</v>
      </c>
      <c r="AN381" s="645">
        <f t="shared" si="420"/>
        <v>1.1447400623207876E-3</v>
      </c>
      <c r="AO381" s="199">
        <v>10</v>
      </c>
      <c r="AP381" s="250">
        <f t="shared" si="421"/>
        <v>1.1362345188046814E-3</v>
      </c>
      <c r="AQ381" s="199">
        <v>10</v>
      </c>
      <c r="AU381" s="199">
        <v>1</v>
      </c>
      <c r="AV381" s="199">
        <f t="shared" si="443"/>
        <v>164187.2022780283</v>
      </c>
      <c r="AW381" s="250">
        <f t="shared" si="422"/>
        <v>4.7256303683014629E-3</v>
      </c>
      <c r="AX381" s="199">
        <v>0</v>
      </c>
      <c r="AY381" s="199">
        <f t="shared" si="444"/>
        <v>20584.182546462209</v>
      </c>
      <c r="AZ381" s="199">
        <f t="shared" si="423"/>
        <v>0</v>
      </c>
      <c r="BA381" s="252">
        <f t="shared" si="424"/>
        <v>0</v>
      </c>
      <c r="BB381" s="284">
        <v>1</v>
      </c>
      <c r="BC381" s="199">
        <f t="shared" si="445"/>
        <v>41067.817284405624</v>
      </c>
      <c r="BD381" s="270">
        <f t="shared" si="440"/>
        <v>3.6984482608404313E-3</v>
      </c>
      <c r="BE381" s="199">
        <f t="shared" si="446"/>
        <v>175678.9961610685</v>
      </c>
      <c r="BF381" s="251">
        <f t="shared" si="441"/>
        <v>3.6984483430269072E-3</v>
      </c>
      <c r="BG381" s="204">
        <f t="shared" si="455"/>
        <v>216746.81344547414</v>
      </c>
      <c r="BH381" s="636">
        <v>0</v>
      </c>
      <c r="BI381" s="199">
        <f t="shared" si="425"/>
        <v>90434.312672913919</v>
      </c>
      <c r="BJ381" s="199">
        <f t="shared" si="426"/>
        <v>180868.62534582784</v>
      </c>
      <c r="BK381" s="199">
        <f t="shared" si="433"/>
        <v>271302.93801874178</v>
      </c>
      <c r="BL381" s="251">
        <f t="shared" si="427"/>
        <v>1.1447400623207876E-3</v>
      </c>
      <c r="BM381" s="199">
        <f t="shared" si="447"/>
        <v>23158.256194570444</v>
      </c>
      <c r="BN381" s="251">
        <f t="shared" si="428"/>
        <v>1.0000455234000396E-3</v>
      </c>
      <c r="BT381" s="199">
        <f>'Detailed Budget'!$AD$12</f>
        <v>194045122715</v>
      </c>
      <c r="BU381" s="199">
        <f>'Detailed Budget'!$AD$24</f>
        <v>194045122715</v>
      </c>
      <c r="BV381" s="596">
        <f t="shared" si="448"/>
        <v>4.7256303683014629E-3</v>
      </c>
      <c r="BW381" s="278"/>
      <c r="BX381" s="275">
        <f t="shared" si="460"/>
        <v>916985524.72278798</v>
      </c>
      <c r="BY381" s="275">
        <f t="shared" si="461"/>
        <v>916985524.72278798</v>
      </c>
      <c r="CA381" s="199">
        <f>'Detailed Budget'!$AD$96</f>
        <v>71050111380.677719</v>
      </c>
      <c r="CB381" s="275">
        <f t="shared" si="429"/>
        <v>0</v>
      </c>
      <c r="CE381" s="199">
        <f>'Detailed Budget'!$AD$175</f>
        <v>4330586076.5988197</v>
      </c>
      <c r="CF381" s="275">
        <f t="shared" si="449"/>
        <v>16016448.543416692</v>
      </c>
      <c r="CG381" s="199">
        <f>'Detailed Budget'!$AD$176</f>
        <v>20662817754.37001</v>
      </c>
      <c r="CH381" s="275">
        <f t="shared" si="450"/>
        <v>76420364.085916728</v>
      </c>
      <c r="CI381" s="275">
        <f t="shared" si="410"/>
        <v>92436812.629333422</v>
      </c>
      <c r="CJ381" s="275">
        <f>'Detailed Budget'!$AD$178</f>
        <v>46025131033.061455</v>
      </c>
      <c r="CK381" s="275">
        <f t="shared" si="451"/>
        <v>115309305.01620848</v>
      </c>
      <c r="CL381" s="275">
        <f t="shared" si="436"/>
        <v>207746117.64554191</v>
      </c>
      <c r="CM381" s="278">
        <f>'Detailed Budget'!$AD$189</f>
        <v>77498869683.252869</v>
      </c>
      <c r="CN381" s="275">
        <f t="shared" si="430"/>
        <v>0</v>
      </c>
      <c r="CO381" s="140">
        <f>'Detailed Budget'!$AD$191</f>
        <v>2684962805.4134097</v>
      </c>
      <c r="CP381" s="616">
        <f t="shared" si="431"/>
        <v>0</v>
      </c>
      <c r="CQ381" s="616">
        <f t="shared" si="432"/>
        <v>0</v>
      </c>
      <c r="CR381" s="199">
        <f>'Detailed Budget'!$AD$195</f>
        <v>18734176418</v>
      </c>
      <c r="CS381" s="275">
        <f t="shared" si="452"/>
        <v>18735029.261407491</v>
      </c>
      <c r="CW381" s="278"/>
      <c r="DH381" s="140">
        <f>'Detailed Budget'!$AD$163</f>
        <v>4928560000</v>
      </c>
      <c r="DI381" s="616">
        <f t="shared" si="453"/>
        <v>5600000</v>
      </c>
    </row>
    <row r="382" spans="1:113" outlineLevel="1">
      <c r="A382" s="214" t="s">
        <v>896</v>
      </c>
      <c r="B382" s="215" t="s">
        <v>897</v>
      </c>
      <c r="C382" s="216" t="s">
        <v>234</v>
      </c>
      <c r="D382" s="217" t="s">
        <v>234</v>
      </c>
      <c r="E382" s="216"/>
      <c r="F382" s="216"/>
      <c r="G382" s="216"/>
      <c r="H382" s="216" t="s">
        <v>234</v>
      </c>
      <c r="I382" s="217" t="s">
        <v>234</v>
      </c>
      <c r="J382" s="217"/>
      <c r="K382" s="216" t="s">
        <v>234</v>
      </c>
      <c r="L382" s="216"/>
      <c r="M382" s="217"/>
      <c r="N382" s="216"/>
      <c r="O382" s="217"/>
      <c r="P382" s="216"/>
      <c r="Q382" s="217"/>
      <c r="R382" s="217" t="s">
        <v>234</v>
      </c>
      <c r="S382" s="217"/>
      <c r="T382" s="216"/>
      <c r="U382" s="218">
        <f t="shared" si="442"/>
        <v>6</v>
      </c>
      <c r="V382" s="867" t="s">
        <v>238</v>
      </c>
      <c r="W382" s="219">
        <v>228658</v>
      </c>
      <c r="X382" s="220">
        <v>3.36</v>
      </c>
      <c r="Y382" s="221">
        <f t="shared" si="456"/>
        <v>1.0336000000000001</v>
      </c>
      <c r="Z382" s="199">
        <v>19</v>
      </c>
      <c r="AA382" s="221">
        <f t="shared" si="457"/>
        <v>1.873689022502546</v>
      </c>
      <c r="AB382" s="199">
        <f t="shared" si="458"/>
        <v>428433.98450738715</v>
      </c>
      <c r="AC382">
        <v>19.3</v>
      </c>
      <c r="AD382" s="199">
        <f t="shared" si="459"/>
        <v>82687.759009925721</v>
      </c>
      <c r="AE382" s="199">
        <f t="shared" si="462"/>
        <v>78553.371059429424</v>
      </c>
      <c r="AF382" s="199">
        <f t="shared" si="435"/>
        <v>78553.371059429424</v>
      </c>
      <c r="AG382" s="614">
        <f t="shared" si="434"/>
        <v>3.631963022027404E-3</v>
      </c>
      <c r="AH382" s="199">
        <f t="shared" si="454"/>
        <v>21421.699225369361</v>
      </c>
      <c r="AI382" s="252">
        <f t="shared" si="417"/>
        <v>1.6595065819447581E-3</v>
      </c>
      <c r="AJ382" s="199">
        <f t="shared" si="418"/>
        <v>104109.45823529508</v>
      </c>
      <c r="AK382" s="199">
        <f t="shared" si="437"/>
        <v>17137.359380295486</v>
      </c>
      <c r="AL382" s="199">
        <f t="shared" si="438"/>
        <v>17137.359380295486</v>
      </c>
      <c r="AM382" s="199">
        <f t="shared" si="419"/>
        <v>34274.718760590971</v>
      </c>
      <c r="AN382" s="645">
        <f t="shared" si="420"/>
        <v>1.6595065819447578E-3</v>
      </c>
      <c r="AO382" s="199">
        <v>11</v>
      </c>
      <c r="AP382" s="250">
        <f t="shared" si="421"/>
        <v>1.2498579706851495E-3</v>
      </c>
      <c r="AQ382" s="199">
        <v>11</v>
      </c>
      <c r="AU382" s="199">
        <v>1</v>
      </c>
      <c r="AV382" s="199">
        <f t="shared" si="443"/>
        <v>238018.87591764022</v>
      </c>
      <c r="AW382" s="250">
        <f t="shared" si="422"/>
        <v>6.8506510413686422E-3</v>
      </c>
      <c r="AX382" s="199">
        <v>0</v>
      </c>
      <c r="AY382" s="199">
        <f t="shared" si="444"/>
        <v>29840.474308685451</v>
      </c>
      <c r="AZ382" s="199">
        <f t="shared" si="423"/>
        <v>0</v>
      </c>
      <c r="BA382" s="252">
        <f t="shared" si="424"/>
        <v>0</v>
      </c>
      <c r="BB382" s="284">
        <v>1</v>
      </c>
      <c r="BC382" s="199">
        <f t="shared" si="445"/>
        <v>59535.186487146515</v>
      </c>
      <c r="BD382" s="270">
        <f t="shared" si="440"/>
        <v>5.3615658557487553E-3</v>
      </c>
      <c r="BE382" s="199">
        <f t="shared" si="446"/>
        <v>254678.29775057122</v>
      </c>
      <c r="BF382" s="251">
        <f t="shared" si="441"/>
        <v>5.3615659748928327E-3</v>
      </c>
      <c r="BG382" s="204">
        <f t="shared" si="455"/>
        <v>314213.48423771776</v>
      </c>
      <c r="BH382" s="636">
        <v>0</v>
      </c>
      <c r="BI382" s="199">
        <f t="shared" si="425"/>
        <v>131100.79925926044</v>
      </c>
      <c r="BJ382" s="199">
        <f t="shared" si="426"/>
        <v>262201.59851852088</v>
      </c>
      <c r="BK382" s="199">
        <f t="shared" si="433"/>
        <v>393302.39777778136</v>
      </c>
      <c r="BL382" s="251">
        <f t="shared" si="427"/>
        <v>1.6595065819447576E-3</v>
      </c>
      <c r="BM382" s="199">
        <f t="shared" si="447"/>
        <v>33572.056964040385</v>
      </c>
      <c r="BN382" s="251">
        <f t="shared" si="428"/>
        <v>1.4497458269803229E-3</v>
      </c>
      <c r="BT382" s="199">
        <f>'Detailed Budget'!$AD$12</f>
        <v>194045122715</v>
      </c>
      <c r="BU382" s="199">
        <f>'Detailed Budget'!$AD$24</f>
        <v>194045122715</v>
      </c>
      <c r="BV382" s="596">
        <f t="shared" si="448"/>
        <v>6.8506510413686422E-3</v>
      </c>
      <c r="BW382" s="278"/>
      <c r="BX382" s="275">
        <f t="shared" si="460"/>
        <v>1329335422.0000207</v>
      </c>
      <c r="BY382" s="275">
        <f t="shared" si="461"/>
        <v>1329335422.0000207</v>
      </c>
      <c r="CA382" s="199">
        <f>'Detailed Budget'!$AD$96</f>
        <v>71050111380.677719</v>
      </c>
      <c r="CB382" s="275">
        <f t="shared" si="429"/>
        <v>0</v>
      </c>
      <c r="CE382" s="199">
        <f>'Detailed Budget'!$AD$175</f>
        <v>4330586076.5988197</v>
      </c>
      <c r="CF382" s="275">
        <f t="shared" si="449"/>
        <v>23218722.443673197</v>
      </c>
      <c r="CG382" s="199">
        <f>'Detailed Budget'!$AD$176</f>
        <v>20662817754.37001</v>
      </c>
      <c r="CH382" s="275">
        <f t="shared" si="450"/>
        <v>110785060.61724177</v>
      </c>
      <c r="CI382" s="275">
        <f t="shared" ref="CI382:CI451" si="463">CF382+CH382</f>
        <v>134003783.06091496</v>
      </c>
      <c r="CJ382" s="275">
        <f>'Detailed Budget'!$AD$178</f>
        <v>46025131033.061455</v>
      </c>
      <c r="CK382" s="275">
        <f t="shared" si="451"/>
        <v>167161573.99604514</v>
      </c>
      <c r="CL382" s="275">
        <f t="shared" si="436"/>
        <v>301165357.05696011</v>
      </c>
      <c r="CM382" s="278">
        <f>'Detailed Budget'!$AD$189</f>
        <v>77498869683.252869</v>
      </c>
      <c r="CN382" s="275">
        <f t="shared" si="430"/>
        <v>0</v>
      </c>
      <c r="CO382" s="140">
        <f>'Detailed Budget'!$AD$191</f>
        <v>2684962805.4134097</v>
      </c>
      <c r="CP382" s="616">
        <f t="shared" si="431"/>
        <v>0</v>
      </c>
      <c r="CQ382" s="616">
        <f t="shared" si="432"/>
        <v>0</v>
      </c>
      <c r="CR382" s="199">
        <f>'Detailed Budget'!$AD$195</f>
        <v>18734176418</v>
      </c>
      <c r="CS382" s="275">
        <f t="shared" si="452"/>
        <v>27159794.083908673</v>
      </c>
      <c r="CW382" s="278"/>
      <c r="DH382" s="140">
        <f>'Detailed Budget'!$AD$163</f>
        <v>4928560000</v>
      </c>
      <c r="DI382" s="616">
        <f t="shared" si="453"/>
        <v>6160000</v>
      </c>
    </row>
    <row r="383" spans="1:113" outlineLevel="1">
      <c r="A383" s="214" t="s">
        <v>898</v>
      </c>
      <c r="B383" s="215" t="s">
        <v>899</v>
      </c>
      <c r="C383" s="216" t="s">
        <v>234</v>
      </c>
      <c r="D383" s="217" t="s">
        <v>234</v>
      </c>
      <c r="E383" s="216"/>
      <c r="F383" s="216"/>
      <c r="G383" s="216"/>
      <c r="H383" s="216" t="s">
        <v>234</v>
      </c>
      <c r="I383" s="217" t="s">
        <v>234</v>
      </c>
      <c r="J383" s="217"/>
      <c r="K383" s="216" t="s">
        <v>234</v>
      </c>
      <c r="L383" s="216"/>
      <c r="M383" s="217"/>
      <c r="N383" s="216"/>
      <c r="O383" s="217"/>
      <c r="P383" s="216"/>
      <c r="Q383" s="217"/>
      <c r="R383" s="217" t="s">
        <v>234</v>
      </c>
      <c r="S383" s="217"/>
      <c r="T383" s="216"/>
      <c r="U383" s="218">
        <f t="shared" si="442"/>
        <v>6</v>
      </c>
      <c r="V383" s="867" t="s">
        <v>238</v>
      </c>
      <c r="W383" s="219">
        <v>365737</v>
      </c>
      <c r="X383" s="220">
        <v>3.36</v>
      </c>
      <c r="Y383" s="221">
        <f t="shared" si="456"/>
        <v>1.0336000000000001</v>
      </c>
      <c r="Z383" s="199">
        <v>19</v>
      </c>
      <c r="AA383" s="221">
        <f t="shared" si="457"/>
        <v>1.873689022502546</v>
      </c>
      <c r="AB383" s="199">
        <f t="shared" si="458"/>
        <v>685277.40202301368</v>
      </c>
      <c r="AC383">
        <v>19.3</v>
      </c>
      <c r="AD383" s="199">
        <f t="shared" si="459"/>
        <v>132258.53859044163</v>
      </c>
      <c r="AE383" s="199">
        <f t="shared" si="462"/>
        <v>125645.61166091955</v>
      </c>
      <c r="AF383" s="199">
        <f t="shared" si="435"/>
        <v>125645.61166091955</v>
      </c>
      <c r="AG383" s="614">
        <f t="shared" si="434"/>
        <v>5.8093014886303421E-3</v>
      </c>
      <c r="AH383" s="199">
        <f t="shared" si="454"/>
        <v>34263.870101150686</v>
      </c>
      <c r="AI383" s="252">
        <f t="shared" si="417"/>
        <v>2.654370101902098E-3</v>
      </c>
      <c r="AJ383" s="199">
        <f t="shared" si="418"/>
        <v>166522.40869159231</v>
      </c>
      <c r="AK383" s="199">
        <f t="shared" si="437"/>
        <v>27411.096080920546</v>
      </c>
      <c r="AL383" s="199">
        <f t="shared" si="438"/>
        <v>27411.096080920546</v>
      </c>
      <c r="AM383" s="199">
        <f t="shared" si="419"/>
        <v>54822.192161841092</v>
      </c>
      <c r="AN383" s="645">
        <f t="shared" si="420"/>
        <v>2.654370101902098E-3</v>
      </c>
      <c r="AO383" s="199">
        <v>11</v>
      </c>
      <c r="AP383" s="250">
        <f t="shared" si="421"/>
        <v>1.2498579706851495E-3</v>
      </c>
      <c r="AQ383" s="199">
        <v>11</v>
      </c>
      <c r="AU383" s="199">
        <v>1</v>
      </c>
      <c r="AV383" s="199">
        <f t="shared" si="443"/>
        <v>380709.66080998688</v>
      </c>
      <c r="AW383" s="250">
        <f t="shared" si="422"/>
        <v>1.0957572269140126E-2</v>
      </c>
      <c r="AX383" s="199">
        <v>0</v>
      </c>
      <c r="AY383" s="199">
        <f t="shared" si="444"/>
        <v>47729.646687348315</v>
      </c>
      <c r="AZ383" s="199">
        <f t="shared" si="423"/>
        <v>0</v>
      </c>
      <c r="BA383" s="252">
        <f t="shared" si="424"/>
        <v>0</v>
      </c>
      <c r="BB383" s="284">
        <v>1</v>
      </c>
      <c r="BC383" s="199">
        <f t="shared" si="445"/>
        <v>95226.147785117966</v>
      </c>
      <c r="BD383" s="270">
        <f t="shared" si="440"/>
        <v>8.5757900943067046E-3</v>
      </c>
      <c r="BE383" s="199">
        <f t="shared" si="446"/>
        <v>407356.29885856021</v>
      </c>
      <c r="BF383" s="251">
        <f t="shared" si="441"/>
        <v>8.5757902848768892E-3</v>
      </c>
      <c r="BG383" s="204">
        <f t="shared" si="455"/>
        <v>502582.44664367818</v>
      </c>
      <c r="BH383" s="636">
        <v>0</v>
      </c>
      <c r="BI383" s="199">
        <f t="shared" si="425"/>
        <v>209694.88501904218</v>
      </c>
      <c r="BJ383" s="199">
        <f t="shared" si="426"/>
        <v>419389.77003808436</v>
      </c>
      <c r="BK383" s="199">
        <f t="shared" si="433"/>
        <v>629084.65505712654</v>
      </c>
      <c r="BL383" s="251">
        <f t="shared" si="427"/>
        <v>2.654370101902098E-3</v>
      </c>
      <c r="BM383" s="199">
        <f t="shared" si="447"/>
        <v>53698.289138614156</v>
      </c>
      <c r="BN383" s="251">
        <f t="shared" si="428"/>
        <v>2.3188591237669454E-3</v>
      </c>
      <c r="BT383" s="199">
        <f>'Detailed Budget'!$AD$12</f>
        <v>194045122715</v>
      </c>
      <c r="BU383" s="199">
        <f>'Detailed Budget'!$AD$24</f>
        <v>194045122715</v>
      </c>
      <c r="BV383" s="596">
        <f t="shared" si="448"/>
        <v>1.0957572269140126E-2</v>
      </c>
      <c r="BW383" s="278"/>
      <c r="BX383" s="275">
        <f t="shared" si="460"/>
        <v>2126263455.6237767</v>
      </c>
      <c r="BY383" s="275">
        <f t="shared" si="461"/>
        <v>2126263455.6237767</v>
      </c>
      <c r="CA383" s="199">
        <f>'Detailed Budget'!$AD$96</f>
        <v>71050111380.677719</v>
      </c>
      <c r="CB383" s="275">
        <f t="shared" si="429"/>
        <v>0</v>
      </c>
      <c r="CE383" s="199">
        <f>'Detailed Budget'!$AD$175</f>
        <v>4330586076.5988197</v>
      </c>
      <c r="CF383" s="275">
        <f t="shared" si="449"/>
        <v>37138197.178238697</v>
      </c>
      <c r="CG383" s="199">
        <f>'Detailed Budget'!$AD$176</f>
        <v>20662817754.37001</v>
      </c>
      <c r="CH383" s="275">
        <f t="shared" si="450"/>
        <v>177199991.75610805</v>
      </c>
      <c r="CI383" s="275">
        <f t="shared" si="463"/>
        <v>214338188.93434674</v>
      </c>
      <c r="CJ383" s="275">
        <f>'Detailed Budget'!$AD$178</f>
        <v>46025131033.061455</v>
      </c>
      <c r="CK383" s="275">
        <f t="shared" si="451"/>
        <v>267373862.22477046</v>
      </c>
      <c r="CL383" s="275">
        <f t="shared" si="436"/>
        <v>481712051.15911722</v>
      </c>
      <c r="CM383" s="278">
        <f>'Detailed Budget'!$AD$189</f>
        <v>77498869683.252869</v>
      </c>
      <c r="CN383" s="275">
        <f t="shared" si="430"/>
        <v>0</v>
      </c>
      <c r="CO383" s="140">
        <f>'Detailed Budget'!$AD$191</f>
        <v>2684962805.4134097</v>
      </c>
      <c r="CP383" s="616">
        <f t="shared" si="431"/>
        <v>0</v>
      </c>
      <c r="CQ383" s="616">
        <f t="shared" si="432"/>
        <v>0</v>
      </c>
      <c r="CR383" s="199">
        <f>'Detailed Budget'!$AD$195</f>
        <v>18734176418</v>
      </c>
      <c r="CS383" s="275">
        <f t="shared" si="452"/>
        <v>43441915.913138852</v>
      </c>
      <c r="CW383" s="278"/>
      <c r="DH383" s="140">
        <f>'Detailed Budget'!$AD$163</f>
        <v>4928560000</v>
      </c>
      <c r="DI383" s="616">
        <f t="shared" si="453"/>
        <v>6160000</v>
      </c>
    </row>
    <row r="384" spans="1:113" outlineLevel="1">
      <c r="A384" s="214" t="s">
        <v>900</v>
      </c>
      <c r="B384" s="215" t="s">
        <v>901</v>
      </c>
      <c r="C384" s="216" t="s">
        <v>234</v>
      </c>
      <c r="D384" s="217" t="s">
        <v>234</v>
      </c>
      <c r="E384" s="216"/>
      <c r="F384" s="216"/>
      <c r="G384" s="216"/>
      <c r="H384" s="216" t="s">
        <v>234</v>
      </c>
      <c r="I384" s="217" t="s">
        <v>234</v>
      </c>
      <c r="J384" s="217"/>
      <c r="K384" s="216" t="s">
        <v>234</v>
      </c>
      <c r="L384" s="216"/>
      <c r="M384" s="217"/>
      <c r="N384" s="216"/>
      <c r="O384" s="217"/>
      <c r="P384" s="216"/>
      <c r="Q384" s="217"/>
      <c r="R384" s="217" t="s">
        <v>234</v>
      </c>
      <c r="S384" s="217"/>
      <c r="T384" s="216"/>
      <c r="U384" s="218">
        <f t="shared" si="442"/>
        <v>6</v>
      </c>
      <c r="V384" s="867" t="s">
        <v>238</v>
      </c>
      <c r="W384" s="219">
        <v>131858</v>
      </c>
      <c r="X384" s="220">
        <v>3.36</v>
      </c>
      <c r="Y384" s="221">
        <f t="shared" si="456"/>
        <v>1.0336000000000001</v>
      </c>
      <c r="Z384" s="199">
        <v>19</v>
      </c>
      <c r="AA384" s="221">
        <f t="shared" si="457"/>
        <v>1.873689022502546</v>
      </c>
      <c r="AB384" s="199">
        <f t="shared" si="458"/>
        <v>247060.8871291407</v>
      </c>
      <c r="AC384">
        <v>19.3</v>
      </c>
      <c r="AD384" s="199">
        <f t="shared" si="459"/>
        <v>47682.751215924152</v>
      </c>
      <c r="AE384" s="199">
        <f t="shared" si="462"/>
        <v>45298.613655127941</v>
      </c>
      <c r="AF384" s="199">
        <f t="shared" si="435"/>
        <v>45298.613655127941</v>
      </c>
      <c r="AG384" s="614">
        <f t="shared" si="434"/>
        <v>2.0944090307729859E-3</v>
      </c>
      <c r="AH384" s="199">
        <f t="shared" si="454"/>
        <v>12353.044356457036</v>
      </c>
      <c r="AI384" s="252">
        <f t="shared" si="417"/>
        <v>9.5697162960435187E-4</v>
      </c>
      <c r="AJ384" s="199">
        <f t="shared" si="418"/>
        <v>60035.79557238119</v>
      </c>
      <c r="AK384" s="199">
        <f t="shared" si="437"/>
        <v>9882.4354851656281</v>
      </c>
      <c r="AL384" s="199">
        <f t="shared" si="438"/>
        <v>9882.4354851656281</v>
      </c>
      <c r="AM384" s="199">
        <f t="shared" si="419"/>
        <v>19764.870970331256</v>
      </c>
      <c r="AN384" s="645">
        <f t="shared" si="420"/>
        <v>9.5697162960435176E-4</v>
      </c>
      <c r="AO384" s="199">
        <v>15</v>
      </c>
      <c r="AP384" s="250">
        <f t="shared" si="421"/>
        <v>1.7043517782070218E-3</v>
      </c>
      <c r="AQ384" s="199">
        <v>15</v>
      </c>
      <c r="AU384" s="199">
        <v>1</v>
      </c>
      <c r="AV384" s="199">
        <f t="shared" si="443"/>
        <v>137256.04588839316</v>
      </c>
      <c r="AW384" s="250">
        <f t="shared" si="422"/>
        <v>3.9504987580263381E-3</v>
      </c>
      <c r="AX384" s="199">
        <v>0</v>
      </c>
      <c r="AY384" s="199">
        <f t="shared" si="444"/>
        <v>17207.818057512293</v>
      </c>
      <c r="AZ384" s="199">
        <f t="shared" si="423"/>
        <v>0</v>
      </c>
      <c r="BA384" s="252">
        <f t="shared" si="424"/>
        <v>0</v>
      </c>
      <c r="BB384" s="284">
        <v>1</v>
      </c>
      <c r="BC384" s="199">
        <f t="shared" si="445"/>
        <v>34331.580875465392</v>
      </c>
      <c r="BD384" s="270">
        <f t="shared" si="440"/>
        <v>3.0918023887522824E-3</v>
      </c>
      <c r="BE384" s="199">
        <f t="shared" si="446"/>
        <v>146862.87374504638</v>
      </c>
      <c r="BF384" s="251">
        <f t="shared" si="441"/>
        <v>3.0918024574579459E-3</v>
      </c>
      <c r="BG384" s="204">
        <f t="shared" si="455"/>
        <v>181194.45462051177</v>
      </c>
      <c r="BH384" s="636">
        <v>0</v>
      </c>
      <c r="BI384" s="199">
        <f t="shared" si="425"/>
        <v>75600.631461517056</v>
      </c>
      <c r="BJ384" s="199">
        <f t="shared" si="426"/>
        <v>151201.26292303411</v>
      </c>
      <c r="BK384" s="199">
        <f t="shared" si="433"/>
        <v>226801.89438455115</v>
      </c>
      <c r="BL384" s="251">
        <f t="shared" si="427"/>
        <v>9.5697162960435176E-4</v>
      </c>
      <c r="BM384" s="199">
        <f t="shared" si="447"/>
        <v>19359.673779900269</v>
      </c>
      <c r="BN384" s="251">
        <f t="shared" si="428"/>
        <v>8.3601092134966343E-4</v>
      </c>
      <c r="BT384" s="199">
        <f>'Detailed Budget'!$AD$12</f>
        <v>194045122715</v>
      </c>
      <c r="BU384" s="199">
        <f>'Detailed Budget'!$AD$24</f>
        <v>194045122715</v>
      </c>
      <c r="BV384" s="596">
        <f t="shared" si="448"/>
        <v>3.9504987580263381E-3</v>
      </c>
      <c r="BW384" s="278"/>
      <c r="BX384" s="275">
        <f t="shared" si="460"/>
        <v>766575016.28667581</v>
      </c>
      <c r="BY384" s="275">
        <f t="shared" si="461"/>
        <v>766575016.28667581</v>
      </c>
      <c r="CA384" s="199">
        <f>'Detailed Budget'!$AD$96</f>
        <v>71050111380.677719</v>
      </c>
      <c r="CB384" s="275">
        <f t="shared" si="429"/>
        <v>0</v>
      </c>
      <c r="CE384" s="199">
        <f>'Detailed Budget'!$AD$175</f>
        <v>4330586076.5988197</v>
      </c>
      <c r="CF384" s="275">
        <f t="shared" si="449"/>
        <v>13389316.376325605</v>
      </c>
      <c r="CG384" s="199">
        <f>'Detailed Budget'!$AD$176</f>
        <v>20662817754.37001</v>
      </c>
      <c r="CH384" s="275">
        <f t="shared" si="450"/>
        <v>63885350.71096687</v>
      </c>
      <c r="CI384" s="275">
        <f t="shared" si="463"/>
        <v>77274667.087292477</v>
      </c>
      <c r="CJ384" s="275">
        <f>'Detailed Budget'!$AD$178</f>
        <v>46025131033.061455</v>
      </c>
      <c r="CK384" s="275">
        <f t="shared" si="451"/>
        <v>96395450.078153923</v>
      </c>
      <c r="CL384" s="275">
        <f t="shared" si="436"/>
        <v>173670117.1654464</v>
      </c>
      <c r="CM384" s="278">
        <f>'Detailed Budget'!$AD$189</f>
        <v>77498869683.252869</v>
      </c>
      <c r="CN384" s="275">
        <f t="shared" si="430"/>
        <v>0</v>
      </c>
      <c r="CO384" s="140">
        <f>'Detailed Budget'!$AD$191</f>
        <v>2684962805.4134097</v>
      </c>
      <c r="CP384" s="616">
        <f t="shared" si="431"/>
        <v>0</v>
      </c>
      <c r="CQ384" s="616">
        <f t="shared" si="432"/>
        <v>0</v>
      </c>
      <c r="CR384" s="199">
        <f>'Detailed Budget'!$AD$195</f>
        <v>18734176418</v>
      </c>
      <c r="CS384" s="275">
        <f t="shared" si="452"/>
        <v>15661976.087939318</v>
      </c>
      <c r="CW384" s="278"/>
      <c r="DH384" s="140">
        <f>'Detailed Budget'!$AD$163</f>
        <v>4928560000</v>
      </c>
      <c r="DI384" s="616">
        <f t="shared" si="453"/>
        <v>8400000</v>
      </c>
    </row>
    <row r="385" spans="1:113" outlineLevel="1">
      <c r="A385" s="214" t="s">
        <v>902</v>
      </c>
      <c r="B385" s="215" t="s">
        <v>903</v>
      </c>
      <c r="C385" s="216" t="s">
        <v>234</v>
      </c>
      <c r="D385" s="217" t="s">
        <v>234</v>
      </c>
      <c r="E385" s="216"/>
      <c r="F385" s="216"/>
      <c r="G385" s="216"/>
      <c r="H385" s="216" t="s">
        <v>234</v>
      </c>
      <c r="I385" s="217" t="s">
        <v>234</v>
      </c>
      <c r="J385" s="217"/>
      <c r="K385" s="216" t="s">
        <v>234</v>
      </c>
      <c r="L385" s="216"/>
      <c r="M385" s="217"/>
      <c r="N385" s="216"/>
      <c r="O385" s="217"/>
      <c r="P385" s="216"/>
      <c r="Q385" s="217"/>
      <c r="R385" s="217" t="s">
        <v>234</v>
      </c>
      <c r="S385" s="217"/>
      <c r="T385" s="216"/>
      <c r="U385" s="218">
        <f t="shared" si="442"/>
        <v>6</v>
      </c>
      <c r="V385" s="867" t="s">
        <v>238</v>
      </c>
      <c r="W385" s="219">
        <v>188639</v>
      </c>
      <c r="X385" s="220">
        <v>3.36</v>
      </c>
      <c r="Y385" s="221">
        <f t="shared" si="456"/>
        <v>1.0336000000000001</v>
      </c>
      <c r="Z385" s="199">
        <v>19</v>
      </c>
      <c r="AA385" s="221">
        <f t="shared" si="457"/>
        <v>1.873689022502546</v>
      </c>
      <c r="AB385" s="199">
        <f t="shared" ref="AB385:AB418" si="464">W385*AA385</f>
        <v>353450.82351585774</v>
      </c>
      <c r="AC385">
        <v>19.3</v>
      </c>
      <c r="AD385" s="199">
        <f t="shared" ref="AD385:AD418" si="465">AB385*AC385/100</f>
        <v>68216.008938560553</v>
      </c>
      <c r="AE385" s="199">
        <f t="shared" si="462"/>
        <v>64805.208491632526</v>
      </c>
      <c r="AF385" s="199">
        <f t="shared" si="435"/>
        <v>64805.208491632526</v>
      </c>
      <c r="AG385" s="614">
        <f t="shared" si="434"/>
        <v>2.9963083404570476E-3</v>
      </c>
      <c r="AH385" s="199">
        <f t="shared" si="454"/>
        <v>17672.541175792889</v>
      </c>
      <c r="AI385" s="252">
        <f t="shared" si="417"/>
        <v>1.3690649883733661E-3</v>
      </c>
      <c r="AJ385" s="199">
        <f t="shared" si="418"/>
        <v>85888.550114353449</v>
      </c>
      <c r="AK385" s="199">
        <f t="shared" si="437"/>
        <v>14138.03294063431</v>
      </c>
      <c r="AL385" s="199">
        <f t="shared" si="438"/>
        <v>14138.03294063431</v>
      </c>
      <c r="AM385" s="199">
        <f t="shared" si="419"/>
        <v>28276.06588126862</v>
      </c>
      <c r="AN385" s="645">
        <f t="shared" si="420"/>
        <v>1.3690649883733661E-3</v>
      </c>
      <c r="AO385" s="199">
        <v>10</v>
      </c>
      <c r="AP385" s="250">
        <f t="shared" si="421"/>
        <v>1.1362345188046814E-3</v>
      </c>
      <c r="AQ385" s="199">
        <v>10</v>
      </c>
      <c r="AU385" s="199">
        <v>1</v>
      </c>
      <c r="AV385" s="199">
        <f t="shared" si="443"/>
        <v>196361.5650194952</v>
      </c>
      <c r="AW385" s="250">
        <f t="shared" si="422"/>
        <v>5.6516717621633147E-3</v>
      </c>
      <c r="AX385" s="199">
        <v>0</v>
      </c>
      <c r="AY385" s="199">
        <f t="shared" si="444"/>
        <v>24617.888869473692</v>
      </c>
      <c r="AZ385" s="199">
        <f t="shared" si="423"/>
        <v>0</v>
      </c>
      <c r="BA385" s="252">
        <f t="shared" si="424"/>
        <v>0</v>
      </c>
      <c r="BB385" s="284">
        <v>1</v>
      </c>
      <c r="BC385" s="199">
        <f t="shared" si="445"/>
        <v>49115.526435763597</v>
      </c>
      <c r="BD385" s="270">
        <f t="shared" si="440"/>
        <v>4.4232015563093769E-3</v>
      </c>
      <c r="BE385" s="199">
        <f t="shared" si="446"/>
        <v>210105.3075307665</v>
      </c>
      <c r="BF385" s="251">
        <f t="shared" si="441"/>
        <v>4.4232016546012342E-3</v>
      </c>
      <c r="BG385" s="204">
        <f t="shared" si="455"/>
        <v>259220.8339665301</v>
      </c>
      <c r="BH385" s="636">
        <v>0</v>
      </c>
      <c r="BI385" s="199">
        <f t="shared" si="425"/>
        <v>108155.95199585246</v>
      </c>
      <c r="BJ385" s="199">
        <f t="shared" si="426"/>
        <v>216311.90399170492</v>
      </c>
      <c r="BK385" s="199">
        <f t="shared" si="433"/>
        <v>324467.85598755738</v>
      </c>
      <c r="BL385" s="251">
        <f t="shared" si="427"/>
        <v>1.3690649883733659E-3</v>
      </c>
      <c r="BM385" s="199">
        <f t="shared" si="447"/>
        <v>27696.381730093031</v>
      </c>
      <c r="BN385" s="251">
        <f t="shared" si="428"/>
        <v>1.1960158973477466E-3</v>
      </c>
      <c r="BT385" s="199">
        <f>'Detailed Budget'!$AD$12</f>
        <v>194045122715</v>
      </c>
      <c r="BU385" s="199">
        <f>'Detailed Budget'!$AD$24</f>
        <v>194045122715</v>
      </c>
      <c r="BV385" s="596">
        <f t="shared" si="448"/>
        <v>5.6516717621633147E-3</v>
      </c>
      <c r="BW385" s="278"/>
      <c r="BX385" s="275">
        <f t="shared" si="460"/>
        <v>1096679340.6338806</v>
      </c>
      <c r="BY385" s="275">
        <f t="shared" si="461"/>
        <v>1096679340.6338806</v>
      </c>
      <c r="CA385" s="199">
        <f>'Detailed Budget'!$AD$96</f>
        <v>71050111380.677719</v>
      </c>
      <c r="CB385" s="275">
        <f t="shared" si="429"/>
        <v>0</v>
      </c>
      <c r="CE385" s="199">
        <f>'Detailed Budget'!$AD$175</f>
        <v>4330586076.5988197</v>
      </c>
      <c r="CF385" s="275">
        <f t="shared" si="449"/>
        <v>19155055.073743619</v>
      </c>
      <c r="CG385" s="199">
        <f>'Detailed Budget'!$AD$176</f>
        <v>20662817754.37001</v>
      </c>
      <c r="CH385" s="275">
        <f t="shared" si="450"/>
        <v>91395809.679853186</v>
      </c>
      <c r="CI385" s="275">
        <f t="shared" si="463"/>
        <v>110550864.75359681</v>
      </c>
      <c r="CJ385" s="275">
        <f>'Detailed Budget'!$AD$178</f>
        <v>46025131033.061455</v>
      </c>
      <c r="CK385" s="275">
        <f t="shared" si="451"/>
        <v>137905483.98499054</v>
      </c>
      <c r="CL385" s="275">
        <f t="shared" si="436"/>
        <v>248456348.73858735</v>
      </c>
      <c r="CM385" s="278">
        <f>'Detailed Budget'!$AD$189</f>
        <v>77498869683.252869</v>
      </c>
      <c r="CN385" s="275">
        <f t="shared" si="430"/>
        <v>0</v>
      </c>
      <c r="CO385" s="140">
        <f>'Detailed Budget'!$AD$191</f>
        <v>2684962805.4134097</v>
      </c>
      <c r="CP385" s="616">
        <f t="shared" si="431"/>
        <v>0</v>
      </c>
      <c r="CQ385" s="616">
        <f t="shared" si="432"/>
        <v>0</v>
      </c>
      <c r="CR385" s="199">
        <f>'Detailed Budget'!$AD$195</f>
        <v>18734176418</v>
      </c>
      <c r="CS385" s="275">
        <f t="shared" si="452"/>
        <v>22406372.819645263</v>
      </c>
      <c r="CW385" s="278"/>
      <c r="DH385" s="140">
        <f>'Detailed Budget'!$AD$163</f>
        <v>4928560000</v>
      </c>
      <c r="DI385" s="616">
        <f t="shared" si="453"/>
        <v>5600000</v>
      </c>
    </row>
    <row r="386" spans="1:113" outlineLevel="1">
      <c r="A386" s="214"/>
      <c r="B386" s="215"/>
      <c r="C386" s="216"/>
      <c r="D386" s="217"/>
      <c r="E386" s="216"/>
      <c r="F386" s="216"/>
      <c r="G386" s="216"/>
      <c r="H386" s="216"/>
      <c r="I386" s="217"/>
      <c r="J386" s="217"/>
      <c r="K386" s="216"/>
      <c r="L386" s="216"/>
      <c r="M386" s="217"/>
      <c r="N386" s="216"/>
      <c r="O386" s="217"/>
      <c r="P386" s="216"/>
      <c r="Q386" s="217"/>
      <c r="R386" s="217"/>
      <c r="S386" s="217"/>
      <c r="T386" s="216"/>
      <c r="U386" s="218"/>
      <c r="V386" s="867"/>
      <c r="W386" s="219"/>
      <c r="X386" s="220"/>
      <c r="Y386" s="221"/>
      <c r="Z386" s="199"/>
      <c r="AA386" s="221"/>
      <c r="AF386" s="199">
        <f t="shared" si="435"/>
        <v>0</v>
      </c>
      <c r="AG386" s="614">
        <f t="shared" si="434"/>
        <v>0</v>
      </c>
      <c r="AJ386" s="199"/>
      <c r="AK386" s="199">
        <f t="shared" si="437"/>
        <v>0</v>
      </c>
      <c r="AL386" s="199">
        <f t="shared" si="438"/>
        <v>0</v>
      </c>
      <c r="AM386" s="199">
        <f t="shared" si="419"/>
        <v>0</v>
      </c>
      <c r="AN386" s="645">
        <f t="shared" si="420"/>
        <v>0</v>
      </c>
      <c r="AP386" s="250">
        <f t="shared" si="421"/>
        <v>0</v>
      </c>
      <c r="AW386" s="250">
        <f t="shared" si="422"/>
        <v>0</v>
      </c>
      <c r="AX386" s="199"/>
      <c r="BA386" s="252">
        <f t="shared" si="424"/>
        <v>0</v>
      </c>
      <c r="BB386" s="284"/>
      <c r="BD386" s="270"/>
      <c r="BF386" s="251"/>
      <c r="BG386" s="204"/>
      <c r="BH386" s="636"/>
      <c r="BI386" s="199">
        <f t="shared" si="425"/>
        <v>0</v>
      </c>
      <c r="BJ386" s="199">
        <f t="shared" si="426"/>
        <v>0</v>
      </c>
      <c r="BK386" s="199">
        <f t="shared" si="433"/>
        <v>0</v>
      </c>
      <c r="BL386" s="251">
        <f t="shared" si="427"/>
        <v>0</v>
      </c>
      <c r="BN386" s="251">
        <f t="shared" si="428"/>
        <v>0</v>
      </c>
      <c r="BT386" s="199"/>
      <c r="BU386" s="199"/>
      <c r="BV386" s="596"/>
      <c r="BW386" s="278"/>
      <c r="BX386" s="275"/>
      <c r="BY386" s="275"/>
      <c r="CA386" s="199">
        <f>'Detailed Budget'!$AD$96</f>
        <v>71050111380.677719</v>
      </c>
      <c r="CB386" s="275">
        <f t="shared" si="429"/>
        <v>0</v>
      </c>
      <c r="CE386" s="199"/>
      <c r="CF386" s="275"/>
      <c r="CG386" s="199"/>
      <c r="CH386" s="275"/>
      <c r="CI386" s="275"/>
      <c r="CJ386" s="275"/>
      <c r="CK386" s="275"/>
      <c r="CL386" s="275"/>
      <c r="CM386" s="278">
        <f>'Detailed Budget'!$AD$189</f>
        <v>77498869683.252869</v>
      </c>
      <c r="CN386" s="275">
        <f t="shared" si="430"/>
        <v>0</v>
      </c>
      <c r="CO386" s="140">
        <f>'Detailed Budget'!$AD$191</f>
        <v>2684962805.4134097</v>
      </c>
      <c r="CP386" s="616">
        <f t="shared" si="431"/>
        <v>0</v>
      </c>
      <c r="CQ386" s="616">
        <f t="shared" si="432"/>
        <v>0</v>
      </c>
      <c r="CR386" s="199"/>
      <c r="CS386" s="275"/>
      <c r="CW386" s="278"/>
      <c r="DH386" s="140">
        <f>'Detailed Budget'!$AD$163</f>
        <v>4928560000</v>
      </c>
      <c r="DI386" s="616">
        <f t="shared" si="453"/>
        <v>0</v>
      </c>
    </row>
    <row r="387" spans="1:113" s="213" customFormat="1">
      <c r="A387" s="206">
        <v>3.4</v>
      </c>
      <c r="B387" s="207" t="s">
        <v>904</v>
      </c>
      <c r="C387" s="208">
        <f t="shared" ref="C387:T387" si="466">COUNTA(C389:C422)</f>
        <v>34</v>
      </c>
      <c r="D387" s="208">
        <f t="shared" si="466"/>
        <v>34</v>
      </c>
      <c r="E387" s="208">
        <f t="shared" si="466"/>
        <v>0</v>
      </c>
      <c r="F387" s="208">
        <f t="shared" si="466"/>
        <v>0</v>
      </c>
      <c r="G387" s="208">
        <f t="shared" si="466"/>
        <v>0</v>
      </c>
      <c r="H387" s="208">
        <f t="shared" si="466"/>
        <v>34</v>
      </c>
      <c r="I387" s="208">
        <f t="shared" si="466"/>
        <v>34</v>
      </c>
      <c r="J387" s="208">
        <f t="shared" si="466"/>
        <v>0</v>
      </c>
      <c r="K387" s="208">
        <f t="shared" si="466"/>
        <v>34</v>
      </c>
      <c r="L387" s="208">
        <f t="shared" si="466"/>
        <v>0</v>
      </c>
      <c r="M387" s="208">
        <f t="shared" si="466"/>
        <v>0</v>
      </c>
      <c r="N387" s="208">
        <f t="shared" si="466"/>
        <v>0</v>
      </c>
      <c r="O387" s="208">
        <f t="shared" si="466"/>
        <v>0</v>
      </c>
      <c r="P387" s="208">
        <f t="shared" si="466"/>
        <v>0</v>
      </c>
      <c r="Q387" s="208">
        <f t="shared" si="466"/>
        <v>0</v>
      </c>
      <c r="R387" s="208">
        <f t="shared" si="466"/>
        <v>34</v>
      </c>
      <c r="S387" s="208">
        <f t="shared" si="466"/>
        <v>3</v>
      </c>
      <c r="T387" s="208">
        <f t="shared" si="466"/>
        <v>0</v>
      </c>
      <c r="U387" s="209">
        <f>SUM(C387:T387)</f>
        <v>207</v>
      </c>
      <c r="V387" s="866"/>
      <c r="W387" s="210">
        <f>SUM(W389:W422)</f>
        <v>5801584</v>
      </c>
      <c r="X387" s="211">
        <v>3.04</v>
      </c>
      <c r="Y387" s="212">
        <f t="shared" si="456"/>
        <v>1.0304</v>
      </c>
      <c r="Z387" s="210">
        <v>19</v>
      </c>
      <c r="AA387" s="212">
        <f t="shared" si="457"/>
        <v>1.7664898659259882</v>
      </c>
      <c r="AB387" s="210">
        <f t="shared" si="464"/>
        <v>10248439.342318358</v>
      </c>
      <c r="AC387" s="213">
        <v>20.8</v>
      </c>
      <c r="AD387" s="210">
        <f t="shared" si="465"/>
        <v>2131675.3832022185</v>
      </c>
      <c r="AE387" s="210">
        <f t="shared" si="462"/>
        <v>2025091.6140421075</v>
      </c>
      <c r="AF387" s="210">
        <f>SUM(AF389:AF422)</f>
        <v>2025091.6140421072</v>
      </c>
      <c r="AG387" s="614">
        <f t="shared" si="434"/>
        <v>9.3631345914540948E-2</v>
      </c>
      <c r="AH387" s="210">
        <f>SUM(AH389:AH422)</f>
        <v>512421.96711591783</v>
      </c>
      <c r="AI387" s="252">
        <f t="shared" si="417"/>
        <v>3.9696553397354672E-2</v>
      </c>
      <c r="AJ387" s="210">
        <f>SUM(AJ389:AJ422)</f>
        <v>2644097.3503181366</v>
      </c>
      <c r="AK387" s="199">
        <f t="shared" si="437"/>
        <v>409937.57369273435</v>
      </c>
      <c r="AL387" s="199">
        <f t="shared" si="438"/>
        <v>409937.57369273435</v>
      </c>
      <c r="AM387" s="199">
        <f t="shared" si="419"/>
        <v>819875.14738546871</v>
      </c>
      <c r="AN387" s="645">
        <f t="shared" si="420"/>
        <v>3.9696553397354679E-2</v>
      </c>
      <c r="AO387" s="210">
        <f>SUM(AO389:AO422)</f>
        <v>361</v>
      </c>
      <c r="AP387" s="250">
        <f t="shared" si="421"/>
        <v>4.1018066128848993E-2</v>
      </c>
      <c r="AQ387" s="210">
        <f>SUM(AQ389:AQ422)</f>
        <v>361</v>
      </c>
      <c r="AR387" s="210"/>
      <c r="AS387" s="210"/>
      <c r="AT387" s="210"/>
      <c r="AU387" s="199">
        <v>0</v>
      </c>
      <c r="AV387" s="199"/>
      <c r="AW387" s="250">
        <f t="shared" si="422"/>
        <v>0</v>
      </c>
      <c r="AX387" s="199"/>
      <c r="AY387" s="210">
        <v>791345</v>
      </c>
      <c r="AZ387" s="210">
        <f>SUM(AZ389:AZ422)</f>
        <v>791345.10484581534</v>
      </c>
      <c r="BA387" s="252">
        <f t="shared" si="424"/>
        <v>6.2204860525818875E-2</v>
      </c>
      <c r="BB387" s="284"/>
      <c r="BC387" s="210">
        <f>SUM(BC389:BC422)</f>
        <v>1534806.2759055973</v>
      </c>
      <c r="BD387" s="270">
        <f t="shared" si="440"/>
        <v>0.13822019228680782</v>
      </c>
      <c r="BE387" s="210">
        <f>SUM(BE389:BE422)</f>
        <v>6565560.1802628348</v>
      </c>
      <c r="BF387" s="251">
        <f t="shared" si="441"/>
        <v>0.13822019535832047</v>
      </c>
      <c r="BG387" s="210">
        <f>SUM(BG389:BG422)</f>
        <v>8100366.4561684299</v>
      </c>
      <c r="BH387"/>
      <c r="BI387" s="199">
        <f t="shared" si="425"/>
        <v>3136022.4387494177</v>
      </c>
      <c r="BJ387" s="199">
        <f t="shared" si="426"/>
        <v>6272044.8774988353</v>
      </c>
      <c r="BK387" s="199">
        <f t="shared" si="433"/>
        <v>9408067.316248253</v>
      </c>
      <c r="BL387" s="251">
        <f t="shared" si="427"/>
        <v>3.9696553397354679E-2</v>
      </c>
      <c r="BM387" s="210">
        <v>1294215</v>
      </c>
      <c r="BN387" s="251">
        <f t="shared" si="428"/>
        <v>5.588822863833031E-2</v>
      </c>
      <c r="BT387" s="210">
        <f>'Detailed Budget'!$AD$12</f>
        <v>194045122715</v>
      </c>
      <c r="BU387" s="210">
        <f>'Detailed Budget'!$AD$24</f>
        <v>194045122715</v>
      </c>
      <c r="BV387" s="596">
        <f>AV387/34743979</f>
        <v>0</v>
      </c>
      <c r="BW387" s="278"/>
      <c r="BX387" s="613">
        <f>BT387*BV387</f>
        <v>0</v>
      </c>
      <c r="BY387" s="613">
        <f t="shared" si="461"/>
        <v>0</v>
      </c>
      <c r="CA387" s="210">
        <f>'Detailed Budget'!$AD$96</f>
        <v>71050111380.677719</v>
      </c>
      <c r="CB387" s="613">
        <f t="shared" si="429"/>
        <v>4419662268.7789536</v>
      </c>
      <c r="CE387" s="210">
        <f>'Detailed Budget'!$AD$175</f>
        <v>4330586076.5988197</v>
      </c>
      <c r="CF387" s="613">
        <f>SUM(CF389:CF422)</f>
        <v>598574440.22206151</v>
      </c>
      <c r="CG387" s="632">
        <f>'Detailed Budget'!$AD$176</f>
        <v>20662817754.37001</v>
      </c>
      <c r="CH387" s="613">
        <f>SUM(CH389:CH422)</f>
        <v>2856018706.6623955</v>
      </c>
      <c r="CI387" s="613">
        <f>SUM(CI389:CI422)</f>
        <v>3454593146.8844576</v>
      </c>
      <c r="CJ387" s="275">
        <f>'Detailed Budget'!$AD$178</f>
        <v>46025131033.061455</v>
      </c>
      <c r="CK387" s="613">
        <f>SUM(CK389:CK422)</f>
        <v>4309394964.5186501</v>
      </c>
      <c r="CL387" s="613">
        <f>SUM(CL389:CL422)</f>
        <v>7763988111.4031076</v>
      </c>
      <c r="CM387" s="278">
        <f>'Detailed Budget'!$AD$189</f>
        <v>77498869683.252869</v>
      </c>
      <c r="CN387" s="275">
        <f t="shared" si="430"/>
        <v>0</v>
      </c>
      <c r="CO387" s="140">
        <f>'Detailed Budget'!$AD$191</f>
        <v>2684962805.4134097</v>
      </c>
      <c r="CP387" s="616">
        <f t="shared" si="431"/>
        <v>0</v>
      </c>
      <c r="CQ387" s="616">
        <f t="shared" si="432"/>
        <v>0</v>
      </c>
      <c r="CR387" s="210">
        <f>'Detailed Budget'!$AD$195</f>
        <v>18734176418</v>
      </c>
      <c r="CS387" s="275">
        <f>BN387*CR387</f>
        <v>1047019935</v>
      </c>
      <c r="CW387" s="278"/>
      <c r="DH387" s="140">
        <f>'Detailed Budget'!$AD$163</f>
        <v>4928560000</v>
      </c>
      <c r="DI387" s="616">
        <f t="shared" si="453"/>
        <v>202160000</v>
      </c>
    </row>
    <row r="388" spans="1:113" s="213" customFormat="1">
      <c r="A388" s="214" t="s">
        <v>2335</v>
      </c>
      <c r="B388" s="215" t="s">
        <v>2318</v>
      </c>
      <c r="C388" s="208"/>
      <c r="D388" s="208"/>
      <c r="E388" s="208"/>
      <c r="F388" s="208"/>
      <c r="G388" s="208"/>
      <c r="H388" s="208"/>
      <c r="I388" s="208"/>
      <c r="J388" s="208"/>
      <c r="K388" s="208"/>
      <c r="L388" s="208"/>
      <c r="M388" s="208"/>
      <c r="N388" s="208"/>
      <c r="O388" s="208"/>
      <c r="P388" s="208"/>
      <c r="Q388" s="208"/>
      <c r="R388" s="208"/>
      <c r="S388" s="208"/>
      <c r="T388" s="208"/>
      <c r="U388" s="209"/>
      <c r="V388" s="866"/>
      <c r="W388" s="210"/>
      <c r="X388" s="211"/>
      <c r="Y388" s="212"/>
      <c r="Z388" s="210"/>
      <c r="AA388" s="212"/>
      <c r="AB388" s="210"/>
      <c r="AD388" s="210"/>
      <c r="AE388" s="210"/>
      <c r="AF388" s="199"/>
      <c r="AG388" s="614">
        <f t="shared" si="434"/>
        <v>0</v>
      </c>
      <c r="AH388" s="210"/>
      <c r="AI388" s="252"/>
      <c r="AJ388" s="199"/>
      <c r="AK388" s="199">
        <f t="shared" si="437"/>
        <v>0</v>
      </c>
      <c r="AL388" s="199">
        <f t="shared" si="438"/>
        <v>0</v>
      </c>
      <c r="AM388" s="199">
        <f t="shared" si="419"/>
        <v>0</v>
      </c>
      <c r="AN388" s="645">
        <f t="shared" si="420"/>
        <v>0</v>
      </c>
      <c r="AO388" s="210"/>
      <c r="AP388" s="250"/>
      <c r="AQ388" s="210"/>
      <c r="AR388" s="210"/>
      <c r="AS388" s="210"/>
      <c r="AT388" s="210"/>
      <c r="AU388" s="199"/>
      <c r="AV388" s="199"/>
      <c r="AW388" s="250">
        <f t="shared" si="422"/>
        <v>0</v>
      </c>
      <c r="AX388" s="199"/>
      <c r="AY388" s="210"/>
      <c r="AZ388" s="199"/>
      <c r="BA388" s="252">
        <f t="shared" si="424"/>
        <v>0</v>
      </c>
      <c r="BB388" s="284"/>
      <c r="BC388" s="269"/>
      <c r="BD388" s="270">
        <f t="shared" si="440"/>
        <v>0</v>
      </c>
      <c r="BE388" s="269"/>
      <c r="BF388" s="251">
        <f t="shared" si="441"/>
        <v>0</v>
      </c>
      <c r="BG388" s="204"/>
      <c r="BH388"/>
      <c r="BI388" s="199">
        <f t="shared" si="425"/>
        <v>0</v>
      </c>
      <c r="BJ388" s="199">
        <f t="shared" si="426"/>
        <v>0</v>
      </c>
      <c r="BK388" s="199">
        <f t="shared" si="433"/>
        <v>0</v>
      </c>
      <c r="BL388" s="251">
        <f t="shared" si="427"/>
        <v>0</v>
      </c>
      <c r="BM388" s="210"/>
      <c r="BN388" s="251">
        <f t="shared" si="428"/>
        <v>0</v>
      </c>
      <c r="BT388" s="210"/>
      <c r="BU388" s="210">
        <f>'Detailed Budget'!$AD$24</f>
        <v>194045122715</v>
      </c>
      <c r="BV388" s="596"/>
      <c r="BW388" s="278"/>
      <c r="BX388" s="275"/>
      <c r="BY388" s="275"/>
      <c r="CA388" s="210">
        <f>'Detailed Budget'!$AD$96</f>
        <v>71050111380.677719</v>
      </c>
      <c r="CB388" s="275"/>
      <c r="CE388" s="210"/>
      <c r="CF388" s="275"/>
      <c r="CG388" s="240"/>
      <c r="CH388" s="275"/>
      <c r="CI388" s="275"/>
      <c r="CJ388" s="275"/>
      <c r="CK388" s="275"/>
      <c r="CL388" s="275"/>
      <c r="CM388" s="278">
        <f>'Detailed Budget'!$AD$189</f>
        <v>77498869683.252869</v>
      </c>
      <c r="CN388" s="275">
        <f t="shared" si="430"/>
        <v>0</v>
      </c>
      <c r="CO388" s="140">
        <f>'Detailed Budget'!$AD$191</f>
        <v>2684962805.4134097</v>
      </c>
      <c r="CP388" s="616">
        <f t="shared" si="431"/>
        <v>0</v>
      </c>
      <c r="CQ388" s="616">
        <f t="shared" si="432"/>
        <v>0</v>
      </c>
      <c r="CR388" s="210"/>
      <c r="CS388" s="275"/>
      <c r="CW388" s="278"/>
      <c r="DH388" s="140"/>
      <c r="DI388" s="616"/>
    </row>
    <row r="389" spans="1:113" outlineLevel="1">
      <c r="A389" s="214" t="s">
        <v>905</v>
      </c>
      <c r="B389" s="215" t="s">
        <v>906</v>
      </c>
      <c r="C389" s="216" t="s">
        <v>234</v>
      </c>
      <c r="D389" s="217" t="s">
        <v>234</v>
      </c>
      <c r="E389" s="216"/>
      <c r="F389" s="216"/>
      <c r="G389" s="216"/>
      <c r="H389" s="216" t="s">
        <v>234</v>
      </c>
      <c r="I389" s="217" t="s">
        <v>234</v>
      </c>
      <c r="J389" s="217"/>
      <c r="K389" s="216" t="s">
        <v>234</v>
      </c>
      <c r="L389" s="216"/>
      <c r="M389" s="217"/>
      <c r="N389" s="216"/>
      <c r="O389" s="217"/>
      <c r="P389" s="216"/>
      <c r="Q389" s="217"/>
      <c r="R389" s="217" t="s">
        <v>234</v>
      </c>
      <c r="S389" s="217" t="s">
        <v>234</v>
      </c>
      <c r="T389" s="217"/>
      <c r="U389" s="218">
        <f t="shared" ref="U389:U422" si="467">COUNTA(C389:T389)</f>
        <v>7</v>
      </c>
      <c r="V389" s="867" t="s">
        <v>418</v>
      </c>
      <c r="W389" s="219">
        <v>149516</v>
      </c>
      <c r="X389" s="220">
        <v>3.04</v>
      </c>
      <c r="Y389" s="221">
        <f t="shared" si="456"/>
        <v>1.0304</v>
      </c>
      <c r="Z389" s="199">
        <v>19</v>
      </c>
      <c r="AA389" s="221">
        <f t="shared" si="457"/>
        <v>1.7664898659259882</v>
      </c>
      <c r="AB389" s="199">
        <f t="shared" si="464"/>
        <v>264118.49879379006</v>
      </c>
      <c r="AC389">
        <v>20.8</v>
      </c>
      <c r="AD389" s="199">
        <f t="shared" si="465"/>
        <v>54936.647749108335</v>
      </c>
      <c r="AE389" s="199">
        <f t="shared" si="462"/>
        <v>52189.815361652916</v>
      </c>
      <c r="AF389" s="199">
        <f t="shared" si="435"/>
        <v>52189.815361652916</v>
      </c>
      <c r="AG389" s="614">
        <f t="shared" si="434"/>
        <v>2.4130279447403509E-3</v>
      </c>
      <c r="AH389" s="199">
        <f>AB389*0.05</f>
        <v>13205.924939689503</v>
      </c>
      <c r="AI389" s="252">
        <f t="shared" si="417"/>
        <v>1.0230429961470664E-3</v>
      </c>
      <c r="AJ389" s="199">
        <f t="shared" si="418"/>
        <v>68142.572688797838</v>
      </c>
      <c r="AK389" s="199">
        <f t="shared" si="437"/>
        <v>10564.739951751602</v>
      </c>
      <c r="AL389" s="199">
        <f t="shared" si="438"/>
        <v>10564.739951751602</v>
      </c>
      <c r="AM389" s="199">
        <f t="shared" si="419"/>
        <v>21129.479903503205</v>
      </c>
      <c r="AN389" s="645">
        <f t="shared" si="420"/>
        <v>1.0230429961470664E-3</v>
      </c>
      <c r="AO389" s="199">
        <v>11</v>
      </c>
      <c r="AP389" s="250">
        <f t="shared" si="421"/>
        <v>1.2498579706851495E-3</v>
      </c>
      <c r="AQ389" s="199">
        <v>11</v>
      </c>
      <c r="AU389" s="199">
        <v>0</v>
      </c>
      <c r="AW389" s="250">
        <f t="shared" si="422"/>
        <v>0</v>
      </c>
      <c r="AX389" s="199">
        <v>1</v>
      </c>
      <c r="AY389" s="199">
        <f t="shared" ref="AY389:AY422" si="468">AJ389/2644097*791345</f>
        <v>20394.215561840858</v>
      </c>
      <c r="AZ389" s="199">
        <f t="shared" si="423"/>
        <v>20394.215561840858</v>
      </c>
      <c r="BA389" s="252">
        <f t="shared" si="424"/>
        <v>1.603117687579519E-3</v>
      </c>
      <c r="BB389" s="284">
        <v>1</v>
      </c>
      <c r="BC389" s="199">
        <f t="shared" ref="BC389:BC422" si="469">AD389*BB389*0.18*4</f>
        <v>39554.386379358002</v>
      </c>
      <c r="BD389" s="270">
        <f t="shared" si="440"/>
        <v>3.5621530723254822E-3</v>
      </c>
      <c r="BE389" s="199">
        <f t="shared" ref="BE389:BE422" si="470">AD389*BB389*0.77*4</f>
        <v>169204.87506725368</v>
      </c>
      <c r="BF389" s="251">
        <f t="shared" si="441"/>
        <v>3.5621531514832233E-3</v>
      </c>
      <c r="BG389" s="204">
        <f t="shared" si="455"/>
        <v>208759.26144661169</v>
      </c>
      <c r="BH389" s="636">
        <v>0</v>
      </c>
      <c r="BI389" s="199">
        <f t="shared" si="425"/>
        <v>80820.260630899749</v>
      </c>
      <c r="BJ389" s="199">
        <f t="shared" si="426"/>
        <v>161640.5212617995</v>
      </c>
      <c r="BK389" s="199">
        <f t="shared" si="433"/>
        <v>242460.78189269925</v>
      </c>
      <c r="BL389" s="251">
        <f t="shared" si="427"/>
        <v>1.0230429961470664E-3</v>
      </c>
      <c r="BM389" s="199">
        <f t="shared" ref="BM389:BM422" si="471">AH389/512422*1294215</f>
        <v>33353.966351601317</v>
      </c>
      <c r="BN389" s="251">
        <f t="shared" si="428"/>
        <v>1.4403279960852489E-3</v>
      </c>
      <c r="BT389" s="199">
        <f>'Detailed Budget'!$AD$12</f>
        <v>194045122715</v>
      </c>
      <c r="BU389" s="199">
        <f>'Detailed Budget'!$AD$24</f>
        <v>194045122715</v>
      </c>
      <c r="BV389" s="596">
        <f t="shared" ref="BV389:BV422" si="472">AV389/34743979</f>
        <v>0</v>
      </c>
      <c r="BW389" s="278"/>
      <c r="BX389" s="275">
        <f t="shared" si="460"/>
        <v>0</v>
      </c>
      <c r="BY389" s="275">
        <f t="shared" si="461"/>
        <v>0</v>
      </c>
      <c r="CA389" s="199">
        <f>'Detailed Budget'!$AD$96</f>
        <v>71050111380.677719</v>
      </c>
      <c r="CB389" s="275">
        <f t="shared" si="429"/>
        <v>113901690.25885932</v>
      </c>
      <c r="CE389" s="199">
        <f>'Detailed Budget'!$AD$175</f>
        <v>4330586076.5988197</v>
      </c>
      <c r="CF389" s="275">
        <f t="shared" ref="CF389:CF422" si="473">BB389*BD389*CE389</f>
        <v>15426210.497726442</v>
      </c>
      <c r="CG389" s="199">
        <f>'Detailed Budget'!$AD$176</f>
        <v>20662817754.37001</v>
      </c>
      <c r="CH389" s="275">
        <f t="shared" ref="CH389:CH422" si="474">BB389*BF389*CG389</f>
        <v>73604121.382252634</v>
      </c>
      <c r="CI389" s="275">
        <f t="shared" si="463"/>
        <v>89030331.879979074</v>
      </c>
      <c r="CJ389" s="275">
        <f>'Detailed Budget'!$AD$178</f>
        <v>46025131033.061455</v>
      </c>
      <c r="CK389" s="275">
        <f t="shared" ref="CK389:CK422" si="475">BB389*AG389*CJ389</f>
        <v>111059927.34311363</v>
      </c>
      <c r="CL389" s="275">
        <f t="shared" si="436"/>
        <v>200090259.22309271</v>
      </c>
      <c r="CM389" s="278">
        <f>'Detailed Budget'!$AD$189</f>
        <v>77498869683.252869</v>
      </c>
      <c r="CN389" s="275">
        <f t="shared" si="430"/>
        <v>0</v>
      </c>
      <c r="CO389" s="140">
        <f>'Detailed Budget'!$AD$191</f>
        <v>2684962805.4134097</v>
      </c>
      <c r="CP389" s="616">
        <f t="shared" si="431"/>
        <v>0</v>
      </c>
      <c r="CQ389" s="616">
        <f t="shared" si="432"/>
        <v>0</v>
      </c>
      <c r="CR389" s="199">
        <f>'Detailed Budget'!$AD$195</f>
        <v>18734176418</v>
      </c>
      <c r="CS389" s="275">
        <f t="shared" ref="CS389:CS422" si="476">BN389*CR389</f>
        <v>26983358.778445467</v>
      </c>
      <c r="CW389" s="278"/>
      <c r="DH389" s="140">
        <f>'Detailed Budget'!$AD$163</f>
        <v>4928560000</v>
      </c>
      <c r="DI389" s="616">
        <f t="shared" ref="DI389:DI424" si="477">AP389*DH389</f>
        <v>6160000</v>
      </c>
    </row>
    <row r="390" spans="1:113" outlineLevel="1">
      <c r="A390" s="214" t="s">
        <v>907</v>
      </c>
      <c r="B390" s="215" t="s">
        <v>908</v>
      </c>
      <c r="C390" s="216" t="s">
        <v>234</v>
      </c>
      <c r="D390" s="217" t="s">
        <v>234</v>
      </c>
      <c r="E390" s="216"/>
      <c r="F390" s="216"/>
      <c r="G390" s="216"/>
      <c r="H390" s="216" t="s">
        <v>234</v>
      </c>
      <c r="I390" s="217" t="s">
        <v>234</v>
      </c>
      <c r="J390" s="217"/>
      <c r="K390" s="216" t="s">
        <v>234</v>
      </c>
      <c r="L390" s="216"/>
      <c r="M390" s="217"/>
      <c r="N390" s="216"/>
      <c r="O390" s="217"/>
      <c r="P390" s="216"/>
      <c r="Q390" s="217"/>
      <c r="R390" s="217" t="s">
        <v>234</v>
      </c>
      <c r="S390" s="217"/>
      <c r="T390" s="217"/>
      <c r="U390" s="218">
        <f t="shared" si="467"/>
        <v>6</v>
      </c>
      <c r="V390" s="867" t="s">
        <v>238</v>
      </c>
      <c r="W390" s="219">
        <v>189059</v>
      </c>
      <c r="X390" s="220">
        <v>3.04</v>
      </c>
      <c r="Y390" s="221">
        <f t="shared" si="456"/>
        <v>1.0304</v>
      </c>
      <c r="Z390" s="199">
        <v>19</v>
      </c>
      <c r="AA390" s="221">
        <f t="shared" si="457"/>
        <v>1.7664898659259882</v>
      </c>
      <c r="AB390" s="199">
        <f t="shared" si="464"/>
        <v>333970.8075621014</v>
      </c>
      <c r="AC390">
        <v>20.8</v>
      </c>
      <c r="AD390" s="199">
        <f t="shared" si="465"/>
        <v>69465.927972917096</v>
      </c>
      <c r="AE390" s="199">
        <f t="shared" si="462"/>
        <v>65992.631574271232</v>
      </c>
      <c r="AF390" s="199">
        <f t="shared" si="435"/>
        <v>65992.631574271232</v>
      </c>
      <c r="AG390" s="614">
        <f t="shared" si="434"/>
        <v>3.0512095709132533E-3</v>
      </c>
      <c r="AH390" s="199">
        <f t="shared" ref="AH390:AH422" si="478">AB390*0.05</f>
        <v>16698.54037810507</v>
      </c>
      <c r="AI390" s="252">
        <f t="shared" ref="AI390:AI453" si="479">AH390/12908475</f>
        <v>1.2936106223318455E-3</v>
      </c>
      <c r="AJ390" s="199">
        <f t="shared" si="418"/>
        <v>86164.468351022166</v>
      </c>
      <c r="AK390" s="199">
        <f t="shared" si="437"/>
        <v>13358.832302484056</v>
      </c>
      <c r="AL390" s="199">
        <f t="shared" si="438"/>
        <v>13358.832302484056</v>
      </c>
      <c r="AM390" s="199">
        <f t="shared" si="419"/>
        <v>26717.664604968111</v>
      </c>
      <c r="AN390" s="645">
        <f t="shared" si="420"/>
        <v>1.2936106223318455E-3</v>
      </c>
      <c r="AO390" s="199">
        <v>10</v>
      </c>
      <c r="AP390" s="250">
        <f t="shared" si="421"/>
        <v>1.1362345188046814E-3</v>
      </c>
      <c r="AQ390" s="199">
        <v>10</v>
      </c>
      <c r="AU390" s="199">
        <v>0</v>
      </c>
      <c r="AW390" s="250">
        <f t="shared" si="422"/>
        <v>0</v>
      </c>
      <c r="AX390" s="199">
        <v>1</v>
      </c>
      <c r="AY390" s="199">
        <f t="shared" si="468"/>
        <v>25787.942426938054</v>
      </c>
      <c r="AZ390" s="199">
        <f t="shared" si="423"/>
        <v>25787.942426938054</v>
      </c>
      <c r="BA390" s="252">
        <f t="shared" si="424"/>
        <v>2.0270996207502625E-3</v>
      </c>
      <c r="BB390" s="284">
        <v>1</v>
      </c>
      <c r="BC390" s="199">
        <f t="shared" si="469"/>
        <v>50015.468140500307</v>
      </c>
      <c r="BD390" s="270">
        <f t="shared" si="440"/>
        <v>4.5042476905534081E-3</v>
      </c>
      <c r="BE390" s="199">
        <f t="shared" si="470"/>
        <v>213955.05815658465</v>
      </c>
      <c r="BF390" s="251">
        <f t="shared" si="441"/>
        <v>4.5042477906462632E-3</v>
      </c>
      <c r="BG390" s="204">
        <f t="shared" si="455"/>
        <v>263970.52629708499</v>
      </c>
      <c r="BH390" s="636">
        <v>0</v>
      </c>
      <c r="BI390" s="199">
        <f t="shared" si="425"/>
        <v>102195.06711400303</v>
      </c>
      <c r="BJ390" s="199">
        <f t="shared" si="426"/>
        <v>204390.13422800606</v>
      </c>
      <c r="BK390" s="199">
        <f t="shared" si="433"/>
        <v>306585.20134200912</v>
      </c>
      <c r="BL390" s="251">
        <f t="shared" si="427"/>
        <v>1.2936106223318457E-3</v>
      </c>
      <c r="BM390" s="199">
        <f t="shared" si="471"/>
        <v>42175.202148715813</v>
      </c>
      <c r="BN390" s="251">
        <f t="shared" si="428"/>
        <v>1.8212563913686901E-3</v>
      </c>
      <c r="BT390" s="199">
        <f>'Detailed Budget'!$AD$12</f>
        <v>194045122715</v>
      </c>
      <c r="BU390" s="199">
        <f>'Detailed Budget'!$AD$24</f>
        <v>194045122715</v>
      </c>
      <c r="BV390" s="596">
        <f t="shared" si="472"/>
        <v>0</v>
      </c>
      <c r="BW390" s="278"/>
      <c r="BX390" s="275">
        <f t="shared" si="460"/>
        <v>0</v>
      </c>
      <c r="BY390" s="275">
        <f t="shared" si="461"/>
        <v>0</v>
      </c>
      <c r="CA390" s="199">
        <f>'Detailed Budget'!$AD$96</f>
        <v>71050111380.677719</v>
      </c>
      <c r="CB390" s="275">
        <f t="shared" si="429"/>
        <v>144025653.83403572</v>
      </c>
      <c r="CE390" s="199">
        <f>'Detailed Budget'!$AD$175</f>
        <v>4330586076.5988197</v>
      </c>
      <c r="CF390" s="275">
        <f t="shared" si="473"/>
        <v>19506032.334262978</v>
      </c>
      <c r="CG390" s="199">
        <f>'Detailed Budget'!$AD$176</f>
        <v>20662817754.37001</v>
      </c>
      <c r="CH390" s="275">
        <f t="shared" si="474"/>
        <v>93070451.218647495</v>
      </c>
      <c r="CI390" s="275">
        <f t="shared" si="463"/>
        <v>112576483.55291048</v>
      </c>
      <c r="CJ390" s="275">
        <f>'Detailed Budget'!$AD$178</f>
        <v>46025131033.061455</v>
      </c>
      <c r="CK390" s="275">
        <f t="shared" si="475"/>
        <v>140432320.31061369</v>
      </c>
      <c r="CL390" s="275">
        <f t="shared" si="436"/>
        <v>253008803.86352417</v>
      </c>
      <c r="CM390" s="278">
        <f>'Detailed Budget'!$AD$189</f>
        <v>77498869683.252869</v>
      </c>
      <c r="CN390" s="275">
        <f t="shared" si="430"/>
        <v>0</v>
      </c>
      <c r="CO390" s="140">
        <f>'Detailed Budget'!$AD$191</f>
        <v>2684962805.4134097</v>
      </c>
      <c r="CP390" s="616">
        <f t="shared" si="431"/>
        <v>0</v>
      </c>
      <c r="CQ390" s="616">
        <f t="shared" si="432"/>
        <v>0</v>
      </c>
      <c r="CR390" s="199">
        <f>'Detailed Budget'!$AD$195</f>
        <v>18734176418</v>
      </c>
      <c r="CS390" s="275">
        <f t="shared" si="476"/>
        <v>34119738.538311094</v>
      </c>
      <c r="CW390" s="278"/>
      <c r="DH390" s="140">
        <f>'Detailed Budget'!$AD$163</f>
        <v>4928560000</v>
      </c>
      <c r="DI390" s="616">
        <f t="shared" si="477"/>
        <v>5600000</v>
      </c>
    </row>
    <row r="391" spans="1:113" outlineLevel="1">
      <c r="A391" s="214" t="s">
        <v>909</v>
      </c>
      <c r="B391" s="215" t="s">
        <v>910</v>
      </c>
      <c r="C391" s="216" t="s">
        <v>234</v>
      </c>
      <c r="D391" s="217" t="s">
        <v>234</v>
      </c>
      <c r="E391" s="216"/>
      <c r="F391" s="216"/>
      <c r="G391" s="216"/>
      <c r="H391" s="216" t="s">
        <v>234</v>
      </c>
      <c r="I391" s="217" t="s">
        <v>234</v>
      </c>
      <c r="J391" s="217"/>
      <c r="K391" s="216" t="s">
        <v>234</v>
      </c>
      <c r="L391" s="216"/>
      <c r="M391" s="217"/>
      <c r="N391" s="216"/>
      <c r="O391" s="217"/>
      <c r="P391" s="216"/>
      <c r="Q391" s="217"/>
      <c r="R391" s="217" t="s">
        <v>234</v>
      </c>
      <c r="S391" s="217"/>
      <c r="T391" s="217"/>
      <c r="U391" s="218">
        <f t="shared" si="467"/>
        <v>6</v>
      </c>
      <c r="V391" s="867" t="s">
        <v>238</v>
      </c>
      <c r="W391" s="219">
        <v>207874</v>
      </c>
      <c r="X391" s="220">
        <v>3.04</v>
      </c>
      <c r="Y391" s="221">
        <f t="shared" si="456"/>
        <v>1.0304</v>
      </c>
      <c r="Z391" s="199">
        <v>19</v>
      </c>
      <c r="AA391" s="221">
        <f t="shared" si="457"/>
        <v>1.7664898659259882</v>
      </c>
      <c r="AB391" s="199">
        <f t="shared" si="464"/>
        <v>367207.3143894989</v>
      </c>
      <c r="AC391">
        <v>20.8</v>
      </c>
      <c r="AD391" s="199">
        <f t="shared" si="465"/>
        <v>76379.121393015783</v>
      </c>
      <c r="AE391" s="199">
        <f t="shared" si="462"/>
        <v>72560.165323364985</v>
      </c>
      <c r="AF391" s="199">
        <f t="shared" si="435"/>
        <v>72560.165323364985</v>
      </c>
      <c r="AG391" s="614">
        <f t="shared" si="434"/>
        <v>3.3548634994579559E-3</v>
      </c>
      <c r="AH391" s="199">
        <f t="shared" si="478"/>
        <v>18360.365719474947</v>
      </c>
      <c r="AI391" s="252">
        <f t="shared" si="479"/>
        <v>1.4223497136164377E-3</v>
      </c>
      <c r="AJ391" s="199">
        <f t="shared" ref="AJ391:AJ454" si="480">AD391+AH391</f>
        <v>94739.487112490722</v>
      </c>
      <c r="AK391" s="199">
        <f t="shared" si="437"/>
        <v>14688.292575579957</v>
      </c>
      <c r="AL391" s="199">
        <f t="shared" si="438"/>
        <v>14688.292575579957</v>
      </c>
      <c r="AM391" s="199">
        <f t="shared" ref="AM391:AM454" si="481">AK391+AL391</f>
        <v>29376.585151159914</v>
      </c>
      <c r="AN391" s="645">
        <f t="shared" ref="AN391:AN454" si="482">AM391/20653560</f>
        <v>1.4223497136164377E-3</v>
      </c>
      <c r="AO391" s="199">
        <v>11</v>
      </c>
      <c r="AP391" s="250">
        <f t="shared" ref="AP391:AP454" si="483">AO391/8801</f>
        <v>1.2498579706851495E-3</v>
      </c>
      <c r="AQ391" s="199">
        <v>11</v>
      </c>
      <c r="AU391" s="199">
        <v>0</v>
      </c>
      <c r="AW391" s="250">
        <f t="shared" ref="AW391:AW454" si="484">AV391/34743979</f>
        <v>0</v>
      </c>
      <c r="AX391" s="199">
        <v>1</v>
      </c>
      <c r="AY391" s="199">
        <f t="shared" si="468"/>
        <v>28354.337767878395</v>
      </c>
      <c r="AZ391" s="199">
        <f t="shared" ref="AZ391:AZ454" si="485">AX391*AY391</f>
        <v>28354.337767878395</v>
      </c>
      <c r="BA391" s="252">
        <f t="shared" ref="BA391:BA454" si="486">AZ391/12721596</f>
        <v>2.2288349486871296E-3</v>
      </c>
      <c r="BB391" s="284">
        <v>1</v>
      </c>
      <c r="BC391" s="199">
        <f t="shared" si="469"/>
        <v>54992.967402971364</v>
      </c>
      <c r="BD391" s="270">
        <f t="shared" si="440"/>
        <v>4.9525068070078613E-3</v>
      </c>
      <c r="BE391" s="199">
        <f t="shared" si="470"/>
        <v>235247.69389048862</v>
      </c>
      <c r="BF391" s="251">
        <f t="shared" si="441"/>
        <v>4.9525069170618767E-3</v>
      </c>
      <c r="BG391" s="204">
        <f t="shared" si="455"/>
        <v>290240.66129346</v>
      </c>
      <c r="BH391" s="636">
        <v>0</v>
      </c>
      <c r="BI391" s="199">
        <f t="shared" ref="BI391:BI454" si="487">AK391*0.85*0.75*12</f>
        <v>112365.43820318667</v>
      </c>
      <c r="BJ391" s="199">
        <f t="shared" ref="BJ391:BJ454" si="488">AL391*0.85*0.75*2*12</f>
        <v>224730.87640637334</v>
      </c>
      <c r="BK391" s="199">
        <f t="shared" si="433"/>
        <v>337096.31460956001</v>
      </c>
      <c r="BL391" s="251">
        <f t="shared" ref="BL391:BL454" si="489">BK391/236999601</f>
        <v>1.4223497136164377E-3</v>
      </c>
      <c r="BM391" s="199">
        <f t="shared" si="471"/>
        <v>46372.444429845455</v>
      </c>
      <c r="BN391" s="251">
        <f t="shared" ref="BN391:BN454" si="490">BM391/23157202</f>
        <v>2.0025063662633099E-3</v>
      </c>
      <c r="BT391" s="199">
        <f>'Detailed Budget'!$AD$12</f>
        <v>194045122715</v>
      </c>
      <c r="BU391" s="199">
        <f>'Detailed Budget'!$AD$24</f>
        <v>194045122715</v>
      </c>
      <c r="BV391" s="596">
        <f t="shared" si="472"/>
        <v>0</v>
      </c>
      <c r="BW391" s="278"/>
      <c r="BX391" s="275">
        <f t="shared" si="460"/>
        <v>0</v>
      </c>
      <c r="BY391" s="275">
        <f t="shared" si="461"/>
        <v>0</v>
      </c>
      <c r="CA391" s="199">
        <f>'Detailed Budget'!$AD$96</f>
        <v>71050111380.677719</v>
      </c>
      <c r="CB391" s="275">
        <f t="shared" ref="CB391:CB454" si="491">BA391*CA391</f>
        <v>158358971.35336766</v>
      </c>
      <c r="CE391" s="199">
        <f>'Detailed Budget'!$AD$175</f>
        <v>4330586076.5988197</v>
      </c>
      <c r="CF391" s="275">
        <f t="shared" si="473"/>
        <v>21447257.022689123</v>
      </c>
      <c r="CG391" s="199">
        <f>'Detailed Budget'!$AD$176</f>
        <v>20662817754.37001</v>
      </c>
      <c r="CH391" s="275">
        <f t="shared" si="474"/>
        <v>102332747.85450643</v>
      </c>
      <c r="CI391" s="275">
        <f t="shared" si="463"/>
        <v>123780004.87719555</v>
      </c>
      <c r="CJ391" s="275">
        <f>'Detailed Budget'!$AD$178</f>
        <v>46025131033.061455</v>
      </c>
      <c r="CK391" s="275">
        <f t="shared" si="475"/>
        <v>154408032.16058752</v>
      </c>
      <c r="CL391" s="275">
        <f t="shared" si="436"/>
        <v>278188037.03778309</v>
      </c>
      <c r="CM391" s="278">
        <f>'Detailed Budget'!$AD$189</f>
        <v>77498869683.252869</v>
      </c>
      <c r="CN391" s="275">
        <f t="shared" ref="CN391:CN454" si="492">BH391*BL391*CM391</f>
        <v>0</v>
      </c>
      <c r="CO391" s="140">
        <f>'Detailed Budget'!$AD$191</f>
        <v>2684962805.4134097</v>
      </c>
      <c r="CP391" s="616">
        <f t="shared" ref="CP391:CP454" si="493">BH391*AN391*CO391</f>
        <v>0</v>
      </c>
      <c r="CQ391" s="616">
        <f t="shared" ref="CQ391:CQ454" si="494">CN391+CP391</f>
        <v>0</v>
      </c>
      <c r="CR391" s="199">
        <f>'Detailed Budget'!$AD$195</f>
        <v>18734176418</v>
      </c>
      <c r="CS391" s="275">
        <f t="shared" si="476"/>
        <v>37515307.543744974</v>
      </c>
      <c r="CW391" s="278"/>
      <c r="DH391" s="140">
        <f>'Detailed Budget'!$AD$163</f>
        <v>4928560000</v>
      </c>
      <c r="DI391" s="616">
        <f t="shared" si="477"/>
        <v>6160000</v>
      </c>
    </row>
    <row r="392" spans="1:113" outlineLevel="1">
      <c r="A392" s="214" t="s">
        <v>911</v>
      </c>
      <c r="B392" s="215" t="s">
        <v>912</v>
      </c>
      <c r="C392" s="216" t="s">
        <v>234</v>
      </c>
      <c r="D392" s="217" t="s">
        <v>234</v>
      </c>
      <c r="E392" s="216"/>
      <c r="F392" s="216"/>
      <c r="G392" s="216"/>
      <c r="H392" s="216" t="s">
        <v>234</v>
      </c>
      <c r="I392" s="217" t="s">
        <v>234</v>
      </c>
      <c r="J392" s="217"/>
      <c r="K392" s="216" t="s">
        <v>234</v>
      </c>
      <c r="L392" s="216"/>
      <c r="M392" s="217"/>
      <c r="N392" s="216"/>
      <c r="O392" s="217"/>
      <c r="P392" s="216"/>
      <c r="Q392" s="217"/>
      <c r="R392" s="217" t="s">
        <v>234</v>
      </c>
      <c r="S392" s="217"/>
      <c r="T392" s="217"/>
      <c r="U392" s="218">
        <f t="shared" si="467"/>
        <v>6</v>
      </c>
      <c r="V392" s="867" t="s">
        <v>238</v>
      </c>
      <c r="W392" s="219">
        <v>202941</v>
      </c>
      <c r="X392" s="220">
        <v>3.04</v>
      </c>
      <c r="Y392" s="221">
        <f t="shared" si="456"/>
        <v>1.0304</v>
      </c>
      <c r="Z392" s="199">
        <v>19</v>
      </c>
      <c r="AA392" s="221">
        <f t="shared" si="457"/>
        <v>1.7664898659259882</v>
      </c>
      <c r="AB392" s="199">
        <f t="shared" si="464"/>
        <v>358493.21988088597</v>
      </c>
      <c r="AC392">
        <v>20.8</v>
      </c>
      <c r="AD392" s="199">
        <f t="shared" si="465"/>
        <v>74566.58973522429</v>
      </c>
      <c r="AE392" s="199">
        <f t="shared" si="462"/>
        <v>70838.260248463077</v>
      </c>
      <c r="AF392" s="199">
        <f t="shared" si="435"/>
        <v>70838.260248463077</v>
      </c>
      <c r="AG392" s="614">
        <f t="shared" si="434"/>
        <v>3.2752501680994115E-3</v>
      </c>
      <c r="AH392" s="199">
        <f t="shared" si="478"/>
        <v>17924.660994044298</v>
      </c>
      <c r="AI392" s="252">
        <f t="shared" si="479"/>
        <v>1.3885963286944661E-3</v>
      </c>
      <c r="AJ392" s="199">
        <f t="shared" si="480"/>
        <v>92491.250729268591</v>
      </c>
      <c r="AK392" s="199">
        <f t="shared" si="437"/>
        <v>14339.728795235438</v>
      </c>
      <c r="AL392" s="199">
        <f t="shared" si="438"/>
        <v>14339.728795235438</v>
      </c>
      <c r="AM392" s="199">
        <f t="shared" si="481"/>
        <v>28679.457590470876</v>
      </c>
      <c r="AN392" s="645">
        <f t="shared" si="482"/>
        <v>1.3885963286944661E-3</v>
      </c>
      <c r="AO392" s="199">
        <v>12</v>
      </c>
      <c r="AP392" s="250">
        <f t="shared" si="483"/>
        <v>1.3634814225656176E-3</v>
      </c>
      <c r="AQ392" s="199">
        <v>12</v>
      </c>
      <c r="AU392" s="199">
        <v>0</v>
      </c>
      <c r="AW392" s="250">
        <f t="shared" si="484"/>
        <v>0</v>
      </c>
      <c r="AX392" s="199">
        <v>1</v>
      </c>
      <c r="AY392" s="199">
        <f t="shared" si="468"/>
        <v>27681.468875140756</v>
      </c>
      <c r="AZ392" s="199">
        <f t="shared" si="485"/>
        <v>27681.468875140756</v>
      </c>
      <c r="BA392" s="252">
        <f t="shared" si="486"/>
        <v>2.1759430872620666E-3</v>
      </c>
      <c r="BB392" s="284">
        <v>1</v>
      </c>
      <c r="BC392" s="199">
        <f t="shared" si="469"/>
        <v>53687.94460936149</v>
      </c>
      <c r="BD392" s="270">
        <f t="shared" si="440"/>
        <v>4.8349802472698955E-3</v>
      </c>
      <c r="BE392" s="199">
        <f t="shared" si="470"/>
        <v>229665.09638449081</v>
      </c>
      <c r="BF392" s="251">
        <f t="shared" si="441"/>
        <v>4.83498035471225E-3</v>
      </c>
      <c r="BG392" s="204">
        <f t="shared" si="455"/>
        <v>283353.04099385231</v>
      </c>
      <c r="BH392" s="636">
        <v>0</v>
      </c>
      <c r="BI392" s="199">
        <f t="shared" si="487"/>
        <v>109698.9252835511</v>
      </c>
      <c r="BJ392" s="199">
        <f t="shared" si="488"/>
        <v>219397.8505671022</v>
      </c>
      <c r="BK392" s="199">
        <f t="shared" ref="BK392:BK455" si="495">BI392+BJ392</f>
        <v>329096.7758506533</v>
      </c>
      <c r="BL392" s="251">
        <f t="shared" si="489"/>
        <v>1.3885963286944659E-3</v>
      </c>
      <c r="BM392" s="199">
        <f t="shared" si="471"/>
        <v>45271.992866049935</v>
      </c>
      <c r="BN392" s="251">
        <f t="shared" si="490"/>
        <v>1.9549854453940478E-3</v>
      </c>
      <c r="BT392" s="199">
        <f>'Detailed Budget'!$AD$12</f>
        <v>194045122715</v>
      </c>
      <c r="BU392" s="199">
        <f>'Detailed Budget'!$AD$24</f>
        <v>194045122715</v>
      </c>
      <c r="BV392" s="596">
        <f t="shared" si="472"/>
        <v>0</v>
      </c>
      <c r="BW392" s="278"/>
      <c r="BX392" s="275">
        <f t="shared" si="460"/>
        <v>0</v>
      </c>
      <c r="BY392" s="275">
        <f t="shared" si="461"/>
        <v>0</v>
      </c>
      <c r="CA392" s="199">
        <f>'Detailed Budget'!$AD$96</f>
        <v>71050111380.677719</v>
      </c>
      <c r="CB392" s="275">
        <f t="shared" si="491"/>
        <v>154600998.70798558</v>
      </c>
      <c r="CE392" s="199">
        <f>'Detailed Budget'!$AD$175</f>
        <v>4330586076.5988197</v>
      </c>
      <c r="CF392" s="275">
        <f t="shared" si="473"/>
        <v>20938298.139457326</v>
      </c>
      <c r="CG392" s="199">
        <f>'Detailed Budget'!$AD$176</f>
        <v>20662817754.37001</v>
      </c>
      <c r="CH392" s="275">
        <f t="shared" si="474"/>
        <v>99904317.915378496</v>
      </c>
      <c r="CI392" s="275">
        <f t="shared" si="463"/>
        <v>120842616.05483583</v>
      </c>
      <c r="CJ392" s="275">
        <f>'Detailed Budget'!$AD$178</f>
        <v>46025131033.061455</v>
      </c>
      <c r="CK392" s="275">
        <f t="shared" si="475"/>
        <v>150743818.15283197</v>
      </c>
      <c r="CL392" s="275">
        <f t="shared" si="436"/>
        <v>271586434.20766783</v>
      </c>
      <c r="CM392" s="278">
        <f>'Detailed Budget'!$AD$189</f>
        <v>77498869683.252869</v>
      </c>
      <c r="CN392" s="275">
        <f t="shared" si="492"/>
        <v>0</v>
      </c>
      <c r="CO392" s="140">
        <f>'Detailed Budget'!$AD$191</f>
        <v>2684962805.4134097</v>
      </c>
      <c r="CP392" s="616">
        <f t="shared" si="493"/>
        <v>0</v>
      </c>
      <c r="CQ392" s="616">
        <f t="shared" si="494"/>
        <v>0</v>
      </c>
      <c r="CR392" s="199">
        <f>'Detailed Budget'!$AD$195</f>
        <v>18734176418</v>
      </c>
      <c r="CS392" s="275">
        <f t="shared" si="476"/>
        <v>36625042.228634395</v>
      </c>
      <c r="CW392" s="278"/>
      <c r="DH392" s="140">
        <f>'Detailed Budget'!$AD$163</f>
        <v>4928560000</v>
      </c>
      <c r="DI392" s="616">
        <f t="shared" si="477"/>
        <v>6720000</v>
      </c>
    </row>
    <row r="393" spans="1:113" outlineLevel="1">
      <c r="A393" s="214" t="s">
        <v>913</v>
      </c>
      <c r="B393" s="215" t="s">
        <v>914</v>
      </c>
      <c r="C393" s="216" t="s">
        <v>234</v>
      </c>
      <c r="D393" s="217" t="s">
        <v>234</v>
      </c>
      <c r="E393" s="216"/>
      <c r="F393" s="216"/>
      <c r="G393" s="216"/>
      <c r="H393" s="216" t="s">
        <v>234</v>
      </c>
      <c r="I393" s="217" t="s">
        <v>234</v>
      </c>
      <c r="J393" s="217"/>
      <c r="K393" s="216" t="s">
        <v>234</v>
      </c>
      <c r="L393" s="216"/>
      <c r="M393" s="217"/>
      <c r="N393" s="216"/>
      <c r="O393" s="217"/>
      <c r="P393" s="216"/>
      <c r="Q393" s="217"/>
      <c r="R393" s="217" t="s">
        <v>234</v>
      </c>
      <c r="S393" s="217" t="s">
        <v>234</v>
      </c>
      <c r="T393" s="217"/>
      <c r="U393" s="218">
        <f t="shared" si="467"/>
        <v>7</v>
      </c>
      <c r="V393" s="867" t="s">
        <v>418</v>
      </c>
      <c r="W393" s="219">
        <v>151002</v>
      </c>
      <c r="X393" s="220">
        <v>3.04</v>
      </c>
      <c r="Y393" s="221">
        <f t="shared" si="456"/>
        <v>1.0304</v>
      </c>
      <c r="Z393" s="199">
        <v>19</v>
      </c>
      <c r="AA393" s="221">
        <f t="shared" si="457"/>
        <v>1.7664898659259882</v>
      </c>
      <c r="AB393" s="199">
        <f t="shared" si="464"/>
        <v>266743.5027345561</v>
      </c>
      <c r="AC393">
        <v>20.8</v>
      </c>
      <c r="AD393" s="199">
        <f t="shared" si="465"/>
        <v>55482.64856878767</v>
      </c>
      <c r="AE393" s="199">
        <f t="shared" si="462"/>
        <v>52708.516140348285</v>
      </c>
      <c r="AF393" s="199">
        <f t="shared" si="435"/>
        <v>52708.516140348285</v>
      </c>
      <c r="AG393" s="614">
        <f t="shared" ref="AG393:AG456" si="496">AE393/21628351</f>
        <v>2.437010391608139E-3</v>
      </c>
      <c r="AH393" s="199">
        <f t="shared" si="478"/>
        <v>13337.175136727805</v>
      </c>
      <c r="AI393" s="252">
        <f t="shared" si="479"/>
        <v>1.0332107500481509E-3</v>
      </c>
      <c r="AJ393" s="199">
        <f t="shared" si="480"/>
        <v>68819.823705515475</v>
      </c>
      <c r="AK393" s="199">
        <f t="shared" si="437"/>
        <v>10669.740109382245</v>
      </c>
      <c r="AL393" s="199">
        <f t="shared" si="438"/>
        <v>10669.740109382245</v>
      </c>
      <c r="AM393" s="199">
        <f t="shared" si="481"/>
        <v>21339.480218764489</v>
      </c>
      <c r="AN393" s="645">
        <f t="shared" si="482"/>
        <v>1.0332107500481509E-3</v>
      </c>
      <c r="AO393" s="199">
        <v>11</v>
      </c>
      <c r="AP393" s="250">
        <f t="shared" si="483"/>
        <v>1.2498579706851495E-3</v>
      </c>
      <c r="AQ393" s="199">
        <v>11</v>
      </c>
      <c r="AU393" s="199">
        <v>0</v>
      </c>
      <c r="AW393" s="250">
        <f t="shared" si="484"/>
        <v>0</v>
      </c>
      <c r="AX393" s="199">
        <v>1</v>
      </c>
      <c r="AY393" s="199">
        <f t="shared" si="468"/>
        <v>20596.908279174761</v>
      </c>
      <c r="AZ393" s="199">
        <f t="shared" si="485"/>
        <v>20596.908279174761</v>
      </c>
      <c r="BA393" s="252">
        <f t="shared" si="486"/>
        <v>1.6190506504981576E-3</v>
      </c>
      <c r="BB393" s="284">
        <v>1</v>
      </c>
      <c r="BC393" s="199">
        <f t="shared" si="469"/>
        <v>39947.506969527123</v>
      </c>
      <c r="BD393" s="270">
        <f t="shared" si="440"/>
        <v>3.597556370069374E-3</v>
      </c>
      <c r="BE393" s="199">
        <f t="shared" si="470"/>
        <v>170886.55759186603</v>
      </c>
      <c r="BF393" s="251">
        <f t="shared" si="441"/>
        <v>3.5975564500138426E-3</v>
      </c>
      <c r="BG393" s="204">
        <f t="shared" si="455"/>
        <v>210834.06456139317</v>
      </c>
      <c r="BH393" s="636">
        <v>0</v>
      </c>
      <c r="BI393" s="199">
        <f t="shared" si="487"/>
        <v>81623.511836774167</v>
      </c>
      <c r="BJ393" s="199">
        <f t="shared" si="488"/>
        <v>163247.02367354833</v>
      </c>
      <c r="BK393" s="199">
        <f t="shared" si="495"/>
        <v>244870.53551032249</v>
      </c>
      <c r="BL393" s="251">
        <f t="shared" si="489"/>
        <v>1.0332107500481509E-3</v>
      </c>
      <c r="BM393" s="199">
        <f t="shared" si="471"/>
        <v>33685.462606172601</v>
      </c>
      <c r="BN393" s="251">
        <f t="shared" si="490"/>
        <v>1.4546430352929771E-3</v>
      </c>
      <c r="BT393" s="199">
        <f>'Detailed Budget'!$AD$12</f>
        <v>194045122715</v>
      </c>
      <c r="BU393" s="199">
        <f>'Detailed Budget'!$AD$24</f>
        <v>194045122715</v>
      </c>
      <c r="BV393" s="596">
        <f t="shared" si="472"/>
        <v>0</v>
      </c>
      <c r="BW393" s="278"/>
      <c r="BX393" s="275">
        <f t="shared" si="460"/>
        <v>0</v>
      </c>
      <c r="BY393" s="275">
        <f t="shared" si="461"/>
        <v>0</v>
      </c>
      <c r="CA393" s="199">
        <f>'Detailed Budget'!$AD$96</f>
        <v>71050111380.677719</v>
      </c>
      <c r="CB393" s="275">
        <f t="shared" si="491"/>
        <v>115033729.04885282</v>
      </c>
      <c r="CE393" s="199">
        <f>'Detailed Budget'!$AD$175</f>
        <v>4330586076.5988197</v>
      </c>
      <c r="CF393" s="275">
        <f t="shared" si="473"/>
        <v>15579527.526001822</v>
      </c>
      <c r="CG393" s="199">
        <f>'Detailed Budget'!$AD$176</f>
        <v>20662817754.37001</v>
      </c>
      <c r="CH393" s="275">
        <f t="shared" si="474"/>
        <v>74335653.28769438</v>
      </c>
      <c r="CI393" s="275">
        <f t="shared" si="463"/>
        <v>89915180.813696206</v>
      </c>
      <c r="CJ393" s="275">
        <f>'Detailed Budget'!$AD$178</f>
        <v>46025131033.061455</v>
      </c>
      <c r="CK393" s="275">
        <f t="shared" si="475"/>
        <v>112163722.60269701</v>
      </c>
      <c r="CL393" s="275">
        <f t="shared" si="436"/>
        <v>202078903.41639322</v>
      </c>
      <c r="CM393" s="278">
        <f>'Detailed Budget'!$AD$189</f>
        <v>77498869683.252869</v>
      </c>
      <c r="CN393" s="275">
        <f t="shared" si="492"/>
        <v>0</v>
      </c>
      <c r="CO393" s="140">
        <f>'Detailed Budget'!$AD$191</f>
        <v>2684962805.4134097</v>
      </c>
      <c r="CP393" s="616">
        <f t="shared" si="493"/>
        <v>0</v>
      </c>
      <c r="CQ393" s="616">
        <f t="shared" si="494"/>
        <v>0</v>
      </c>
      <c r="CR393" s="199">
        <f>'Detailed Budget'!$AD$195</f>
        <v>18734176418</v>
      </c>
      <c r="CS393" s="275">
        <f t="shared" si="476"/>
        <v>27251539.248393632</v>
      </c>
      <c r="CW393" s="278"/>
      <c r="DH393" s="140">
        <f>'Detailed Budget'!$AD$163</f>
        <v>4928560000</v>
      </c>
      <c r="DI393" s="616">
        <f t="shared" si="477"/>
        <v>6160000</v>
      </c>
    </row>
    <row r="394" spans="1:113" outlineLevel="1">
      <c r="A394" s="214" t="s">
        <v>915</v>
      </c>
      <c r="B394" s="215" t="s">
        <v>916</v>
      </c>
      <c r="C394" s="216" t="s">
        <v>234</v>
      </c>
      <c r="D394" s="217" t="s">
        <v>234</v>
      </c>
      <c r="E394" s="216"/>
      <c r="F394" s="216"/>
      <c r="G394" s="216"/>
      <c r="H394" s="216" t="s">
        <v>234</v>
      </c>
      <c r="I394" s="217" t="s">
        <v>234</v>
      </c>
      <c r="J394" s="217"/>
      <c r="K394" s="216" t="s">
        <v>234</v>
      </c>
      <c r="L394" s="216"/>
      <c r="M394" s="217"/>
      <c r="N394" s="216"/>
      <c r="O394" s="217"/>
      <c r="P394" s="216"/>
      <c r="Q394" s="217"/>
      <c r="R394" s="217" t="s">
        <v>234</v>
      </c>
      <c r="S394" s="217"/>
      <c r="T394" s="217"/>
      <c r="U394" s="218">
        <f t="shared" si="467"/>
        <v>6</v>
      </c>
      <c r="V394" s="867" t="s">
        <v>238</v>
      </c>
      <c r="W394" s="219">
        <v>136989</v>
      </c>
      <c r="X394" s="220">
        <v>3.04</v>
      </c>
      <c r="Y394" s="221">
        <f t="shared" si="456"/>
        <v>1.0304</v>
      </c>
      <c r="Z394" s="199">
        <v>19</v>
      </c>
      <c r="AA394" s="221">
        <f t="shared" si="457"/>
        <v>1.7664898659259882</v>
      </c>
      <c r="AB394" s="199">
        <f t="shared" si="464"/>
        <v>241989.6802433352</v>
      </c>
      <c r="AC394">
        <v>20.8</v>
      </c>
      <c r="AD394" s="199">
        <f t="shared" si="465"/>
        <v>50333.853490613728</v>
      </c>
      <c r="AE394" s="199">
        <f t="shared" si="462"/>
        <v>47817.160816083036</v>
      </c>
      <c r="AF394" s="199">
        <f t="shared" si="435"/>
        <v>47817.160816083036</v>
      </c>
      <c r="AG394" s="614">
        <f t="shared" si="496"/>
        <v>2.2108555948663418E-3</v>
      </c>
      <c r="AH394" s="199">
        <f t="shared" si="478"/>
        <v>12099.48401216676</v>
      </c>
      <c r="AI394" s="252">
        <f t="shared" si="479"/>
        <v>9.3732869391363117E-4</v>
      </c>
      <c r="AJ394" s="199">
        <f t="shared" si="480"/>
        <v>62433.337502780487</v>
      </c>
      <c r="AK394" s="199">
        <f t="shared" si="437"/>
        <v>9679.5872097334086</v>
      </c>
      <c r="AL394" s="199">
        <f t="shared" si="438"/>
        <v>9679.5872097334086</v>
      </c>
      <c r="AM394" s="199">
        <f t="shared" si="481"/>
        <v>19359.174419466817</v>
      </c>
      <c r="AN394" s="645">
        <f t="shared" si="482"/>
        <v>9.3732869391363117E-4</v>
      </c>
      <c r="AO394" s="199">
        <v>10</v>
      </c>
      <c r="AP394" s="250">
        <f t="shared" si="483"/>
        <v>1.1362345188046814E-3</v>
      </c>
      <c r="AQ394" s="199">
        <v>10</v>
      </c>
      <c r="AU394" s="199">
        <v>0</v>
      </c>
      <c r="AW394" s="250">
        <f t="shared" si="484"/>
        <v>0</v>
      </c>
      <c r="AX394" s="199">
        <v>1</v>
      </c>
      <c r="AY394" s="199">
        <f t="shared" si="468"/>
        <v>18685.513226684885</v>
      </c>
      <c r="AZ394" s="199">
        <f t="shared" si="485"/>
        <v>18685.513226684885</v>
      </c>
      <c r="BA394" s="252">
        <f t="shared" si="486"/>
        <v>1.4688025957344413E-3</v>
      </c>
      <c r="BB394" s="284">
        <v>1</v>
      </c>
      <c r="BC394" s="199">
        <f t="shared" si="469"/>
        <v>36240.374513241884</v>
      </c>
      <c r="BD394" s="270">
        <f t="shared" si="440"/>
        <v>3.2637027958532568E-3</v>
      </c>
      <c r="BE394" s="199">
        <f t="shared" si="470"/>
        <v>155028.26875109028</v>
      </c>
      <c r="BF394" s="251">
        <f t="shared" si="441"/>
        <v>3.2637028683788708E-3</v>
      </c>
      <c r="BG394" s="204">
        <f t="shared" si="455"/>
        <v>191268.64326433215</v>
      </c>
      <c r="BH394" s="636">
        <v>0</v>
      </c>
      <c r="BI394" s="199">
        <f t="shared" si="487"/>
        <v>74048.842154460566</v>
      </c>
      <c r="BJ394" s="199">
        <f t="shared" si="488"/>
        <v>148097.68430892113</v>
      </c>
      <c r="BK394" s="199">
        <f t="shared" si="495"/>
        <v>222146.52646338171</v>
      </c>
      <c r="BL394" s="251">
        <f t="shared" si="489"/>
        <v>9.3732869391363117E-4</v>
      </c>
      <c r="BM394" s="199">
        <f t="shared" si="471"/>
        <v>30559.44846397384</v>
      </c>
      <c r="BN394" s="251">
        <f t="shared" si="490"/>
        <v>1.3196520228987009E-3</v>
      </c>
      <c r="BT394" s="199">
        <f>'Detailed Budget'!$AD$12</f>
        <v>194045122715</v>
      </c>
      <c r="BU394" s="199">
        <f>'Detailed Budget'!$AD$24</f>
        <v>194045122715</v>
      </c>
      <c r="BV394" s="596">
        <f t="shared" si="472"/>
        <v>0</v>
      </c>
      <c r="BW394" s="278"/>
      <c r="BX394" s="275">
        <f t="shared" si="460"/>
        <v>0</v>
      </c>
      <c r="BY394" s="275">
        <f t="shared" si="461"/>
        <v>0</v>
      </c>
      <c r="CA394" s="199">
        <f>'Detailed Budget'!$AD$96</f>
        <v>71050111380.677719</v>
      </c>
      <c r="CB394" s="275">
        <f t="shared" si="491"/>
        <v>104358588.02316061</v>
      </c>
      <c r="CE394" s="199">
        <f>'Detailed Budget'!$AD$175</f>
        <v>4330586076.5988197</v>
      </c>
      <c r="CF394" s="275">
        <f t="shared" si="473"/>
        <v>14133745.885878755</v>
      </c>
      <c r="CG394" s="199">
        <f>'Detailed Budget'!$AD$176</f>
        <v>20662817754.37001</v>
      </c>
      <c r="CH394" s="275">
        <f t="shared" si="474"/>
        <v>67437297.573727265</v>
      </c>
      <c r="CI394" s="275">
        <f t="shared" si="463"/>
        <v>81571043.459606022</v>
      </c>
      <c r="CJ394" s="275">
        <f>'Detailed Budget'!$AD$178</f>
        <v>46025131033.061455</v>
      </c>
      <c r="CK394" s="275">
        <f t="shared" si="475"/>
        <v>101754918.44890042</v>
      </c>
      <c r="CL394" s="275">
        <f t="shared" si="436"/>
        <v>183325961.90850645</v>
      </c>
      <c r="CM394" s="278">
        <f>'Detailed Budget'!$AD$189</f>
        <v>77498869683.252869</v>
      </c>
      <c r="CN394" s="275">
        <f t="shared" si="492"/>
        <v>0</v>
      </c>
      <c r="CO394" s="140">
        <f>'Detailed Budget'!$AD$191</f>
        <v>2684962805.4134097</v>
      </c>
      <c r="CP394" s="616">
        <f t="shared" si="493"/>
        <v>0</v>
      </c>
      <c r="CQ394" s="616">
        <f t="shared" si="494"/>
        <v>0</v>
      </c>
      <c r="CR394" s="199">
        <f>'Detailed Budget'!$AD$195</f>
        <v>18734176418</v>
      </c>
      <c r="CS394" s="275">
        <f t="shared" si="476"/>
        <v>24722593.807354838</v>
      </c>
      <c r="CW394" s="278"/>
      <c r="DH394" s="140">
        <f>'Detailed Budget'!$AD$163</f>
        <v>4928560000</v>
      </c>
      <c r="DI394" s="616">
        <f t="shared" si="477"/>
        <v>5600000</v>
      </c>
    </row>
    <row r="395" spans="1:113" outlineLevel="1">
      <c r="A395" s="214" t="s">
        <v>917</v>
      </c>
      <c r="B395" s="215" t="s">
        <v>920</v>
      </c>
      <c r="C395" s="216" t="s">
        <v>234</v>
      </c>
      <c r="D395" s="217" t="s">
        <v>234</v>
      </c>
      <c r="E395" s="216"/>
      <c r="F395" s="216"/>
      <c r="G395" s="216"/>
      <c r="H395" s="216" t="s">
        <v>234</v>
      </c>
      <c r="I395" s="217" t="s">
        <v>234</v>
      </c>
      <c r="J395" s="217"/>
      <c r="K395" s="216" t="s">
        <v>234</v>
      </c>
      <c r="L395" s="216"/>
      <c r="M395" s="217"/>
      <c r="N395" s="216"/>
      <c r="O395" s="217"/>
      <c r="P395" s="216"/>
      <c r="Q395" s="217"/>
      <c r="R395" s="217" t="s">
        <v>234</v>
      </c>
      <c r="S395" s="217"/>
      <c r="T395" s="217"/>
      <c r="U395" s="218">
        <f t="shared" si="467"/>
        <v>6</v>
      </c>
      <c r="V395" s="867" t="s">
        <v>238</v>
      </c>
      <c r="W395" s="219">
        <v>145323</v>
      </c>
      <c r="X395" s="220">
        <v>3.04</v>
      </c>
      <c r="Y395" s="221">
        <f t="shared" si="456"/>
        <v>1.0304</v>
      </c>
      <c r="Z395" s="199">
        <v>19</v>
      </c>
      <c r="AA395" s="221">
        <f t="shared" si="457"/>
        <v>1.7664898659259882</v>
      </c>
      <c r="AB395" s="199">
        <f t="shared" si="464"/>
        <v>256711.60678596239</v>
      </c>
      <c r="AC395">
        <v>20.8</v>
      </c>
      <c r="AD395" s="199">
        <f t="shared" si="465"/>
        <v>53396.014211480178</v>
      </c>
      <c r="AE395" s="199">
        <f t="shared" si="462"/>
        <v>50726.213500906168</v>
      </c>
      <c r="AF395" s="199">
        <f t="shared" si="435"/>
        <v>50726.213500906168</v>
      </c>
      <c r="AG395" s="614">
        <f t="shared" si="496"/>
        <v>2.3453574200319833E-3</v>
      </c>
      <c r="AH395" s="199">
        <f t="shared" si="478"/>
        <v>12835.58033929812</v>
      </c>
      <c r="AI395" s="252">
        <f t="shared" si="479"/>
        <v>9.9435296108162422E-4</v>
      </c>
      <c r="AJ395" s="199">
        <f t="shared" si="480"/>
        <v>66231.594550778304</v>
      </c>
      <c r="AK395" s="199">
        <f t="shared" si="437"/>
        <v>10268.464271438495</v>
      </c>
      <c r="AL395" s="199">
        <f t="shared" si="438"/>
        <v>10268.464271438495</v>
      </c>
      <c r="AM395" s="199">
        <f t="shared" si="481"/>
        <v>20536.928542876991</v>
      </c>
      <c r="AN395" s="645">
        <f t="shared" si="482"/>
        <v>9.9435296108162422E-4</v>
      </c>
      <c r="AO395" s="199">
        <v>11</v>
      </c>
      <c r="AP395" s="250">
        <f t="shared" si="483"/>
        <v>1.2498579706851495E-3</v>
      </c>
      <c r="AQ395" s="199">
        <v>11</v>
      </c>
      <c r="AU395" s="199">
        <v>0</v>
      </c>
      <c r="AW395" s="250">
        <f t="shared" si="484"/>
        <v>0</v>
      </c>
      <c r="AX395" s="199">
        <v>1</v>
      </c>
      <c r="AY395" s="199">
        <f t="shared" si="468"/>
        <v>19822.283823091839</v>
      </c>
      <c r="AZ395" s="199">
        <f t="shared" si="485"/>
        <v>19822.283823091839</v>
      </c>
      <c r="BA395" s="252">
        <f t="shared" si="486"/>
        <v>1.5581601414706016E-3</v>
      </c>
      <c r="BB395" s="284">
        <v>1</v>
      </c>
      <c r="BC395" s="199">
        <f t="shared" si="469"/>
        <v>38445.130232265728</v>
      </c>
      <c r="BD395" s="270">
        <f t="shared" si="440"/>
        <v>3.4622566877762651E-3</v>
      </c>
      <c r="BE395" s="199">
        <f t="shared" si="470"/>
        <v>164459.72377135896</v>
      </c>
      <c r="BF395" s="251">
        <f t="shared" si="441"/>
        <v>3.4622567647141205E-3</v>
      </c>
      <c r="BG395" s="204">
        <f t="shared" si="455"/>
        <v>202904.8540036247</v>
      </c>
      <c r="BH395" s="636">
        <v>0</v>
      </c>
      <c r="BI395" s="199">
        <f t="shared" si="487"/>
        <v>78553.7516765045</v>
      </c>
      <c r="BJ395" s="199">
        <f t="shared" si="488"/>
        <v>157107.503353009</v>
      </c>
      <c r="BK395" s="199">
        <f t="shared" si="495"/>
        <v>235661.2550295135</v>
      </c>
      <c r="BL395" s="251">
        <f t="shared" si="489"/>
        <v>9.9435296108162444E-4</v>
      </c>
      <c r="BM395" s="199">
        <f t="shared" si="471"/>
        <v>32418.593676354092</v>
      </c>
      <c r="BN395" s="251">
        <f t="shared" si="490"/>
        <v>1.399935695009876E-3</v>
      </c>
      <c r="BT395" s="199">
        <f>'Detailed Budget'!$AD$12</f>
        <v>194045122715</v>
      </c>
      <c r="BU395" s="199">
        <f>'Detailed Budget'!$AD$24</f>
        <v>194045122715</v>
      </c>
      <c r="BV395" s="596">
        <f t="shared" si="472"/>
        <v>0</v>
      </c>
      <c r="BW395" s="278"/>
      <c r="BX395" s="275">
        <f t="shared" si="460"/>
        <v>0</v>
      </c>
      <c r="BY395" s="275">
        <f t="shared" si="461"/>
        <v>0</v>
      </c>
      <c r="CA395" s="199">
        <f>'Detailed Budget'!$AD$96</f>
        <v>71050111380.677719</v>
      </c>
      <c r="CB395" s="275">
        <f t="shared" si="491"/>
        <v>110707451.60041879</v>
      </c>
      <c r="CE395" s="199">
        <f>'Detailed Budget'!$AD$175</f>
        <v>4330586076.5988197</v>
      </c>
      <c r="CF395" s="275">
        <f t="shared" si="473"/>
        <v>14993600.605695041</v>
      </c>
      <c r="CG395" s="199">
        <f>'Detailed Budget'!$AD$176</f>
        <v>20662817754.37001</v>
      </c>
      <c r="CH395" s="275">
        <f t="shared" si="474"/>
        <v>71539980.5481226</v>
      </c>
      <c r="CI395" s="275">
        <f t="shared" si="463"/>
        <v>86533581.153817639</v>
      </c>
      <c r="CJ395" s="275">
        <f>'Detailed Budget'!$AD$178</f>
        <v>46025131033.061455</v>
      </c>
      <c r="CK395" s="275">
        <f t="shared" si="475"/>
        <v>107945382.57633498</v>
      </c>
      <c r="CL395" s="275">
        <f t="shared" si="436"/>
        <v>194478963.73015261</v>
      </c>
      <c r="CM395" s="278">
        <f>'Detailed Budget'!$AD$189</f>
        <v>77498869683.252869</v>
      </c>
      <c r="CN395" s="275">
        <f t="shared" si="492"/>
        <v>0</v>
      </c>
      <c r="CO395" s="140">
        <f>'Detailed Budget'!$AD$191</f>
        <v>2684962805.4134097</v>
      </c>
      <c r="CP395" s="616">
        <f t="shared" si="493"/>
        <v>0</v>
      </c>
      <c r="CQ395" s="616">
        <f t="shared" si="494"/>
        <v>0</v>
      </c>
      <c r="CR395" s="199">
        <f>'Detailed Budget'!$AD$195</f>
        <v>18734176418</v>
      </c>
      <c r="CS395" s="275">
        <f t="shared" si="476"/>
        <v>26226642.28417046</v>
      </c>
      <c r="CW395" s="278"/>
      <c r="DH395" s="140">
        <f>'Detailed Budget'!$AD$163</f>
        <v>4928560000</v>
      </c>
      <c r="DI395" s="616">
        <f t="shared" si="477"/>
        <v>6160000</v>
      </c>
    </row>
    <row r="396" spans="1:113" outlineLevel="1">
      <c r="A396" s="214" t="s">
        <v>919</v>
      </c>
      <c r="B396" s="215" t="s">
        <v>922</v>
      </c>
      <c r="C396" s="216" t="s">
        <v>234</v>
      </c>
      <c r="D396" s="217" t="s">
        <v>234</v>
      </c>
      <c r="E396" s="216"/>
      <c r="F396" s="216"/>
      <c r="G396" s="216"/>
      <c r="H396" s="216" t="s">
        <v>234</v>
      </c>
      <c r="I396" s="217" t="s">
        <v>234</v>
      </c>
      <c r="J396" s="217"/>
      <c r="K396" s="216" t="s">
        <v>234</v>
      </c>
      <c r="L396" s="216"/>
      <c r="M396" s="217"/>
      <c r="N396" s="216"/>
      <c r="O396" s="217"/>
      <c r="P396" s="216"/>
      <c r="Q396" s="217"/>
      <c r="R396" s="217" t="s">
        <v>234</v>
      </c>
      <c r="S396" s="217"/>
      <c r="T396" s="217"/>
      <c r="U396" s="218">
        <f t="shared" si="467"/>
        <v>6</v>
      </c>
      <c r="V396" s="867" t="s">
        <v>238</v>
      </c>
      <c r="W396" s="219">
        <v>125481</v>
      </c>
      <c r="X396" s="220">
        <v>3.04</v>
      </c>
      <c r="Y396" s="221">
        <f t="shared" si="456"/>
        <v>1.0304</v>
      </c>
      <c r="Z396" s="199">
        <v>19</v>
      </c>
      <c r="AA396" s="221">
        <f t="shared" si="457"/>
        <v>1.7664898659259882</v>
      </c>
      <c r="AB396" s="199">
        <f t="shared" si="464"/>
        <v>221660.91486625891</v>
      </c>
      <c r="AC396">
        <v>20.8</v>
      </c>
      <c r="AD396" s="199">
        <f t="shared" si="465"/>
        <v>46105.470292181853</v>
      </c>
      <c r="AE396" s="199">
        <f t="shared" si="462"/>
        <v>43800.196777572761</v>
      </c>
      <c r="AF396" s="199">
        <f t="shared" ref="AF396:AF459" si="497">AE396*BB396</f>
        <v>43800.196777572761</v>
      </c>
      <c r="AG396" s="614">
        <f t="shared" si="496"/>
        <v>2.0251288125281838E-3</v>
      </c>
      <c r="AH396" s="199">
        <f t="shared" si="478"/>
        <v>11083.045743312947</v>
      </c>
      <c r="AI396" s="252">
        <f t="shared" si="479"/>
        <v>8.585867612799302E-4</v>
      </c>
      <c r="AJ396" s="199">
        <f t="shared" si="480"/>
        <v>57188.516035494802</v>
      </c>
      <c r="AK396" s="199">
        <f t="shared" si="437"/>
        <v>8866.4365946503567</v>
      </c>
      <c r="AL396" s="199">
        <f t="shared" si="438"/>
        <v>8866.4365946503567</v>
      </c>
      <c r="AM396" s="199">
        <f t="shared" si="481"/>
        <v>17732.873189300713</v>
      </c>
      <c r="AN396" s="645">
        <f t="shared" si="482"/>
        <v>8.585867612799301E-4</v>
      </c>
      <c r="AO396" s="199">
        <v>10</v>
      </c>
      <c r="AP396" s="250">
        <f t="shared" si="483"/>
        <v>1.1362345188046814E-3</v>
      </c>
      <c r="AQ396" s="199">
        <v>10</v>
      </c>
      <c r="AU396" s="199">
        <v>0</v>
      </c>
      <c r="AW396" s="250">
        <f t="shared" si="484"/>
        <v>0</v>
      </c>
      <c r="AX396" s="199">
        <v>1</v>
      </c>
      <c r="AY396" s="199">
        <f t="shared" si="468"/>
        <v>17115.804080602426</v>
      </c>
      <c r="AZ396" s="199">
        <f t="shared" si="485"/>
        <v>17115.804080602426</v>
      </c>
      <c r="BA396" s="252">
        <f t="shared" si="486"/>
        <v>1.3454132705206505E-3</v>
      </c>
      <c r="BB396" s="284">
        <v>1</v>
      </c>
      <c r="BC396" s="199">
        <f t="shared" si="469"/>
        <v>33195.938610370933</v>
      </c>
      <c r="BD396" s="270">
        <f t="shared" si="440"/>
        <v>2.9895297471071577E-3</v>
      </c>
      <c r="BE396" s="199">
        <f t="shared" si="470"/>
        <v>142004.8484999201</v>
      </c>
      <c r="BF396" s="251">
        <f t="shared" si="441"/>
        <v>2.989529813540131E-3</v>
      </c>
      <c r="BG396" s="204">
        <f t="shared" si="455"/>
        <v>175200.78711029104</v>
      </c>
      <c r="BH396" s="636">
        <v>0</v>
      </c>
      <c r="BI396" s="199">
        <f t="shared" si="487"/>
        <v>67828.239949075243</v>
      </c>
      <c r="BJ396" s="199">
        <f t="shared" si="488"/>
        <v>135656.47989815049</v>
      </c>
      <c r="BK396" s="199">
        <f t="shared" si="495"/>
        <v>203484.71984722573</v>
      </c>
      <c r="BL396" s="251">
        <f t="shared" si="489"/>
        <v>8.5858676127993031E-4</v>
      </c>
      <c r="BM396" s="199">
        <f t="shared" si="471"/>
        <v>27992.248667468935</v>
      </c>
      <c r="BN396" s="251">
        <f t="shared" si="490"/>
        <v>1.2087923518337377E-3</v>
      </c>
      <c r="BT396" s="199">
        <f>'Detailed Budget'!$AD$12</f>
        <v>194045122715</v>
      </c>
      <c r="BU396" s="199">
        <f>'Detailed Budget'!$AD$24</f>
        <v>194045122715</v>
      </c>
      <c r="BV396" s="596">
        <f t="shared" si="472"/>
        <v>0</v>
      </c>
      <c r="BW396" s="278"/>
      <c r="BX396" s="275">
        <f t="shared" si="460"/>
        <v>0</v>
      </c>
      <c r="BY396" s="275">
        <f t="shared" si="461"/>
        <v>0</v>
      </c>
      <c r="CA396" s="199">
        <f>'Detailed Budget'!$AD$96</f>
        <v>71050111380.677719</v>
      </c>
      <c r="CB396" s="275">
        <f t="shared" si="491"/>
        <v>95591762.723534107</v>
      </c>
      <c r="CE396" s="199">
        <f>'Detailed Budget'!$AD$175</f>
        <v>4330586076.5988197</v>
      </c>
      <c r="CF396" s="275">
        <f t="shared" si="473"/>
        <v>12946415.898400247</v>
      </c>
      <c r="CG396" s="199">
        <f>'Detailed Budget'!$AD$176</f>
        <v>20662817754.37001</v>
      </c>
      <c r="CH396" s="275">
        <f t="shared" si="474"/>
        <v>61772109.708435483</v>
      </c>
      <c r="CI396" s="275">
        <f t="shared" si="463"/>
        <v>74718525.606835723</v>
      </c>
      <c r="CJ396" s="275">
        <f>'Detailed Budget'!$AD$178</f>
        <v>46025131033.061455</v>
      </c>
      <c r="CK396" s="275">
        <f t="shared" si="475"/>
        <v>93206818.955437809</v>
      </c>
      <c r="CL396" s="275">
        <f t="shared" ref="CL396:CL461" si="498">CI396+CK396</f>
        <v>167925344.56227353</v>
      </c>
      <c r="CM396" s="278">
        <f>'Detailed Budget'!$AD$189</f>
        <v>77498869683.252869</v>
      </c>
      <c r="CN396" s="275">
        <f t="shared" si="492"/>
        <v>0</v>
      </c>
      <c r="CO396" s="140">
        <f>'Detailed Budget'!$AD$191</f>
        <v>2684962805.4134097</v>
      </c>
      <c r="CP396" s="616">
        <f t="shared" si="493"/>
        <v>0</v>
      </c>
      <c r="CQ396" s="616">
        <f t="shared" si="494"/>
        <v>0</v>
      </c>
      <c r="CR396" s="199">
        <f>'Detailed Budget'!$AD$195</f>
        <v>18734176418</v>
      </c>
      <c r="CS396" s="275">
        <f t="shared" si="476"/>
        <v>22645729.171982367</v>
      </c>
      <c r="CW396" s="278"/>
      <c r="DH396" s="140">
        <f>'Detailed Budget'!$AD$163</f>
        <v>4928560000</v>
      </c>
      <c r="DI396" s="616">
        <f t="shared" si="477"/>
        <v>5600000</v>
      </c>
    </row>
    <row r="397" spans="1:113" outlineLevel="1">
      <c r="A397" s="214" t="s">
        <v>921</v>
      </c>
      <c r="B397" s="215" t="s">
        <v>918</v>
      </c>
      <c r="C397" s="216" t="s">
        <v>234</v>
      </c>
      <c r="D397" s="217" t="s">
        <v>234</v>
      </c>
      <c r="E397" s="216"/>
      <c r="F397" s="216"/>
      <c r="G397" s="216"/>
      <c r="H397" s="216" t="s">
        <v>234</v>
      </c>
      <c r="I397" s="217" t="s">
        <v>234</v>
      </c>
      <c r="J397" s="217"/>
      <c r="K397" s="216" t="s">
        <v>234</v>
      </c>
      <c r="L397" s="216"/>
      <c r="M397" s="217"/>
      <c r="N397" s="216"/>
      <c r="O397" s="217"/>
      <c r="P397" s="216"/>
      <c r="Q397" s="217"/>
      <c r="R397" s="217" t="s">
        <v>234</v>
      </c>
      <c r="S397" s="217"/>
      <c r="T397" s="217"/>
      <c r="U397" s="218">
        <f t="shared" ref="U397" si="499">COUNTA(C397:T397)</f>
        <v>6</v>
      </c>
      <c r="V397" s="867" t="s">
        <v>238</v>
      </c>
      <c r="W397" s="219">
        <v>113190</v>
      </c>
      <c r="X397" s="220">
        <v>3.04</v>
      </c>
      <c r="Y397" s="221">
        <f t="shared" ref="Y397" si="500">1+X397/100</f>
        <v>1.0304</v>
      </c>
      <c r="Z397" s="199">
        <v>19</v>
      </c>
      <c r="AA397" s="221">
        <f t="shared" ref="AA397" si="501">POWER(Y397,Z397)</f>
        <v>1.7664898659259882</v>
      </c>
      <c r="AB397" s="199">
        <f t="shared" ref="AB397" si="502">W397*AA397</f>
        <v>199948.98792416262</v>
      </c>
      <c r="AC397">
        <v>20.8</v>
      </c>
      <c r="AD397" s="199">
        <f t="shared" ref="AD397" si="503">AB397*AC397/100</f>
        <v>41589.389488225825</v>
      </c>
      <c r="AE397" s="199">
        <f t="shared" ref="AE397" si="504">AD397*0.95</f>
        <v>39509.920013814532</v>
      </c>
      <c r="AF397" s="199">
        <f t="shared" si="497"/>
        <v>39509.920013814532</v>
      </c>
      <c r="AG397" s="614">
        <f t="shared" si="496"/>
        <v>1.826765249639907E-3</v>
      </c>
      <c r="AH397" s="199">
        <f t="shared" si="478"/>
        <v>9997.4493962081324</v>
      </c>
      <c r="AI397" s="252">
        <f t="shared" si="479"/>
        <v>7.7448725710884769E-4</v>
      </c>
      <c r="AJ397" s="199">
        <f t="shared" si="480"/>
        <v>51586.838884433957</v>
      </c>
      <c r="AK397" s="199">
        <f t="shared" si="437"/>
        <v>7997.9595169665054</v>
      </c>
      <c r="AL397" s="199">
        <f t="shared" si="438"/>
        <v>7997.9595169665054</v>
      </c>
      <c r="AM397" s="199">
        <f t="shared" si="481"/>
        <v>15995.919033933011</v>
      </c>
      <c r="AN397" s="645">
        <f t="shared" si="482"/>
        <v>7.7448725710884759E-4</v>
      </c>
      <c r="AO397" s="199">
        <v>11</v>
      </c>
      <c r="AP397" s="250">
        <f t="shared" si="483"/>
        <v>1.2498579706851495E-3</v>
      </c>
      <c r="AQ397" s="199">
        <v>11</v>
      </c>
      <c r="AU397" s="199">
        <v>0</v>
      </c>
      <c r="AW397" s="250">
        <f t="shared" si="484"/>
        <v>0</v>
      </c>
      <c r="AX397" s="199">
        <v>1</v>
      </c>
      <c r="AY397" s="199">
        <f t="shared" si="468"/>
        <v>15439.292513475259</v>
      </c>
      <c r="AZ397" s="199">
        <f t="shared" si="485"/>
        <v>15439.292513475259</v>
      </c>
      <c r="BA397" s="252">
        <f t="shared" si="486"/>
        <v>1.2136285819385601E-3</v>
      </c>
      <c r="BB397" s="284">
        <v>1</v>
      </c>
      <c r="BC397" s="199">
        <f t="shared" si="469"/>
        <v>29944.360431522593</v>
      </c>
      <c r="BD397" s="270">
        <f t="shared" si="440"/>
        <v>2.6967020670464787E-3</v>
      </c>
      <c r="BE397" s="199">
        <f t="shared" si="470"/>
        <v>128095.31962373554</v>
      </c>
      <c r="BF397" s="251">
        <f t="shared" si="441"/>
        <v>2.6967021269722704E-3</v>
      </c>
      <c r="BG397" s="204">
        <f t="shared" ref="BG397" si="505">BC397+BE397</f>
        <v>158039.68005525813</v>
      </c>
      <c r="BH397" s="636">
        <v>0</v>
      </c>
      <c r="BI397" s="199">
        <f t="shared" si="487"/>
        <v>61184.390304793771</v>
      </c>
      <c r="BJ397" s="199">
        <f t="shared" si="488"/>
        <v>122368.78060958754</v>
      </c>
      <c r="BK397" s="199">
        <f t="shared" si="495"/>
        <v>183553.17091438131</v>
      </c>
      <c r="BL397" s="251">
        <f t="shared" si="489"/>
        <v>7.7448725710884769E-4</v>
      </c>
      <c r="BM397" s="199">
        <f t="shared" si="471"/>
        <v>25250.377560513618</v>
      </c>
      <c r="BN397" s="251">
        <f t="shared" si="490"/>
        <v>1.090389830365241E-3</v>
      </c>
      <c r="BT397" s="199">
        <f>'Detailed Budget'!$AD$12</f>
        <v>194045122715</v>
      </c>
      <c r="BU397" s="199">
        <f>'Detailed Budget'!$AD$24</f>
        <v>194045122715</v>
      </c>
      <c r="BV397" s="596">
        <f t="shared" si="472"/>
        <v>0</v>
      </c>
      <c r="BW397" s="278"/>
      <c r="BX397" s="275">
        <f t="shared" ref="BX397" si="506">BT397*BV397</f>
        <v>0</v>
      </c>
      <c r="BY397" s="275">
        <f t="shared" ref="BY397" si="507">BU397*BV397</f>
        <v>0</v>
      </c>
      <c r="CA397" s="199">
        <f>'Detailed Budget'!$AD$96</f>
        <v>71050111380.677719</v>
      </c>
      <c r="CB397" s="275">
        <f t="shared" si="491"/>
        <v>86228445.921508655</v>
      </c>
      <c r="CE397" s="199">
        <f>'Detailed Budget'!$AD$175</f>
        <v>4330586076.5988197</v>
      </c>
      <c r="CF397" s="275">
        <f t="shared" si="473"/>
        <v>11678300.424286738</v>
      </c>
      <c r="CG397" s="199">
        <f>'Detailed Budget'!$AD$176</f>
        <v>20662817754.37001</v>
      </c>
      <c r="CH397" s="275">
        <f t="shared" si="474"/>
        <v>55721464.587449998</v>
      </c>
      <c r="CI397" s="275">
        <f t="shared" ref="CI397" si="508">CF397+CH397</f>
        <v>67399765.011736736</v>
      </c>
      <c r="CJ397" s="275">
        <f>'Detailed Budget'!$AD$178</f>
        <v>46025131033.061455</v>
      </c>
      <c r="CK397" s="275">
        <f t="shared" si="475"/>
        <v>84077109.981319934</v>
      </c>
      <c r="CL397" s="275">
        <f t="shared" si="498"/>
        <v>151476874.99305665</v>
      </c>
      <c r="CM397" s="278">
        <f>'Detailed Budget'!$AD$189</f>
        <v>77498869683.252869</v>
      </c>
      <c r="CN397" s="275">
        <f t="shared" si="492"/>
        <v>0</v>
      </c>
      <c r="CO397" s="140">
        <f>'Detailed Budget'!$AD$191</f>
        <v>2684962805.4134097</v>
      </c>
      <c r="CP397" s="616">
        <f t="shared" si="493"/>
        <v>0</v>
      </c>
      <c r="CQ397" s="616">
        <f t="shared" si="494"/>
        <v>0</v>
      </c>
      <c r="CR397" s="199">
        <f>'Detailed Budget'!$AD$195</f>
        <v>18734176418</v>
      </c>
      <c r="CS397" s="275">
        <f t="shared" si="476"/>
        <v>20427555.446455516</v>
      </c>
      <c r="CW397" s="278"/>
      <c r="DH397" s="140">
        <f>'Detailed Budget'!$AD$163</f>
        <v>4928560000</v>
      </c>
      <c r="DI397" s="616">
        <f t="shared" si="477"/>
        <v>6160000</v>
      </c>
    </row>
    <row r="398" spans="1:113" outlineLevel="1">
      <c r="A398" s="214" t="s">
        <v>923</v>
      </c>
      <c r="B398" s="215" t="s">
        <v>924</v>
      </c>
      <c r="C398" s="216" t="s">
        <v>234</v>
      </c>
      <c r="D398" s="217" t="s">
        <v>234</v>
      </c>
      <c r="E398" s="216"/>
      <c r="F398" s="216"/>
      <c r="G398" s="216"/>
      <c r="H398" s="216" t="s">
        <v>234</v>
      </c>
      <c r="I398" s="217" t="s">
        <v>234</v>
      </c>
      <c r="J398" s="217"/>
      <c r="K398" s="216" t="s">
        <v>234</v>
      </c>
      <c r="L398" s="216"/>
      <c r="M398" s="217"/>
      <c r="N398" s="216"/>
      <c r="O398" s="217"/>
      <c r="P398" s="216"/>
      <c r="Q398" s="217"/>
      <c r="R398" s="217" t="s">
        <v>234</v>
      </c>
      <c r="S398" s="217"/>
      <c r="T398" s="217"/>
      <c r="U398" s="218">
        <f t="shared" si="467"/>
        <v>6</v>
      </c>
      <c r="V398" s="867" t="s">
        <v>238</v>
      </c>
      <c r="W398" s="219">
        <v>224884</v>
      </c>
      <c r="X398" s="220">
        <v>3.04</v>
      </c>
      <c r="Y398" s="221">
        <f t="shared" si="456"/>
        <v>1.0304</v>
      </c>
      <c r="Z398" s="199">
        <v>19</v>
      </c>
      <c r="AA398" s="221">
        <f t="shared" si="457"/>
        <v>1.7664898659259882</v>
      </c>
      <c r="AB398" s="199">
        <f t="shared" si="464"/>
        <v>397255.30700889992</v>
      </c>
      <c r="AC398">
        <v>20.8</v>
      </c>
      <c r="AD398" s="199">
        <f t="shared" si="465"/>
        <v>82629.10385785118</v>
      </c>
      <c r="AE398" s="199">
        <f t="shared" si="462"/>
        <v>78497.648664958615</v>
      </c>
      <c r="AF398" s="199">
        <f t="shared" si="497"/>
        <v>78497.648664958615</v>
      </c>
      <c r="AG398" s="614">
        <f t="shared" si="496"/>
        <v>3.6293866631329692E-3</v>
      </c>
      <c r="AH398" s="199">
        <f t="shared" si="478"/>
        <v>19862.765350444999</v>
      </c>
      <c r="AI398" s="252">
        <f t="shared" si="479"/>
        <v>1.5387383366699009E-3</v>
      </c>
      <c r="AJ398" s="199">
        <f t="shared" si="480"/>
        <v>102491.86920829618</v>
      </c>
      <c r="AK398" s="199">
        <f t="shared" si="437"/>
        <v>15890.212280355998</v>
      </c>
      <c r="AL398" s="199">
        <f t="shared" si="438"/>
        <v>15890.212280355998</v>
      </c>
      <c r="AM398" s="199">
        <f t="shared" si="481"/>
        <v>31780.424560711996</v>
      </c>
      <c r="AN398" s="645">
        <f t="shared" si="482"/>
        <v>1.5387383366699007E-3</v>
      </c>
      <c r="AO398" s="199">
        <v>11</v>
      </c>
      <c r="AP398" s="250">
        <f t="shared" si="483"/>
        <v>1.2498579706851495E-3</v>
      </c>
      <c r="AQ398" s="199">
        <v>11</v>
      </c>
      <c r="AU398" s="199">
        <v>0</v>
      </c>
      <c r="AW398" s="250">
        <f t="shared" si="484"/>
        <v>0</v>
      </c>
      <c r="AX398" s="199">
        <v>1</v>
      </c>
      <c r="AY398" s="199">
        <f t="shared" si="468"/>
        <v>30674.52829402217</v>
      </c>
      <c r="AZ398" s="199">
        <f t="shared" si="485"/>
        <v>30674.52829402217</v>
      </c>
      <c r="BA398" s="252">
        <f t="shared" si="486"/>
        <v>2.411216980481236E-3</v>
      </c>
      <c r="BB398" s="284">
        <v>1</v>
      </c>
      <c r="BC398" s="199">
        <f t="shared" si="469"/>
        <v>59492.954777652849</v>
      </c>
      <c r="BD398" s="270">
        <f t="shared" si="440"/>
        <v>5.3577625907384064E-3</v>
      </c>
      <c r="BE398" s="199">
        <f t="shared" si="470"/>
        <v>254497.63988218163</v>
      </c>
      <c r="BF398" s="251">
        <f t="shared" si="441"/>
        <v>5.3577627097979681E-3</v>
      </c>
      <c r="BG398" s="204">
        <f t="shared" si="455"/>
        <v>313990.59465983446</v>
      </c>
      <c r="BH398" s="636">
        <v>0</v>
      </c>
      <c r="BI398" s="199">
        <f t="shared" si="487"/>
        <v>121560.12394472338</v>
      </c>
      <c r="BJ398" s="199">
        <f t="shared" si="488"/>
        <v>243120.24788944676</v>
      </c>
      <c r="BK398" s="199">
        <f t="shared" si="495"/>
        <v>364680.37183417013</v>
      </c>
      <c r="BL398" s="251">
        <f t="shared" si="489"/>
        <v>1.5387383366699007E-3</v>
      </c>
      <c r="BM398" s="199">
        <f t="shared" si="471"/>
        <v>50167.028070664754</v>
      </c>
      <c r="BN398" s="251">
        <f t="shared" si="490"/>
        <v>2.166368288822836E-3</v>
      </c>
      <c r="BT398" s="199">
        <f>'Detailed Budget'!$AD$12</f>
        <v>194045122715</v>
      </c>
      <c r="BU398" s="199">
        <f>'Detailed Budget'!$AD$24</f>
        <v>194045122715</v>
      </c>
      <c r="BV398" s="596">
        <f t="shared" si="472"/>
        <v>0</v>
      </c>
      <c r="BW398" s="278"/>
      <c r="BX398" s="275">
        <f t="shared" si="460"/>
        <v>0</v>
      </c>
      <c r="BY398" s="275">
        <f t="shared" si="461"/>
        <v>0</v>
      </c>
      <c r="CA398" s="199">
        <f>'Detailed Budget'!$AD$96</f>
        <v>71050111380.677719</v>
      </c>
      <c r="CB398" s="275">
        <f t="shared" si="491"/>
        <v>171317235.02617323</v>
      </c>
      <c r="CE398" s="199">
        <f>'Detailed Budget'!$AD$175</f>
        <v>4330586076.5988197</v>
      </c>
      <c r="CF398" s="275">
        <f t="shared" si="473"/>
        <v>23202252.077173762</v>
      </c>
      <c r="CG398" s="199">
        <f>'Detailed Budget'!$AD$176</f>
        <v>20662817754.37001</v>
      </c>
      <c r="CH398" s="275">
        <f t="shared" si="474"/>
        <v>110706474.44371504</v>
      </c>
      <c r="CI398" s="275">
        <f t="shared" si="463"/>
        <v>133908726.52088881</v>
      </c>
      <c r="CJ398" s="275">
        <f>'Detailed Budget'!$AD$178</f>
        <v>46025131033.061455</v>
      </c>
      <c r="CK398" s="275">
        <f t="shared" si="475"/>
        <v>167042996.74034059</v>
      </c>
      <c r="CL398" s="275">
        <f t="shared" si="498"/>
        <v>300951723.2612294</v>
      </c>
      <c r="CM398" s="278">
        <f>'Detailed Budget'!$AD$189</f>
        <v>77498869683.252869</v>
      </c>
      <c r="CN398" s="275">
        <f t="shared" si="492"/>
        <v>0</v>
      </c>
      <c r="CO398" s="140">
        <f>'Detailed Budget'!$AD$191</f>
        <v>2684962805.4134097</v>
      </c>
      <c r="CP398" s="616">
        <f t="shared" si="493"/>
        <v>0</v>
      </c>
      <c r="CQ398" s="616">
        <f t="shared" si="494"/>
        <v>0</v>
      </c>
      <c r="CR398" s="199">
        <f>'Detailed Budget'!$AD$195</f>
        <v>18734176418</v>
      </c>
      <c r="CS398" s="275">
        <f t="shared" si="476"/>
        <v>40585125.709167786</v>
      </c>
      <c r="CW398" s="278"/>
      <c r="DH398" s="140">
        <f>'Detailed Budget'!$AD$163</f>
        <v>4928560000</v>
      </c>
      <c r="DI398" s="616">
        <f t="shared" si="477"/>
        <v>6160000</v>
      </c>
    </row>
    <row r="399" spans="1:113" outlineLevel="1">
      <c r="A399" s="214" t="s">
        <v>925</v>
      </c>
      <c r="B399" s="215" t="s">
        <v>926</v>
      </c>
      <c r="C399" s="216" t="s">
        <v>234</v>
      </c>
      <c r="D399" s="217" t="s">
        <v>234</v>
      </c>
      <c r="E399" s="216"/>
      <c r="F399" s="216"/>
      <c r="G399" s="216"/>
      <c r="H399" s="216" t="s">
        <v>234</v>
      </c>
      <c r="I399" s="217" t="s">
        <v>234</v>
      </c>
      <c r="J399" s="217"/>
      <c r="K399" s="216" t="s">
        <v>234</v>
      </c>
      <c r="L399" s="216"/>
      <c r="M399" s="217"/>
      <c r="N399" s="216"/>
      <c r="O399" s="217"/>
      <c r="P399" s="216"/>
      <c r="Q399" s="217"/>
      <c r="R399" s="217" t="s">
        <v>234</v>
      </c>
      <c r="S399" s="217"/>
      <c r="T399" s="217"/>
      <c r="U399" s="218">
        <f t="shared" si="467"/>
        <v>6</v>
      </c>
      <c r="V399" s="867" t="s">
        <v>238</v>
      </c>
      <c r="W399" s="219">
        <v>120902</v>
      </c>
      <c r="X399" s="220">
        <v>3.04</v>
      </c>
      <c r="Y399" s="221">
        <f t="shared" si="456"/>
        <v>1.0304</v>
      </c>
      <c r="Z399" s="199">
        <v>19</v>
      </c>
      <c r="AA399" s="221">
        <f t="shared" si="457"/>
        <v>1.7664898659259882</v>
      </c>
      <c r="AB399" s="199">
        <f t="shared" si="464"/>
        <v>213572.15777018384</v>
      </c>
      <c r="AC399">
        <v>20.8</v>
      </c>
      <c r="AD399" s="199">
        <f t="shared" si="465"/>
        <v>44423.008816198242</v>
      </c>
      <c r="AE399" s="199">
        <f t="shared" si="462"/>
        <v>42201.858375388329</v>
      </c>
      <c r="AF399" s="199">
        <f t="shared" si="497"/>
        <v>42201.858375388329</v>
      </c>
      <c r="AG399" s="614">
        <f t="shared" si="496"/>
        <v>1.9512286616482379E-3</v>
      </c>
      <c r="AH399" s="199">
        <f t="shared" si="478"/>
        <v>10678.607888509192</v>
      </c>
      <c r="AI399" s="252">
        <f t="shared" si="479"/>
        <v>8.2725557345148762E-4</v>
      </c>
      <c r="AJ399" s="199">
        <f t="shared" si="480"/>
        <v>55101.616704707434</v>
      </c>
      <c r="AK399" s="199">
        <f t="shared" si="437"/>
        <v>8542.8863108073529</v>
      </c>
      <c r="AL399" s="199">
        <f t="shared" si="438"/>
        <v>8542.8863108073529</v>
      </c>
      <c r="AM399" s="199">
        <f t="shared" si="481"/>
        <v>17085.772621614706</v>
      </c>
      <c r="AN399" s="645">
        <f t="shared" si="482"/>
        <v>8.2725557345148762E-4</v>
      </c>
      <c r="AO399" s="199">
        <v>10</v>
      </c>
      <c r="AP399" s="250">
        <f t="shared" si="483"/>
        <v>1.1362345188046814E-3</v>
      </c>
      <c r="AQ399" s="199">
        <v>10</v>
      </c>
      <c r="AU399" s="199">
        <v>0</v>
      </c>
      <c r="AW399" s="250">
        <f t="shared" si="484"/>
        <v>0</v>
      </c>
      <c r="AX399" s="199">
        <v>1</v>
      </c>
      <c r="AY399" s="199">
        <f t="shared" si="468"/>
        <v>16491.221339907996</v>
      </c>
      <c r="AZ399" s="199">
        <f t="shared" si="485"/>
        <v>16491.221339907996</v>
      </c>
      <c r="BA399" s="252">
        <f t="shared" si="486"/>
        <v>1.2963170139900682E-3</v>
      </c>
      <c r="BB399" s="284">
        <v>1</v>
      </c>
      <c r="BC399" s="199">
        <f t="shared" si="469"/>
        <v>31984.566347662734</v>
      </c>
      <c r="BD399" s="270">
        <f t="shared" si="440"/>
        <v>2.8804370819865131E-3</v>
      </c>
      <c r="BE399" s="199">
        <f t="shared" si="470"/>
        <v>136822.86715389058</v>
      </c>
      <c r="BF399" s="251">
        <f t="shared" si="441"/>
        <v>2.880437145995242E-3</v>
      </c>
      <c r="BG399" s="204">
        <f t="shared" si="455"/>
        <v>168807.43350155331</v>
      </c>
      <c r="BH399" s="636">
        <v>0</v>
      </c>
      <c r="BI399" s="199">
        <f t="shared" si="487"/>
        <v>65353.080277676243</v>
      </c>
      <c r="BJ399" s="199">
        <f t="shared" si="488"/>
        <v>130706.16055535249</v>
      </c>
      <c r="BK399" s="199">
        <f t="shared" si="495"/>
        <v>196059.24083302874</v>
      </c>
      <c r="BL399" s="251">
        <f t="shared" si="489"/>
        <v>8.2725557345148752E-4</v>
      </c>
      <c r="BM399" s="199">
        <f t="shared" si="471"/>
        <v>26970.767274681657</v>
      </c>
      <c r="BN399" s="251">
        <f t="shared" si="490"/>
        <v>1.1646816085415525E-3</v>
      </c>
      <c r="BT399" s="199">
        <f>'Detailed Budget'!$AD$12</f>
        <v>194045122715</v>
      </c>
      <c r="BU399" s="199">
        <f>'Detailed Budget'!$AD$24</f>
        <v>194045122715</v>
      </c>
      <c r="BV399" s="596">
        <f t="shared" si="472"/>
        <v>0</v>
      </c>
      <c r="BW399" s="278"/>
      <c r="BX399" s="275">
        <f t="shared" si="460"/>
        <v>0</v>
      </c>
      <c r="BY399" s="275">
        <f t="shared" si="461"/>
        <v>0</v>
      </c>
      <c r="CA399" s="199">
        <f>'Detailed Budget'!$AD$96</f>
        <v>71050111380.677719</v>
      </c>
      <c r="CB399" s="275">
        <f t="shared" si="491"/>
        <v>92103468.228661895</v>
      </c>
      <c r="CE399" s="199">
        <f>'Detailed Budget'!$AD$175</f>
        <v>4330586076.5988197</v>
      </c>
      <c r="CF399" s="275">
        <f t="shared" si="473"/>
        <v>12473980.721769726</v>
      </c>
      <c r="CG399" s="199">
        <f>'Detailed Budget'!$AD$176</f>
        <v>20662817754.37001</v>
      </c>
      <c r="CH399" s="275">
        <f t="shared" si="474"/>
        <v>59517947.800617367</v>
      </c>
      <c r="CI399" s="275">
        <f t="shared" si="463"/>
        <v>71991928.522387087</v>
      </c>
      <c r="CJ399" s="275">
        <f>'Detailed Budget'!$AD$178</f>
        <v>46025131033.061455</v>
      </c>
      <c r="CK399" s="275">
        <f t="shared" si="475"/>
        <v>89805554.827825278</v>
      </c>
      <c r="CL399" s="275">
        <f t="shared" si="498"/>
        <v>161797483.35021237</v>
      </c>
      <c r="CM399" s="278">
        <f>'Detailed Budget'!$AD$189</f>
        <v>77498869683.252869</v>
      </c>
      <c r="CN399" s="275">
        <f t="shared" si="492"/>
        <v>0</v>
      </c>
      <c r="CO399" s="140">
        <f>'Detailed Budget'!$AD$191</f>
        <v>2684962805.4134097</v>
      </c>
      <c r="CP399" s="616">
        <f t="shared" si="493"/>
        <v>0</v>
      </c>
      <c r="CQ399" s="616">
        <f t="shared" si="494"/>
        <v>0</v>
      </c>
      <c r="CR399" s="199">
        <f>'Detailed Budget'!$AD$195</f>
        <v>18734176418</v>
      </c>
      <c r="CS399" s="275">
        <f t="shared" si="476"/>
        <v>21819350.725217462</v>
      </c>
      <c r="CW399" s="278"/>
      <c r="DH399" s="140">
        <f>'Detailed Budget'!$AD$163</f>
        <v>4928560000</v>
      </c>
      <c r="DI399" s="616">
        <f t="shared" si="477"/>
        <v>5600000</v>
      </c>
    </row>
    <row r="400" spans="1:113" outlineLevel="1">
      <c r="A400" s="214" t="s">
        <v>927</v>
      </c>
      <c r="B400" s="215" t="s">
        <v>928</v>
      </c>
      <c r="C400" s="216" t="s">
        <v>234</v>
      </c>
      <c r="D400" s="217" t="s">
        <v>234</v>
      </c>
      <c r="E400" s="216"/>
      <c r="F400" s="216"/>
      <c r="G400" s="216"/>
      <c r="H400" s="216" t="s">
        <v>234</v>
      </c>
      <c r="I400" s="217" t="s">
        <v>234</v>
      </c>
      <c r="J400" s="217"/>
      <c r="K400" s="216" t="s">
        <v>234</v>
      </c>
      <c r="L400" s="216"/>
      <c r="M400" s="217"/>
      <c r="N400" s="216"/>
      <c r="O400" s="217"/>
      <c r="P400" s="216"/>
      <c r="Q400" s="217"/>
      <c r="R400" s="217" t="s">
        <v>234</v>
      </c>
      <c r="S400" s="217"/>
      <c r="T400" s="217"/>
      <c r="U400" s="218">
        <f t="shared" si="467"/>
        <v>6</v>
      </c>
      <c r="V400" s="867" t="s">
        <v>238</v>
      </c>
      <c r="W400" s="219">
        <v>169829</v>
      </c>
      <c r="X400" s="220">
        <v>3.04</v>
      </c>
      <c r="Y400" s="221">
        <f t="shared" si="456"/>
        <v>1.0304</v>
      </c>
      <c r="Z400" s="199">
        <v>19</v>
      </c>
      <c r="AA400" s="221">
        <f t="shared" si="457"/>
        <v>1.7664898659259882</v>
      </c>
      <c r="AB400" s="199">
        <f t="shared" si="464"/>
        <v>300001.20744034467</v>
      </c>
      <c r="AC400">
        <v>20.8</v>
      </c>
      <c r="AD400" s="199">
        <f t="shared" si="465"/>
        <v>62400.251147591698</v>
      </c>
      <c r="AE400" s="199">
        <f t="shared" si="462"/>
        <v>59280.23859021211</v>
      </c>
      <c r="AF400" s="199">
        <f t="shared" si="497"/>
        <v>59280.23859021211</v>
      </c>
      <c r="AG400" s="614">
        <f t="shared" si="496"/>
        <v>2.7408579872877092E-3</v>
      </c>
      <c r="AH400" s="199">
        <f t="shared" si="478"/>
        <v>15000.060372017235</v>
      </c>
      <c r="AI400" s="252">
        <f t="shared" si="479"/>
        <v>1.1620319497087949E-3</v>
      </c>
      <c r="AJ400" s="199">
        <f t="shared" si="480"/>
        <v>77400.311519608935</v>
      </c>
      <c r="AK400" s="199">
        <f t="shared" si="437"/>
        <v>12000.048297613786</v>
      </c>
      <c r="AL400" s="199">
        <f t="shared" si="438"/>
        <v>12000.048297613786</v>
      </c>
      <c r="AM400" s="199">
        <f t="shared" si="481"/>
        <v>24000.096595227573</v>
      </c>
      <c r="AN400" s="645">
        <f t="shared" si="482"/>
        <v>1.1620319497087947E-3</v>
      </c>
      <c r="AO400" s="199">
        <v>11</v>
      </c>
      <c r="AP400" s="250">
        <f t="shared" si="483"/>
        <v>1.2498579706851495E-3</v>
      </c>
      <c r="AQ400" s="199">
        <v>11</v>
      </c>
      <c r="AU400" s="199">
        <v>0</v>
      </c>
      <c r="AW400" s="250">
        <f t="shared" si="484"/>
        <v>0</v>
      </c>
      <c r="AX400" s="199">
        <v>1</v>
      </c>
      <c r="AY400" s="199">
        <f t="shared" si="468"/>
        <v>23164.940438828427</v>
      </c>
      <c r="AZ400" s="199">
        <f t="shared" si="485"/>
        <v>23164.940438828427</v>
      </c>
      <c r="BA400" s="252">
        <f t="shared" si="486"/>
        <v>1.8209146430077192E-3</v>
      </c>
      <c r="BB400" s="284">
        <v>1</v>
      </c>
      <c r="BC400" s="199">
        <f t="shared" si="469"/>
        <v>44928.18082626602</v>
      </c>
      <c r="BD400" s="270">
        <f t="shared" si="440"/>
        <v>4.0461013812566173E-3</v>
      </c>
      <c r="BE400" s="199">
        <f t="shared" si="470"/>
        <v>192192.77353458243</v>
      </c>
      <c r="BF400" s="251">
        <f t="shared" si="441"/>
        <v>4.0461014711685997E-3</v>
      </c>
      <c r="BG400" s="204">
        <f t="shared" si="455"/>
        <v>237120.95436084847</v>
      </c>
      <c r="BH400" s="636">
        <v>0</v>
      </c>
      <c r="BI400" s="199">
        <f t="shared" si="487"/>
        <v>91800.369476745458</v>
      </c>
      <c r="BJ400" s="199">
        <f t="shared" si="488"/>
        <v>183600.73895349092</v>
      </c>
      <c r="BK400" s="199">
        <f t="shared" si="495"/>
        <v>275401.10843023635</v>
      </c>
      <c r="BL400" s="251">
        <f t="shared" si="489"/>
        <v>1.1620319497087945E-3</v>
      </c>
      <c r="BM400" s="199">
        <f t="shared" si="471"/>
        <v>37885.381842251671</v>
      </c>
      <c r="BN400" s="251">
        <f t="shared" si="490"/>
        <v>1.6360086094274978E-3</v>
      </c>
      <c r="BT400" s="199">
        <f>'Detailed Budget'!$AD$12</f>
        <v>194045122715</v>
      </c>
      <c r="BU400" s="199">
        <f>'Detailed Budget'!$AD$24</f>
        <v>194045122715</v>
      </c>
      <c r="BV400" s="596">
        <f t="shared" si="472"/>
        <v>0</v>
      </c>
      <c r="BW400" s="278"/>
      <c r="BX400" s="275">
        <f t="shared" si="460"/>
        <v>0</v>
      </c>
      <c r="BY400" s="275">
        <f t="shared" si="461"/>
        <v>0</v>
      </c>
      <c r="CA400" s="199">
        <f>'Detailed Budget'!$AD$96</f>
        <v>71050111380.677719</v>
      </c>
      <c r="CB400" s="275">
        <f t="shared" si="491"/>
        <v>129376188.20040545</v>
      </c>
      <c r="CE400" s="199">
        <f>'Detailed Budget'!$AD$175</f>
        <v>4330586076.5988197</v>
      </c>
      <c r="CF400" s="275">
        <f t="shared" si="473"/>
        <v>17521990.306177158</v>
      </c>
      <c r="CG400" s="199">
        <f>'Detailed Budget'!$AD$176</f>
        <v>20662817754.37001</v>
      </c>
      <c r="CH400" s="275">
        <f t="shared" si="474"/>
        <v>83603857.314445153</v>
      </c>
      <c r="CI400" s="275">
        <f t="shared" si="463"/>
        <v>101125847.62062231</v>
      </c>
      <c r="CJ400" s="275">
        <f>'Detailed Budget'!$AD$178</f>
        <v>46025131033.061455</v>
      </c>
      <c r="CK400" s="275">
        <f t="shared" si="475"/>
        <v>126148348.00792991</v>
      </c>
      <c r="CL400" s="275">
        <f t="shared" si="498"/>
        <v>227274195.6285522</v>
      </c>
      <c r="CM400" s="278">
        <f>'Detailed Budget'!$AD$189</f>
        <v>77498869683.252869</v>
      </c>
      <c r="CN400" s="275">
        <f t="shared" si="492"/>
        <v>0</v>
      </c>
      <c r="CO400" s="140">
        <f>'Detailed Budget'!$AD$191</f>
        <v>2684962805.4134097</v>
      </c>
      <c r="CP400" s="616">
        <f t="shared" si="493"/>
        <v>0</v>
      </c>
      <c r="CQ400" s="616">
        <f t="shared" si="494"/>
        <v>0</v>
      </c>
      <c r="CR400" s="199">
        <f>'Detailed Budget'!$AD$195</f>
        <v>18734176418</v>
      </c>
      <c r="CS400" s="275">
        <f t="shared" si="476"/>
        <v>30649273.910381604</v>
      </c>
      <c r="CW400" s="278"/>
      <c r="DH400" s="140">
        <f>'Detailed Budget'!$AD$163</f>
        <v>4928560000</v>
      </c>
      <c r="DI400" s="616">
        <f t="shared" si="477"/>
        <v>6160000</v>
      </c>
    </row>
    <row r="401" spans="1:113" outlineLevel="1">
      <c r="A401" s="214" t="s">
        <v>929</v>
      </c>
      <c r="B401" s="215" t="s">
        <v>930</v>
      </c>
      <c r="C401" s="216" t="s">
        <v>234</v>
      </c>
      <c r="D401" s="217" t="s">
        <v>234</v>
      </c>
      <c r="E401" s="216"/>
      <c r="F401" s="216"/>
      <c r="G401" s="216"/>
      <c r="H401" s="216" t="s">
        <v>234</v>
      </c>
      <c r="I401" s="217" t="s">
        <v>234</v>
      </c>
      <c r="J401" s="217"/>
      <c r="K401" s="216" t="s">
        <v>234</v>
      </c>
      <c r="L401" s="216"/>
      <c r="M401" s="217"/>
      <c r="N401" s="216"/>
      <c r="O401" s="217"/>
      <c r="P401" s="216"/>
      <c r="Q401" s="217"/>
      <c r="R401" s="217" t="s">
        <v>234</v>
      </c>
      <c r="S401" s="217"/>
      <c r="T401" s="217"/>
      <c r="U401" s="218">
        <f t="shared" si="467"/>
        <v>6</v>
      </c>
      <c r="V401" s="867" t="s">
        <v>238</v>
      </c>
      <c r="W401" s="219">
        <v>194400</v>
      </c>
      <c r="X401" s="220">
        <v>3.04</v>
      </c>
      <c r="Y401" s="221">
        <f t="shared" si="456"/>
        <v>1.0304</v>
      </c>
      <c r="Z401" s="199">
        <v>19</v>
      </c>
      <c r="AA401" s="221">
        <f t="shared" si="457"/>
        <v>1.7664898659259882</v>
      </c>
      <c r="AB401" s="199">
        <f t="shared" si="464"/>
        <v>343405.62993601209</v>
      </c>
      <c r="AC401">
        <v>20.8</v>
      </c>
      <c r="AD401" s="199">
        <f t="shared" si="465"/>
        <v>71428.371026690525</v>
      </c>
      <c r="AE401" s="199">
        <f t="shared" si="462"/>
        <v>67856.952475355996</v>
      </c>
      <c r="AF401" s="199">
        <f t="shared" si="497"/>
        <v>67856.952475355996</v>
      </c>
      <c r="AG401" s="614">
        <f t="shared" si="496"/>
        <v>3.1374075848573011E-3</v>
      </c>
      <c r="AH401" s="199">
        <f t="shared" si="478"/>
        <v>17170.281496800606</v>
      </c>
      <c r="AI401" s="252">
        <f t="shared" si="479"/>
        <v>1.330155692039579E-3</v>
      </c>
      <c r="AJ401" s="199">
        <f t="shared" si="480"/>
        <v>88598.652523491124</v>
      </c>
      <c r="AK401" s="199">
        <f t="shared" ref="AK401:AK464" si="509">AB401*0.04</f>
        <v>13736.225197440484</v>
      </c>
      <c r="AL401" s="199">
        <f t="shared" ref="AL401:AL464" si="510">AB401*0.04</f>
        <v>13736.225197440484</v>
      </c>
      <c r="AM401" s="199">
        <f t="shared" si="481"/>
        <v>27472.450394880969</v>
      </c>
      <c r="AN401" s="645">
        <f t="shared" si="482"/>
        <v>1.330155692039579E-3</v>
      </c>
      <c r="AO401" s="199">
        <v>10</v>
      </c>
      <c r="AP401" s="250">
        <f t="shared" si="483"/>
        <v>1.1362345188046814E-3</v>
      </c>
      <c r="AQ401" s="199">
        <v>10</v>
      </c>
      <c r="AU401" s="199">
        <v>0</v>
      </c>
      <c r="AW401" s="250">
        <f t="shared" si="484"/>
        <v>0</v>
      </c>
      <c r="AX401" s="199">
        <v>1</v>
      </c>
      <c r="AY401" s="199">
        <f t="shared" si="468"/>
        <v>26516.463155928883</v>
      </c>
      <c r="AZ401" s="199">
        <f t="shared" si="485"/>
        <v>26516.463155928883</v>
      </c>
      <c r="BA401" s="252">
        <f t="shared" si="486"/>
        <v>2.0843660776469308E-3</v>
      </c>
      <c r="BB401" s="284">
        <v>1</v>
      </c>
      <c r="BC401" s="199">
        <f t="shared" si="469"/>
        <v>51428.42713921718</v>
      </c>
      <c r="BD401" s="270">
        <f t="shared" si="440"/>
        <v>4.6314946712062511E-3</v>
      </c>
      <c r="BE401" s="199">
        <f t="shared" si="470"/>
        <v>219999.38276220683</v>
      </c>
      <c r="BF401" s="251">
        <f t="shared" si="441"/>
        <v>4.631494774126773E-3</v>
      </c>
      <c r="BG401" s="204">
        <f t="shared" si="455"/>
        <v>271427.80990142399</v>
      </c>
      <c r="BH401" s="636">
        <v>0</v>
      </c>
      <c r="BI401" s="199">
        <f t="shared" si="487"/>
        <v>105082.1227604197</v>
      </c>
      <c r="BJ401" s="199">
        <f t="shared" si="488"/>
        <v>210164.24552083941</v>
      </c>
      <c r="BK401" s="199">
        <f t="shared" si="495"/>
        <v>315246.36828125909</v>
      </c>
      <c r="BL401" s="251">
        <f t="shared" si="489"/>
        <v>1.330155692039579E-3</v>
      </c>
      <c r="BM401" s="199">
        <f t="shared" si="471"/>
        <v>43366.670180791996</v>
      </c>
      <c r="BN401" s="251">
        <f t="shared" si="490"/>
        <v>1.8727076863945824E-3</v>
      </c>
      <c r="BT401" s="199">
        <f>'Detailed Budget'!$AD$12</f>
        <v>194045122715</v>
      </c>
      <c r="BU401" s="199">
        <f>'Detailed Budget'!$AD$24</f>
        <v>194045122715</v>
      </c>
      <c r="BV401" s="596">
        <f t="shared" si="472"/>
        <v>0</v>
      </c>
      <c r="BW401" s="278"/>
      <c r="BX401" s="275">
        <f t="shared" si="460"/>
        <v>0</v>
      </c>
      <c r="BY401" s="275">
        <f t="shared" si="461"/>
        <v>0</v>
      </c>
      <c r="CA401" s="199">
        <f>'Detailed Budget'!$AD$96</f>
        <v>71050111380.677719</v>
      </c>
      <c r="CB401" s="275">
        <f t="shared" si="491"/>
        <v>148094441.97492078</v>
      </c>
      <c r="CE401" s="199">
        <f>'Detailed Budget'!$AD$175</f>
        <v>4330586076.5988197</v>
      </c>
      <c r="CF401" s="275">
        <f t="shared" si="473"/>
        <v>20057086.33696742</v>
      </c>
      <c r="CG401" s="199">
        <f>'Detailed Budget'!$AD$176</f>
        <v>20662817754.37001</v>
      </c>
      <c r="CH401" s="275">
        <f t="shared" si="474"/>
        <v>95699732.4480986</v>
      </c>
      <c r="CI401" s="275">
        <f t="shared" si="463"/>
        <v>115756818.78506602</v>
      </c>
      <c r="CJ401" s="275">
        <f>'Detailed Budget'!$AD$178</f>
        <v>46025131033.061455</v>
      </c>
      <c r="CK401" s="275">
        <f t="shared" si="475"/>
        <v>144399595.19717816</v>
      </c>
      <c r="CL401" s="275">
        <f t="shared" si="498"/>
        <v>260156413.98224419</v>
      </c>
      <c r="CM401" s="278">
        <f>'Detailed Budget'!$AD$189</f>
        <v>77498869683.252869</v>
      </c>
      <c r="CN401" s="275">
        <f t="shared" si="492"/>
        <v>0</v>
      </c>
      <c r="CO401" s="140">
        <f>'Detailed Budget'!$AD$191</f>
        <v>2684962805.4134097</v>
      </c>
      <c r="CP401" s="616">
        <f t="shared" si="493"/>
        <v>0</v>
      </c>
      <c r="CQ401" s="616">
        <f t="shared" si="494"/>
        <v>0</v>
      </c>
      <c r="CR401" s="199">
        <f>'Detailed Budget'!$AD$195</f>
        <v>18734176418</v>
      </c>
      <c r="CS401" s="275">
        <f t="shared" si="476"/>
        <v>35083636.176260725</v>
      </c>
      <c r="CW401" s="278"/>
      <c r="DH401" s="140">
        <f>'Detailed Budget'!$AD$163</f>
        <v>4928560000</v>
      </c>
      <c r="DI401" s="616">
        <f t="shared" si="477"/>
        <v>5600000</v>
      </c>
    </row>
    <row r="402" spans="1:113" outlineLevel="1">
      <c r="A402" s="214" t="s">
        <v>931</v>
      </c>
      <c r="B402" s="215" t="s">
        <v>932</v>
      </c>
      <c r="C402" s="216" t="s">
        <v>234</v>
      </c>
      <c r="D402" s="217" t="s">
        <v>234</v>
      </c>
      <c r="E402" s="216"/>
      <c r="F402" s="216"/>
      <c r="G402" s="216"/>
      <c r="H402" s="216" t="s">
        <v>234</v>
      </c>
      <c r="I402" s="217" t="s">
        <v>234</v>
      </c>
      <c r="J402" s="217"/>
      <c r="K402" s="216" t="s">
        <v>234</v>
      </c>
      <c r="L402" s="216"/>
      <c r="M402" s="217"/>
      <c r="N402" s="216"/>
      <c r="O402" s="217"/>
      <c r="P402" s="216"/>
      <c r="Q402" s="217"/>
      <c r="R402" s="217" t="s">
        <v>234</v>
      </c>
      <c r="S402" s="217"/>
      <c r="T402" s="217"/>
      <c r="U402" s="218">
        <f t="shared" si="467"/>
        <v>6</v>
      </c>
      <c r="V402" s="867" t="s">
        <v>238</v>
      </c>
      <c r="W402" s="219">
        <v>225156</v>
      </c>
      <c r="X402" s="220">
        <v>3.04</v>
      </c>
      <c r="Y402" s="221">
        <f t="shared" si="456"/>
        <v>1.0304</v>
      </c>
      <c r="Z402" s="199">
        <v>19</v>
      </c>
      <c r="AA402" s="221">
        <f t="shared" si="457"/>
        <v>1.7664898659259882</v>
      </c>
      <c r="AB402" s="199">
        <f t="shared" si="464"/>
        <v>397735.7922524318</v>
      </c>
      <c r="AC402">
        <v>20.8</v>
      </c>
      <c r="AD402" s="199">
        <f t="shared" si="465"/>
        <v>82729.044788505824</v>
      </c>
      <c r="AE402" s="199">
        <f t="shared" si="462"/>
        <v>78592.592549080524</v>
      </c>
      <c r="AF402" s="199">
        <f t="shared" si="497"/>
        <v>78592.592549080524</v>
      </c>
      <c r="AG402" s="614">
        <f t="shared" si="496"/>
        <v>3.6337764515233049E-3</v>
      </c>
      <c r="AH402" s="199">
        <f t="shared" si="478"/>
        <v>19886.789612621593</v>
      </c>
      <c r="AI402" s="252">
        <f t="shared" si="479"/>
        <v>1.540599459860409E-3</v>
      </c>
      <c r="AJ402" s="199">
        <f t="shared" si="480"/>
        <v>102615.83440112742</v>
      </c>
      <c r="AK402" s="199">
        <f t="shared" si="509"/>
        <v>15909.431690097272</v>
      </c>
      <c r="AL402" s="199">
        <f t="shared" si="510"/>
        <v>15909.431690097272</v>
      </c>
      <c r="AM402" s="199">
        <f t="shared" si="481"/>
        <v>31818.863380194543</v>
      </c>
      <c r="AN402" s="645">
        <f t="shared" si="482"/>
        <v>1.5405994598604088E-3</v>
      </c>
      <c r="AO402" s="199">
        <v>11</v>
      </c>
      <c r="AP402" s="250">
        <f t="shared" si="483"/>
        <v>1.2498579706851495E-3</v>
      </c>
      <c r="AQ402" s="199">
        <v>11</v>
      </c>
      <c r="AU402" s="199">
        <v>0</v>
      </c>
      <c r="AW402" s="250">
        <f t="shared" si="484"/>
        <v>0</v>
      </c>
      <c r="AX402" s="199">
        <v>1</v>
      </c>
      <c r="AY402" s="199">
        <f t="shared" si="468"/>
        <v>30711.629518190963</v>
      </c>
      <c r="AZ402" s="199">
        <f t="shared" si="485"/>
        <v>30711.629518190963</v>
      </c>
      <c r="BA402" s="252">
        <f t="shared" si="486"/>
        <v>2.4141333774623059E-3</v>
      </c>
      <c r="BB402" s="284">
        <v>1</v>
      </c>
      <c r="BC402" s="199">
        <f t="shared" si="469"/>
        <v>59564.912247724191</v>
      </c>
      <c r="BD402" s="270">
        <f t="shared" si="440"/>
        <v>5.3642428713483259E-3</v>
      </c>
      <c r="BE402" s="199">
        <f t="shared" si="470"/>
        <v>254805.45794859793</v>
      </c>
      <c r="BF402" s="251">
        <f t="shared" si="441"/>
        <v>5.3642429905518913E-3</v>
      </c>
      <c r="BG402" s="204">
        <f t="shared" si="455"/>
        <v>314370.3701963221</v>
      </c>
      <c r="BH402" s="636">
        <v>0</v>
      </c>
      <c r="BI402" s="199">
        <f t="shared" si="487"/>
        <v>121707.15242924413</v>
      </c>
      <c r="BJ402" s="199">
        <f t="shared" si="488"/>
        <v>243414.30485848826</v>
      </c>
      <c r="BK402" s="199">
        <f t="shared" si="495"/>
        <v>365121.4572877324</v>
      </c>
      <c r="BL402" s="251">
        <f t="shared" si="489"/>
        <v>1.5405994598604088E-3</v>
      </c>
      <c r="BM402" s="199">
        <f t="shared" si="471"/>
        <v>50227.705716185199</v>
      </c>
      <c r="BN402" s="251">
        <f t="shared" si="490"/>
        <v>2.1689885382605895E-3</v>
      </c>
      <c r="BT402" s="199">
        <f>'Detailed Budget'!$AD$12</f>
        <v>194045122715</v>
      </c>
      <c r="BU402" s="199">
        <f>'Detailed Budget'!$AD$24</f>
        <v>194045122715</v>
      </c>
      <c r="BV402" s="596">
        <f t="shared" si="472"/>
        <v>0</v>
      </c>
      <c r="BW402" s="278"/>
      <c r="BX402" s="275">
        <f t="shared" si="460"/>
        <v>0</v>
      </c>
      <c r="BY402" s="275">
        <f t="shared" si="461"/>
        <v>0</v>
      </c>
      <c r="CA402" s="199">
        <f>'Detailed Budget'!$AD$96</f>
        <v>71050111380.677719</v>
      </c>
      <c r="CB402" s="275">
        <f t="shared" si="491"/>
        <v>171524445.35650852</v>
      </c>
      <c r="CE402" s="199">
        <f>'Detailed Budget'!$AD$175</f>
        <v>4330586076.5988197</v>
      </c>
      <c r="CF402" s="275">
        <f t="shared" si="473"/>
        <v>23230315.490155533</v>
      </c>
      <c r="CG402" s="199">
        <f>'Detailed Budget'!$AD$176</f>
        <v>20662817754.37001</v>
      </c>
      <c r="CH402" s="275">
        <f t="shared" si="474"/>
        <v>110840375.30393051</v>
      </c>
      <c r="CI402" s="275">
        <f t="shared" si="463"/>
        <v>134070690.79408604</v>
      </c>
      <c r="CJ402" s="275">
        <f>'Detailed Budget'!$AD$178</f>
        <v>46025131033.061455</v>
      </c>
      <c r="CK402" s="275">
        <f t="shared" si="475"/>
        <v>167245037.32621318</v>
      </c>
      <c r="CL402" s="275">
        <f t="shared" si="498"/>
        <v>301315728.12029922</v>
      </c>
      <c r="CM402" s="278">
        <f>'Detailed Budget'!$AD$189</f>
        <v>77498869683.252869</v>
      </c>
      <c r="CN402" s="275">
        <f t="shared" si="492"/>
        <v>0</v>
      </c>
      <c r="CO402" s="140">
        <f>'Detailed Budget'!$AD$191</f>
        <v>2684962805.4134097</v>
      </c>
      <c r="CP402" s="616">
        <f t="shared" si="493"/>
        <v>0</v>
      </c>
      <c r="CQ402" s="616">
        <f t="shared" si="494"/>
        <v>0</v>
      </c>
      <c r="CR402" s="199">
        <f>'Detailed Budget'!$AD$195</f>
        <v>18734176418</v>
      </c>
      <c r="CS402" s="275">
        <f t="shared" si="476"/>
        <v>40634213.924393825</v>
      </c>
      <c r="CW402" s="278"/>
      <c r="DH402" s="140">
        <f>'Detailed Budget'!$AD$163</f>
        <v>4928560000</v>
      </c>
      <c r="DI402" s="616">
        <f t="shared" si="477"/>
        <v>6160000</v>
      </c>
    </row>
    <row r="403" spans="1:113" outlineLevel="1">
      <c r="A403" s="214" t="s">
        <v>933</v>
      </c>
      <c r="B403" s="215" t="s">
        <v>934</v>
      </c>
      <c r="C403" s="216" t="s">
        <v>234</v>
      </c>
      <c r="D403" s="217" t="s">
        <v>234</v>
      </c>
      <c r="E403" s="216"/>
      <c r="F403" s="216"/>
      <c r="G403" s="216"/>
      <c r="H403" s="216" t="s">
        <v>234</v>
      </c>
      <c r="I403" s="217" t="s">
        <v>234</v>
      </c>
      <c r="J403" s="217"/>
      <c r="K403" s="216" t="s">
        <v>234</v>
      </c>
      <c r="L403" s="216"/>
      <c r="M403" s="217"/>
      <c r="N403" s="216"/>
      <c r="O403" s="217"/>
      <c r="P403" s="216"/>
      <c r="Q403" s="217"/>
      <c r="R403" s="217" t="s">
        <v>234</v>
      </c>
      <c r="S403" s="217"/>
      <c r="T403" s="217"/>
      <c r="U403" s="218">
        <f t="shared" si="467"/>
        <v>6</v>
      </c>
      <c r="V403" s="867" t="s">
        <v>238</v>
      </c>
      <c r="W403" s="219">
        <v>169148</v>
      </c>
      <c r="X403" s="220">
        <v>3.04</v>
      </c>
      <c r="Y403" s="221">
        <f t="shared" si="456"/>
        <v>1.0304</v>
      </c>
      <c r="Z403" s="199">
        <v>19</v>
      </c>
      <c r="AA403" s="221">
        <f t="shared" si="457"/>
        <v>1.7664898659259882</v>
      </c>
      <c r="AB403" s="199">
        <f t="shared" si="464"/>
        <v>298798.22784164903</v>
      </c>
      <c r="AC403">
        <v>20.8</v>
      </c>
      <c r="AD403" s="199">
        <f t="shared" si="465"/>
        <v>62150.031391062999</v>
      </c>
      <c r="AE403" s="199">
        <f t="shared" si="462"/>
        <v>59042.529821509845</v>
      </c>
      <c r="AF403" s="199">
        <f t="shared" si="497"/>
        <v>59042.529821509845</v>
      </c>
      <c r="AG403" s="614">
        <f t="shared" si="496"/>
        <v>2.7298673773839643E-3</v>
      </c>
      <c r="AH403" s="199">
        <f t="shared" si="478"/>
        <v>14939.911392082453</v>
      </c>
      <c r="AI403" s="252">
        <f t="shared" si="479"/>
        <v>1.1573722993678535E-3</v>
      </c>
      <c r="AJ403" s="199">
        <f t="shared" si="480"/>
        <v>77089.942783145452</v>
      </c>
      <c r="AK403" s="199">
        <f t="shared" si="509"/>
        <v>11951.929113665961</v>
      </c>
      <c r="AL403" s="199">
        <f t="shared" si="510"/>
        <v>11951.929113665961</v>
      </c>
      <c r="AM403" s="199">
        <f t="shared" si="481"/>
        <v>23903.858227331923</v>
      </c>
      <c r="AN403" s="645">
        <f t="shared" si="482"/>
        <v>1.1573722993678535E-3</v>
      </c>
      <c r="AO403" s="199">
        <v>11</v>
      </c>
      <c r="AP403" s="250">
        <f t="shared" si="483"/>
        <v>1.2498579706851495E-3</v>
      </c>
      <c r="AQ403" s="199">
        <v>11</v>
      </c>
      <c r="AU403" s="199">
        <v>0</v>
      </c>
      <c r="AW403" s="250">
        <f t="shared" si="484"/>
        <v>0</v>
      </c>
      <c r="AX403" s="199">
        <v>1</v>
      </c>
      <c r="AY403" s="199">
        <f t="shared" si="468"/>
        <v>23072.050976847007</v>
      </c>
      <c r="AZ403" s="199">
        <f t="shared" si="485"/>
        <v>23072.050976847007</v>
      </c>
      <c r="BA403" s="252">
        <f t="shared" si="486"/>
        <v>1.8136129285073199E-3</v>
      </c>
      <c r="BB403" s="284">
        <v>1</v>
      </c>
      <c r="BC403" s="199">
        <f t="shared" si="469"/>
        <v>44748.022601565361</v>
      </c>
      <c r="BD403" s="270">
        <f t="shared" si="440"/>
        <v>4.0298768551707553E-3</v>
      </c>
      <c r="BE403" s="199">
        <f t="shared" si="470"/>
        <v>191422.09668447403</v>
      </c>
      <c r="BF403" s="251">
        <f t="shared" si="441"/>
        <v>4.029876944722198E-3</v>
      </c>
      <c r="BG403" s="204">
        <f t="shared" si="455"/>
        <v>236170.11928603938</v>
      </c>
      <c r="BH403" s="636">
        <v>0</v>
      </c>
      <c r="BI403" s="199">
        <f t="shared" si="487"/>
        <v>91432.257719544607</v>
      </c>
      <c r="BJ403" s="199">
        <f t="shared" si="488"/>
        <v>182864.51543908921</v>
      </c>
      <c r="BK403" s="199">
        <f t="shared" si="495"/>
        <v>274296.77315863385</v>
      </c>
      <c r="BL403" s="251">
        <f t="shared" si="489"/>
        <v>1.1573722993678535E-3</v>
      </c>
      <c r="BM403" s="199">
        <f t="shared" si="471"/>
        <v>37733.464648871421</v>
      </c>
      <c r="BN403" s="251">
        <f t="shared" si="490"/>
        <v>1.6294483525631214E-3</v>
      </c>
      <c r="BT403" s="199">
        <f>'Detailed Budget'!$AD$12</f>
        <v>194045122715</v>
      </c>
      <c r="BU403" s="199">
        <f>'Detailed Budget'!$AD$24</f>
        <v>194045122715</v>
      </c>
      <c r="BV403" s="596">
        <f t="shared" si="472"/>
        <v>0</v>
      </c>
      <c r="BW403" s="278"/>
      <c r="BX403" s="275">
        <f t="shared" si="460"/>
        <v>0</v>
      </c>
      <c r="BY403" s="275">
        <f t="shared" si="461"/>
        <v>0</v>
      </c>
      <c r="CA403" s="199">
        <f>'Detailed Budget'!$AD$96</f>
        <v>71050111380.677719</v>
      </c>
      <c r="CB403" s="275">
        <f t="shared" si="491"/>
        <v>128857400.57188217</v>
      </c>
      <c r="CE403" s="199">
        <f>'Detailed Budget'!$AD$175</f>
        <v>4330586076.5988197</v>
      </c>
      <c r="CF403" s="275">
        <f t="shared" si="473"/>
        <v>17451728.59941031</v>
      </c>
      <c r="CG403" s="199">
        <f>'Detailed Budget'!$AD$176</f>
        <v>20662817754.37001</v>
      </c>
      <c r="CH403" s="275">
        <f t="shared" si="474"/>
        <v>83268612.881332204</v>
      </c>
      <c r="CI403" s="275">
        <f t="shared" si="463"/>
        <v>100720341.48074251</v>
      </c>
      <c r="CJ403" s="275">
        <f>'Detailed Budget'!$AD$178</f>
        <v>46025131033.061455</v>
      </c>
      <c r="CK403" s="275">
        <f t="shared" si="475"/>
        <v>125642503.74697678</v>
      </c>
      <c r="CL403" s="275">
        <f t="shared" si="498"/>
        <v>226362845.22771931</v>
      </c>
      <c r="CM403" s="278">
        <f>'Detailed Budget'!$AD$189</f>
        <v>77498869683.252869</v>
      </c>
      <c r="CN403" s="275">
        <f t="shared" si="492"/>
        <v>0</v>
      </c>
      <c r="CO403" s="140">
        <f>'Detailed Budget'!$AD$191</f>
        <v>2684962805.4134097</v>
      </c>
      <c r="CP403" s="616">
        <f t="shared" si="493"/>
        <v>0</v>
      </c>
      <c r="CQ403" s="616">
        <f t="shared" si="494"/>
        <v>0</v>
      </c>
      <c r="CR403" s="199">
        <f>'Detailed Budget'!$AD$195</f>
        <v>18734176418</v>
      </c>
      <c r="CS403" s="275">
        <f t="shared" si="476"/>
        <v>30526372.90093698</v>
      </c>
      <c r="CW403" s="278"/>
      <c r="DH403" s="140">
        <f>'Detailed Budget'!$AD$163</f>
        <v>4928560000</v>
      </c>
      <c r="DI403" s="616">
        <f t="shared" si="477"/>
        <v>6160000</v>
      </c>
    </row>
    <row r="404" spans="1:113" outlineLevel="1">
      <c r="A404" s="214" t="s">
        <v>935</v>
      </c>
      <c r="B404" s="215" t="s">
        <v>936</v>
      </c>
      <c r="C404" s="216" t="s">
        <v>234</v>
      </c>
      <c r="D404" s="217" t="s">
        <v>234</v>
      </c>
      <c r="E404" s="216"/>
      <c r="F404" s="216"/>
      <c r="G404" s="216"/>
      <c r="H404" s="216" t="s">
        <v>234</v>
      </c>
      <c r="I404" s="217" t="s">
        <v>234</v>
      </c>
      <c r="J404" s="217"/>
      <c r="K404" s="216" t="s">
        <v>234</v>
      </c>
      <c r="L404" s="216"/>
      <c r="M404" s="217"/>
      <c r="N404" s="216"/>
      <c r="O404" s="217"/>
      <c r="P404" s="216"/>
      <c r="Q404" s="217"/>
      <c r="R404" s="217" t="s">
        <v>234</v>
      </c>
      <c r="S404" s="217"/>
      <c r="T404" s="217"/>
      <c r="U404" s="218">
        <f t="shared" si="467"/>
        <v>6</v>
      </c>
      <c r="V404" s="867" t="s">
        <v>238</v>
      </c>
      <c r="W404" s="219">
        <v>167435</v>
      </c>
      <c r="X404" s="220">
        <v>3.04</v>
      </c>
      <c r="Y404" s="221">
        <f t="shared" si="456"/>
        <v>1.0304</v>
      </c>
      <c r="Z404" s="199">
        <v>19</v>
      </c>
      <c r="AA404" s="221">
        <f t="shared" si="457"/>
        <v>1.7664898659259882</v>
      </c>
      <c r="AB404" s="199">
        <f t="shared" si="464"/>
        <v>295772.23070131784</v>
      </c>
      <c r="AC404">
        <v>20.8</v>
      </c>
      <c r="AD404" s="199">
        <f t="shared" si="465"/>
        <v>61520.62398587411</v>
      </c>
      <c r="AE404" s="199">
        <f t="shared" si="462"/>
        <v>58444.592786580404</v>
      </c>
      <c r="AF404" s="199">
        <f t="shared" si="497"/>
        <v>58444.592786580404</v>
      </c>
      <c r="AG404" s="614">
        <f t="shared" si="496"/>
        <v>2.7022213938815956E-3</v>
      </c>
      <c r="AH404" s="199">
        <f t="shared" si="478"/>
        <v>14788.611535065893</v>
      </c>
      <c r="AI404" s="252">
        <f t="shared" si="479"/>
        <v>1.1456513286864554E-3</v>
      </c>
      <c r="AJ404" s="199">
        <f t="shared" si="480"/>
        <v>76309.235520939998</v>
      </c>
      <c r="AK404" s="199">
        <f t="shared" si="509"/>
        <v>11830.889228052714</v>
      </c>
      <c r="AL404" s="199">
        <f t="shared" si="510"/>
        <v>11830.889228052714</v>
      </c>
      <c r="AM404" s="199">
        <f t="shared" si="481"/>
        <v>23661.778456105429</v>
      </c>
      <c r="AN404" s="645">
        <f t="shared" si="482"/>
        <v>1.1456513286864554E-3</v>
      </c>
      <c r="AO404" s="199">
        <v>11</v>
      </c>
      <c r="AP404" s="250">
        <f t="shared" si="483"/>
        <v>1.2498579706851495E-3</v>
      </c>
      <c r="AQ404" s="199">
        <v>11</v>
      </c>
      <c r="AU404" s="199">
        <v>0</v>
      </c>
      <c r="AW404" s="250">
        <f t="shared" si="484"/>
        <v>0</v>
      </c>
      <c r="AX404" s="199">
        <v>1</v>
      </c>
      <c r="AY404" s="199">
        <f t="shared" si="468"/>
        <v>22838.395105519299</v>
      </c>
      <c r="AZ404" s="199">
        <f t="shared" si="485"/>
        <v>22838.395105519299</v>
      </c>
      <c r="BA404" s="252">
        <f t="shared" si="486"/>
        <v>1.795246060755215E-3</v>
      </c>
      <c r="BB404" s="284">
        <v>1</v>
      </c>
      <c r="BC404" s="199">
        <f t="shared" si="469"/>
        <v>44294.849269829356</v>
      </c>
      <c r="BD404" s="270">
        <f t="shared" si="440"/>
        <v>3.9890653820649101E-3</v>
      </c>
      <c r="BE404" s="199">
        <f t="shared" si="470"/>
        <v>189483.52187649228</v>
      </c>
      <c r="BF404" s="251">
        <f t="shared" si="441"/>
        <v>3.9890654707094454E-3</v>
      </c>
      <c r="BG404" s="204">
        <f t="shared" si="455"/>
        <v>233778.37114632165</v>
      </c>
      <c r="BH404" s="636">
        <v>0</v>
      </c>
      <c r="BI404" s="199">
        <f t="shared" si="487"/>
        <v>90506.302594603258</v>
      </c>
      <c r="BJ404" s="199">
        <f t="shared" si="488"/>
        <v>181012.60518920652</v>
      </c>
      <c r="BK404" s="199">
        <f t="shared" si="495"/>
        <v>271518.90778380976</v>
      </c>
      <c r="BL404" s="251">
        <f t="shared" si="489"/>
        <v>1.1456513286864554E-3</v>
      </c>
      <c r="BM404" s="199">
        <f t="shared" si="471"/>
        <v>37351.329329840068</v>
      </c>
      <c r="BN404" s="251">
        <f t="shared" si="490"/>
        <v>1.6129465610672683E-3</v>
      </c>
      <c r="BT404" s="199">
        <f>'Detailed Budget'!$AD$12</f>
        <v>194045122715</v>
      </c>
      <c r="BU404" s="199">
        <f>'Detailed Budget'!$AD$24</f>
        <v>194045122715</v>
      </c>
      <c r="BV404" s="596">
        <f t="shared" si="472"/>
        <v>0</v>
      </c>
      <c r="BW404" s="278"/>
      <c r="BX404" s="275">
        <f t="shared" si="460"/>
        <v>0</v>
      </c>
      <c r="BY404" s="275">
        <f t="shared" si="461"/>
        <v>0</v>
      </c>
      <c r="CA404" s="199">
        <f>'Detailed Budget'!$AD$96</f>
        <v>71050111380.677719</v>
      </c>
      <c r="CB404" s="275">
        <f t="shared" si="491"/>
        <v>127552432.57238095</v>
      </c>
      <c r="CE404" s="199">
        <f>'Detailed Budget'!$AD$175</f>
        <v>4330586076.5988197</v>
      </c>
      <c r="CF404" s="275">
        <f t="shared" si="473"/>
        <v>17274991.002212651</v>
      </c>
      <c r="CG404" s="199">
        <f>'Detailed Budget'!$AD$176</f>
        <v>20662817754.37001</v>
      </c>
      <c r="CH404" s="275">
        <f t="shared" si="474"/>
        <v>82425332.831519485</v>
      </c>
      <c r="CI404" s="275">
        <f t="shared" si="463"/>
        <v>99700323.833732128</v>
      </c>
      <c r="CJ404" s="275">
        <f>'Detailed Budget'!$AD$178</f>
        <v>46025131033.061455</v>
      </c>
      <c r="CK404" s="275">
        <f t="shared" si="475"/>
        <v>124370093.7337424</v>
      </c>
      <c r="CL404" s="275">
        <f t="shared" si="498"/>
        <v>224070417.56747454</v>
      </c>
      <c r="CM404" s="278">
        <f>'Detailed Budget'!$AD$189</f>
        <v>77498869683.252869</v>
      </c>
      <c r="CN404" s="275">
        <f t="shared" si="492"/>
        <v>0</v>
      </c>
      <c r="CO404" s="140">
        <f>'Detailed Budget'!$AD$191</f>
        <v>2684962805.4134097</v>
      </c>
      <c r="CP404" s="616">
        <f t="shared" si="493"/>
        <v>0</v>
      </c>
      <c r="CQ404" s="616">
        <f t="shared" si="494"/>
        <v>0</v>
      </c>
      <c r="CR404" s="199">
        <f>'Detailed Budget'!$AD$195</f>
        <v>18734176418</v>
      </c>
      <c r="CS404" s="275">
        <f t="shared" si="476"/>
        <v>30217225.427840613</v>
      </c>
      <c r="CW404" s="278"/>
      <c r="DH404" s="140">
        <f>'Detailed Budget'!$AD$163</f>
        <v>4928560000</v>
      </c>
      <c r="DI404" s="616">
        <f t="shared" si="477"/>
        <v>6160000</v>
      </c>
    </row>
    <row r="405" spans="1:113" outlineLevel="1">
      <c r="A405" s="214" t="s">
        <v>937</v>
      </c>
      <c r="B405" s="215" t="s">
        <v>938</v>
      </c>
      <c r="C405" s="216" t="s">
        <v>234</v>
      </c>
      <c r="D405" s="217" t="s">
        <v>234</v>
      </c>
      <c r="E405" s="216"/>
      <c r="F405" s="216"/>
      <c r="G405" s="216"/>
      <c r="H405" s="216" t="s">
        <v>234</v>
      </c>
      <c r="I405" s="217" t="s">
        <v>234</v>
      </c>
      <c r="J405" s="217"/>
      <c r="K405" s="216" t="s">
        <v>234</v>
      </c>
      <c r="L405" s="216"/>
      <c r="M405" s="217"/>
      <c r="N405" s="216"/>
      <c r="O405" s="217"/>
      <c r="P405" s="216"/>
      <c r="Q405" s="217"/>
      <c r="R405" s="217" t="s">
        <v>234</v>
      </c>
      <c r="S405" s="217"/>
      <c r="T405" s="217"/>
      <c r="U405" s="218">
        <f t="shared" si="467"/>
        <v>6</v>
      </c>
      <c r="V405" s="867" t="s">
        <v>238</v>
      </c>
      <c r="W405" s="219">
        <v>209360</v>
      </c>
      <c r="X405" s="220">
        <v>3.04</v>
      </c>
      <c r="Y405" s="221">
        <f t="shared" si="456"/>
        <v>1.0304</v>
      </c>
      <c r="Z405" s="199">
        <v>19</v>
      </c>
      <c r="AA405" s="221">
        <f t="shared" si="457"/>
        <v>1.7664898659259882</v>
      </c>
      <c r="AB405" s="199">
        <f t="shared" si="464"/>
        <v>369832.31833026488</v>
      </c>
      <c r="AC405">
        <v>20.8</v>
      </c>
      <c r="AD405" s="199">
        <f t="shared" si="465"/>
        <v>76925.122212695103</v>
      </c>
      <c r="AE405" s="199">
        <f t="shared" si="462"/>
        <v>73078.866102060347</v>
      </c>
      <c r="AF405" s="199">
        <f t="shared" si="497"/>
        <v>73078.866102060347</v>
      </c>
      <c r="AG405" s="614">
        <f t="shared" si="496"/>
        <v>3.3788459463257436E-3</v>
      </c>
      <c r="AH405" s="199">
        <f t="shared" si="478"/>
        <v>18491.615916513245</v>
      </c>
      <c r="AI405" s="252">
        <f t="shared" si="479"/>
        <v>1.432517467517522E-3</v>
      </c>
      <c r="AJ405" s="199">
        <f t="shared" si="480"/>
        <v>95416.738129208345</v>
      </c>
      <c r="AK405" s="199">
        <f t="shared" si="509"/>
        <v>14793.292733210596</v>
      </c>
      <c r="AL405" s="199">
        <f t="shared" si="510"/>
        <v>14793.292733210596</v>
      </c>
      <c r="AM405" s="199">
        <f t="shared" si="481"/>
        <v>29586.585466421191</v>
      </c>
      <c r="AN405" s="645">
        <f t="shared" si="482"/>
        <v>1.432517467517522E-3</v>
      </c>
      <c r="AO405" s="199">
        <v>10</v>
      </c>
      <c r="AP405" s="250">
        <f t="shared" si="483"/>
        <v>1.1362345188046814E-3</v>
      </c>
      <c r="AQ405" s="199">
        <v>10</v>
      </c>
      <c r="AU405" s="199">
        <v>0</v>
      </c>
      <c r="AW405" s="250">
        <f t="shared" si="484"/>
        <v>0</v>
      </c>
      <c r="AX405" s="199">
        <v>1</v>
      </c>
      <c r="AY405" s="199">
        <f t="shared" si="468"/>
        <v>28557.030485212294</v>
      </c>
      <c r="AZ405" s="199">
        <f t="shared" si="485"/>
        <v>28557.030485212294</v>
      </c>
      <c r="BA405" s="252">
        <f t="shared" si="486"/>
        <v>2.2447679116057682E-3</v>
      </c>
      <c r="BB405" s="284">
        <v>1</v>
      </c>
      <c r="BC405" s="199">
        <f t="shared" si="469"/>
        <v>55386.087993140471</v>
      </c>
      <c r="BD405" s="270">
        <f t="shared" ref="BD405:BD470" si="511">BC405/11104067</f>
        <v>4.9879101047517515E-3</v>
      </c>
      <c r="BE405" s="199">
        <f t="shared" si="470"/>
        <v>236929.37641510094</v>
      </c>
      <c r="BF405" s="251">
        <f t="shared" ref="BF405:BF470" si="512">BE405/47500730</f>
        <v>4.987910215592496E-3</v>
      </c>
      <c r="BG405" s="204">
        <f t="shared" si="455"/>
        <v>292315.46440824139</v>
      </c>
      <c r="BH405" s="636">
        <v>0</v>
      </c>
      <c r="BI405" s="199">
        <f t="shared" si="487"/>
        <v>113168.68940906104</v>
      </c>
      <c r="BJ405" s="199">
        <f t="shared" si="488"/>
        <v>226337.37881812209</v>
      </c>
      <c r="BK405" s="199">
        <f t="shared" si="495"/>
        <v>339506.06822718313</v>
      </c>
      <c r="BL405" s="251">
        <f t="shared" si="489"/>
        <v>1.4325174675175218E-3</v>
      </c>
      <c r="BM405" s="199">
        <f t="shared" si="471"/>
        <v>46703.940684416732</v>
      </c>
      <c r="BN405" s="251">
        <f t="shared" si="490"/>
        <v>2.0168214054710381E-3</v>
      </c>
      <c r="BT405" s="199">
        <f>'Detailed Budget'!$AD$12</f>
        <v>194045122715</v>
      </c>
      <c r="BU405" s="199">
        <f>'Detailed Budget'!$AD$24</f>
        <v>194045122715</v>
      </c>
      <c r="BV405" s="596">
        <f t="shared" si="472"/>
        <v>0</v>
      </c>
      <c r="BW405" s="278"/>
      <c r="BX405" s="275">
        <f t="shared" si="460"/>
        <v>0</v>
      </c>
      <c r="BY405" s="275">
        <f t="shared" si="461"/>
        <v>0</v>
      </c>
      <c r="CA405" s="199">
        <f>'Detailed Budget'!$AD$96</f>
        <v>71050111380.677719</v>
      </c>
      <c r="CB405" s="275">
        <f t="shared" si="491"/>
        <v>159491010.14336115</v>
      </c>
      <c r="CE405" s="199">
        <f>'Detailed Budget'!$AD$175</f>
        <v>4330586076.5988197</v>
      </c>
      <c r="CF405" s="275">
        <f t="shared" si="473"/>
        <v>21600574.050964497</v>
      </c>
      <c r="CG405" s="199">
        <f>'Detailed Budget'!$AD$176</f>
        <v>20662817754.37001</v>
      </c>
      <c r="CH405" s="275">
        <f t="shared" si="474"/>
        <v>103064279.75994818</v>
      </c>
      <c r="CI405" s="275">
        <f t="shared" si="463"/>
        <v>124664853.81091267</v>
      </c>
      <c r="CJ405" s="275">
        <f>'Detailed Budget'!$AD$178</f>
        <v>46025131033.061455</v>
      </c>
      <c r="CK405" s="275">
        <f t="shared" si="475"/>
        <v>155511827.42017087</v>
      </c>
      <c r="CL405" s="275">
        <f t="shared" si="498"/>
        <v>280176681.23108351</v>
      </c>
      <c r="CM405" s="278">
        <f>'Detailed Budget'!$AD$189</f>
        <v>77498869683.252869</v>
      </c>
      <c r="CN405" s="275">
        <f t="shared" si="492"/>
        <v>0</v>
      </c>
      <c r="CO405" s="140">
        <f>'Detailed Budget'!$AD$191</f>
        <v>2684962805.4134097</v>
      </c>
      <c r="CP405" s="616">
        <f t="shared" si="493"/>
        <v>0</v>
      </c>
      <c r="CQ405" s="616">
        <f t="shared" si="494"/>
        <v>0</v>
      </c>
      <c r="CR405" s="199">
        <f>'Detailed Budget'!$AD$195</f>
        <v>18734176418</v>
      </c>
      <c r="CS405" s="275">
        <f t="shared" si="476"/>
        <v>37783488.013693139</v>
      </c>
      <c r="CW405" s="278"/>
      <c r="DH405" s="140">
        <f>'Detailed Budget'!$AD$163</f>
        <v>4928560000</v>
      </c>
      <c r="DI405" s="616">
        <f t="shared" si="477"/>
        <v>5600000</v>
      </c>
    </row>
    <row r="406" spans="1:113" outlineLevel="1">
      <c r="A406" s="214" t="s">
        <v>939</v>
      </c>
      <c r="B406" s="215" t="s">
        <v>940</v>
      </c>
      <c r="C406" s="216" t="s">
        <v>234</v>
      </c>
      <c r="D406" s="217" t="s">
        <v>234</v>
      </c>
      <c r="E406" s="216"/>
      <c r="F406" s="216"/>
      <c r="G406" s="216"/>
      <c r="H406" s="216" t="s">
        <v>234</v>
      </c>
      <c r="I406" s="217" t="s">
        <v>234</v>
      </c>
      <c r="J406" s="217"/>
      <c r="K406" s="216" t="s">
        <v>234</v>
      </c>
      <c r="L406" s="216"/>
      <c r="M406" s="217"/>
      <c r="N406" s="216"/>
      <c r="O406" s="217"/>
      <c r="P406" s="216"/>
      <c r="Q406" s="217"/>
      <c r="R406" s="217" t="s">
        <v>234</v>
      </c>
      <c r="S406" s="217"/>
      <c r="T406" s="217"/>
      <c r="U406" s="218">
        <f t="shared" si="467"/>
        <v>6</v>
      </c>
      <c r="V406" s="867" t="s">
        <v>238</v>
      </c>
      <c r="W406" s="219">
        <v>182405</v>
      </c>
      <c r="X406" s="220">
        <v>3.04</v>
      </c>
      <c r="Y406" s="221">
        <f t="shared" si="456"/>
        <v>1.0304</v>
      </c>
      <c r="Z406" s="199">
        <v>19</v>
      </c>
      <c r="AA406" s="221">
        <f t="shared" si="457"/>
        <v>1.7664898659259882</v>
      </c>
      <c r="AB406" s="199">
        <f t="shared" si="464"/>
        <v>322216.58399422991</v>
      </c>
      <c r="AC406">
        <v>20.8</v>
      </c>
      <c r="AD406" s="199">
        <f t="shared" si="465"/>
        <v>67021.04947079983</v>
      </c>
      <c r="AE406" s="199">
        <f t="shared" si="462"/>
        <v>63669.996997259834</v>
      </c>
      <c r="AF406" s="199">
        <f t="shared" si="497"/>
        <v>63669.996997259834</v>
      </c>
      <c r="AG406" s="614">
        <f t="shared" si="496"/>
        <v>2.9438211446290953E-3</v>
      </c>
      <c r="AH406" s="199">
        <f t="shared" si="478"/>
        <v>16110.829199711496</v>
      </c>
      <c r="AI406" s="252">
        <f t="shared" si="479"/>
        <v>1.2480815278111082E-3</v>
      </c>
      <c r="AJ406" s="199">
        <f t="shared" si="480"/>
        <v>83131.878670511331</v>
      </c>
      <c r="AK406" s="199">
        <f t="shared" si="509"/>
        <v>12888.663359769196</v>
      </c>
      <c r="AL406" s="199">
        <f t="shared" si="510"/>
        <v>12888.663359769196</v>
      </c>
      <c r="AM406" s="199">
        <f t="shared" si="481"/>
        <v>25777.326719538392</v>
      </c>
      <c r="AN406" s="645">
        <f t="shared" si="482"/>
        <v>1.2480815278111082E-3</v>
      </c>
      <c r="AO406" s="199">
        <v>10</v>
      </c>
      <c r="AP406" s="250">
        <f t="shared" si="483"/>
        <v>1.1362345188046814E-3</v>
      </c>
      <c r="AQ406" s="199">
        <v>10</v>
      </c>
      <c r="AU406" s="199">
        <v>0</v>
      </c>
      <c r="AW406" s="250">
        <f t="shared" si="484"/>
        <v>0</v>
      </c>
      <c r="AX406" s="199">
        <v>1</v>
      </c>
      <c r="AY406" s="199">
        <f t="shared" si="468"/>
        <v>24880.326450397166</v>
      </c>
      <c r="AZ406" s="199">
        <f t="shared" si="485"/>
        <v>24880.326450397166</v>
      </c>
      <c r="BA406" s="252">
        <f t="shared" si="486"/>
        <v>1.9557551151912988E-3</v>
      </c>
      <c r="BB406" s="284">
        <v>1</v>
      </c>
      <c r="BC406" s="199">
        <f t="shared" si="469"/>
        <v>48255.155618975878</v>
      </c>
      <c r="BD406" s="270">
        <f t="shared" si="511"/>
        <v>4.3457190612210712E-3</v>
      </c>
      <c r="BE406" s="199">
        <f t="shared" si="470"/>
        <v>206424.83237006349</v>
      </c>
      <c r="BF406" s="251">
        <f t="shared" si="512"/>
        <v>4.3457191577911218E-3</v>
      </c>
      <c r="BG406" s="204">
        <f t="shared" si="455"/>
        <v>254679.98798903936</v>
      </c>
      <c r="BH406" s="636">
        <v>0</v>
      </c>
      <c r="BI406" s="199">
        <f t="shared" si="487"/>
        <v>98598.274702234354</v>
      </c>
      <c r="BJ406" s="199">
        <f t="shared" si="488"/>
        <v>197196.54940446871</v>
      </c>
      <c r="BK406" s="199">
        <f t="shared" si="495"/>
        <v>295794.82410670305</v>
      </c>
      <c r="BL406" s="251">
        <f t="shared" si="489"/>
        <v>1.2480815278111082E-3</v>
      </c>
      <c r="BM406" s="199">
        <f t="shared" si="471"/>
        <v>40690.830629255994</v>
      </c>
      <c r="BN406" s="251">
        <f t="shared" si="490"/>
        <v>1.7571566128436412E-3</v>
      </c>
      <c r="BT406" s="199">
        <f>'Detailed Budget'!$AD$12</f>
        <v>194045122715</v>
      </c>
      <c r="BU406" s="199">
        <f>'Detailed Budget'!$AD$24</f>
        <v>194045122715</v>
      </c>
      <c r="BV406" s="596">
        <f t="shared" si="472"/>
        <v>0</v>
      </c>
      <c r="BW406" s="278"/>
      <c r="BX406" s="275">
        <f t="shared" si="460"/>
        <v>0</v>
      </c>
      <c r="BY406" s="275">
        <f t="shared" si="461"/>
        <v>0</v>
      </c>
      <c r="CA406" s="199">
        <f>'Detailed Budget'!$AD$96</f>
        <v>71050111380.677719</v>
      </c>
      <c r="CB406" s="275">
        <f t="shared" si="491"/>
        <v>138956618.76767197</v>
      </c>
      <c r="CE406" s="199">
        <f>'Detailed Budget'!$AD$175</f>
        <v>4330586076.5988197</v>
      </c>
      <c r="CF406" s="275">
        <f t="shared" si="473"/>
        <v>18819510.459334064</v>
      </c>
      <c r="CG406" s="199">
        <f>'Detailed Budget'!$AD$176</f>
        <v>20662817754.37001</v>
      </c>
      <c r="CH406" s="275">
        <f t="shared" si="474"/>
        <v>89794802.969112277</v>
      </c>
      <c r="CI406" s="275">
        <f t="shared" si="463"/>
        <v>108614313.42844634</v>
      </c>
      <c r="CJ406" s="275">
        <f>'Detailed Budget'!$AD$178</f>
        <v>46025131033.061455</v>
      </c>
      <c r="CK406" s="275">
        <f t="shared" si="475"/>
        <v>135489753.91945106</v>
      </c>
      <c r="CL406" s="275">
        <f t="shared" si="498"/>
        <v>244104067.34789741</v>
      </c>
      <c r="CM406" s="278">
        <f>'Detailed Budget'!$AD$189</f>
        <v>77498869683.252869</v>
      </c>
      <c r="CN406" s="275">
        <f t="shared" si="492"/>
        <v>0</v>
      </c>
      <c r="CO406" s="140">
        <f>'Detailed Budget'!$AD$191</f>
        <v>2684962805.4134097</v>
      </c>
      <c r="CP406" s="616">
        <f t="shared" si="493"/>
        <v>0</v>
      </c>
      <c r="CQ406" s="616">
        <f t="shared" si="494"/>
        <v>0</v>
      </c>
      <c r="CR406" s="199">
        <f>'Detailed Budget'!$AD$195</f>
        <v>18734176418</v>
      </c>
      <c r="CS406" s="275">
        <f t="shared" si="476"/>
        <v>32918881.9790681</v>
      </c>
      <c r="CW406" s="278"/>
      <c r="DH406" s="140">
        <f>'Detailed Budget'!$AD$163</f>
        <v>4928560000</v>
      </c>
      <c r="DI406" s="616">
        <f t="shared" si="477"/>
        <v>5600000</v>
      </c>
    </row>
    <row r="407" spans="1:113" outlineLevel="1">
      <c r="A407" s="214" t="s">
        <v>941</v>
      </c>
      <c r="B407" s="215" t="s">
        <v>942</v>
      </c>
      <c r="C407" s="216" t="s">
        <v>234</v>
      </c>
      <c r="D407" s="217" t="s">
        <v>234</v>
      </c>
      <c r="E407" s="216"/>
      <c r="F407" s="216"/>
      <c r="G407" s="216"/>
      <c r="H407" s="216" t="s">
        <v>234</v>
      </c>
      <c r="I407" s="217" t="s">
        <v>234</v>
      </c>
      <c r="J407" s="217"/>
      <c r="K407" s="216" t="s">
        <v>234</v>
      </c>
      <c r="L407" s="216"/>
      <c r="M407" s="217"/>
      <c r="N407" s="216"/>
      <c r="O407" s="217"/>
      <c r="P407" s="216"/>
      <c r="Q407" s="217"/>
      <c r="R407" s="217" t="s">
        <v>234</v>
      </c>
      <c r="S407" s="217"/>
      <c r="T407" s="217"/>
      <c r="U407" s="218">
        <f t="shared" si="467"/>
        <v>6</v>
      </c>
      <c r="V407" s="867" t="s">
        <v>238</v>
      </c>
      <c r="W407" s="219">
        <v>243259</v>
      </c>
      <c r="X407" s="220">
        <v>3.04</v>
      </c>
      <c r="Y407" s="221">
        <f t="shared" si="456"/>
        <v>1.0304</v>
      </c>
      <c r="Z407" s="199">
        <v>19</v>
      </c>
      <c r="AA407" s="221">
        <f t="shared" si="457"/>
        <v>1.7664898659259882</v>
      </c>
      <c r="AB407" s="199">
        <f t="shared" si="464"/>
        <v>429714.55829528999</v>
      </c>
      <c r="AC407">
        <v>20.8</v>
      </c>
      <c r="AD407" s="199">
        <f t="shared" si="465"/>
        <v>89380.62812542032</v>
      </c>
      <c r="AE407" s="199">
        <f t="shared" si="462"/>
        <v>84911.596719149296</v>
      </c>
      <c r="AF407" s="199">
        <f t="shared" si="497"/>
        <v>84911.596719149296</v>
      </c>
      <c r="AG407" s="614">
        <f t="shared" si="496"/>
        <v>3.9259394633991886E-3</v>
      </c>
      <c r="AH407" s="199">
        <f t="shared" si="478"/>
        <v>21485.727914764502</v>
      </c>
      <c r="AI407" s="252">
        <f t="shared" si="479"/>
        <v>1.6644667874992595E-3</v>
      </c>
      <c r="AJ407" s="199">
        <f t="shared" si="480"/>
        <v>110866.35604018482</v>
      </c>
      <c r="AK407" s="199">
        <f t="shared" si="509"/>
        <v>17188.582331811598</v>
      </c>
      <c r="AL407" s="199">
        <f t="shared" si="510"/>
        <v>17188.582331811598</v>
      </c>
      <c r="AM407" s="199">
        <f t="shared" si="481"/>
        <v>34377.164663623196</v>
      </c>
      <c r="AN407" s="645">
        <f t="shared" si="482"/>
        <v>1.664466787499259E-3</v>
      </c>
      <c r="AO407" s="199">
        <v>11</v>
      </c>
      <c r="AP407" s="250">
        <f t="shared" si="483"/>
        <v>1.2498579706851495E-3</v>
      </c>
      <c r="AQ407" s="199">
        <v>11</v>
      </c>
      <c r="AU407" s="199">
        <v>0</v>
      </c>
      <c r="AW407" s="250">
        <f t="shared" si="484"/>
        <v>0</v>
      </c>
      <c r="AX407" s="199">
        <v>1</v>
      </c>
      <c r="AY407" s="199">
        <f t="shared" si="468"/>
        <v>33180.906948807118</v>
      </c>
      <c r="AZ407" s="199">
        <f t="shared" si="485"/>
        <v>33180.906948807118</v>
      </c>
      <c r="BA407" s="252">
        <f t="shared" si="486"/>
        <v>2.6082346074193141E-3</v>
      </c>
      <c r="BB407" s="284">
        <v>1</v>
      </c>
      <c r="BC407" s="199">
        <f t="shared" si="469"/>
        <v>64354.05225030263</v>
      </c>
      <c r="BD407" s="270">
        <f t="shared" si="511"/>
        <v>5.7955389003238747E-3</v>
      </c>
      <c r="BE407" s="199">
        <f t="shared" si="470"/>
        <v>275292.33462629461</v>
      </c>
      <c r="BF407" s="251">
        <f t="shared" si="512"/>
        <v>5.7955390291116494E-3</v>
      </c>
      <c r="BG407" s="204">
        <f t="shared" si="455"/>
        <v>339646.38687659724</v>
      </c>
      <c r="BH407" s="636">
        <v>0</v>
      </c>
      <c r="BI407" s="199">
        <f t="shared" si="487"/>
        <v>131492.65483835872</v>
      </c>
      <c r="BJ407" s="199">
        <f t="shared" si="488"/>
        <v>262985.30967671744</v>
      </c>
      <c r="BK407" s="199">
        <f t="shared" si="495"/>
        <v>394477.96451507614</v>
      </c>
      <c r="BL407" s="251">
        <f t="shared" si="489"/>
        <v>1.6644667874992588E-3</v>
      </c>
      <c r="BM407" s="199">
        <f t="shared" si="471"/>
        <v>54266.115336981908</v>
      </c>
      <c r="BN407" s="251">
        <f t="shared" si="490"/>
        <v>2.3433796249210897E-3</v>
      </c>
      <c r="BT407" s="199">
        <f>'Detailed Budget'!$AD$12</f>
        <v>194045122715</v>
      </c>
      <c r="BU407" s="199">
        <f>'Detailed Budget'!$AD$24</f>
        <v>194045122715</v>
      </c>
      <c r="BV407" s="596">
        <f t="shared" si="472"/>
        <v>0</v>
      </c>
      <c r="BW407" s="278"/>
      <c r="BX407" s="275">
        <f t="shared" si="460"/>
        <v>0</v>
      </c>
      <c r="BY407" s="275">
        <f t="shared" si="461"/>
        <v>0</v>
      </c>
      <c r="CA407" s="199">
        <f>'Detailed Budget'!$AD$96</f>
        <v>71050111380.677719</v>
      </c>
      <c r="CB407" s="275">
        <f t="shared" si="491"/>
        <v>185315359.36408049</v>
      </c>
      <c r="CE407" s="199">
        <f>'Detailed Budget'!$AD$175</f>
        <v>4330586076.5988197</v>
      </c>
      <c r="CF407" s="275">
        <f t="shared" si="473"/>
        <v>25098080.068129405</v>
      </c>
      <c r="CG407" s="199">
        <f>'Detailed Budget'!$AD$176</f>
        <v>20662817754.37001</v>
      </c>
      <c r="CH407" s="275">
        <f t="shared" si="474"/>
        <v>119752166.74687253</v>
      </c>
      <c r="CI407" s="275">
        <f t="shared" si="463"/>
        <v>144850246.81500193</v>
      </c>
      <c r="CJ407" s="275">
        <f>'Detailed Budget'!$AD$178</f>
        <v>46025131033.061455</v>
      </c>
      <c r="CK407" s="275">
        <f t="shared" si="475"/>
        <v>180691878.23081464</v>
      </c>
      <c r="CL407" s="275">
        <f t="shared" si="498"/>
        <v>325542125.04581654</v>
      </c>
      <c r="CM407" s="278">
        <f>'Detailed Budget'!$AD$189</f>
        <v>77498869683.252869</v>
      </c>
      <c r="CN407" s="275">
        <f t="shared" si="492"/>
        <v>0</v>
      </c>
      <c r="CO407" s="140">
        <f>'Detailed Budget'!$AD$191</f>
        <v>2684962805.4134097</v>
      </c>
      <c r="CP407" s="616">
        <f t="shared" si="493"/>
        <v>0</v>
      </c>
      <c r="CQ407" s="616">
        <f t="shared" si="494"/>
        <v>0</v>
      </c>
      <c r="CR407" s="199">
        <f>'Detailed Budget'!$AD$195</f>
        <v>18734176418</v>
      </c>
      <c r="CS407" s="275">
        <f t="shared" si="476"/>
        <v>43901287.307618365</v>
      </c>
      <c r="CW407" s="278"/>
      <c r="DH407" s="140">
        <f>'Detailed Budget'!$AD$163</f>
        <v>4928560000</v>
      </c>
      <c r="DI407" s="616">
        <f t="shared" si="477"/>
        <v>6160000</v>
      </c>
    </row>
    <row r="408" spans="1:113" outlineLevel="1">
      <c r="A408" s="214" t="s">
        <v>943</v>
      </c>
      <c r="B408" s="215" t="s">
        <v>944</v>
      </c>
      <c r="C408" s="216" t="s">
        <v>234</v>
      </c>
      <c r="D408" s="217" t="s">
        <v>234</v>
      </c>
      <c r="E408" s="216"/>
      <c r="F408" s="216"/>
      <c r="G408" s="216"/>
      <c r="H408" s="216" t="s">
        <v>234</v>
      </c>
      <c r="I408" s="217" t="s">
        <v>234</v>
      </c>
      <c r="J408" s="217"/>
      <c r="K408" s="216" t="s">
        <v>234</v>
      </c>
      <c r="L408" s="216"/>
      <c r="M408" s="217"/>
      <c r="N408" s="216"/>
      <c r="O408" s="217"/>
      <c r="P408" s="216"/>
      <c r="Q408" s="217"/>
      <c r="R408" s="217" t="s">
        <v>234</v>
      </c>
      <c r="S408" s="217"/>
      <c r="T408" s="217"/>
      <c r="U408" s="218">
        <f t="shared" si="467"/>
        <v>6</v>
      </c>
      <c r="V408" s="867" t="s">
        <v>238</v>
      </c>
      <c r="W408" s="219">
        <v>151395</v>
      </c>
      <c r="X408" s="220">
        <v>3.04</v>
      </c>
      <c r="Y408" s="221">
        <f t="shared" si="456"/>
        <v>1.0304</v>
      </c>
      <c r="Z408" s="199">
        <v>19</v>
      </c>
      <c r="AA408" s="221">
        <f t="shared" si="457"/>
        <v>1.7664898659259882</v>
      </c>
      <c r="AB408" s="199">
        <f t="shared" si="464"/>
        <v>267437.73325186496</v>
      </c>
      <c r="AC408">
        <v>20.8</v>
      </c>
      <c r="AD408" s="199">
        <f t="shared" si="465"/>
        <v>55627.048516387913</v>
      </c>
      <c r="AE408" s="199">
        <f t="shared" si="462"/>
        <v>52845.696090568512</v>
      </c>
      <c r="AF408" s="199">
        <f t="shared" si="497"/>
        <v>52845.696090568512</v>
      </c>
      <c r="AG408" s="614">
        <f t="shared" si="496"/>
        <v>2.4433529902750566E-3</v>
      </c>
      <c r="AH408" s="199">
        <f t="shared" si="478"/>
        <v>13371.88666259325</v>
      </c>
      <c r="AI408" s="252">
        <f t="shared" si="479"/>
        <v>1.0358997993638482E-3</v>
      </c>
      <c r="AJ408" s="199">
        <f t="shared" si="480"/>
        <v>68998.935178981163</v>
      </c>
      <c r="AK408" s="199">
        <f t="shared" si="509"/>
        <v>10697.509330074599</v>
      </c>
      <c r="AL408" s="199">
        <f t="shared" si="510"/>
        <v>10697.509330074599</v>
      </c>
      <c r="AM408" s="199">
        <f t="shared" si="481"/>
        <v>21395.018660149199</v>
      </c>
      <c r="AN408" s="645">
        <f t="shared" si="482"/>
        <v>1.0358997993638482E-3</v>
      </c>
      <c r="AO408" s="199">
        <v>10</v>
      </c>
      <c r="AP408" s="250">
        <f t="shared" si="483"/>
        <v>1.1362345188046814E-3</v>
      </c>
      <c r="AQ408" s="199">
        <v>10</v>
      </c>
      <c r="AU408" s="199">
        <v>0</v>
      </c>
      <c r="AW408" s="250">
        <f t="shared" si="484"/>
        <v>0</v>
      </c>
      <c r="AX408" s="199">
        <v>1</v>
      </c>
      <c r="AY408" s="199">
        <f t="shared" si="468"/>
        <v>20650.514092036279</v>
      </c>
      <c r="AZ408" s="199">
        <f t="shared" si="485"/>
        <v>20650.514092036279</v>
      </c>
      <c r="BA408" s="252">
        <f t="shared" si="486"/>
        <v>1.6232644152538941E-3</v>
      </c>
      <c r="BB408" s="284">
        <v>1</v>
      </c>
      <c r="BC408" s="199">
        <f t="shared" si="469"/>
        <v>40051.474931799297</v>
      </c>
      <c r="BD408" s="270">
        <f t="shared" si="511"/>
        <v>3.6069194225682622E-3</v>
      </c>
      <c r="BE408" s="199">
        <f t="shared" si="470"/>
        <v>171331.30943047476</v>
      </c>
      <c r="BF408" s="251">
        <f t="shared" si="512"/>
        <v>3.6069195027207952E-3</v>
      </c>
      <c r="BG408" s="204">
        <f t="shared" si="455"/>
        <v>211382.78436227405</v>
      </c>
      <c r="BH408" s="636">
        <v>0</v>
      </c>
      <c r="BI408" s="199">
        <f t="shared" si="487"/>
        <v>81835.946375070693</v>
      </c>
      <c r="BJ408" s="199">
        <f t="shared" si="488"/>
        <v>163671.89275014139</v>
      </c>
      <c r="BK408" s="199">
        <f t="shared" si="495"/>
        <v>245507.83912521208</v>
      </c>
      <c r="BL408" s="251">
        <f t="shared" si="489"/>
        <v>1.0358997993638482E-3</v>
      </c>
      <c r="BM408" s="199">
        <f t="shared" si="471"/>
        <v>33773.132880766483</v>
      </c>
      <c r="BN408" s="251">
        <f t="shared" si="490"/>
        <v>1.4584289103997314E-3</v>
      </c>
      <c r="BT408" s="199">
        <f>'Detailed Budget'!$AD$12</f>
        <v>194045122715</v>
      </c>
      <c r="BU408" s="199">
        <f>'Detailed Budget'!$AD$24</f>
        <v>194045122715</v>
      </c>
      <c r="BV408" s="596">
        <f t="shared" si="472"/>
        <v>0</v>
      </c>
      <c r="BW408" s="278"/>
      <c r="BX408" s="275">
        <f t="shared" si="460"/>
        <v>0</v>
      </c>
      <c r="BY408" s="275">
        <f t="shared" si="461"/>
        <v>0</v>
      </c>
      <c r="CA408" s="199">
        <f>'Detailed Budget'!$AD$96</f>
        <v>71050111380.677719</v>
      </c>
      <c r="CB408" s="275">
        <f t="shared" si="491"/>
        <v>115333117.50407986</v>
      </c>
      <c r="CE408" s="199">
        <f>'Detailed Budget'!$AD$175</f>
        <v>4330586076.5988197</v>
      </c>
      <c r="CF408" s="275">
        <f t="shared" si="473"/>
        <v>15620075.030787971</v>
      </c>
      <c r="CG408" s="199">
        <f>'Detailed Budget'!$AD$176</f>
        <v>20662817754.37001</v>
      </c>
      <c r="CH408" s="275">
        <f t="shared" si="474"/>
        <v>74529120.339402691</v>
      </c>
      <c r="CI408" s="275">
        <f t="shared" si="463"/>
        <v>90149195.370190665</v>
      </c>
      <c r="CJ408" s="275">
        <f>'Detailed Budget'!$AD$178</f>
        <v>46025131033.061455</v>
      </c>
      <c r="CK408" s="275">
        <f t="shared" si="475"/>
        <v>112455641.53743201</v>
      </c>
      <c r="CL408" s="275">
        <f t="shared" si="498"/>
        <v>202604836.90762269</v>
      </c>
      <c r="CM408" s="278">
        <f>'Detailed Budget'!$AD$189</f>
        <v>77498869683.252869</v>
      </c>
      <c r="CN408" s="275">
        <f t="shared" si="492"/>
        <v>0</v>
      </c>
      <c r="CO408" s="140">
        <f>'Detailed Budget'!$AD$191</f>
        <v>2684962805.4134097</v>
      </c>
      <c r="CP408" s="616">
        <f t="shared" si="493"/>
        <v>0</v>
      </c>
      <c r="CQ408" s="616">
        <f t="shared" si="494"/>
        <v>0</v>
      </c>
      <c r="CR408" s="199">
        <f>'Detailed Budget'!$AD$195</f>
        <v>18734176418</v>
      </c>
      <c r="CS408" s="275">
        <f t="shared" si="476"/>
        <v>27322464.500540081</v>
      </c>
      <c r="CW408" s="278"/>
      <c r="DH408" s="140">
        <f>'Detailed Budget'!$AD$163</f>
        <v>4928560000</v>
      </c>
      <c r="DI408" s="616">
        <f t="shared" si="477"/>
        <v>5600000</v>
      </c>
    </row>
    <row r="409" spans="1:113" outlineLevel="1">
      <c r="A409" s="214" t="s">
        <v>945</v>
      </c>
      <c r="B409" s="215" t="s">
        <v>904</v>
      </c>
      <c r="C409" s="216" t="s">
        <v>234</v>
      </c>
      <c r="D409" s="217" t="s">
        <v>234</v>
      </c>
      <c r="E409" s="216"/>
      <c r="F409" s="216"/>
      <c r="G409" s="216"/>
      <c r="H409" s="216" t="s">
        <v>234</v>
      </c>
      <c r="I409" s="217" t="s">
        <v>234</v>
      </c>
      <c r="J409" s="217"/>
      <c r="K409" s="216" t="s">
        <v>234</v>
      </c>
      <c r="L409" s="216"/>
      <c r="M409" s="217"/>
      <c r="N409" s="216"/>
      <c r="O409" s="217"/>
      <c r="P409" s="216"/>
      <c r="Q409" s="217"/>
      <c r="R409" s="217" t="s">
        <v>234</v>
      </c>
      <c r="S409" s="217"/>
      <c r="T409" s="217"/>
      <c r="U409" s="218">
        <f t="shared" si="467"/>
        <v>6</v>
      </c>
      <c r="V409" s="867" t="s">
        <v>238</v>
      </c>
      <c r="W409" s="219">
        <v>318132</v>
      </c>
      <c r="X409" s="220">
        <v>3.04</v>
      </c>
      <c r="Y409" s="221">
        <f t="shared" si="456"/>
        <v>1.0304</v>
      </c>
      <c r="Z409" s="199">
        <v>19</v>
      </c>
      <c r="AA409" s="221">
        <f t="shared" si="457"/>
        <v>1.7664898659259882</v>
      </c>
      <c r="AB409" s="199">
        <f t="shared" si="464"/>
        <v>561976.95402676647</v>
      </c>
      <c r="AC409">
        <v>20.8</v>
      </c>
      <c r="AD409" s="199">
        <f t="shared" si="465"/>
        <v>116891.20643756744</v>
      </c>
      <c r="AE409" s="199">
        <f t="shared" si="462"/>
        <v>111046.64611568906</v>
      </c>
      <c r="AF409" s="199">
        <f t="shared" si="497"/>
        <v>111046.64611568906</v>
      </c>
      <c r="AG409" s="614">
        <f t="shared" si="496"/>
        <v>5.1343094124785132E-3</v>
      </c>
      <c r="AH409" s="199">
        <f t="shared" si="478"/>
        <v>28098.847701338324</v>
      </c>
      <c r="AI409" s="252">
        <f t="shared" si="479"/>
        <v>2.1767751575099557E-3</v>
      </c>
      <c r="AJ409" s="199">
        <f t="shared" si="480"/>
        <v>144990.05413890578</v>
      </c>
      <c r="AK409" s="199">
        <f t="shared" si="509"/>
        <v>22479.078161070658</v>
      </c>
      <c r="AL409" s="199">
        <f t="shared" si="510"/>
        <v>22479.078161070658</v>
      </c>
      <c r="AM409" s="199">
        <f t="shared" si="481"/>
        <v>44958.156322141316</v>
      </c>
      <c r="AN409" s="645">
        <f t="shared" si="482"/>
        <v>2.1767751575099553E-3</v>
      </c>
      <c r="AO409" s="199">
        <v>12</v>
      </c>
      <c r="AP409" s="250">
        <f t="shared" si="483"/>
        <v>1.3634814225656176E-3</v>
      </c>
      <c r="AQ409" s="199">
        <v>12</v>
      </c>
      <c r="AU409" s="199">
        <v>0</v>
      </c>
      <c r="AW409" s="250">
        <f t="shared" si="484"/>
        <v>0</v>
      </c>
      <c r="AX409" s="199">
        <v>1</v>
      </c>
      <c r="AY409" s="199">
        <f t="shared" si="468"/>
        <v>43393.70090906362</v>
      </c>
      <c r="AZ409" s="199">
        <f t="shared" si="485"/>
        <v>43393.70090906362</v>
      </c>
      <c r="BA409" s="252">
        <f t="shared" si="486"/>
        <v>3.4110264866973939E-3</v>
      </c>
      <c r="BB409" s="284">
        <v>1</v>
      </c>
      <c r="BC409" s="199">
        <f t="shared" si="469"/>
        <v>84161.668635048554</v>
      </c>
      <c r="BD409" s="270">
        <f t="shared" si="511"/>
        <v>7.579355261009192E-3</v>
      </c>
      <c r="BE409" s="199">
        <f t="shared" si="470"/>
        <v>360024.91582770774</v>
      </c>
      <c r="BF409" s="251">
        <f t="shared" si="512"/>
        <v>7.5793554294367209E-3</v>
      </c>
      <c r="BG409" s="204">
        <f t="shared" si="455"/>
        <v>444186.58446275629</v>
      </c>
      <c r="BH409" s="636">
        <v>0</v>
      </c>
      <c r="BI409" s="199">
        <f t="shared" si="487"/>
        <v>171964.94793219052</v>
      </c>
      <c r="BJ409" s="199">
        <f t="shared" si="488"/>
        <v>343929.89586438105</v>
      </c>
      <c r="BK409" s="199">
        <f t="shared" si="495"/>
        <v>515894.8437965716</v>
      </c>
      <c r="BL409" s="251">
        <f t="shared" si="489"/>
        <v>2.1767751575099553E-3</v>
      </c>
      <c r="BM409" s="199">
        <f t="shared" si="471"/>
        <v>70968.752664381274</v>
      </c>
      <c r="BN409" s="251">
        <f t="shared" si="490"/>
        <v>3.0646514490127639E-3</v>
      </c>
      <c r="BT409" s="199">
        <f>'Detailed Budget'!$AD$12</f>
        <v>194045122715</v>
      </c>
      <c r="BU409" s="199">
        <f>'Detailed Budget'!$AD$24</f>
        <v>194045122715</v>
      </c>
      <c r="BV409" s="596">
        <f t="shared" si="472"/>
        <v>0</v>
      </c>
      <c r="BW409" s="278"/>
      <c r="BX409" s="275">
        <f t="shared" si="460"/>
        <v>0</v>
      </c>
      <c r="BY409" s="275">
        <f t="shared" si="461"/>
        <v>0</v>
      </c>
      <c r="CA409" s="199">
        <f>'Detailed Budget'!$AD$96</f>
        <v>71050111380.677719</v>
      </c>
      <c r="CB409" s="275">
        <f t="shared" si="491"/>
        <v>242353811.80229163</v>
      </c>
      <c r="CE409" s="199">
        <f>'Detailed Budget'!$AD$175</f>
        <v>4330586076.5988197</v>
      </c>
      <c r="CF409" s="275">
        <f t="shared" si="473"/>
        <v>32823050.362922419</v>
      </c>
      <c r="CG409" s="199">
        <f>'Detailed Budget'!$AD$176</f>
        <v>20662817754.37001</v>
      </c>
      <c r="CH409" s="275">
        <f t="shared" si="474"/>
        <v>156610839.93404582</v>
      </c>
      <c r="CI409" s="275">
        <f t="shared" si="463"/>
        <v>189433890.29696825</v>
      </c>
      <c r="CJ409" s="275">
        <f>'Detailed Budget'!$AD$178</f>
        <v>46025131033.061455</v>
      </c>
      <c r="CK409" s="275">
        <f t="shared" si="475"/>
        <v>236307263.47360435</v>
      </c>
      <c r="CL409" s="275">
        <f t="shared" si="498"/>
        <v>425741153.7705726</v>
      </c>
      <c r="CM409" s="278">
        <f>'Detailed Budget'!$AD$189</f>
        <v>77498869683.252869</v>
      </c>
      <c r="CN409" s="275">
        <f t="shared" si="492"/>
        <v>0</v>
      </c>
      <c r="CO409" s="140">
        <f>'Detailed Budget'!$AD$191</f>
        <v>2684962805.4134097</v>
      </c>
      <c r="CP409" s="616">
        <f t="shared" si="493"/>
        <v>0</v>
      </c>
      <c r="CQ409" s="616">
        <f t="shared" si="494"/>
        <v>0</v>
      </c>
      <c r="CR409" s="199">
        <f>'Detailed Budget'!$AD$195</f>
        <v>18734176418</v>
      </c>
      <c r="CS409" s="275">
        <f t="shared" si="476"/>
        <v>57413720.905484453</v>
      </c>
      <c r="CW409" s="278"/>
      <c r="DH409" s="140">
        <f>'Detailed Budget'!$AD$163</f>
        <v>4928560000</v>
      </c>
      <c r="DI409" s="616">
        <f t="shared" si="477"/>
        <v>6720000</v>
      </c>
    </row>
    <row r="410" spans="1:113" outlineLevel="1">
      <c r="A410" s="214" t="s">
        <v>946</v>
      </c>
      <c r="B410" s="215" t="s">
        <v>947</v>
      </c>
      <c r="C410" s="216" t="s">
        <v>234</v>
      </c>
      <c r="D410" s="217" t="s">
        <v>234</v>
      </c>
      <c r="E410" s="216"/>
      <c r="F410" s="216"/>
      <c r="G410" s="216"/>
      <c r="H410" s="216" t="s">
        <v>234</v>
      </c>
      <c r="I410" s="217" t="s">
        <v>234</v>
      </c>
      <c r="J410" s="217"/>
      <c r="K410" s="216" t="s">
        <v>234</v>
      </c>
      <c r="L410" s="216"/>
      <c r="M410" s="217"/>
      <c r="N410" s="216"/>
      <c r="O410" s="217"/>
      <c r="P410" s="216"/>
      <c r="Q410" s="217"/>
      <c r="R410" s="217" t="s">
        <v>234</v>
      </c>
      <c r="S410" s="217"/>
      <c r="T410" s="217"/>
      <c r="U410" s="218">
        <f t="shared" si="467"/>
        <v>6</v>
      </c>
      <c r="V410" s="867" t="s">
        <v>238</v>
      </c>
      <c r="W410" s="219">
        <v>116700</v>
      </c>
      <c r="X410" s="220">
        <v>3.04</v>
      </c>
      <c r="Y410" s="221">
        <f t="shared" si="456"/>
        <v>1.0304</v>
      </c>
      <c r="Z410" s="199">
        <v>19</v>
      </c>
      <c r="AA410" s="221">
        <f t="shared" si="457"/>
        <v>1.7664898659259882</v>
      </c>
      <c r="AB410" s="199">
        <f t="shared" si="464"/>
        <v>206149.36735356282</v>
      </c>
      <c r="AC410">
        <v>20.8</v>
      </c>
      <c r="AD410" s="199">
        <f t="shared" si="465"/>
        <v>42879.068409541069</v>
      </c>
      <c r="AE410" s="199">
        <f t="shared" si="462"/>
        <v>40735.114989064015</v>
      </c>
      <c r="AF410" s="199">
        <f t="shared" si="497"/>
        <v>40735.114989064015</v>
      </c>
      <c r="AG410" s="614">
        <f t="shared" si="496"/>
        <v>1.8834128865887194E-3</v>
      </c>
      <c r="AH410" s="199">
        <f t="shared" si="478"/>
        <v>10307.468367678142</v>
      </c>
      <c r="AI410" s="252">
        <f t="shared" si="479"/>
        <v>7.9850395710400661E-4</v>
      </c>
      <c r="AJ410" s="199">
        <f t="shared" si="480"/>
        <v>53186.536777219211</v>
      </c>
      <c r="AK410" s="199">
        <f t="shared" si="509"/>
        <v>8245.9746941425128</v>
      </c>
      <c r="AL410" s="199">
        <f t="shared" si="510"/>
        <v>8245.9746941425128</v>
      </c>
      <c r="AM410" s="199">
        <f t="shared" si="481"/>
        <v>16491.949388285026</v>
      </c>
      <c r="AN410" s="645">
        <f t="shared" si="482"/>
        <v>7.985039571040065E-4</v>
      </c>
      <c r="AO410" s="199">
        <v>10</v>
      </c>
      <c r="AP410" s="250">
        <f t="shared" si="483"/>
        <v>1.1362345188046814E-3</v>
      </c>
      <c r="AQ410" s="199">
        <v>10</v>
      </c>
      <c r="AU410" s="199">
        <v>0</v>
      </c>
      <c r="AW410" s="250">
        <f t="shared" si="484"/>
        <v>0</v>
      </c>
      <c r="AX410" s="199">
        <v>1</v>
      </c>
      <c r="AY410" s="199">
        <f t="shared" si="468"/>
        <v>15918.061987123974</v>
      </c>
      <c r="AZ410" s="199">
        <f t="shared" si="485"/>
        <v>15918.061987123974</v>
      </c>
      <c r="BA410" s="252">
        <f t="shared" si="486"/>
        <v>1.2512629694516296E-3</v>
      </c>
      <c r="BB410" s="284">
        <v>1</v>
      </c>
      <c r="BC410" s="199">
        <f t="shared" si="469"/>
        <v>30872.929254869567</v>
      </c>
      <c r="BD410" s="270">
        <f t="shared" si="511"/>
        <v>2.7803262763877027E-3</v>
      </c>
      <c r="BE410" s="199">
        <f t="shared" si="470"/>
        <v>132067.53070138651</v>
      </c>
      <c r="BF410" s="251">
        <f t="shared" si="512"/>
        <v>2.7803263381717819E-3</v>
      </c>
      <c r="BG410" s="204">
        <f t="shared" si="455"/>
        <v>162940.45995625609</v>
      </c>
      <c r="BH410" s="636">
        <v>0</v>
      </c>
      <c r="BI410" s="199">
        <f t="shared" si="487"/>
        <v>63081.706410190222</v>
      </c>
      <c r="BJ410" s="199">
        <f t="shared" si="488"/>
        <v>126163.41282038044</v>
      </c>
      <c r="BK410" s="199">
        <f t="shared" si="495"/>
        <v>189245.11923057068</v>
      </c>
      <c r="BL410" s="251">
        <f t="shared" si="489"/>
        <v>7.9850395710400661E-4</v>
      </c>
      <c r="BM410" s="199">
        <f t="shared" si="471"/>
        <v>26033.386883222356</v>
      </c>
      <c r="BN410" s="251">
        <f t="shared" si="490"/>
        <v>1.1242026080362539E-3</v>
      </c>
      <c r="BT410" s="199">
        <f>'Detailed Budget'!$AD$12</f>
        <v>194045122715</v>
      </c>
      <c r="BU410" s="199">
        <f>'Detailed Budget'!$AD$24</f>
        <v>194045122715</v>
      </c>
      <c r="BV410" s="596">
        <f t="shared" si="472"/>
        <v>0</v>
      </c>
      <c r="BW410" s="278"/>
      <c r="BX410" s="275">
        <f t="shared" si="460"/>
        <v>0</v>
      </c>
      <c r="BY410" s="275">
        <f t="shared" si="461"/>
        <v>0</v>
      </c>
      <c r="CA410" s="199">
        <f>'Detailed Budget'!$AD$96</f>
        <v>71050111380.677719</v>
      </c>
      <c r="CB410" s="275">
        <f t="shared" si="491"/>
        <v>88902373.346055821</v>
      </c>
      <c r="CE410" s="199">
        <f>'Detailed Budget'!$AD$175</f>
        <v>4330586076.5988197</v>
      </c>
      <c r="CF410" s="275">
        <f t="shared" si="473"/>
        <v>12040442.260926427</v>
      </c>
      <c r="CG410" s="199">
        <f>'Detailed Budget'!$AD$176</f>
        <v>20662817754.37001</v>
      </c>
      <c r="CH410" s="275">
        <f t="shared" si="474"/>
        <v>57449376.423318453</v>
      </c>
      <c r="CI410" s="275">
        <f t="shared" si="463"/>
        <v>69489818.684244886</v>
      </c>
      <c r="CJ410" s="275">
        <f>'Detailed Budget'!$AD$178</f>
        <v>46025131033.061455</v>
      </c>
      <c r="CK410" s="275">
        <f t="shared" si="475"/>
        <v>86684324.894602329</v>
      </c>
      <c r="CL410" s="275">
        <f t="shared" si="498"/>
        <v>156174143.57884723</v>
      </c>
      <c r="CM410" s="278">
        <f>'Detailed Budget'!$AD$189</f>
        <v>77498869683.252869</v>
      </c>
      <c r="CN410" s="275">
        <f t="shared" si="492"/>
        <v>0</v>
      </c>
      <c r="CO410" s="140">
        <f>'Detailed Budget'!$AD$191</f>
        <v>2684962805.4134097</v>
      </c>
      <c r="CP410" s="616">
        <f t="shared" si="493"/>
        <v>0</v>
      </c>
      <c r="CQ410" s="616">
        <f t="shared" si="494"/>
        <v>0</v>
      </c>
      <c r="CR410" s="199">
        <f>'Detailed Budget'!$AD$195</f>
        <v>18734176418</v>
      </c>
      <c r="CS410" s="275">
        <f t="shared" si="476"/>
        <v>21061009.988526884</v>
      </c>
      <c r="CW410" s="278"/>
      <c r="DH410" s="140">
        <f>'Detailed Budget'!$AD$163</f>
        <v>4928560000</v>
      </c>
      <c r="DI410" s="616">
        <f t="shared" si="477"/>
        <v>5600000</v>
      </c>
    </row>
    <row r="411" spans="1:113" outlineLevel="1">
      <c r="A411" s="214" t="s">
        <v>948</v>
      </c>
      <c r="B411" s="215" t="s">
        <v>949</v>
      </c>
      <c r="C411" s="216" t="s">
        <v>234</v>
      </c>
      <c r="D411" s="217" t="s">
        <v>234</v>
      </c>
      <c r="E411" s="216"/>
      <c r="F411" s="216"/>
      <c r="G411" s="216"/>
      <c r="H411" s="216" t="s">
        <v>234</v>
      </c>
      <c r="I411" s="217" t="s">
        <v>234</v>
      </c>
      <c r="J411" s="217"/>
      <c r="K411" s="216" t="s">
        <v>234</v>
      </c>
      <c r="L411" s="216"/>
      <c r="M411" s="217"/>
      <c r="N411" s="216"/>
      <c r="O411" s="217"/>
      <c r="P411" s="216"/>
      <c r="Q411" s="217"/>
      <c r="R411" s="217" t="s">
        <v>234</v>
      </c>
      <c r="S411" s="217"/>
      <c r="T411" s="217"/>
      <c r="U411" s="218">
        <f t="shared" si="467"/>
        <v>6</v>
      </c>
      <c r="V411" s="867" t="s">
        <v>238</v>
      </c>
      <c r="W411" s="219">
        <v>98348</v>
      </c>
      <c r="X411" s="220">
        <v>3.04</v>
      </c>
      <c r="Y411" s="221">
        <f t="shared" si="456"/>
        <v>1.0304</v>
      </c>
      <c r="Z411" s="199">
        <v>19</v>
      </c>
      <c r="AA411" s="221">
        <f t="shared" si="457"/>
        <v>1.7664898659259882</v>
      </c>
      <c r="AB411" s="199">
        <f t="shared" si="464"/>
        <v>173730.74533408909</v>
      </c>
      <c r="AC411">
        <v>20.8</v>
      </c>
      <c r="AD411" s="199">
        <f t="shared" si="465"/>
        <v>36135.995029490536</v>
      </c>
      <c r="AE411" s="199">
        <f t="shared" si="462"/>
        <v>34329.195278016006</v>
      </c>
      <c r="AF411" s="199">
        <f t="shared" si="497"/>
        <v>34329.195278016006</v>
      </c>
      <c r="AG411" s="614">
        <f t="shared" si="496"/>
        <v>1.5872312816643307E-3</v>
      </c>
      <c r="AH411" s="199">
        <f t="shared" si="478"/>
        <v>8686.5372667044558</v>
      </c>
      <c r="AI411" s="252">
        <f t="shared" si="479"/>
        <v>6.7293288066208102E-4</v>
      </c>
      <c r="AJ411" s="199">
        <f t="shared" si="480"/>
        <v>44822.532296194993</v>
      </c>
      <c r="AK411" s="199">
        <f t="shared" si="509"/>
        <v>6949.2298133635641</v>
      </c>
      <c r="AL411" s="199">
        <f t="shared" si="510"/>
        <v>6949.2298133635641</v>
      </c>
      <c r="AM411" s="199">
        <f t="shared" si="481"/>
        <v>13898.459626727128</v>
      </c>
      <c r="AN411" s="645">
        <f t="shared" si="482"/>
        <v>6.7293288066208091E-4</v>
      </c>
      <c r="AO411" s="199">
        <v>10</v>
      </c>
      <c r="AP411" s="250">
        <f t="shared" si="483"/>
        <v>1.1362345188046814E-3</v>
      </c>
      <c r="AQ411" s="199">
        <v>10</v>
      </c>
      <c r="AU411" s="199">
        <v>0</v>
      </c>
      <c r="AW411" s="250">
        <f t="shared" si="484"/>
        <v>0</v>
      </c>
      <c r="AX411" s="199">
        <v>1</v>
      </c>
      <c r="AY411" s="199">
        <f t="shared" si="468"/>
        <v>13414.820568206243</v>
      </c>
      <c r="AZ411" s="199">
        <f t="shared" si="485"/>
        <v>13414.820568206243</v>
      </c>
      <c r="BA411" s="252">
        <f t="shared" si="486"/>
        <v>1.0544919496112157E-3</v>
      </c>
      <c r="BB411" s="284">
        <v>1</v>
      </c>
      <c r="BC411" s="199">
        <f t="shared" si="469"/>
        <v>26017.916421233185</v>
      </c>
      <c r="BD411" s="270">
        <f t="shared" si="511"/>
        <v>2.343097931706751E-3</v>
      </c>
      <c r="BE411" s="199">
        <f t="shared" si="470"/>
        <v>111298.86469083086</v>
      </c>
      <c r="BF411" s="251">
        <f t="shared" si="512"/>
        <v>2.3430979837747935E-3</v>
      </c>
      <c r="BG411" s="204">
        <f t="shared" si="455"/>
        <v>137316.78111206405</v>
      </c>
      <c r="BH411" s="636">
        <v>0</v>
      </c>
      <c r="BI411" s="199">
        <f t="shared" si="487"/>
        <v>53161.608072231269</v>
      </c>
      <c r="BJ411" s="199">
        <f t="shared" si="488"/>
        <v>106323.21614446254</v>
      </c>
      <c r="BK411" s="199">
        <f t="shared" si="495"/>
        <v>159484.82421669381</v>
      </c>
      <c r="BL411" s="251">
        <f t="shared" si="489"/>
        <v>6.7293288066208102E-4</v>
      </c>
      <c r="BM411" s="199">
        <f t="shared" si="471"/>
        <v>21939.430447224961</v>
      </c>
      <c r="BN411" s="251">
        <f t="shared" si="490"/>
        <v>9.4741283714781083E-4</v>
      </c>
      <c r="BT411" s="199">
        <f>'Detailed Budget'!$AD$12</f>
        <v>194045122715</v>
      </c>
      <c r="BU411" s="199">
        <f>'Detailed Budget'!$AD$24</f>
        <v>194045122715</v>
      </c>
      <c r="BV411" s="596">
        <f t="shared" si="472"/>
        <v>0</v>
      </c>
      <c r="BW411" s="278"/>
      <c r="BX411" s="275">
        <f t="shared" si="460"/>
        <v>0</v>
      </c>
      <c r="BY411" s="275">
        <f t="shared" si="461"/>
        <v>0</v>
      </c>
      <c r="CA411" s="199">
        <f>'Detailed Budget'!$AD$96</f>
        <v>71050111380.677719</v>
      </c>
      <c r="CB411" s="275">
        <f t="shared" si="491"/>
        <v>74921770.46990487</v>
      </c>
      <c r="CE411" s="199">
        <f>'Detailed Budget'!$AD$175</f>
        <v>4330586076.5988197</v>
      </c>
      <c r="CF411" s="275">
        <f t="shared" si="473"/>
        <v>10146987.279156748</v>
      </c>
      <c r="CG411" s="199">
        <f>'Detailed Budget'!$AD$176</f>
        <v>20662817754.37001</v>
      </c>
      <c r="CH411" s="275">
        <f t="shared" si="474"/>
        <v>48415006.619370379</v>
      </c>
      <c r="CI411" s="275">
        <f t="shared" si="463"/>
        <v>58561993.89852713</v>
      </c>
      <c r="CJ411" s="275">
        <f>'Detailed Budget'!$AD$178</f>
        <v>46025131033.061455</v>
      </c>
      <c r="CK411" s="275">
        <f t="shared" si="475"/>
        <v>73052527.718374893</v>
      </c>
      <c r="CL411" s="275">
        <f t="shared" si="498"/>
        <v>131614521.61690202</v>
      </c>
      <c r="CM411" s="278">
        <f>'Detailed Budget'!$AD$189</f>
        <v>77498869683.252869</v>
      </c>
      <c r="CN411" s="275">
        <f t="shared" si="492"/>
        <v>0</v>
      </c>
      <c r="CO411" s="140">
        <f>'Detailed Budget'!$AD$191</f>
        <v>2684962805.4134097</v>
      </c>
      <c r="CP411" s="616">
        <f t="shared" si="493"/>
        <v>0</v>
      </c>
      <c r="CQ411" s="616">
        <f t="shared" si="494"/>
        <v>0</v>
      </c>
      <c r="CR411" s="199">
        <f>'Detailed Budget'!$AD$195</f>
        <v>18734176418</v>
      </c>
      <c r="CS411" s="275">
        <f t="shared" si="476"/>
        <v>17748999.231804993</v>
      </c>
      <c r="CW411" s="278"/>
      <c r="DH411" s="140">
        <f>'Detailed Budget'!$AD$163</f>
        <v>4928560000</v>
      </c>
      <c r="DI411" s="616">
        <f t="shared" si="477"/>
        <v>5600000</v>
      </c>
    </row>
    <row r="412" spans="1:113" outlineLevel="1">
      <c r="A412" s="214" t="s">
        <v>950</v>
      </c>
      <c r="B412" s="215" t="s">
        <v>951</v>
      </c>
      <c r="C412" s="216" t="s">
        <v>234</v>
      </c>
      <c r="D412" s="217" t="s">
        <v>234</v>
      </c>
      <c r="E412" s="216"/>
      <c r="F412" s="216"/>
      <c r="G412" s="216"/>
      <c r="H412" s="216" t="s">
        <v>234</v>
      </c>
      <c r="I412" s="217" t="s">
        <v>234</v>
      </c>
      <c r="J412" s="217"/>
      <c r="K412" s="216" t="s">
        <v>234</v>
      </c>
      <c r="L412" s="216"/>
      <c r="M412" s="217"/>
      <c r="N412" s="216"/>
      <c r="O412" s="217"/>
      <c r="P412" s="216"/>
      <c r="Q412" s="217"/>
      <c r="R412" s="217" t="s">
        <v>234</v>
      </c>
      <c r="S412" s="217"/>
      <c r="T412" s="217"/>
      <c r="U412" s="218">
        <f t="shared" si="467"/>
        <v>6</v>
      </c>
      <c r="V412" s="867" t="s">
        <v>238</v>
      </c>
      <c r="W412" s="219">
        <v>201800</v>
      </c>
      <c r="X412" s="220">
        <v>3.04</v>
      </c>
      <c r="Y412" s="221">
        <f t="shared" si="456"/>
        <v>1.0304</v>
      </c>
      <c r="Z412" s="199">
        <v>19</v>
      </c>
      <c r="AA412" s="221">
        <f t="shared" si="457"/>
        <v>1.7664898659259882</v>
      </c>
      <c r="AB412" s="199">
        <f t="shared" si="464"/>
        <v>356477.65494386444</v>
      </c>
      <c r="AC412">
        <v>20.8</v>
      </c>
      <c r="AD412" s="199">
        <f t="shared" si="465"/>
        <v>74147.352228323813</v>
      </c>
      <c r="AE412" s="199">
        <f t="shared" si="462"/>
        <v>70439.984616907619</v>
      </c>
      <c r="AF412" s="199">
        <f t="shared" si="497"/>
        <v>70439.984616907619</v>
      </c>
      <c r="AG412" s="614">
        <f t="shared" si="496"/>
        <v>3.2568356513590713E-3</v>
      </c>
      <c r="AH412" s="199">
        <f t="shared" si="478"/>
        <v>17823.882747193224</v>
      </c>
      <c r="AI412" s="252">
        <f t="shared" si="479"/>
        <v>1.3807891906048718E-3</v>
      </c>
      <c r="AJ412" s="199">
        <f t="shared" si="480"/>
        <v>91971.234975517029</v>
      </c>
      <c r="AK412" s="199">
        <f t="shared" si="509"/>
        <v>14259.106197754578</v>
      </c>
      <c r="AL412" s="199">
        <f t="shared" si="510"/>
        <v>14259.106197754578</v>
      </c>
      <c r="AM412" s="199">
        <f t="shared" si="481"/>
        <v>28518.212395509156</v>
      </c>
      <c r="AN412" s="645">
        <f t="shared" si="482"/>
        <v>1.3807891906048718E-3</v>
      </c>
      <c r="AO412" s="199">
        <v>10</v>
      </c>
      <c r="AP412" s="250">
        <f t="shared" si="483"/>
        <v>1.1362345188046814E-3</v>
      </c>
      <c r="AQ412" s="199">
        <v>10</v>
      </c>
      <c r="AU412" s="199">
        <v>0</v>
      </c>
      <c r="AW412" s="250">
        <f t="shared" si="484"/>
        <v>0</v>
      </c>
      <c r="AX412" s="199">
        <v>1</v>
      </c>
      <c r="AY412" s="199">
        <f t="shared" si="468"/>
        <v>27525.834695815065</v>
      </c>
      <c r="AZ412" s="199">
        <f t="shared" si="485"/>
        <v>27525.834695815065</v>
      </c>
      <c r="BA412" s="252">
        <f t="shared" si="486"/>
        <v>2.1637092308083878E-3</v>
      </c>
      <c r="BB412" s="284">
        <v>1</v>
      </c>
      <c r="BC412" s="199">
        <f t="shared" si="469"/>
        <v>53386.093604393143</v>
      </c>
      <c r="BD412" s="270">
        <f t="shared" si="511"/>
        <v>4.8077964230937315E-3</v>
      </c>
      <c r="BE412" s="199">
        <f t="shared" si="470"/>
        <v>228373.84486323735</v>
      </c>
      <c r="BF412" s="251">
        <f t="shared" si="512"/>
        <v>4.8077965299320102E-3</v>
      </c>
      <c r="BG412" s="204">
        <f t="shared" si="455"/>
        <v>281759.93846763048</v>
      </c>
      <c r="BH412" s="636">
        <v>0</v>
      </c>
      <c r="BI412" s="199">
        <f t="shared" si="487"/>
        <v>109082.16241282251</v>
      </c>
      <c r="BJ412" s="199">
        <f t="shared" si="488"/>
        <v>218164.32482564502</v>
      </c>
      <c r="BK412" s="199">
        <f t="shared" si="495"/>
        <v>327246.48723846755</v>
      </c>
      <c r="BL412" s="251">
        <f t="shared" si="489"/>
        <v>1.3807891906048718E-3</v>
      </c>
      <c r="BM412" s="199">
        <f t="shared" si="471"/>
        <v>45017.459066274823</v>
      </c>
      <c r="BN412" s="251">
        <f t="shared" si="490"/>
        <v>1.943993884333471E-3</v>
      </c>
      <c r="BT412" s="199">
        <f>'Detailed Budget'!$AD$12</f>
        <v>194045122715</v>
      </c>
      <c r="BU412" s="199">
        <f>'Detailed Budget'!$AD$24</f>
        <v>194045122715</v>
      </c>
      <c r="BV412" s="596">
        <f t="shared" si="472"/>
        <v>0</v>
      </c>
      <c r="BW412" s="278"/>
      <c r="BX412" s="275">
        <f t="shared" si="460"/>
        <v>0</v>
      </c>
      <c r="BY412" s="275">
        <f t="shared" si="461"/>
        <v>0</v>
      </c>
      <c r="CA412" s="199">
        <f>'Detailed Budget'!$AD$96</f>
        <v>71050111380.677719</v>
      </c>
      <c r="CB412" s="275">
        <f t="shared" si="491"/>
        <v>153731781.84433648</v>
      </c>
      <c r="CE412" s="199">
        <f>'Detailed Budget'!$AD$175</f>
        <v>4330586076.5988197</v>
      </c>
      <c r="CF412" s="275">
        <f t="shared" si="473"/>
        <v>20820576.248971321</v>
      </c>
      <c r="CG412" s="199">
        <f>'Detailed Budget'!$AD$176</f>
        <v>20662817754.37001</v>
      </c>
      <c r="CH412" s="275">
        <f t="shared" si="474"/>
        <v>99342623.498077661</v>
      </c>
      <c r="CI412" s="275">
        <f t="shared" si="463"/>
        <v>120163199.74704897</v>
      </c>
      <c r="CJ412" s="275">
        <f>'Detailed Budget'!$AD$178</f>
        <v>46025131033.061455</v>
      </c>
      <c r="CK412" s="275">
        <f t="shared" si="475"/>
        <v>149896287.6069473</v>
      </c>
      <c r="CL412" s="275">
        <f t="shared" si="498"/>
        <v>270059487.35399628</v>
      </c>
      <c r="CM412" s="278">
        <f>'Detailed Budget'!$AD$189</f>
        <v>77498869683.252869</v>
      </c>
      <c r="CN412" s="275">
        <f t="shared" si="492"/>
        <v>0</v>
      </c>
      <c r="CO412" s="140">
        <f>'Detailed Budget'!$AD$191</f>
        <v>2684962805.4134097</v>
      </c>
      <c r="CP412" s="616">
        <f t="shared" si="493"/>
        <v>0</v>
      </c>
      <c r="CQ412" s="616">
        <f t="shared" si="494"/>
        <v>0</v>
      </c>
      <c r="CR412" s="199">
        <f>'Detailed Budget'!$AD$195</f>
        <v>18734176418</v>
      </c>
      <c r="CS412" s="275">
        <f t="shared" si="476"/>
        <v>36419124.38461633</v>
      </c>
      <c r="CW412" s="278"/>
      <c r="DH412" s="140">
        <f>'Detailed Budget'!$AD$163</f>
        <v>4928560000</v>
      </c>
      <c r="DI412" s="616">
        <f t="shared" si="477"/>
        <v>5600000</v>
      </c>
    </row>
    <row r="413" spans="1:113" outlineLevel="1">
      <c r="A413" s="214" t="s">
        <v>952</v>
      </c>
      <c r="B413" s="215" t="s">
        <v>953</v>
      </c>
      <c r="C413" s="216" t="s">
        <v>234</v>
      </c>
      <c r="D413" s="217" t="s">
        <v>234</v>
      </c>
      <c r="E413" s="216"/>
      <c r="F413" s="216"/>
      <c r="G413" s="216"/>
      <c r="H413" s="216" t="s">
        <v>234</v>
      </c>
      <c r="I413" s="217" t="s">
        <v>234</v>
      </c>
      <c r="J413" s="217"/>
      <c r="K413" s="216" t="s">
        <v>234</v>
      </c>
      <c r="L413" s="216"/>
      <c r="M413" s="217"/>
      <c r="N413" s="216"/>
      <c r="O413" s="217"/>
      <c r="P413" s="216"/>
      <c r="Q413" s="217"/>
      <c r="R413" s="217" t="s">
        <v>234</v>
      </c>
      <c r="S413" s="217"/>
      <c r="T413" s="217"/>
      <c r="U413" s="218">
        <f t="shared" si="467"/>
        <v>6</v>
      </c>
      <c r="V413" s="867" t="s">
        <v>238</v>
      </c>
      <c r="W413" s="219">
        <v>182891</v>
      </c>
      <c r="X413" s="220">
        <v>3.04</v>
      </c>
      <c r="Y413" s="221">
        <f t="shared" si="456"/>
        <v>1.0304</v>
      </c>
      <c r="Z413" s="199">
        <v>19</v>
      </c>
      <c r="AA413" s="221">
        <f t="shared" si="457"/>
        <v>1.7664898659259882</v>
      </c>
      <c r="AB413" s="199">
        <f t="shared" si="464"/>
        <v>323075.09806906991</v>
      </c>
      <c r="AC413">
        <v>20.8</v>
      </c>
      <c r="AD413" s="199">
        <f t="shared" si="465"/>
        <v>67199.620398366547</v>
      </c>
      <c r="AE413" s="199">
        <f t="shared" si="462"/>
        <v>63839.639378448213</v>
      </c>
      <c r="AF413" s="199">
        <f t="shared" si="497"/>
        <v>63839.639378448213</v>
      </c>
      <c r="AG413" s="614">
        <f t="shared" si="496"/>
        <v>2.9516646635912381E-3</v>
      </c>
      <c r="AH413" s="199">
        <f t="shared" si="478"/>
        <v>16153.754903453497</v>
      </c>
      <c r="AI413" s="252">
        <f t="shared" si="479"/>
        <v>1.2514069170412071E-3</v>
      </c>
      <c r="AJ413" s="199">
        <f t="shared" si="480"/>
        <v>83353.375301820051</v>
      </c>
      <c r="AK413" s="199">
        <f t="shared" si="509"/>
        <v>12923.003922762797</v>
      </c>
      <c r="AL413" s="199">
        <f t="shared" si="510"/>
        <v>12923.003922762797</v>
      </c>
      <c r="AM413" s="199">
        <f t="shared" si="481"/>
        <v>25846.007845525593</v>
      </c>
      <c r="AN413" s="645">
        <f t="shared" si="482"/>
        <v>1.2514069170412071E-3</v>
      </c>
      <c r="AO413" s="199">
        <v>12</v>
      </c>
      <c r="AP413" s="250">
        <f t="shared" si="483"/>
        <v>1.3634814225656176E-3</v>
      </c>
      <c r="AQ413" s="199">
        <v>12</v>
      </c>
      <c r="AU413" s="199">
        <v>0</v>
      </c>
      <c r="AW413" s="250">
        <f t="shared" si="484"/>
        <v>0</v>
      </c>
      <c r="AX413" s="199">
        <v>1</v>
      </c>
      <c r="AY413" s="199">
        <f t="shared" si="468"/>
        <v>24946.617608286982</v>
      </c>
      <c r="AZ413" s="199">
        <f t="shared" si="485"/>
        <v>24946.617608286982</v>
      </c>
      <c r="BA413" s="252">
        <f t="shared" si="486"/>
        <v>1.9609660303854157E-3</v>
      </c>
      <c r="BB413" s="284">
        <v>1</v>
      </c>
      <c r="BC413" s="199">
        <f t="shared" si="469"/>
        <v>48383.726686823909</v>
      </c>
      <c r="BD413" s="270">
        <f t="shared" si="511"/>
        <v>4.3572977978990858E-3</v>
      </c>
      <c r="BE413" s="199">
        <f t="shared" si="470"/>
        <v>206974.83082696897</v>
      </c>
      <c r="BF413" s="251">
        <f t="shared" si="512"/>
        <v>4.3572978947264383E-3</v>
      </c>
      <c r="BG413" s="204">
        <f t="shared" si="455"/>
        <v>255358.55751379288</v>
      </c>
      <c r="BH413" s="636">
        <v>0</v>
      </c>
      <c r="BI413" s="199">
        <f t="shared" si="487"/>
        <v>98860.980009135383</v>
      </c>
      <c r="BJ413" s="199">
        <f t="shared" si="488"/>
        <v>197721.96001827077</v>
      </c>
      <c r="BK413" s="199">
        <f t="shared" si="495"/>
        <v>296582.94002740615</v>
      </c>
      <c r="BL413" s="251">
        <f t="shared" si="489"/>
        <v>1.2514069170412069E-3</v>
      </c>
      <c r="BM413" s="199">
        <f t="shared" si="471"/>
        <v>40799.247304707969</v>
      </c>
      <c r="BN413" s="251">
        <f t="shared" si="490"/>
        <v>1.7618383820596274E-3</v>
      </c>
      <c r="BT413" s="199">
        <f>'Detailed Budget'!$AD$12</f>
        <v>194045122715</v>
      </c>
      <c r="BU413" s="199">
        <f>'Detailed Budget'!$AD$24</f>
        <v>194045122715</v>
      </c>
      <c r="BV413" s="596">
        <f t="shared" si="472"/>
        <v>0</v>
      </c>
      <c r="BW413" s="278"/>
      <c r="BX413" s="275">
        <f t="shared" si="460"/>
        <v>0</v>
      </c>
      <c r="BY413" s="275">
        <f t="shared" si="461"/>
        <v>0</v>
      </c>
      <c r="CA413" s="199">
        <f>'Detailed Budget'!$AD$96</f>
        <v>71050111380.677719</v>
      </c>
      <c r="CB413" s="275">
        <f t="shared" si="491"/>
        <v>139326854.87260923</v>
      </c>
      <c r="CE413" s="199">
        <f>'Detailed Budget'!$AD$175</f>
        <v>4330586076.5988197</v>
      </c>
      <c r="CF413" s="275">
        <f t="shared" si="473"/>
        <v>18869653.175176479</v>
      </c>
      <c r="CG413" s="199">
        <f>'Detailed Budget'!$AD$176</f>
        <v>20662817754.37001</v>
      </c>
      <c r="CH413" s="275">
        <f t="shared" si="474"/>
        <v>90034052.300232515</v>
      </c>
      <c r="CI413" s="275">
        <f t="shared" si="463"/>
        <v>108903705.475409</v>
      </c>
      <c r="CJ413" s="275">
        <f>'Detailed Budget'!$AD$178</f>
        <v>46025131033.061455</v>
      </c>
      <c r="CK413" s="275">
        <f t="shared" si="475"/>
        <v>135850752.907444</v>
      </c>
      <c r="CL413" s="275">
        <f t="shared" si="498"/>
        <v>244754458.382853</v>
      </c>
      <c r="CM413" s="278">
        <f>'Detailed Budget'!$AD$189</f>
        <v>77498869683.252869</v>
      </c>
      <c r="CN413" s="275">
        <f t="shared" si="492"/>
        <v>0</v>
      </c>
      <c r="CO413" s="140">
        <f>'Detailed Budget'!$AD$191</f>
        <v>2684962805.4134097</v>
      </c>
      <c r="CP413" s="616">
        <f t="shared" si="493"/>
        <v>0</v>
      </c>
      <c r="CQ413" s="616">
        <f t="shared" si="494"/>
        <v>0</v>
      </c>
      <c r="CR413" s="199">
        <f>'Detailed Budget'!$AD$195</f>
        <v>18734176418</v>
      </c>
      <c r="CS413" s="275">
        <f t="shared" si="476"/>
        <v>33006591.069508746</v>
      </c>
      <c r="CW413" s="278"/>
      <c r="DH413" s="140">
        <f>'Detailed Budget'!$AD$163</f>
        <v>4928560000</v>
      </c>
      <c r="DI413" s="616">
        <f t="shared" si="477"/>
        <v>6720000</v>
      </c>
    </row>
    <row r="414" spans="1:113" outlineLevel="1">
      <c r="A414" s="214" t="s">
        <v>954</v>
      </c>
      <c r="B414" s="215" t="s">
        <v>955</v>
      </c>
      <c r="C414" s="216" t="s">
        <v>234</v>
      </c>
      <c r="D414" s="217" t="s">
        <v>234</v>
      </c>
      <c r="E414" s="216"/>
      <c r="F414" s="216"/>
      <c r="G414" s="216"/>
      <c r="H414" s="216" t="s">
        <v>234</v>
      </c>
      <c r="I414" s="217" t="s">
        <v>234</v>
      </c>
      <c r="J414" s="217"/>
      <c r="K414" s="216" t="s">
        <v>234</v>
      </c>
      <c r="L414" s="216"/>
      <c r="M414" s="217"/>
      <c r="N414" s="216"/>
      <c r="O414" s="217"/>
      <c r="P414" s="216"/>
      <c r="Q414" s="217"/>
      <c r="R414" s="217" t="s">
        <v>234</v>
      </c>
      <c r="S414" s="217"/>
      <c r="T414" s="217"/>
      <c r="U414" s="218">
        <f t="shared" si="467"/>
        <v>6</v>
      </c>
      <c r="V414" s="867" t="s">
        <v>238</v>
      </c>
      <c r="W414" s="219">
        <v>176301</v>
      </c>
      <c r="X414" s="220">
        <v>3.04</v>
      </c>
      <c r="Y414" s="221">
        <f t="shared" si="456"/>
        <v>1.0304</v>
      </c>
      <c r="Z414" s="199">
        <v>19</v>
      </c>
      <c r="AA414" s="221">
        <f t="shared" si="457"/>
        <v>1.7664898659259882</v>
      </c>
      <c r="AB414" s="199">
        <f t="shared" si="464"/>
        <v>311433.92985261767</v>
      </c>
      <c r="AC414">
        <v>20.8</v>
      </c>
      <c r="AD414" s="199">
        <f t="shared" si="465"/>
        <v>64778.257409344471</v>
      </c>
      <c r="AE414" s="199">
        <f t="shared" si="462"/>
        <v>61539.344538877245</v>
      </c>
      <c r="AF414" s="199">
        <f t="shared" si="497"/>
        <v>61539.344538877245</v>
      </c>
      <c r="AG414" s="614">
        <f t="shared" si="496"/>
        <v>2.84530912869304E-3</v>
      </c>
      <c r="AH414" s="199">
        <f t="shared" si="478"/>
        <v>15571.696492630885</v>
      </c>
      <c r="AI414" s="252">
        <f t="shared" si="479"/>
        <v>1.2063157338594128E-3</v>
      </c>
      <c r="AJ414" s="199">
        <f t="shared" si="480"/>
        <v>80349.953901975357</v>
      </c>
      <c r="AK414" s="199">
        <f t="shared" si="509"/>
        <v>12457.357194104707</v>
      </c>
      <c r="AL414" s="199">
        <f t="shared" si="510"/>
        <v>12457.357194104707</v>
      </c>
      <c r="AM414" s="199">
        <f t="shared" si="481"/>
        <v>24914.714388209413</v>
      </c>
      <c r="AN414" s="645">
        <f t="shared" si="482"/>
        <v>1.2063157338594128E-3</v>
      </c>
      <c r="AO414" s="199">
        <v>11</v>
      </c>
      <c r="AP414" s="250">
        <f t="shared" si="483"/>
        <v>1.2498579706851495E-3</v>
      </c>
      <c r="AQ414" s="199">
        <v>11</v>
      </c>
      <c r="AU414" s="199">
        <v>0</v>
      </c>
      <c r="AW414" s="250">
        <f t="shared" si="484"/>
        <v>0</v>
      </c>
      <c r="AX414" s="199">
        <v>1</v>
      </c>
      <c r="AY414" s="199">
        <f t="shared" si="468"/>
        <v>24047.731331550505</v>
      </c>
      <c r="AZ414" s="199">
        <f t="shared" si="485"/>
        <v>24047.731331550505</v>
      </c>
      <c r="BA414" s="252">
        <f t="shared" si="486"/>
        <v>1.8903077358808206E-3</v>
      </c>
      <c r="BB414" s="284">
        <v>1</v>
      </c>
      <c r="BC414" s="199">
        <f t="shared" si="469"/>
        <v>46640.345334728016</v>
      </c>
      <c r="BD414" s="270">
        <f t="shared" si="511"/>
        <v>4.2002939404749643E-3</v>
      </c>
      <c r="BE414" s="199">
        <f t="shared" si="470"/>
        <v>199517.03282078097</v>
      </c>
      <c r="BF414" s="251">
        <f t="shared" si="512"/>
        <v>4.200294033813395E-3</v>
      </c>
      <c r="BG414" s="204">
        <f t="shared" si="455"/>
        <v>246157.37815550898</v>
      </c>
      <c r="BH414" s="636">
        <v>0</v>
      </c>
      <c r="BI414" s="199">
        <f t="shared" si="487"/>
        <v>95298.782534900995</v>
      </c>
      <c r="BJ414" s="199">
        <f t="shared" si="488"/>
        <v>190597.56506980199</v>
      </c>
      <c r="BK414" s="199">
        <f t="shared" si="495"/>
        <v>285896.34760470298</v>
      </c>
      <c r="BL414" s="251">
        <f t="shared" si="489"/>
        <v>1.2063157338594126E-3</v>
      </c>
      <c r="BM414" s="199">
        <f t="shared" si="471"/>
        <v>39329.152878311783</v>
      </c>
      <c r="BN414" s="251">
        <f t="shared" si="490"/>
        <v>1.69835513281405E-3</v>
      </c>
      <c r="BT414" s="199">
        <f>'Detailed Budget'!$AD$12</f>
        <v>194045122715</v>
      </c>
      <c r="BU414" s="199">
        <f>'Detailed Budget'!$AD$24</f>
        <v>194045122715</v>
      </c>
      <c r="BV414" s="596">
        <f t="shared" si="472"/>
        <v>0</v>
      </c>
      <c r="BW414" s="278"/>
      <c r="BX414" s="275">
        <f t="shared" si="460"/>
        <v>0</v>
      </c>
      <c r="BY414" s="275">
        <f t="shared" si="461"/>
        <v>0</v>
      </c>
      <c r="CA414" s="199">
        <f>'Detailed Budget'!$AD$96</f>
        <v>71050111380.677719</v>
      </c>
      <c r="CB414" s="275">
        <f t="shared" si="491"/>
        <v>134306575.17808902</v>
      </c>
      <c r="CE414" s="199">
        <f>'Detailed Budget'!$AD$175</f>
        <v>4330586076.5988197</v>
      </c>
      <c r="CF414" s="275">
        <f t="shared" si="473"/>
        <v>18189734.456243273</v>
      </c>
      <c r="CG414" s="199">
        <f>'Detailed Budget'!$AD$176</f>
        <v>20662817754.37001</v>
      </c>
      <c r="CH414" s="275">
        <f t="shared" si="474"/>
        <v>86789910.13545385</v>
      </c>
      <c r="CI414" s="275">
        <f t="shared" si="463"/>
        <v>104979644.59169713</v>
      </c>
      <c r="CJ414" s="275">
        <f>'Detailed Budget'!$AD$178</f>
        <v>46025131033.061455</v>
      </c>
      <c r="CK414" s="275">
        <f t="shared" si="475"/>
        <v>130955725.47766308</v>
      </c>
      <c r="CL414" s="275">
        <f t="shared" si="498"/>
        <v>235935370.0693602</v>
      </c>
      <c r="CM414" s="278">
        <f>'Detailed Budget'!$AD$189</f>
        <v>77498869683.252869</v>
      </c>
      <c r="CN414" s="275">
        <f t="shared" si="492"/>
        <v>0</v>
      </c>
      <c r="CO414" s="140">
        <f>'Detailed Budget'!$AD$191</f>
        <v>2684962805.4134097</v>
      </c>
      <c r="CP414" s="616">
        <f t="shared" si="493"/>
        <v>0</v>
      </c>
      <c r="CQ414" s="616">
        <f t="shared" si="494"/>
        <v>0</v>
      </c>
      <c r="CR414" s="199">
        <f>'Detailed Budget'!$AD$195</f>
        <v>18734176418</v>
      </c>
      <c r="CS414" s="275">
        <f t="shared" si="476"/>
        <v>31817284.678554233</v>
      </c>
      <c r="CW414" s="278"/>
      <c r="DH414" s="140">
        <f>'Detailed Budget'!$AD$163</f>
        <v>4928560000</v>
      </c>
      <c r="DI414" s="616">
        <f t="shared" si="477"/>
        <v>6160000</v>
      </c>
    </row>
    <row r="415" spans="1:113" outlineLevel="1">
      <c r="A415" s="214" t="s">
        <v>956</v>
      </c>
      <c r="B415" s="215" t="s">
        <v>957</v>
      </c>
      <c r="C415" s="216" t="s">
        <v>234</v>
      </c>
      <c r="D415" s="217" t="s">
        <v>234</v>
      </c>
      <c r="E415" s="216"/>
      <c r="F415" s="216"/>
      <c r="G415" s="216"/>
      <c r="H415" s="216" t="s">
        <v>234</v>
      </c>
      <c r="I415" s="217" t="s">
        <v>234</v>
      </c>
      <c r="J415" s="217"/>
      <c r="K415" s="216" t="s">
        <v>234</v>
      </c>
      <c r="L415" s="216"/>
      <c r="M415" s="217"/>
      <c r="N415" s="216"/>
      <c r="O415" s="217"/>
      <c r="P415" s="216"/>
      <c r="Q415" s="217"/>
      <c r="R415" s="217" t="s">
        <v>234</v>
      </c>
      <c r="S415" s="217"/>
      <c r="T415" s="217"/>
      <c r="U415" s="218">
        <f t="shared" si="467"/>
        <v>6</v>
      </c>
      <c r="V415" s="867" t="s">
        <v>238</v>
      </c>
      <c r="W415" s="219">
        <v>171070</v>
      </c>
      <c r="X415" s="220">
        <v>3.04</v>
      </c>
      <c r="Y415" s="221">
        <f t="shared" si="456"/>
        <v>1.0304</v>
      </c>
      <c r="Z415" s="199">
        <v>19</v>
      </c>
      <c r="AA415" s="221">
        <f t="shared" si="457"/>
        <v>1.7664898659259882</v>
      </c>
      <c r="AB415" s="199">
        <f t="shared" si="464"/>
        <v>302193.4213639588</v>
      </c>
      <c r="AC415">
        <v>20.8</v>
      </c>
      <c r="AD415" s="199">
        <f t="shared" si="465"/>
        <v>62856.231643703431</v>
      </c>
      <c r="AE415" s="199">
        <f t="shared" si="462"/>
        <v>59713.420061518256</v>
      </c>
      <c r="AF415" s="199">
        <f t="shared" si="497"/>
        <v>59713.420061518256</v>
      </c>
      <c r="AG415" s="614">
        <f t="shared" si="496"/>
        <v>2.7608863968186137E-3</v>
      </c>
      <c r="AH415" s="199">
        <f t="shared" si="478"/>
        <v>15109.67106819794</v>
      </c>
      <c r="AI415" s="252">
        <f t="shared" si="479"/>
        <v>1.1705233242654876E-3</v>
      </c>
      <c r="AJ415" s="199">
        <f t="shared" si="480"/>
        <v>77965.902711901377</v>
      </c>
      <c r="AK415" s="199">
        <f t="shared" si="509"/>
        <v>12087.736854558352</v>
      </c>
      <c r="AL415" s="199">
        <f t="shared" si="510"/>
        <v>12087.736854558352</v>
      </c>
      <c r="AM415" s="199">
        <f t="shared" si="481"/>
        <v>24175.473709116704</v>
      </c>
      <c r="AN415" s="645">
        <f t="shared" si="482"/>
        <v>1.1705233242654876E-3</v>
      </c>
      <c r="AO415" s="199">
        <v>11</v>
      </c>
      <c r="AP415" s="250">
        <f t="shared" si="483"/>
        <v>1.2498579706851495E-3</v>
      </c>
      <c r="AQ415" s="199">
        <v>11</v>
      </c>
      <c r="AU415" s="199">
        <v>0</v>
      </c>
      <c r="AW415" s="250">
        <f t="shared" si="484"/>
        <v>0</v>
      </c>
      <c r="AX415" s="199">
        <v>1</v>
      </c>
      <c r="AY415" s="199">
        <f t="shared" si="468"/>
        <v>23334.214774098527</v>
      </c>
      <c r="AZ415" s="199">
        <f t="shared" si="485"/>
        <v>23334.214774098527</v>
      </c>
      <c r="BA415" s="252">
        <f t="shared" si="486"/>
        <v>1.83422070423385E-3</v>
      </c>
      <c r="BB415" s="284">
        <v>1</v>
      </c>
      <c r="BC415" s="199">
        <f t="shared" si="469"/>
        <v>45256.486783466469</v>
      </c>
      <c r="BD415" s="270">
        <f t="shared" si="511"/>
        <v>4.0756676615393683E-3</v>
      </c>
      <c r="BE415" s="199">
        <f t="shared" si="470"/>
        <v>193597.19346260658</v>
      </c>
      <c r="BF415" s="251">
        <f t="shared" si="512"/>
        <v>4.0756677521083693E-3</v>
      </c>
      <c r="BG415" s="204">
        <f t="shared" si="455"/>
        <v>238853.68024607305</v>
      </c>
      <c r="BH415" s="636">
        <v>0</v>
      </c>
      <c r="BI415" s="199">
        <f t="shared" si="487"/>
        <v>92471.1869373714</v>
      </c>
      <c r="BJ415" s="199">
        <f t="shared" si="488"/>
        <v>184942.3738747428</v>
      </c>
      <c r="BK415" s="199">
        <f t="shared" si="495"/>
        <v>277413.56081211421</v>
      </c>
      <c r="BL415" s="251">
        <f t="shared" si="489"/>
        <v>1.1705233242654876E-3</v>
      </c>
      <c r="BM415" s="199">
        <f t="shared" si="471"/>
        <v>38162.223599938719</v>
      </c>
      <c r="BN415" s="251">
        <f t="shared" si="490"/>
        <v>1.647963497487249E-3</v>
      </c>
      <c r="BT415" s="199">
        <f>'Detailed Budget'!$AD$12</f>
        <v>194045122715</v>
      </c>
      <c r="BU415" s="199">
        <f>'Detailed Budget'!$AD$24</f>
        <v>194045122715</v>
      </c>
      <c r="BV415" s="596">
        <f t="shared" si="472"/>
        <v>0</v>
      </c>
      <c r="BW415" s="278"/>
      <c r="BX415" s="275">
        <f t="shared" si="460"/>
        <v>0</v>
      </c>
      <c r="BY415" s="275">
        <f t="shared" si="461"/>
        <v>0</v>
      </c>
      <c r="CA415" s="199">
        <f>'Detailed Budget'!$AD$96</f>
        <v>71050111380.677719</v>
      </c>
      <c r="CB415" s="275">
        <f t="shared" si="491"/>
        <v>130321585.33256017</v>
      </c>
      <c r="CE415" s="199">
        <f>'Detailed Budget'!$AD$175</f>
        <v>4330586076.5988197</v>
      </c>
      <c r="CF415" s="275">
        <f t="shared" si="473"/>
        <v>17650029.62790646</v>
      </c>
      <c r="CG415" s="199">
        <f>'Detailed Budget'!$AD$176</f>
        <v>20662817754.37001</v>
      </c>
      <c r="CH415" s="275">
        <f t="shared" si="474"/>
        <v>84214779.989178121</v>
      </c>
      <c r="CI415" s="275">
        <f t="shared" si="463"/>
        <v>101864809.61708458</v>
      </c>
      <c r="CJ415" s="275">
        <f>'Detailed Budget'!$AD$178</f>
        <v>46025131033.061455</v>
      </c>
      <c r="CK415" s="275">
        <f t="shared" si="475"/>
        <v>127070158.1809736</v>
      </c>
      <c r="CL415" s="275">
        <f t="shared" si="498"/>
        <v>228934967.79805818</v>
      </c>
      <c r="CM415" s="278">
        <f>'Detailed Budget'!$AD$189</f>
        <v>77498869683.252869</v>
      </c>
      <c r="CN415" s="275">
        <f t="shared" si="492"/>
        <v>0</v>
      </c>
      <c r="CO415" s="140">
        <f>'Detailed Budget'!$AD$191</f>
        <v>2684962805.4134097</v>
      </c>
      <c r="CP415" s="616">
        <f t="shared" si="493"/>
        <v>0</v>
      </c>
      <c r="CQ415" s="616">
        <f t="shared" si="494"/>
        <v>0</v>
      </c>
      <c r="CR415" s="199">
        <f>'Detailed Budget'!$AD$195</f>
        <v>18734176418</v>
      </c>
      <c r="CS415" s="275">
        <f t="shared" si="476"/>
        <v>30873238.892350424</v>
      </c>
      <c r="CW415" s="278"/>
      <c r="DH415" s="140">
        <f>'Detailed Budget'!$AD$163</f>
        <v>4928560000</v>
      </c>
      <c r="DI415" s="616">
        <f t="shared" si="477"/>
        <v>6160000</v>
      </c>
    </row>
    <row r="416" spans="1:113" outlineLevel="1">
      <c r="A416" s="214" t="s">
        <v>958</v>
      </c>
      <c r="B416" s="747" t="s">
        <v>959</v>
      </c>
      <c r="C416" s="216" t="s">
        <v>234</v>
      </c>
      <c r="D416" s="217" t="s">
        <v>234</v>
      </c>
      <c r="E416" s="216"/>
      <c r="F416" s="216"/>
      <c r="G416" s="216"/>
      <c r="H416" s="216" t="s">
        <v>234</v>
      </c>
      <c r="I416" s="217" t="s">
        <v>234</v>
      </c>
      <c r="J416" s="217"/>
      <c r="K416" s="216" t="s">
        <v>234</v>
      </c>
      <c r="L416" s="216"/>
      <c r="M416" s="217"/>
      <c r="N416" s="216"/>
      <c r="O416" s="217"/>
      <c r="P416" s="216"/>
      <c r="Q416" s="217"/>
      <c r="R416" s="217" t="s">
        <v>234</v>
      </c>
      <c r="S416" s="217" t="s">
        <v>234</v>
      </c>
      <c r="T416" s="217"/>
      <c r="U416" s="218">
        <f t="shared" si="467"/>
        <v>7</v>
      </c>
      <c r="V416" s="867" t="s">
        <v>960</v>
      </c>
      <c r="W416" s="219">
        <v>113814</v>
      </c>
      <c r="X416" s="220">
        <v>3.04</v>
      </c>
      <c r="Y416" s="221">
        <f t="shared" si="456"/>
        <v>1.0304</v>
      </c>
      <c r="Z416" s="199">
        <v>19</v>
      </c>
      <c r="AA416" s="221">
        <f t="shared" si="457"/>
        <v>1.7664898659259882</v>
      </c>
      <c r="AB416" s="199">
        <f t="shared" si="464"/>
        <v>201051.27760050041</v>
      </c>
      <c r="AC416">
        <v>20.8</v>
      </c>
      <c r="AD416" s="199">
        <f t="shared" si="465"/>
        <v>41818.665740904085</v>
      </c>
      <c r="AE416" s="199">
        <f t="shared" si="462"/>
        <v>39727.73245385888</v>
      </c>
      <c r="AF416" s="199">
        <f t="shared" si="497"/>
        <v>39727.73245385888</v>
      </c>
      <c r="AG416" s="614">
        <f t="shared" si="496"/>
        <v>1.836835940653029E-3</v>
      </c>
      <c r="AH416" s="199">
        <f t="shared" si="478"/>
        <v>10052.563880025022</v>
      </c>
      <c r="AI416" s="252">
        <f t="shared" si="479"/>
        <v>7.787568926635425E-4</v>
      </c>
      <c r="AJ416" s="199">
        <f t="shared" si="480"/>
        <v>51871.229620929109</v>
      </c>
      <c r="AK416" s="199">
        <f t="shared" si="509"/>
        <v>8042.0511040200163</v>
      </c>
      <c r="AL416" s="199">
        <f t="shared" si="510"/>
        <v>8042.0511040200163</v>
      </c>
      <c r="AM416" s="199">
        <f t="shared" si="481"/>
        <v>16084.102208040033</v>
      </c>
      <c r="AN416" s="645">
        <f t="shared" si="482"/>
        <v>7.7875689266354239E-4</v>
      </c>
      <c r="AO416" s="199">
        <v>10</v>
      </c>
      <c r="AP416" s="250">
        <f t="shared" si="483"/>
        <v>1.1362345188046814E-3</v>
      </c>
      <c r="AQ416" s="199">
        <v>10</v>
      </c>
      <c r="AU416" s="199">
        <v>0</v>
      </c>
      <c r="AW416" s="250">
        <f t="shared" si="484"/>
        <v>0</v>
      </c>
      <c r="AX416" s="199">
        <v>1</v>
      </c>
      <c r="AY416" s="199">
        <f t="shared" si="468"/>
        <v>15524.407086568361</v>
      </c>
      <c r="AZ416" s="199">
        <f t="shared" si="485"/>
        <v>15524.407086568361</v>
      </c>
      <c r="BA416" s="252">
        <f t="shared" si="486"/>
        <v>1.2203191397186612E-3</v>
      </c>
      <c r="BB416" s="284">
        <v>1</v>
      </c>
      <c r="BC416" s="199">
        <f t="shared" si="469"/>
        <v>30109.43933345094</v>
      </c>
      <c r="BD416" s="270">
        <f t="shared" si="511"/>
        <v>2.7115685931515848E-3</v>
      </c>
      <c r="BE416" s="199">
        <f t="shared" si="470"/>
        <v>128801.49048198458</v>
      </c>
      <c r="BF416" s="251">
        <f t="shared" si="512"/>
        <v>2.7115686534077386E-3</v>
      </c>
      <c r="BG416" s="204">
        <f t="shared" si="455"/>
        <v>158910.92981543552</v>
      </c>
      <c r="BH416" s="636">
        <v>0</v>
      </c>
      <c r="BI416" s="199">
        <f t="shared" si="487"/>
        <v>61521.690945753129</v>
      </c>
      <c r="BJ416" s="199">
        <f t="shared" si="488"/>
        <v>123043.38189150626</v>
      </c>
      <c r="BK416" s="199">
        <f t="shared" si="495"/>
        <v>184565.07283725939</v>
      </c>
      <c r="BL416" s="251">
        <f t="shared" si="489"/>
        <v>7.787568926635425E-4</v>
      </c>
      <c r="BM416" s="199">
        <f t="shared" si="471"/>
        <v>25389.579217884053</v>
      </c>
      <c r="BN416" s="251">
        <f t="shared" si="490"/>
        <v>1.0964009908400875E-3</v>
      </c>
      <c r="BT416" s="199">
        <f>'Detailed Budget'!$AD$12</f>
        <v>194045122715</v>
      </c>
      <c r="BU416" s="199">
        <f>'Detailed Budget'!$AD$24</f>
        <v>194045122715</v>
      </c>
      <c r="BV416" s="596">
        <f t="shared" si="472"/>
        <v>0</v>
      </c>
      <c r="BW416" s="278"/>
      <c r="BX416" s="275">
        <f t="shared" si="460"/>
        <v>0</v>
      </c>
      <c r="BY416" s="275">
        <f t="shared" si="461"/>
        <v>0</v>
      </c>
      <c r="CA416" s="199">
        <f>'Detailed Budget'!$AD$96</f>
        <v>71050111380.677719</v>
      </c>
      <c r="CB416" s="275">
        <f t="shared" si="491"/>
        <v>86703810.796983689</v>
      </c>
      <c r="CE416" s="199">
        <f>'Detailed Budget'!$AD$175</f>
        <v>4330586076.5988197</v>
      </c>
      <c r="CF416" s="275">
        <f t="shared" si="473"/>
        <v>11742681.195244903</v>
      </c>
      <c r="CG416" s="199">
        <f>'Detailed Budget'!$AD$176</f>
        <v>20662817754.37001</v>
      </c>
      <c r="CH416" s="275">
        <f t="shared" si="474"/>
        <v>56028648.9138266</v>
      </c>
      <c r="CI416" s="275">
        <f t="shared" si="463"/>
        <v>67771330.109071508</v>
      </c>
      <c r="CJ416" s="275">
        <f>'Detailed Budget'!$AD$178</f>
        <v>46025131033.061455</v>
      </c>
      <c r="CK416" s="275">
        <f t="shared" si="475"/>
        <v>84540614.854792356</v>
      </c>
      <c r="CL416" s="275">
        <f t="shared" si="498"/>
        <v>152311944.96386385</v>
      </c>
      <c r="CM416" s="278">
        <f>'Detailed Budget'!$AD$189</f>
        <v>77498869683.252869</v>
      </c>
      <c r="CN416" s="275">
        <f t="shared" si="492"/>
        <v>0</v>
      </c>
      <c r="CO416" s="140">
        <f>'Detailed Budget'!$AD$191</f>
        <v>2684962805.4134097</v>
      </c>
      <c r="CP416" s="616">
        <f t="shared" si="493"/>
        <v>0</v>
      </c>
      <c r="CQ416" s="616">
        <f t="shared" si="494"/>
        <v>0</v>
      </c>
      <c r="CR416" s="199">
        <f>'Detailed Budget'!$AD$195</f>
        <v>18734176418</v>
      </c>
      <c r="CS416" s="275">
        <f t="shared" si="476"/>
        <v>20540169.5872682</v>
      </c>
      <c r="CW416" s="278"/>
      <c r="DH416" s="140">
        <f>'Detailed Budget'!$AD$163</f>
        <v>4928560000</v>
      </c>
      <c r="DI416" s="616">
        <f t="shared" si="477"/>
        <v>5600000</v>
      </c>
    </row>
    <row r="417" spans="1:113" outlineLevel="1">
      <c r="A417" s="214" t="s">
        <v>961</v>
      </c>
      <c r="B417" s="215" t="s">
        <v>962</v>
      </c>
      <c r="C417" s="216" t="s">
        <v>234</v>
      </c>
      <c r="D417" s="217" t="s">
        <v>234</v>
      </c>
      <c r="E417" s="216"/>
      <c r="F417" s="216"/>
      <c r="G417" s="216"/>
      <c r="H417" s="216" t="s">
        <v>234</v>
      </c>
      <c r="I417" s="217" t="s">
        <v>234</v>
      </c>
      <c r="J417" s="217"/>
      <c r="K417" s="216" t="s">
        <v>234</v>
      </c>
      <c r="L417" s="216"/>
      <c r="M417" s="217"/>
      <c r="N417" s="216"/>
      <c r="O417" s="217"/>
      <c r="P417" s="216"/>
      <c r="Q417" s="217"/>
      <c r="R417" s="217" t="s">
        <v>234</v>
      </c>
      <c r="S417" s="217"/>
      <c r="T417" s="217"/>
      <c r="U417" s="218">
        <f t="shared" si="467"/>
        <v>6</v>
      </c>
      <c r="V417" s="867" t="s">
        <v>238</v>
      </c>
      <c r="W417" s="219">
        <v>170006</v>
      </c>
      <c r="X417" s="220">
        <v>3.04</v>
      </c>
      <c r="Y417" s="221">
        <f t="shared" si="456"/>
        <v>1.0304</v>
      </c>
      <c r="Z417" s="199">
        <v>19</v>
      </c>
      <c r="AA417" s="221">
        <f t="shared" si="457"/>
        <v>1.7664898659259882</v>
      </c>
      <c r="AB417" s="199">
        <f t="shared" si="464"/>
        <v>300313.87614661356</v>
      </c>
      <c r="AC417">
        <v>20.8</v>
      </c>
      <c r="AD417" s="199">
        <f t="shared" si="465"/>
        <v>62465.286238495624</v>
      </c>
      <c r="AE417" s="199">
        <f t="shared" si="462"/>
        <v>59342.021926570844</v>
      </c>
      <c r="AF417" s="199">
        <f t="shared" si="497"/>
        <v>59342.021926570844</v>
      </c>
      <c r="AG417" s="614">
        <f t="shared" si="496"/>
        <v>2.7437145775270079E-3</v>
      </c>
      <c r="AH417" s="199">
        <f t="shared" si="478"/>
        <v>15015.693807330679</v>
      </c>
      <c r="AI417" s="252">
        <f t="shared" si="479"/>
        <v>1.1632430482555593E-3</v>
      </c>
      <c r="AJ417" s="199">
        <f t="shared" si="480"/>
        <v>77480.980045826305</v>
      </c>
      <c r="AK417" s="199">
        <f t="shared" si="509"/>
        <v>12012.555045864543</v>
      </c>
      <c r="AL417" s="199">
        <f t="shared" si="510"/>
        <v>12012.555045864543</v>
      </c>
      <c r="AM417" s="199">
        <f t="shared" si="481"/>
        <v>24025.110091729086</v>
      </c>
      <c r="AN417" s="645">
        <f t="shared" si="482"/>
        <v>1.1632430482555591E-3</v>
      </c>
      <c r="AO417" s="199">
        <v>11</v>
      </c>
      <c r="AP417" s="250">
        <f t="shared" si="483"/>
        <v>1.2498579706851495E-3</v>
      </c>
      <c r="AQ417" s="199">
        <v>11</v>
      </c>
      <c r="AU417" s="199">
        <v>0</v>
      </c>
      <c r="AW417" s="250">
        <f t="shared" si="484"/>
        <v>0</v>
      </c>
      <c r="AX417" s="199">
        <v>1</v>
      </c>
      <c r="AY417" s="199">
        <f t="shared" si="468"/>
        <v>23189.08351485003</v>
      </c>
      <c r="AZ417" s="199">
        <f t="shared" si="485"/>
        <v>23189.08351485003</v>
      </c>
      <c r="BA417" s="252">
        <f t="shared" si="486"/>
        <v>1.8228124454549594E-3</v>
      </c>
      <c r="BB417" s="284">
        <v>1</v>
      </c>
      <c r="BC417" s="199">
        <f t="shared" si="469"/>
        <v>44975.006091716845</v>
      </c>
      <c r="BD417" s="270">
        <f t="shared" si="511"/>
        <v>4.0503183285652763E-3</v>
      </c>
      <c r="BE417" s="199">
        <f t="shared" si="470"/>
        <v>192393.08161456653</v>
      </c>
      <c r="BF417" s="251">
        <f t="shared" si="512"/>
        <v>4.0503184185709676E-3</v>
      </c>
      <c r="BG417" s="204">
        <f t="shared" si="455"/>
        <v>237368.08770628338</v>
      </c>
      <c r="BH417" s="636">
        <v>0</v>
      </c>
      <c r="BI417" s="199">
        <f t="shared" si="487"/>
        <v>91896.04610086375</v>
      </c>
      <c r="BJ417" s="199">
        <f t="shared" si="488"/>
        <v>183792.0922017275</v>
      </c>
      <c r="BK417" s="199">
        <f t="shared" si="495"/>
        <v>275688.13830259128</v>
      </c>
      <c r="BL417" s="251">
        <f t="shared" si="489"/>
        <v>1.1632430482555593E-3</v>
      </c>
      <c r="BM417" s="199">
        <f t="shared" si="471"/>
        <v>37924.866927755786</v>
      </c>
      <c r="BN417" s="251">
        <f t="shared" si="490"/>
        <v>1.637713698216036E-3</v>
      </c>
      <c r="BT417" s="199">
        <f>'Detailed Budget'!$AD$12</f>
        <v>194045122715</v>
      </c>
      <c r="BU417" s="199">
        <f>'Detailed Budget'!$AD$24</f>
        <v>194045122715</v>
      </c>
      <c r="BV417" s="596">
        <f t="shared" si="472"/>
        <v>0</v>
      </c>
      <c r="BW417" s="278"/>
      <c r="BX417" s="275">
        <f t="shared" si="460"/>
        <v>0</v>
      </c>
      <c r="BY417" s="275">
        <f t="shared" si="461"/>
        <v>0</v>
      </c>
      <c r="CA417" s="199">
        <f>'Detailed Budget'!$AD$96</f>
        <v>71050111380.677719</v>
      </c>
      <c r="CB417" s="275">
        <f t="shared" si="491"/>
        <v>129511027.2756604</v>
      </c>
      <c r="CE417" s="199">
        <f>'Detailed Budget'!$AD$175</f>
        <v>4330586076.5988197</v>
      </c>
      <c r="CF417" s="275">
        <f t="shared" si="473"/>
        <v>17540252.159477789</v>
      </c>
      <c r="CG417" s="199">
        <f>'Detailed Budget'!$AD$176</f>
        <v>20662817754.37001</v>
      </c>
      <c r="CH417" s="275">
        <f t="shared" si="474"/>
        <v>83690991.33010006</v>
      </c>
      <c r="CI417" s="275">
        <f t="shared" si="463"/>
        <v>101231243.48957784</v>
      </c>
      <c r="CJ417" s="275">
        <f>'Detailed Budget'!$AD$178</f>
        <v>46025131033.061455</v>
      </c>
      <c r="CK417" s="275">
        <f t="shared" si="475"/>
        <v>126279822.9480014</v>
      </c>
      <c r="CL417" s="275">
        <f t="shared" si="498"/>
        <v>227511066.43757924</v>
      </c>
      <c r="CM417" s="278">
        <f>'Detailed Budget'!$AD$189</f>
        <v>77498869683.252869</v>
      </c>
      <c r="CN417" s="275">
        <f t="shared" si="492"/>
        <v>0</v>
      </c>
      <c r="CO417" s="140">
        <f>'Detailed Budget'!$AD$191</f>
        <v>2684962805.4134097</v>
      </c>
      <c r="CP417" s="616">
        <f t="shared" si="493"/>
        <v>0</v>
      </c>
      <c r="CQ417" s="616">
        <f t="shared" si="494"/>
        <v>0</v>
      </c>
      <c r="CR417" s="199">
        <f>'Detailed Budget'!$AD$195</f>
        <v>18734176418</v>
      </c>
      <c r="CS417" s="275">
        <f t="shared" si="476"/>
        <v>30681217.344554432</v>
      </c>
      <c r="CW417" s="278"/>
      <c r="DH417" s="140">
        <f>'Detailed Budget'!$AD$163</f>
        <v>4928560000</v>
      </c>
      <c r="DI417" s="616">
        <f t="shared" si="477"/>
        <v>6160000</v>
      </c>
    </row>
    <row r="418" spans="1:113" outlineLevel="1">
      <c r="A418" s="214" t="s">
        <v>963</v>
      </c>
      <c r="B418" s="215" t="s">
        <v>964</v>
      </c>
      <c r="C418" s="216" t="s">
        <v>234</v>
      </c>
      <c r="D418" s="217" t="s">
        <v>234</v>
      </c>
      <c r="E418" s="216"/>
      <c r="F418" s="216"/>
      <c r="G418" s="216"/>
      <c r="H418" s="216" t="s">
        <v>234</v>
      </c>
      <c r="I418" s="217" t="s">
        <v>234</v>
      </c>
      <c r="J418" s="217"/>
      <c r="K418" s="216" t="s">
        <v>234</v>
      </c>
      <c r="L418" s="216"/>
      <c r="M418" s="217"/>
      <c r="N418" s="216"/>
      <c r="O418" s="217"/>
      <c r="P418" s="216"/>
      <c r="Q418" s="217"/>
      <c r="R418" s="217" t="s">
        <v>234</v>
      </c>
      <c r="S418" s="217"/>
      <c r="T418" s="217"/>
      <c r="U418" s="218">
        <f t="shared" si="467"/>
        <v>6</v>
      </c>
      <c r="V418" s="867" t="s">
        <v>238</v>
      </c>
      <c r="W418" s="219">
        <v>154092</v>
      </c>
      <c r="X418" s="220">
        <v>3.04</v>
      </c>
      <c r="Y418" s="221">
        <f t="shared" si="456"/>
        <v>1.0304</v>
      </c>
      <c r="Z418" s="199">
        <v>19</v>
      </c>
      <c r="AA418" s="221">
        <f t="shared" si="457"/>
        <v>1.7664898659259882</v>
      </c>
      <c r="AB418" s="199">
        <f t="shared" si="464"/>
        <v>272201.95642026735</v>
      </c>
      <c r="AC418">
        <v>20.8</v>
      </c>
      <c r="AD418" s="199">
        <f t="shared" si="465"/>
        <v>56618.006935415615</v>
      </c>
      <c r="AE418" s="199">
        <f t="shared" si="462"/>
        <v>53787.106588644834</v>
      </c>
      <c r="AF418" s="199">
        <f t="shared" si="497"/>
        <v>53787.106588644834</v>
      </c>
      <c r="AG418" s="614">
        <f t="shared" si="496"/>
        <v>2.4868796788365803E-3</v>
      </c>
      <c r="AH418" s="199">
        <f t="shared" si="478"/>
        <v>13610.097821013369</v>
      </c>
      <c r="AI418" s="252">
        <f t="shared" si="479"/>
        <v>1.0543536568814961E-3</v>
      </c>
      <c r="AJ418" s="199">
        <f t="shared" si="480"/>
        <v>70228.104756428977</v>
      </c>
      <c r="AK418" s="199">
        <f t="shared" si="509"/>
        <v>10888.078256810693</v>
      </c>
      <c r="AL418" s="199">
        <f t="shared" si="510"/>
        <v>10888.078256810693</v>
      </c>
      <c r="AM418" s="199">
        <f t="shared" si="481"/>
        <v>21776.156513621387</v>
      </c>
      <c r="AN418" s="645">
        <f t="shared" si="482"/>
        <v>1.0543536568814959E-3</v>
      </c>
      <c r="AO418" s="199">
        <v>10</v>
      </c>
      <c r="AP418" s="250">
        <f t="shared" si="483"/>
        <v>1.1362345188046814E-3</v>
      </c>
      <c r="AQ418" s="199">
        <v>10</v>
      </c>
      <c r="AU418" s="199">
        <v>0</v>
      </c>
      <c r="AW418" s="250">
        <f t="shared" si="484"/>
        <v>0</v>
      </c>
      <c r="AX418" s="199">
        <v>1</v>
      </c>
      <c r="AY418" s="199">
        <f t="shared" si="468"/>
        <v>21018.389097856958</v>
      </c>
      <c r="AZ418" s="199">
        <f t="shared" si="485"/>
        <v>21018.389097856958</v>
      </c>
      <c r="BA418" s="252">
        <f t="shared" si="486"/>
        <v>1.6521817779669278E-3</v>
      </c>
      <c r="BB418" s="284">
        <v>1</v>
      </c>
      <c r="BC418" s="199">
        <f t="shared" si="469"/>
        <v>40764.964993499241</v>
      </c>
      <c r="BD418" s="270">
        <f t="shared" si="511"/>
        <v>3.6711742637629296E-3</v>
      </c>
      <c r="BE418" s="199">
        <f t="shared" si="470"/>
        <v>174383.46136108009</v>
      </c>
      <c r="BF418" s="251">
        <f t="shared" si="512"/>
        <v>3.6711743453433261E-3</v>
      </c>
      <c r="BG418" s="204">
        <f t="shared" ref="BG418:BG487" si="513">BC418+BE418</f>
        <v>215148.42635457934</v>
      </c>
      <c r="BH418" s="636">
        <v>0</v>
      </c>
      <c r="BI418" s="199">
        <f t="shared" si="487"/>
        <v>83293.798664601796</v>
      </c>
      <c r="BJ418" s="199">
        <f t="shared" si="488"/>
        <v>166587.59732920359</v>
      </c>
      <c r="BK418" s="199">
        <f t="shared" si="495"/>
        <v>249881.39599380537</v>
      </c>
      <c r="BL418" s="251">
        <f t="shared" si="489"/>
        <v>1.0543536568814957E-3</v>
      </c>
      <c r="BM418" s="199">
        <f t="shared" si="471"/>
        <v>34374.778505651237</v>
      </c>
      <c r="BN418" s="251">
        <f t="shared" si="490"/>
        <v>1.4844098395674589E-3</v>
      </c>
      <c r="BT418" s="199">
        <f>'Detailed Budget'!$AD$12</f>
        <v>194045122715</v>
      </c>
      <c r="BU418" s="199">
        <f>'Detailed Budget'!$AD$24</f>
        <v>194045122715</v>
      </c>
      <c r="BV418" s="596">
        <f t="shared" si="472"/>
        <v>0</v>
      </c>
      <c r="BW418" s="278"/>
      <c r="BX418" s="275">
        <f t="shared" si="460"/>
        <v>0</v>
      </c>
      <c r="BY418" s="275">
        <f t="shared" si="461"/>
        <v>0</v>
      </c>
      <c r="CA418" s="199">
        <f>'Detailed Budget'!$AD$96</f>
        <v>71050111380.677719</v>
      </c>
      <c r="CB418" s="275">
        <f t="shared" si="491"/>
        <v>117387699.34567636</v>
      </c>
      <c r="CE418" s="199">
        <f>'Detailed Budget'!$AD$175</f>
        <v>4330586076.5988197</v>
      </c>
      <c r="CF418" s="275">
        <f t="shared" si="473"/>
        <v>15898336.151419666</v>
      </c>
      <c r="CG418" s="199">
        <f>'Detailed Budget'!$AD$176</f>
        <v>20662817754.37001</v>
      </c>
      <c r="CH418" s="275">
        <f t="shared" si="474"/>
        <v>75856806.44234778</v>
      </c>
      <c r="CI418" s="275">
        <f t="shared" si="463"/>
        <v>91755142.593767449</v>
      </c>
      <c r="CJ418" s="275">
        <f>'Detailed Budget'!$AD$178</f>
        <v>46025131033.061455</v>
      </c>
      <c r="CK418" s="275">
        <f t="shared" si="475"/>
        <v>114458963.0819114</v>
      </c>
      <c r="CL418" s="275">
        <f t="shared" si="498"/>
        <v>206214105.67567885</v>
      </c>
      <c r="CM418" s="278">
        <f>'Detailed Budget'!$AD$189</f>
        <v>77498869683.252869</v>
      </c>
      <c r="CN418" s="275">
        <f t="shared" si="492"/>
        <v>0</v>
      </c>
      <c r="CO418" s="140">
        <f>'Detailed Budget'!$AD$191</f>
        <v>2684962805.4134097</v>
      </c>
      <c r="CP418" s="616">
        <f t="shared" si="493"/>
        <v>0</v>
      </c>
      <c r="CQ418" s="616">
        <f t="shared" si="494"/>
        <v>0</v>
      </c>
      <c r="CR418" s="199">
        <f>'Detailed Budget'!$AD$195</f>
        <v>18734176418</v>
      </c>
      <c r="CS418" s="275">
        <f t="shared" si="476"/>
        <v>27809195.81107185</v>
      </c>
      <c r="CW418" s="278"/>
      <c r="DH418" s="140">
        <f>'Detailed Budget'!$AD$163</f>
        <v>4928560000</v>
      </c>
      <c r="DI418" s="616">
        <f t="shared" si="477"/>
        <v>5600000</v>
      </c>
    </row>
    <row r="419" spans="1:113" outlineLevel="1">
      <c r="A419" s="214" t="s">
        <v>965</v>
      </c>
      <c r="B419" s="215" t="s">
        <v>966</v>
      </c>
      <c r="C419" s="216" t="s">
        <v>234</v>
      </c>
      <c r="D419" s="217" t="s">
        <v>234</v>
      </c>
      <c r="E419" s="216"/>
      <c r="F419" s="216"/>
      <c r="G419" s="216"/>
      <c r="H419" s="216" t="s">
        <v>234</v>
      </c>
      <c r="I419" s="217" t="s">
        <v>234</v>
      </c>
      <c r="J419" s="217"/>
      <c r="K419" s="216" t="s">
        <v>234</v>
      </c>
      <c r="L419" s="216"/>
      <c r="M419" s="217"/>
      <c r="N419" s="216"/>
      <c r="O419" s="217"/>
      <c r="P419" s="216"/>
      <c r="Q419" s="217"/>
      <c r="R419" s="217" t="s">
        <v>234</v>
      </c>
      <c r="S419" s="217"/>
      <c r="T419" s="217"/>
      <c r="U419" s="218">
        <f t="shared" si="467"/>
        <v>6</v>
      </c>
      <c r="V419" s="867" t="s">
        <v>238</v>
      </c>
      <c r="W419" s="219">
        <v>140679</v>
      </c>
      <c r="X419" s="220">
        <v>3.04</v>
      </c>
      <c r="Y419" s="221">
        <f t="shared" ref="Y419:Y488" si="514">1+X419/100</f>
        <v>1.0304</v>
      </c>
      <c r="Z419" s="199">
        <v>19</v>
      </c>
      <c r="AA419" s="221">
        <f t="shared" ref="AA419:AA488" si="515">POWER(Y419,Z419)</f>
        <v>1.7664898659259882</v>
      </c>
      <c r="AB419" s="199">
        <f t="shared" ref="AB419:AB454" si="516">W419*AA419</f>
        <v>248508.0278486021</v>
      </c>
      <c r="AC419">
        <v>20.8</v>
      </c>
      <c r="AD419" s="199">
        <f t="shared" ref="AD419:AD454" si="517">AB419*AC419/100</f>
        <v>51689.669792509238</v>
      </c>
      <c r="AE419" s="199">
        <f t="shared" si="462"/>
        <v>49105.186302883776</v>
      </c>
      <c r="AF419" s="199">
        <f t="shared" si="497"/>
        <v>49105.186302883776</v>
      </c>
      <c r="AG419" s="614">
        <f t="shared" si="496"/>
        <v>2.27040823883817E-3</v>
      </c>
      <c r="AH419" s="199">
        <f t="shared" si="478"/>
        <v>12425.401392430105</v>
      </c>
      <c r="AI419" s="252">
        <f t="shared" si="479"/>
        <v>9.6257701954956764E-4</v>
      </c>
      <c r="AJ419" s="199">
        <f t="shared" si="480"/>
        <v>64115.071184939341</v>
      </c>
      <c r="AK419" s="199">
        <f t="shared" si="509"/>
        <v>9940.3211139440846</v>
      </c>
      <c r="AL419" s="199">
        <f t="shared" si="510"/>
        <v>9940.3211139440846</v>
      </c>
      <c r="AM419" s="199">
        <f t="shared" si="481"/>
        <v>19880.642227888169</v>
      </c>
      <c r="AN419" s="645">
        <f t="shared" si="482"/>
        <v>9.6257701954956764E-4</v>
      </c>
      <c r="AO419" s="199">
        <v>10</v>
      </c>
      <c r="AP419" s="250">
        <f t="shared" si="483"/>
        <v>1.1362345188046814E-3</v>
      </c>
      <c r="AQ419" s="199">
        <v>10</v>
      </c>
      <c r="AU419" s="199">
        <v>0</v>
      </c>
      <c r="AW419" s="250">
        <f t="shared" si="484"/>
        <v>0</v>
      </c>
      <c r="AX419" s="199">
        <v>1</v>
      </c>
      <c r="AY419" s="199">
        <f t="shared" si="468"/>
        <v>19188.834981033535</v>
      </c>
      <c r="AZ419" s="199">
        <f t="shared" si="485"/>
        <v>19188.834981033535</v>
      </c>
      <c r="BA419" s="252">
        <f t="shared" si="486"/>
        <v>1.5083669518379246E-3</v>
      </c>
      <c r="BB419" s="284">
        <v>1</v>
      </c>
      <c r="BC419" s="199">
        <f t="shared" si="469"/>
        <v>37216.56225060665</v>
      </c>
      <c r="BD419" s="270">
        <f t="shared" si="511"/>
        <v>3.351615426186338E-3</v>
      </c>
      <c r="BE419" s="199">
        <f t="shared" si="470"/>
        <v>159204.18296092845</v>
      </c>
      <c r="BF419" s="251">
        <f t="shared" si="512"/>
        <v>3.351615500665536E-3</v>
      </c>
      <c r="BG419" s="204">
        <f t="shared" si="513"/>
        <v>196420.7452115351</v>
      </c>
      <c r="BH419" s="636">
        <v>0</v>
      </c>
      <c r="BI419" s="199">
        <f t="shared" si="487"/>
        <v>76043.456521672255</v>
      </c>
      <c r="BJ419" s="199">
        <f t="shared" si="488"/>
        <v>152086.91304334451</v>
      </c>
      <c r="BK419" s="199">
        <f t="shared" si="495"/>
        <v>228130.36956501676</v>
      </c>
      <c r="BL419" s="251">
        <f t="shared" si="489"/>
        <v>9.6257701954956774E-4</v>
      </c>
      <c r="BM419" s="199">
        <f t="shared" si="471"/>
        <v>31382.612110924059</v>
      </c>
      <c r="BN419" s="251">
        <f t="shared" si="490"/>
        <v>1.3551987891682277E-3</v>
      </c>
      <c r="BT419" s="199">
        <f>'Detailed Budget'!$AD$12</f>
        <v>194045122715</v>
      </c>
      <c r="BU419" s="199">
        <f>'Detailed Budget'!$AD$24</f>
        <v>194045122715</v>
      </c>
      <c r="BV419" s="596">
        <f t="shared" si="472"/>
        <v>0</v>
      </c>
      <c r="BW419" s="278"/>
      <c r="BX419" s="275">
        <f t="shared" si="460"/>
        <v>0</v>
      </c>
      <c r="BY419" s="275">
        <f t="shared" si="461"/>
        <v>0</v>
      </c>
      <c r="CA419" s="199">
        <f>'Detailed Budget'!$AD$96</f>
        <v>71050111380.677719</v>
      </c>
      <c r="CB419" s="275">
        <f t="shared" si="491"/>
        <v>107169639.93101789</v>
      </c>
      <c r="CE419" s="199">
        <f>'Detailed Budget'!$AD$175</f>
        <v>4330586076.5988197</v>
      </c>
      <c r="CF419" s="275">
        <f t="shared" si="473"/>
        <v>14514459.098756375</v>
      </c>
      <c r="CG419" s="199">
        <f>'Detailed Budget'!$AD$176</f>
        <v>20662817754.37001</v>
      </c>
      <c r="CH419" s="275">
        <f t="shared" si="474"/>
        <v>69253820.272973567</v>
      </c>
      <c r="CI419" s="275">
        <f t="shared" si="463"/>
        <v>83768279.37172994</v>
      </c>
      <c r="CJ419" s="275">
        <f>'Detailed Budget'!$AD$178</f>
        <v>46025131033.061455</v>
      </c>
      <c r="CK419" s="275">
        <f t="shared" si="475"/>
        <v>104495836.69106907</v>
      </c>
      <c r="CL419" s="275">
        <f t="shared" si="498"/>
        <v>188264116.06279901</v>
      </c>
      <c r="CM419" s="278">
        <f>'Detailed Budget'!$AD$189</f>
        <v>77498869683.252869</v>
      </c>
      <c r="CN419" s="275">
        <f t="shared" si="492"/>
        <v>0</v>
      </c>
      <c r="CO419" s="140">
        <f>'Detailed Budget'!$AD$191</f>
        <v>2684962805.4134097</v>
      </c>
      <c r="CP419" s="616">
        <f t="shared" si="493"/>
        <v>0</v>
      </c>
      <c r="CQ419" s="616">
        <f t="shared" si="494"/>
        <v>0</v>
      </c>
      <c r="CR419" s="199">
        <f>'Detailed Budget'!$AD$195</f>
        <v>18734176418</v>
      </c>
      <c r="CS419" s="275">
        <f t="shared" si="476"/>
        <v>25388533.197737563</v>
      </c>
      <c r="CW419" s="278"/>
      <c r="DH419" s="140">
        <f>'Detailed Budget'!$AD$163</f>
        <v>4928560000</v>
      </c>
      <c r="DI419" s="616">
        <f t="shared" si="477"/>
        <v>5600000</v>
      </c>
    </row>
    <row r="420" spans="1:113" outlineLevel="1">
      <c r="A420" s="214" t="s">
        <v>967</v>
      </c>
      <c r="B420" s="215" t="s">
        <v>968</v>
      </c>
      <c r="C420" s="216" t="s">
        <v>234</v>
      </c>
      <c r="D420" s="217" t="s">
        <v>234</v>
      </c>
      <c r="E420" s="216"/>
      <c r="F420" s="216"/>
      <c r="G420" s="216"/>
      <c r="H420" s="216" t="s">
        <v>234</v>
      </c>
      <c r="I420" s="217" t="s">
        <v>234</v>
      </c>
      <c r="J420" s="217"/>
      <c r="K420" s="216" t="s">
        <v>234</v>
      </c>
      <c r="L420" s="216"/>
      <c r="M420" s="217"/>
      <c r="N420" s="216"/>
      <c r="O420" s="217"/>
      <c r="P420" s="216"/>
      <c r="Q420" s="217"/>
      <c r="R420" s="217" t="s">
        <v>234</v>
      </c>
      <c r="S420" s="217"/>
      <c r="T420" s="217"/>
      <c r="U420" s="218">
        <f t="shared" si="467"/>
        <v>6</v>
      </c>
      <c r="V420" s="867" t="s">
        <v>238</v>
      </c>
      <c r="W420" s="219">
        <v>185207</v>
      </c>
      <c r="X420" s="220">
        <v>3.04</v>
      </c>
      <c r="Y420" s="221">
        <f t="shared" si="514"/>
        <v>1.0304</v>
      </c>
      <c r="Z420" s="199">
        <v>19</v>
      </c>
      <c r="AA420" s="221">
        <f t="shared" si="515"/>
        <v>1.7664898659259882</v>
      </c>
      <c r="AB420" s="199">
        <f t="shared" si="516"/>
        <v>327166.2885985545</v>
      </c>
      <c r="AC420">
        <v>20.8</v>
      </c>
      <c r="AD420" s="199">
        <f t="shared" si="517"/>
        <v>68050.588028499333</v>
      </c>
      <c r="AE420" s="199">
        <f t="shared" si="462"/>
        <v>64648.058627074366</v>
      </c>
      <c r="AF420" s="199">
        <f t="shared" si="497"/>
        <v>64648.058627074366</v>
      </c>
      <c r="AG420" s="614">
        <f t="shared" si="496"/>
        <v>2.9890424206207105E-3</v>
      </c>
      <c r="AH420" s="199">
        <f t="shared" si="478"/>
        <v>16358.314429927726</v>
      </c>
      <c r="AI420" s="252">
        <f t="shared" si="479"/>
        <v>1.2672538336192096E-3</v>
      </c>
      <c r="AJ420" s="199">
        <f t="shared" si="480"/>
        <v>84408.902458427066</v>
      </c>
      <c r="AK420" s="199">
        <f t="shared" si="509"/>
        <v>13086.65154394218</v>
      </c>
      <c r="AL420" s="199">
        <f t="shared" si="510"/>
        <v>13086.65154394218</v>
      </c>
      <c r="AM420" s="199">
        <f t="shared" si="481"/>
        <v>26173.30308788436</v>
      </c>
      <c r="AN420" s="645">
        <f t="shared" si="482"/>
        <v>1.2672538336192096E-3</v>
      </c>
      <c r="AO420" s="199">
        <v>10</v>
      </c>
      <c r="AP420" s="250">
        <f t="shared" si="483"/>
        <v>1.1362345188046814E-3</v>
      </c>
      <c r="AQ420" s="199">
        <v>10</v>
      </c>
      <c r="AU420" s="199">
        <v>0</v>
      </c>
      <c r="AW420" s="250">
        <f t="shared" si="484"/>
        <v>0</v>
      </c>
      <c r="AX420" s="199">
        <v>1</v>
      </c>
      <c r="AY420" s="199">
        <f t="shared" si="468"/>
        <v>25262.523619959469</v>
      </c>
      <c r="AZ420" s="199">
        <f t="shared" si="485"/>
        <v>25262.523619959469</v>
      </c>
      <c r="BA420" s="252">
        <f t="shared" si="486"/>
        <v>1.9857982929154068E-3</v>
      </c>
      <c r="BB420" s="284">
        <v>1</v>
      </c>
      <c r="BC420" s="199">
        <f t="shared" si="469"/>
        <v>48996.423380519518</v>
      </c>
      <c r="BD420" s="270">
        <f t="shared" si="511"/>
        <v>4.4124754813276539E-3</v>
      </c>
      <c r="BE420" s="199">
        <f t="shared" si="470"/>
        <v>209595.81112777794</v>
      </c>
      <c r="BF420" s="251">
        <f t="shared" si="512"/>
        <v>4.4124755793811575E-3</v>
      </c>
      <c r="BG420" s="204">
        <f t="shared" si="513"/>
        <v>258592.23450829746</v>
      </c>
      <c r="BH420" s="636">
        <v>0</v>
      </c>
      <c r="BI420" s="199">
        <f t="shared" si="487"/>
        <v>100112.88431115769</v>
      </c>
      <c r="BJ420" s="199">
        <f t="shared" si="488"/>
        <v>200225.76862231537</v>
      </c>
      <c r="BK420" s="199">
        <f t="shared" si="495"/>
        <v>300338.65293347306</v>
      </c>
      <c r="BL420" s="251">
        <f t="shared" si="489"/>
        <v>1.2672538336192096E-3</v>
      </c>
      <c r="BM420" s="199">
        <f t="shared" si="471"/>
        <v>41315.899609948268</v>
      </c>
      <c r="BN420" s="251">
        <f t="shared" si="490"/>
        <v>1.7841490353605013E-3</v>
      </c>
      <c r="BT420" s="199">
        <f>'Detailed Budget'!$AD$12</f>
        <v>194045122715</v>
      </c>
      <c r="BU420" s="199">
        <f>'Detailed Budget'!$AD$24</f>
        <v>194045122715</v>
      </c>
      <c r="BV420" s="596">
        <f t="shared" si="472"/>
        <v>0</v>
      </c>
      <c r="BW420" s="278"/>
      <c r="BX420" s="275">
        <f t="shared" si="460"/>
        <v>0</v>
      </c>
      <c r="BY420" s="275">
        <f t="shared" si="461"/>
        <v>0</v>
      </c>
      <c r="CA420" s="199">
        <f>'Detailed Budget'!$AD$96</f>
        <v>71050111380.677719</v>
      </c>
      <c r="CB420" s="275">
        <f t="shared" si="491"/>
        <v>141091189.89119932</v>
      </c>
      <c r="CE420" s="199">
        <f>'Detailed Budget'!$AD$175</f>
        <v>4330586076.5988197</v>
      </c>
      <c r="CF420" s="275">
        <f t="shared" si="473"/>
        <v>19108604.882771213</v>
      </c>
      <c r="CG420" s="199">
        <f>'Detailed Budget'!$AD$176</f>
        <v>20662817754.37001</v>
      </c>
      <c r="CH420" s="275">
        <f t="shared" si="474"/>
        <v>91174178.742361084</v>
      </c>
      <c r="CI420" s="275">
        <f t="shared" si="463"/>
        <v>110282783.62513229</v>
      </c>
      <c r="CJ420" s="275">
        <f>'Detailed Budget'!$AD$178</f>
        <v>46025131033.061455</v>
      </c>
      <c r="CK420" s="275">
        <f t="shared" si="475"/>
        <v>137571069.07244739</v>
      </c>
      <c r="CL420" s="275">
        <f t="shared" si="498"/>
        <v>247853852.69757968</v>
      </c>
      <c r="CM420" s="278">
        <f>'Detailed Budget'!$AD$189</f>
        <v>77498869683.252869</v>
      </c>
      <c r="CN420" s="275">
        <f t="shared" si="492"/>
        <v>0</v>
      </c>
      <c r="CO420" s="140">
        <f>'Detailed Budget'!$AD$191</f>
        <v>2684962805.4134097</v>
      </c>
      <c r="CP420" s="616">
        <f t="shared" si="493"/>
        <v>0</v>
      </c>
      <c r="CQ420" s="616">
        <f t="shared" si="494"/>
        <v>0</v>
      </c>
      <c r="CR420" s="199">
        <f>'Detailed Budget'!$AD$195</f>
        <v>18734176418</v>
      </c>
      <c r="CS420" s="275">
        <f t="shared" si="476"/>
        <v>33424562.784448151</v>
      </c>
      <c r="CW420" s="278"/>
      <c r="DH420" s="140">
        <f>'Detailed Budget'!$AD$163</f>
        <v>4928560000</v>
      </c>
      <c r="DI420" s="616">
        <f t="shared" si="477"/>
        <v>5600000</v>
      </c>
    </row>
    <row r="421" spans="1:113" outlineLevel="1">
      <c r="A421" s="214" t="s">
        <v>969</v>
      </c>
      <c r="B421" s="215" t="s">
        <v>970</v>
      </c>
      <c r="C421" s="216" t="s">
        <v>234</v>
      </c>
      <c r="D421" s="217" t="s">
        <v>234</v>
      </c>
      <c r="E421" s="216"/>
      <c r="F421" s="216"/>
      <c r="G421" s="216"/>
      <c r="H421" s="216" t="s">
        <v>234</v>
      </c>
      <c r="I421" s="217" t="s">
        <v>234</v>
      </c>
      <c r="J421" s="217"/>
      <c r="K421" s="216" t="s">
        <v>234</v>
      </c>
      <c r="L421" s="216"/>
      <c r="M421" s="217"/>
      <c r="N421" s="216"/>
      <c r="O421" s="217"/>
      <c r="P421" s="216"/>
      <c r="Q421" s="217"/>
      <c r="R421" s="217" t="s">
        <v>234</v>
      </c>
      <c r="S421" s="217"/>
      <c r="T421" s="217"/>
      <c r="U421" s="218">
        <f t="shared" si="467"/>
        <v>6</v>
      </c>
      <c r="V421" s="867" t="s">
        <v>238</v>
      </c>
      <c r="W421" s="219">
        <v>136944</v>
      </c>
      <c r="X421" s="220">
        <v>3.04</v>
      </c>
      <c r="Y421" s="221">
        <f t="shared" si="514"/>
        <v>1.0304</v>
      </c>
      <c r="Z421" s="199">
        <v>19</v>
      </c>
      <c r="AA421" s="221">
        <f t="shared" si="515"/>
        <v>1.7664898659259882</v>
      </c>
      <c r="AB421" s="199">
        <f t="shared" si="516"/>
        <v>241910.18819936854</v>
      </c>
      <c r="AC421">
        <v>20.8</v>
      </c>
      <c r="AD421" s="199">
        <f t="shared" si="517"/>
        <v>50317.31914546866</v>
      </c>
      <c r="AE421" s="199">
        <f t="shared" si="462"/>
        <v>47801.453188195228</v>
      </c>
      <c r="AF421" s="199">
        <f t="shared" si="497"/>
        <v>47801.453188195228</v>
      </c>
      <c r="AG421" s="614">
        <f t="shared" si="496"/>
        <v>2.210129343110588E-3</v>
      </c>
      <c r="AH421" s="199">
        <f t="shared" si="478"/>
        <v>12095.509409968428</v>
      </c>
      <c r="AI421" s="252">
        <f t="shared" si="479"/>
        <v>9.3702078750343692E-4</v>
      </c>
      <c r="AJ421" s="199">
        <f t="shared" si="480"/>
        <v>62412.828555437089</v>
      </c>
      <c r="AK421" s="199">
        <f t="shared" si="509"/>
        <v>9676.4075279747412</v>
      </c>
      <c r="AL421" s="199">
        <f t="shared" si="510"/>
        <v>9676.4075279747412</v>
      </c>
      <c r="AM421" s="199">
        <f t="shared" si="481"/>
        <v>19352.815055949482</v>
      </c>
      <c r="AN421" s="645">
        <f t="shared" si="482"/>
        <v>9.3702078750343681E-4</v>
      </c>
      <c r="AO421" s="199">
        <v>11</v>
      </c>
      <c r="AP421" s="250">
        <f t="shared" si="483"/>
        <v>1.2498579706851495E-3</v>
      </c>
      <c r="AQ421" s="199">
        <v>11</v>
      </c>
      <c r="AU421" s="199">
        <v>0</v>
      </c>
      <c r="AW421" s="250">
        <f t="shared" si="484"/>
        <v>0</v>
      </c>
      <c r="AX421" s="199">
        <v>1</v>
      </c>
      <c r="AY421" s="199">
        <f t="shared" si="468"/>
        <v>18679.375156509901</v>
      </c>
      <c r="AZ421" s="199">
        <f t="shared" si="485"/>
        <v>18679.375156509901</v>
      </c>
      <c r="BA421" s="252">
        <f t="shared" si="486"/>
        <v>1.4683201035868378E-3</v>
      </c>
      <c r="BB421" s="284">
        <v>1</v>
      </c>
      <c r="BC421" s="199">
        <f t="shared" si="469"/>
        <v>36228.469784737434</v>
      </c>
      <c r="BD421" s="270">
        <f t="shared" si="511"/>
        <v>3.262630690605292E-3</v>
      </c>
      <c r="BE421" s="199">
        <f t="shared" si="470"/>
        <v>154977.34296804346</v>
      </c>
      <c r="BF421" s="251">
        <f t="shared" si="512"/>
        <v>3.2626307631070822E-3</v>
      </c>
      <c r="BG421" s="204">
        <f t="shared" si="513"/>
        <v>191205.81275278091</v>
      </c>
      <c r="BH421" s="636">
        <v>0</v>
      </c>
      <c r="BI421" s="199">
        <f t="shared" si="487"/>
        <v>74024.517589006777</v>
      </c>
      <c r="BJ421" s="199">
        <f t="shared" si="488"/>
        <v>148049.03517801355</v>
      </c>
      <c r="BK421" s="199">
        <f t="shared" si="495"/>
        <v>222073.55276702033</v>
      </c>
      <c r="BL421" s="251">
        <f t="shared" si="489"/>
        <v>9.3702078750343692E-4</v>
      </c>
      <c r="BM421" s="199">
        <f t="shared" si="471"/>
        <v>30549.409882913475</v>
      </c>
      <c r="BN421" s="251">
        <f t="shared" si="490"/>
        <v>1.3192185257490726E-3</v>
      </c>
      <c r="BT421" s="199">
        <f>'Detailed Budget'!$AD$12</f>
        <v>194045122715</v>
      </c>
      <c r="BU421" s="199">
        <f>'Detailed Budget'!$AD$24</f>
        <v>194045122715</v>
      </c>
      <c r="BV421" s="596">
        <f t="shared" si="472"/>
        <v>0</v>
      </c>
      <c r="BW421" s="278"/>
      <c r="BX421" s="275">
        <f t="shared" si="460"/>
        <v>0</v>
      </c>
      <c r="BY421" s="275">
        <f t="shared" si="461"/>
        <v>0</v>
      </c>
      <c r="CA421" s="199">
        <f>'Detailed Budget'!$AD$96</f>
        <v>71050111380.677719</v>
      </c>
      <c r="CB421" s="275">
        <f t="shared" si="491"/>
        <v>104324306.90233308</v>
      </c>
      <c r="CE421" s="199">
        <f>'Detailed Budget'!$AD$175</f>
        <v>4330586076.5988197</v>
      </c>
      <c r="CF421" s="275">
        <f t="shared" si="473"/>
        <v>14129103.041819269</v>
      </c>
      <c r="CG421" s="199">
        <f>'Detailed Budget'!$AD$176</f>
        <v>20662817754.37001</v>
      </c>
      <c r="CH421" s="275">
        <f t="shared" si="474"/>
        <v>67415144.857882798</v>
      </c>
      <c r="CI421" s="275">
        <f t="shared" si="463"/>
        <v>81544247.899702072</v>
      </c>
      <c r="CJ421" s="275">
        <f>'Detailed Budget'!$AD$178</f>
        <v>46025131033.061455</v>
      </c>
      <c r="CK421" s="275">
        <f t="shared" si="475"/>
        <v>101721492.61667885</v>
      </c>
      <c r="CL421" s="275">
        <f t="shared" si="498"/>
        <v>183265740.51638091</v>
      </c>
      <c r="CM421" s="278">
        <f>'Detailed Budget'!$AD$189</f>
        <v>77498869683.252869</v>
      </c>
      <c r="CN421" s="275">
        <f t="shared" si="492"/>
        <v>0</v>
      </c>
      <c r="CO421" s="140">
        <f>'Detailed Budget'!$AD$191</f>
        <v>2684962805.4134097</v>
      </c>
      <c r="CP421" s="616">
        <f t="shared" si="493"/>
        <v>0</v>
      </c>
      <c r="CQ421" s="616">
        <f t="shared" si="494"/>
        <v>0</v>
      </c>
      <c r="CR421" s="199">
        <f>'Detailed Budget'!$AD$195</f>
        <v>18734176418</v>
      </c>
      <c r="CS421" s="275">
        <f t="shared" si="476"/>
        <v>24714472.595277</v>
      </c>
      <c r="CW421" s="278"/>
      <c r="DH421" s="140">
        <f>'Detailed Budget'!$AD$163</f>
        <v>4928560000</v>
      </c>
      <c r="DI421" s="616">
        <f t="shared" si="477"/>
        <v>6160000</v>
      </c>
    </row>
    <row r="422" spans="1:113" outlineLevel="1">
      <c r="A422" s="214" t="s">
        <v>971</v>
      </c>
      <c r="B422" s="215" t="s">
        <v>972</v>
      </c>
      <c r="C422" s="216" t="s">
        <v>234</v>
      </c>
      <c r="D422" s="217" t="s">
        <v>234</v>
      </c>
      <c r="E422" s="216"/>
      <c r="F422" s="216"/>
      <c r="G422" s="216"/>
      <c r="H422" s="216" t="s">
        <v>234</v>
      </c>
      <c r="I422" s="217" t="s">
        <v>234</v>
      </c>
      <c r="J422" s="217"/>
      <c r="K422" s="216" t="s">
        <v>234</v>
      </c>
      <c r="L422" s="216"/>
      <c r="M422" s="217"/>
      <c r="N422" s="216"/>
      <c r="O422" s="217"/>
      <c r="P422" s="216"/>
      <c r="Q422" s="217"/>
      <c r="R422" s="217" t="s">
        <v>234</v>
      </c>
      <c r="S422" s="217"/>
      <c r="T422" s="217"/>
      <c r="U422" s="218">
        <f t="shared" si="467"/>
        <v>6</v>
      </c>
      <c r="V422" s="867" t="s">
        <v>238</v>
      </c>
      <c r="W422" s="219">
        <v>156052</v>
      </c>
      <c r="X422" s="220">
        <v>3.04</v>
      </c>
      <c r="Y422" s="221">
        <f t="shared" si="514"/>
        <v>1.0304</v>
      </c>
      <c r="Z422" s="199">
        <v>19</v>
      </c>
      <c r="AA422" s="221">
        <f t="shared" si="515"/>
        <v>1.7664898659259882</v>
      </c>
      <c r="AB422" s="199">
        <f t="shared" si="516"/>
        <v>275664.27655748231</v>
      </c>
      <c r="AC422">
        <v>20.8</v>
      </c>
      <c r="AD422" s="199">
        <f t="shared" si="517"/>
        <v>57338.16952395632</v>
      </c>
      <c r="AE422" s="199">
        <f t="shared" si="462"/>
        <v>54471.261047758504</v>
      </c>
      <c r="AF422" s="199">
        <f t="shared" si="497"/>
        <v>54471.261047758504</v>
      </c>
      <c r="AG422" s="614">
        <f t="shared" si="496"/>
        <v>2.5185119775316439E-3</v>
      </c>
      <c r="AH422" s="199">
        <f t="shared" si="478"/>
        <v>13783.213827874117</v>
      </c>
      <c r="AI422" s="252">
        <f t="shared" si="479"/>
        <v>1.0677646916366277E-3</v>
      </c>
      <c r="AJ422" s="199">
        <f t="shared" si="480"/>
        <v>71121.383351830431</v>
      </c>
      <c r="AK422" s="199">
        <f t="shared" si="509"/>
        <v>11026.571062299292</v>
      </c>
      <c r="AL422" s="199">
        <f t="shared" si="510"/>
        <v>11026.571062299292</v>
      </c>
      <c r="AM422" s="199">
        <f t="shared" si="481"/>
        <v>22053.142124598584</v>
      </c>
      <c r="AN422" s="645">
        <f t="shared" si="482"/>
        <v>1.0677646916366274E-3</v>
      </c>
      <c r="AO422" s="199">
        <v>10</v>
      </c>
      <c r="AP422" s="250">
        <f t="shared" si="483"/>
        <v>1.1362345188046814E-3</v>
      </c>
      <c r="AQ422" s="199">
        <v>10</v>
      </c>
      <c r="AU422" s="199">
        <v>0</v>
      </c>
      <c r="AW422" s="250">
        <f t="shared" si="484"/>
        <v>0</v>
      </c>
      <c r="AX422" s="199">
        <v>1</v>
      </c>
      <c r="AY422" s="199">
        <f t="shared" si="468"/>
        <v>21285.736154367354</v>
      </c>
      <c r="AZ422" s="199">
        <f t="shared" si="485"/>
        <v>21285.736154367354</v>
      </c>
      <c r="BA422" s="252">
        <f t="shared" si="486"/>
        <v>1.6731969915069896E-3</v>
      </c>
      <c r="BB422" s="284">
        <v>1</v>
      </c>
      <c r="BC422" s="199">
        <f t="shared" si="469"/>
        <v>41283.482057248548</v>
      </c>
      <c r="BD422" s="270">
        <f t="shared" si="511"/>
        <v>3.7178704034520459E-3</v>
      </c>
      <c r="BE422" s="199">
        <f t="shared" si="470"/>
        <v>176601.56213378548</v>
      </c>
      <c r="BF422" s="251">
        <f t="shared" si="512"/>
        <v>3.7178704860701189E-3</v>
      </c>
      <c r="BG422" s="204">
        <f t="shared" si="513"/>
        <v>217885.04419103405</v>
      </c>
      <c r="BH422" s="636">
        <v>0</v>
      </c>
      <c r="BI422" s="199">
        <f t="shared" si="487"/>
        <v>84353.268626589561</v>
      </c>
      <c r="BJ422" s="199">
        <f t="shared" si="488"/>
        <v>168706.53725317912</v>
      </c>
      <c r="BK422" s="199">
        <f t="shared" si="495"/>
        <v>253059.80587976868</v>
      </c>
      <c r="BL422" s="251">
        <f t="shared" si="489"/>
        <v>1.0677646916366272E-3</v>
      </c>
      <c r="BM422" s="199">
        <f t="shared" si="471"/>
        <v>34812.014480725069</v>
      </c>
      <c r="BN422" s="251">
        <f t="shared" si="490"/>
        <v>1.5032910487512727E-3</v>
      </c>
      <c r="BT422" s="199">
        <f>'Detailed Budget'!$AD$12</f>
        <v>194045122715</v>
      </c>
      <c r="BU422" s="199">
        <f>'Detailed Budget'!$AD$24</f>
        <v>194045122715</v>
      </c>
      <c r="BV422" s="596">
        <f t="shared" si="472"/>
        <v>0</v>
      </c>
      <c r="BW422" s="278"/>
      <c r="BX422" s="275">
        <f t="shared" si="460"/>
        <v>0</v>
      </c>
      <c r="BY422" s="275">
        <f t="shared" si="461"/>
        <v>0</v>
      </c>
      <c r="CA422" s="199">
        <f>'Detailed Budget'!$AD$96</f>
        <v>71050111380.677719</v>
      </c>
      <c r="CB422" s="275">
        <f t="shared" si="491"/>
        <v>118880832.60838649</v>
      </c>
      <c r="CE422" s="199">
        <f>'Detailed Budget'!$AD$175</f>
        <v>4330586076.5988197</v>
      </c>
      <c r="CF422" s="275">
        <f t="shared" si="473"/>
        <v>16100557.803788267</v>
      </c>
      <c r="CG422" s="199">
        <f>'Detailed Budget'!$AD$176</f>
        <v>20662817754.37001</v>
      </c>
      <c r="CH422" s="275">
        <f t="shared" si="474"/>
        <v>76821680.288017914</v>
      </c>
      <c r="CI422" s="275">
        <f t="shared" si="463"/>
        <v>92922238.091806173</v>
      </c>
      <c r="CJ422" s="275">
        <f>'Detailed Budget'!$AD$178</f>
        <v>46025131033.061455</v>
      </c>
      <c r="CK422" s="275">
        <f t="shared" si="475"/>
        <v>115914843.77422863</v>
      </c>
      <c r="CL422" s="275">
        <f t="shared" si="498"/>
        <v>208837081.86603481</v>
      </c>
      <c r="CM422" s="278">
        <f>'Detailed Budget'!$AD$189</f>
        <v>77498869683.252869</v>
      </c>
      <c r="CN422" s="275">
        <f t="shared" si="492"/>
        <v>0</v>
      </c>
      <c r="CO422" s="140">
        <f>'Detailed Budget'!$AD$191</f>
        <v>2684962805.4134097</v>
      </c>
      <c r="CP422" s="616">
        <f t="shared" si="493"/>
        <v>0</v>
      </c>
      <c r="CQ422" s="616">
        <f t="shared" si="494"/>
        <v>0</v>
      </c>
      <c r="CR422" s="199">
        <f>'Detailed Budget'!$AD$195</f>
        <v>18734176418</v>
      </c>
      <c r="CS422" s="275">
        <f t="shared" si="476"/>
        <v>28162919.714906581</v>
      </c>
      <c r="CW422" s="278"/>
      <c r="DH422" s="140">
        <f>'Detailed Budget'!$AD$163</f>
        <v>4928560000</v>
      </c>
      <c r="DI422" s="616">
        <f t="shared" si="477"/>
        <v>5600000</v>
      </c>
    </row>
    <row r="423" spans="1:113" outlineLevel="1">
      <c r="A423" s="214"/>
      <c r="B423" s="215"/>
      <c r="C423" s="216"/>
      <c r="D423" s="217"/>
      <c r="E423" s="216"/>
      <c r="F423" s="216"/>
      <c r="G423" s="216"/>
      <c r="H423" s="216"/>
      <c r="I423" s="217"/>
      <c r="J423" s="217"/>
      <c r="K423" s="216"/>
      <c r="L423" s="216"/>
      <c r="M423" s="217"/>
      <c r="N423" s="216"/>
      <c r="O423" s="217"/>
      <c r="P423" s="216"/>
      <c r="Q423" s="217"/>
      <c r="R423" s="217"/>
      <c r="S423" s="217"/>
      <c r="T423" s="217"/>
      <c r="U423" s="218"/>
      <c r="V423" s="867"/>
      <c r="W423" s="219"/>
      <c r="X423" s="220"/>
      <c r="Y423" s="221"/>
      <c r="Z423" s="199"/>
      <c r="AA423" s="221"/>
      <c r="AF423" s="199">
        <f t="shared" si="497"/>
        <v>0</v>
      </c>
      <c r="AG423" s="614">
        <f t="shared" si="496"/>
        <v>0</v>
      </c>
      <c r="AJ423" s="199"/>
      <c r="AK423" s="199">
        <f t="shared" si="509"/>
        <v>0</v>
      </c>
      <c r="AL423" s="199">
        <f t="shared" si="510"/>
        <v>0</v>
      </c>
      <c r="AM423" s="199">
        <f t="shared" si="481"/>
        <v>0</v>
      </c>
      <c r="AN423" s="645">
        <f t="shared" si="482"/>
        <v>0</v>
      </c>
      <c r="AP423" s="250">
        <f t="shared" si="483"/>
        <v>0</v>
      </c>
      <c r="AW423" s="250">
        <f t="shared" si="484"/>
        <v>0</v>
      </c>
      <c r="AX423" s="199"/>
      <c r="BA423" s="252">
        <f t="shared" si="486"/>
        <v>0</v>
      </c>
      <c r="BB423" s="284"/>
      <c r="BD423" s="270"/>
      <c r="BF423" s="251"/>
      <c r="BG423" s="204"/>
      <c r="BH423" s="636"/>
      <c r="BI423" s="199">
        <f t="shared" si="487"/>
        <v>0</v>
      </c>
      <c r="BJ423" s="199">
        <f t="shared" si="488"/>
        <v>0</v>
      </c>
      <c r="BK423" s="199">
        <f t="shared" si="495"/>
        <v>0</v>
      </c>
      <c r="BL423" s="251">
        <f t="shared" si="489"/>
        <v>0</v>
      </c>
      <c r="BN423" s="251">
        <f t="shared" si="490"/>
        <v>0</v>
      </c>
      <c r="BT423" s="199"/>
      <c r="BU423" s="199"/>
      <c r="BV423" s="596"/>
      <c r="BW423" s="278"/>
      <c r="BX423" s="275"/>
      <c r="BY423" s="275"/>
      <c r="CA423" s="199">
        <f>'Detailed Budget'!$AD$96</f>
        <v>71050111380.677719</v>
      </c>
      <c r="CB423" s="275">
        <f t="shared" si="491"/>
        <v>0</v>
      </c>
      <c r="CE423" s="199"/>
      <c r="CF423" s="275"/>
      <c r="CG423" s="199"/>
      <c r="CH423" s="275"/>
      <c r="CI423" s="275"/>
      <c r="CJ423" s="275"/>
      <c r="CK423" s="275"/>
      <c r="CL423" s="275"/>
      <c r="CM423" s="278">
        <f>'Detailed Budget'!$AD$189</f>
        <v>77498869683.252869</v>
      </c>
      <c r="CN423" s="275">
        <f t="shared" si="492"/>
        <v>0</v>
      </c>
      <c r="CO423" s="140">
        <f>'Detailed Budget'!$AD$191</f>
        <v>2684962805.4134097</v>
      </c>
      <c r="CP423" s="616">
        <f t="shared" si="493"/>
        <v>0</v>
      </c>
      <c r="CQ423" s="616">
        <f t="shared" si="494"/>
        <v>0</v>
      </c>
      <c r="CR423" s="199"/>
      <c r="CS423" s="275"/>
      <c r="CW423" s="278"/>
      <c r="DH423" s="140">
        <f>'Detailed Budget'!$AD$163</f>
        <v>4928560000</v>
      </c>
      <c r="DI423" s="616">
        <f t="shared" si="477"/>
        <v>0</v>
      </c>
    </row>
    <row r="424" spans="1:113" s="213" customFormat="1">
      <c r="A424" s="206">
        <v>3.5</v>
      </c>
      <c r="B424" s="207" t="s">
        <v>973</v>
      </c>
      <c r="C424" s="208">
        <f t="shared" ref="C424:T424" si="518">COUNTA(C426:C446)</f>
        <v>21</v>
      </c>
      <c r="D424" s="208">
        <f t="shared" si="518"/>
        <v>21</v>
      </c>
      <c r="E424" s="208">
        <f t="shared" si="518"/>
        <v>0</v>
      </c>
      <c r="F424" s="208">
        <f t="shared" si="518"/>
        <v>0</v>
      </c>
      <c r="G424" s="208">
        <f t="shared" si="518"/>
        <v>0</v>
      </c>
      <c r="H424" s="208">
        <f t="shared" si="518"/>
        <v>21</v>
      </c>
      <c r="I424" s="208">
        <f t="shared" si="518"/>
        <v>6</v>
      </c>
      <c r="J424" s="208">
        <f t="shared" si="518"/>
        <v>15</v>
      </c>
      <c r="K424" s="208">
        <f t="shared" si="518"/>
        <v>6</v>
      </c>
      <c r="L424" s="208">
        <f t="shared" si="518"/>
        <v>15</v>
      </c>
      <c r="M424" s="208">
        <f t="shared" si="518"/>
        <v>0</v>
      </c>
      <c r="N424" s="208">
        <f t="shared" si="518"/>
        <v>0</v>
      </c>
      <c r="O424" s="208">
        <f t="shared" si="518"/>
        <v>0</v>
      </c>
      <c r="P424" s="208">
        <f t="shared" si="518"/>
        <v>0</v>
      </c>
      <c r="Q424" s="208">
        <f t="shared" si="518"/>
        <v>0</v>
      </c>
      <c r="R424" s="208">
        <f t="shared" si="518"/>
        <v>21</v>
      </c>
      <c r="S424" s="208">
        <f t="shared" si="518"/>
        <v>3</v>
      </c>
      <c r="T424" s="208">
        <f t="shared" si="518"/>
        <v>0</v>
      </c>
      <c r="U424" s="209">
        <f>SUM(C424:T424)</f>
        <v>129</v>
      </c>
      <c r="V424" s="866"/>
      <c r="W424" s="210">
        <f>SUM(W426:W446)</f>
        <v>3256541</v>
      </c>
      <c r="X424" s="211">
        <v>3.17</v>
      </c>
      <c r="Y424" s="212">
        <f t="shared" si="514"/>
        <v>1.0317000000000001</v>
      </c>
      <c r="Z424" s="210">
        <v>19</v>
      </c>
      <c r="AA424" s="212">
        <f t="shared" si="515"/>
        <v>1.8093191519340412</v>
      </c>
      <c r="AB424" s="210">
        <f t="shared" si="516"/>
        <v>5892122.0003584344</v>
      </c>
      <c r="AC424" s="213">
        <v>20.2</v>
      </c>
      <c r="AD424" s="210">
        <f t="shared" si="517"/>
        <v>1190208.6440724037</v>
      </c>
      <c r="AE424" s="210">
        <f t="shared" si="462"/>
        <v>1130698.2118687835</v>
      </c>
      <c r="AF424" s="210">
        <f>SUM(AF426:AF446)</f>
        <v>1130698.2118687835</v>
      </c>
      <c r="AG424" s="614">
        <f t="shared" si="496"/>
        <v>5.22785214586532E-2</v>
      </c>
      <c r="AH424" s="210">
        <f>SUM(AH426:AH446)</f>
        <v>294606.10001792177</v>
      </c>
      <c r="AI424" s="252">
        <f t="shared" si="479"/>
        <v>2.2822688196546981E-2</v>
      </c>
      <c r="AJ424" s="210">
        <f>SUM(AJ426:AJ446)</f>
        <v>1484814.7440903254</v>
      </c>
      <c r="AK424" s="199">
        <f t="shared" si="509"/>
        <v>235684.88001433737</v>
      </c>
      <c r="AL424" s="199">
        <f t="shared" si="510"/>
        <v>235684.88001433737</v>
      </c>
      <c r="AM424" s="199">
        <f t="shared" si="481"/>
        <v>471369.76002867473</v>
      </c>
      <c r="AN424" s="645">
        <f t="shared" si="482"/>
        <v>2.2822688196546974E-2</v>
      </c>
      <c r="AO424" s="210">
        <f>SUM(AO426:AO446)</f>
        <v>225</v>
      </c>
      <c r="AP424" s="250">
        <f t="shared" si="483"/>
        <v>2.556527667310533E-2</v>
      </c>
      <c r="AQ424" s="210">
        <f>SUM(AQ426:AQ446)</f>
        <v>225</v>
      </c>
      <c r="AR424" s="210"/>
      <c r="AS424" s="210"/>
      <c r="AT424" s="210"/>
      <c r="AU424" s="199"/>
      <c r="AV424" s="199"/>
      <c r="AW424" s="250">
        <f t="shared" si="484"/>
        <v>0</v>
      </c>
      <c r="AX424" s="199"/>
      <c r="AY424" s="210">
        <v>390427</v>
      </c>
      <c r="AZ424" s="210">
        <f>SUM(AZ426:AZ446)</f>
        <v>390426.93270943081</v>
      </c>
      <c r="BA424" s="252">
        <f t="shared" si="486"/>
        <v>3.0690090512969507E-2</v>
      </c>
      <c r="BB424" s="284"/>
      <c r="BC424" s="210">
        <f>SUM(BC426:BC446)</f>
        <v>856950.22373213072</v>
      </c>
      <c r="BD424" s="270">
        <f t="shared" si="511"/>
        <v>7.7174446419688458E-2</v>
      </c>
      <c r="BE424" s="210">
        <f>SUM(BE426:BE446)</f>
        <v>3665842.6237430042</v>
      </c>
      <c r="BF424" s="251">
        <f t="shared" si="512"/>
        <v>7.7174448134649812E-2</v>
      </c>
      <c r="BG424" s="210">
        <f>SUM(BG426:BG446)</f>
        <v>4522792.8474751338</v>
      </c>
      <c r="BH424"/>
      <c r="BI424" s="199">
        <f t="shared" si="487"/>
        <v>1802989.3321096809</v>
      </c>
      <c r="BJ424" s="199">
        <f t="shared" si="488"/>
        <v>3605978.6642193617</v>
      </c>
      <c r="BK424" s="199">
        <f t="shared" si="495"/>
        <v>5408967.9963290431</v>
      </c>
      <c r="BL424" s="251">
        <f t="shared" si="489"/>
        <v>2.2822688196546977E-2</v>
      </c>
      <c r="BM424" s="210">
        <v>369083</v>
      </c>
      <c r="BN424" s="251">
        <f t="shared" si="490"/>
        <v>1.5938151768076298E-2</v>
      </c>
      <c r="BT424" s="210">
        <f>'Detailed Budget'!$AD$12</f>
        <v>194045122715</v>
      </c>
      <c r="BU424" s="210">
        <f>'Detailed Budget'!$AD$24</f>
        <v>194045122715</v>
      </c>
      <c r="BV424" s="596">
        <f>AV424/34743979</f>
        <v>0</v>
      </c>
      <c r="BW424" s="278"/>
      <c r="BX424" s="613">
        <f t="shared" si="460"/>
        <v>0</v>
      </c>
      <c r="BY424" s="613">
        <f t="shared" si="461"/>
        <v>0</v>
      </c>
      <c r="CA424" s="210">
        <f>'Detailed Budget'!$AD$96</f>
        <v>71050111380.677719</v>
      </c>
      <c r="CB424" s="613">
        <f t="shared" si="491"/>
        <v>2180534349.2295642</v>
      </c>
      <c r="CE424" s="210">
        <f>'Detailed Budget'!$AD$175</f>
        <v>4330586076.5988197</v>
      </c>
      <c r="CF424" s="613">
        <f>SUM(CF426:CF446)</f>
        <v>334210583.13432455</v>
      </c>
      <c r="CG424" s="632">
        <f>'Detailed Budget'!$AD$176</f>
        <v>20662817754.37001</v>
      </c>
      <c r="CH424" s="613">
        <f>SUM(CH426:CH446)</f>
        <v>1594641557.1003494</v>
      </c>
      <c r="CI424" s="613">
        <f>SUM(CI426:CI446)</f>
        <v>1928852140.234674</v>
      </c>
      <c r="CJ424" s="275">
        <f>'Detailed Budget'!$AD$178</f>
        <v>46025131033.061455</v>
      </c>
      <c r="CK424" s="613">
        <f t="shared" ref="CK424:CL424" si="519">SUM(CK426:CK446)</f>
        <v>2406125800.3492284</v>
      </c>
      <c r="CL424" s="613">
        <f t="shared" si="519"/>
        <v>4334977940.5839024</v>
      </c>
      <c r="CM424" s="278">
        <f>'Detailed Budget'!$AD$189</f>
        <v>77498869683.252869</v>
      </c>
      <c r="CN424" s="275">
        <f t="shared" si="492"/>
        <v>0</v>
      </c>
      <c r="CO424" s="140">
        <f>'Detailed Budget'!$AD$191</f>
        <v>2684962805.4134097</v>
      </c>
      <c r="CP424" s="616">
        <f t="shared" si="493"/>
        <v>0</v>
      </c>
      <c r="CQ424" s="616">
        <f t="shared" si="494"/>
        <v>0</v>
      </c>
      <c r="CR424" s="210">
        <f>'Detailed Budget'!$AD$195</f>
        <v>18734176418</v>
      </c>
      <c r="CS424" s="275">
        <f>BN424*CR424</f>
        <v>298588147</v>
      </c>
      <c r="CW424" s="278"/>
      <c r="DH424" s="140">
        <f>'Detailed Budget'!$AD$163</f>
        <v>4928560000</v>
      </c>
      <c r="DI424" s="616">
        <f t="shared" si="477"/>
        <v>126000000</v>
      </c>
    </row>
    <row r="425" spans="1:113" s="213" customFormat="1">
      <c r="A425" s="214" t="s">
        <v>2336</v>
      </c>
      <c r="B425" s="215" t="s">
        <v>2318</v>
      </c>
      <c r="C425" s="208"/>
      <c r="D425" s="208"/>
      <c r="E425" s="208"/>
      <c r="F425" s="208"/>
      <c r="G425" s="208"/>
      <c r="H425" s="208"/>
      <c r="I425" s="208"/>
      <c r="J425" s="208"/>
      <c r="K425" s="208"/>
      <c r="L425" s="208"/>
      <c r="M425" s="208"/>
      <c r="N425" s="208"/>
      <c r="O425" s="208"/>
      <c r="P425" s="208"/>
      <c r="Q425" s="208"/>
      <c r="R425" s="208"/>
      <c r="S425" s="208"/>
      <c r="T425" s="208"/>
      <c r="U425" s="209"/>
      <c r="V425" s="866"/>
      <c r="W425" s="210"/>
      <c r="X425" s="211"/>
      <c r="Y425" s="212"/>
      <c r="Z425" s="210"/>
      <c r="AA425" s="212"/>
      <c r="AB425" s="210"/>
      <c r="AD425" s="210"/>
      <c r="AE425" s="210"/>
      <c r="AF425" s="199"/>
      <c r="AG425" s="614">
        <f t="shared" si="496"/>
        <v>0</v>
      </c>
      <c r="AH425" s="210"/>
      <c r="AI425" s="252"/>
      <c r="AJ425" s="199"/>
      <c r="AK425" s="199">
        <f t="shared" si="509"/>
        <v>0</v>
      </c>
      <c r="AL425" s="199">
        <f t="shared" si="510"/>
        <v>0</v>
      </c>
      <c r="AM425" s="199">
        <f t="shared" si="481"/>
        <v>0</v>
      </c>
      <c r="AN425" s="645">
        <f t="shared" si="482"/>
        <v>0</v>
      </c>
      <c r="AO425" s="210"/>
      <c r="AP425" s="250"/>
      <c r="AQ425" s="210"/>
      <c r="AR425" s="210"/>
      <c r="AS425" s="210"/>
      <c r="AT425" s="210"/>
      <c r="AU425" s="199"/>
      <c r="AV425" s="199"/>
      <c r="AW425" s="250">
        <f t="shared" si="484"/>
        <v>0</v>
      </c>
      <c r="AX425" s="199"/>
      <c r="AY425" s="210"/>
      <c r="AZ425" s="199"/>
      <c r="BA425" s="252">
        <f t="shared" si="486"/>
        <v>0</v>
      </c>
      <c r="BB425" s="284"/>
      <c r="BC425" s="269"/>
      <c r="BD425" s="270">
        <f t="shared" si="511"/>
        <v>0</v>
      </c>
      <c r="BE425" s="269"/>
      <c r="BF425" s="251">
        <f t="shared" si="512"/>
        <v>0</v>
      </c>
      <c r="BG425" s="204"/>
      <c r="BH425"/>
      <c r="BI425" s="199">
        <f t="shared" si="487"/>
        <v>0</v>
      </c>
      <c r="BJ425" s="199">
        <f t="shared" si="488"/>
        <v>0</v>
      </c>
      <c r="BK425" s="199">
        <f t="shared" si="495"/>
        <v>0</v>
      </c>
      <c r="BL425" s="251">
        <f t="shared" si="489"/>
        <v>0</v>
      </c>
      <c r="BM425" s="210"/>
      <c r="BN425" s="251">
        <f t="shared" si="490"/>
        <v>0</v>
      </c>
      <c r="BT425" s="210"/>
      <c r="BU425" s="210">
        <f>'Detailed Budget'!$AD$24</f>
        <v>194045122715</v>
      </c>
      <c r="BV425" s="596"/>
      <c r="BW425" s="278"/>
      <c r="BX425" s="275"/>
      <c r="BY425" s="275"/>
      <c r="CA425" s="210">
        <f>'Detailed Budget'!$AD$96</f>
        <v>71050111380.677719</v>
      </c>
      <c r="CB425" s="275"/>
      <c r="CE425" s="210"/>
      <c r="CF425" s="275"/>
      <c r="CG425" s="240"/>
      <c r="CH425" s="275"/>
      <c r="CI425" s="275"/>
      <c r="CJ425" s="275"/>
      <c r="CK425" s="275"/>
      <c r="CL425" s="275"/>
      <c r="CM425" s="278">
        <f>'Detailed Budget'!$AD$189</f>
        <v>77498869683.252869</v>
      </c>
      <c r="CN425" s="275">
        <f t="shared" si="492"/>
        <v>0</v>
      </c>
      <c r="CO425" s="140">
        <f>'Detailed Budget'!$AD$191</f>
        <v>2684962805.4134097</v>
      </c>
      <c r="CP425" s="616">
        <f t="shared" si="493"/>
        <v>0</v>
      </c>
      <c r="CQ425" s="616">
        <f t="shared" si="494"/>
        <v>0</v>
      </c>
      <c r="CR425" s="210"/>
      <c r="CS425" s="275"/>
      <c r="CW425" s="278"/>
      <c r="DH425" s="140"/>
      <c r="DI425" s="616"/>
    </row>
    <row r="426" spans="1:113" outlineLevel="1">
      <c r="A426" s="214" t="s">
        <v>974</v>
      </c>
      <c r="B426" s="215" t="s">
        <v>975</v>
      </c>
      <c r="C426" s="216" t="s">
        <v>234</v>
      </c>
      <c r="D426" s="217" t="s">
        <v>234</v>
      </c>
      <c r="E426" s="216"/>
      <c r="F426" s="216"/>
      <c r="G426" s="216"/>
      <c r="H426" s="216" t="s">
        <v>234</v>
      </c>
      <c r="I426" s="217" t="s">
        <v>234</v>
      </c>
      <c r="J426" s="217"/>
      <c r="K426" s="216" t="s">
        <v>234</v>
      </c>
      <c r="L426" s="216"/>
      <c r="M426" s="217"/>
      <c r="N426" s="216"/>
      <c r="O426" s="217"/>
      <c r="P426" s="216"/>
      <c r="Q426" s="217"/>
      <c r="R426" s="217" t="s">
        <v>234</v>
      </c>
      <c r="S426" s="217"/>
      <c r="T426" s="217"/>
      <c r="U426" s="218">
        <f t="shared" ref="U426:U446" si="520">COUNTA(C426:T426)</f>
        <v>6</v>
      </c>
      <c r="V426" s="867" t="s">
        <v>238</v>
      </c>
      <c r="W426" s="219">
        <v>67078</v>
      </c>
      <c r="X426" s="220">
        <v>3.17</v>
      </c>
      <c r="Y426" s="221">
        <f t="shared" si="514"/>
        <v>1.0317000000000001</v>
      </c>
      <c r="Z426" s="199">
        <v>19</v>
      </c>
      <c r="AA426" s="221">
        <f t="shared" si="515"/>
        <v>1.8093191519340412</v>
      </c>
      <c r="AB426" s="199">
        <f t="shared" si="516"/>
        <v>121365.51007343162</v>
      </c>
      <c r="AC426">
        <v>20.2</v>
      </c>
      <c r="AD426" s="199">
        <f t="shared" si="517"/>
        <v>24515.833034833184</v>
      </c>
      <c r="AE426" s="199">
        <f t="shared" si="462"/>
        <v>23290.041383091524</v>
      </c>
      <c r="AF426" s="199">
        <f t="shared" si="497"/>
        <v>23290.041383091524</v>
      </c>
      <c r="AG426" s="614">
        <f t="shared" si="496"/>
        <v>1.0768292683566826E-3</v>
      </c>
      <c r="AH426" s="199">
        <f>AB426*0.05</f>
        <v>6068.2755036715816</v>
      </c>
      <c r="AI426" s="252">
        <f t="shared" si="479"/>
        <v>4.7010010893398189E-4</v>
      </c>
      <c r="AJ426" s="199">
        <f t="shared" si="480"/>
        <v>30584.108538504766</v>
      </c>
      <c r="AK426" s="199">
        <f t="shared" si="509"/>
        <v>4854.6204029372648</v>
      </c>
      <c r="AL426" s="199">
        <f t="shared" si="510"/>
        <v>4854.6204029372648</v>
      </c>
      <c r="AM426" s="199">
        <f t="shared" si="481"/>
        <v>9709.2408058745295</v>
      </c>
      <c r="AN426" s="645">
        <f t="shared" si="482"/>
        <v>4.7010010893398183E-4</v>
      </c>
      <c r="AO426" s="199">
        <v>10</v>
      </c>
      <c r="AP426" s="250">
        <f t="shared" si="483"/>
        <v>1.1362345188046814E-3</v>
      </c>
      <c r="AQ426" s="199">
        <v>10</v>
      </c>
      <c r="AU426" s="199">
        <v>0</v>
      </c>
      <c r="AW426" s="250">
        <f t="shared" si="484"/>
        <v>0</v>
      </c>
      <c r="AX426" s="199">
        <v>1</v>
      </c>
      <c r="AY426" s="199">
        <f t="shared" ref="AY426:AY446" si="521">AJ426/1484815*390427</f>
        <v>8041.9862032393257</v>
      </c>
      <c r="AZ426" s="199">
        <f t="shared" si="485"/>
        <v>8041.9862032393257</v>
      </c>
      <c r="BA426" s="252">
        <f t="shared" si="486"/>
        <v>6.3215230252865488E-4</v>
      </c>
      <c r="BB426" s="284">
        <v>1</v>
      </c>
      <c r="BC426" s="199">
        <f t="shared" ref="BC426:BC446" si="522">AD426*BB426*0.18*4</f>
        <v>17651.399785079891</v>
      </c>
      <c r="BD426" s="270">
        <f t="shared" si="511"/>
        <v>1.5896337607725071E-3</v>
      </c>
      <c r="BE426" s="199">
        <f t="shared" ref="BE426:BE446" si="523">AD426*BB426*0.77*4</f>
        <v>75508.765747286205</v>
      </c>
      <c r="BF426" s="251">
        <f t="shared" si="512"/>
        <v>1.5896337960971591E-3</v>
      </c>
      <c r="BG426" s="204">
        <f t="shared" si="513"/>
        <v>93160.165532366096</v>
      </c>
      <c r="BH426" s="636">
        <v>0</v>
      </c>
      <c r="BI426" s="199">
        <f t="shared" si="487"/>
        <v>37137.846082470074</v>
      </c>
      <c r="BJ426" s="199">
        <f t="shared" si="488"/>
        <v>74275.692164940148</v>
      </c>
      <c r="BK426" s="199">
        <f t="shared" si="495"/>
        <v>111413.53824741022</v>
      </c>
      <c r="BL426" s="251">
        <f t="shared" si="489"/>
        <v>4.7010010893398178E-4</v>
      </c>
      <c r="BM426" s="199">
        <f t="shared" ref="BM426:BM446" si="524">AH426/294606*369083</f>
        <v>7602.3479756746929</v>
      </c>
      <c r="BN426" s="251">
        <f t="shared" si="490"/>
        <v>3.2829302847877273E-4</v>
      </c>
      <c r="BT426" s="199">
        <f>'Detailed Budget'!$AD$12</f>
        <v>194045122715</v>
      </c>
      <c r="BU426" s="199">
        <f>'Detailed Budget'!$AD$24</f>
        <v>194045122715</v>
      </c>
      <c r="BV426" s="596">
        <f t="shared" ref="BV426:BV446" si="525">AV426/34743979</f>
        <v>0</v>
      </c>
      <c r="BW426" s="278"/>
      <c r="BX426" s="275">
        <f t="shared" ref="BX426:BX494" si="526">BT426*BV426</f>
        <v>0</v>
      </c>
      <c r="BY426" s="275">
        <f t="shared" ref="BY426:BY494" si="527">BU426*BV426</f>
        <v>0</v>
      </c>
      <c r="CA426" s="199">
        <f>'Detailed Budget'!$AD$96</f>
        <v>71050111380.677719</v>
      </c>
      <c r="CB426" s="275">
        <f t="shared" si="491"/>
        <v>44914491.504212804</v>
      </c>
      <c r="CE426" s="199">
        <f>'Detailed Budget'!$AD$175</f>
        <v>4330586076.5988197</v>
      </c>
      <c r="CF426" s="275">
        <f t="shared" ref="CF426:CF446" si="528">BB426*BD426*CE426</f>
        <v>6884045.8312928379</v>
      </c>
      <c r="CG426" s="199">
        <f>'Detailed Budget'!$AD$176</f>
        <v>20662817754.37001</v>
      </c>
      <c r="CH426" s="275">
        <f t="shared" ref="CH426:CH446" si="529">BB426*BF426*CG426</f>
        <v>32846313.424942978</v>
      </c>
      <c r="CI426" s="275">
        <f t="shared" si="463"/>
        <v>39730359.256235816</v>
      </c>
      <c r="CJ426" s="275">
        <f>'Detailed Budget'!$AD$178</f>
        <v>46025131033.061455</v>
      </c>
      <c r="CK426" s="275">
        <f t="shared" ref="CK426:CK446" si="530">BB426*AG426*CJ426</f>
        <v>49561208.176352017</v>
      </c>
      <c r="CL426" s="275">
        <f t="shared" si="498"/>
        <v>89291567.432587832</v>
      </c>
      <c r="CM426" s="278">
        <f>'Detailed Budget'!$AD$189</f>
        <v>77498869683.252869</v>
      </c>
      <c r="CN426" s="275">
        <f t="shared" si="492"/>
        <v>0</v>
      </c>
      <c r="CO426" s="140">
        <f>'Detailed Budget'!$AD$191</f>
        <v>2684962805.4134097</v>
      </c>
      <c r="CP426" s="616">
        <f t="shared" si="493"/>
        <v>0</v>
      </c>
      <c r="CQ426" s="616">
        <f t="shared" si="494"/>
        <v>0</v>
      </c>
      <c r="CR426" s="199">
        <f>'Detailed Budget'!$AD$195</f>
        <v>18734176418</v>
      </c>
      <c r="CS426" s="275">
        <f t="shared" ref="CS426:CS446" si="531">BN426*CR426</f>
        <v>6150299.5123208268</v>
      </c>
      <c r="CW426" s="278"/>
      <c r="DH426" s="140">
        <f>'Detailed Budget'!$AD$163</f>
        <v>4928560000</v>
      </c>
      <c r="DI426" s="616">
        <f t="shared" ref="DI426:DI448" si="532">AP426*DH426</f>
        <v>5600000</v>
      </c>
    </row>
    <row r="427" spans="1:113" outlineLevel="1">
      <c r="A427" s="214" t="s">
        <v>976</v>
      </c>
      <c r="B427" s="215" t="s">
        <v>977</v>
      </c>
      <c r="C427" s="216" t="s">
        <v>234</v>
      </c>
      <c r="D427" s="217" t="s">
        <v>234</v>
      </c>
      <c r="E427" s="216"/>
      <c r="F427" s="216"/>
      <c r="G427" s="216"/>
      <c r="H427" s="216" t="s">
        <v>234</v>
      </c>
      <c r="I427" s="217" t="s">
        <v>234</v>
      </c>
      <c r="J427" s="217"/>
      <c r="K427" s="216" t="s">
        <v>234</v>
      </c>
      <c r="L427" s="216"/>
      <c r="M427" s="217"/>
      <c r="N427" s="216"/>
      <c r="O427" s="217"/>
      <c r="P427" s="216"/>
      <c r="Q427" s="217"/>
      <c r="R427" s="217" t="s">
        <v>234</v>
      </c>
      <c r="S427" s="217"/>
      <c r="T427" s="217"/>
      <c r="U427" s="218">
        <f t="shared" si="520"/>
        <v>6</v>
      </c>
      <c r="V427" s="867" t="s">
        <v>238</v>
      </c>
      <c r="W427" s="219">
        <v>189728</v>
      </c>
      <c r="X427" s="220">
        <v>3.17</v>
      </c>
      <c r="Y427" s="221">
        <f t="shared" si="514"/>
        <v>1.0317000000000001</v>
      </c>
      <c r="Z427" s="199">
        <v>19</v>
      </c>
      <c r="AA427" s="221">
        <f t="shared" si="515"/>
        <v>1.8093191519340412</v>
      </c>
      <c r="AB427" s="199">
        <f t="shared" si="516"/>
        <v>343278.50405814179</v>
      </c>
      <c r="AC427">
        <v>20.2</v>
      </c>
      <c r="AD427" s="199">
        <f t="shared" si="517"/>
        <v>69342.257819744642</v>
      </c>
      <c r="AE427" s="199">
        <f t="shared" si="462"/>
        <v>65875.144928757407</v>
      </c>
      <c r="AF427" s="199">
        <f t="shared" si="497"/>
        <v>65875.144928757407</v>
      </c>
      <c r="AG427" s="614">
        <f t="shared" si="496"/>
        <v>3.0457775042007319E-3</v>
      </c>
      <c r="AH427" s="199">
        <f t="shared" ref="AH427:AH446" si="533">AB427*0.05</f>
        <v>17163.925202907089</v>
      </c>
      <c r="AI427" s="252">
        <f t="shared" si="479"/>
        <v>1.3296632795823742E-3</v>
      </c>
      <c r="AJ427" s="199">
        <f t="shared" si="480"/>
        <v>86506.183022651734</v>
      </c>
      <c r="AK427" s="199">
        <f t="shared" si="509"/>
        <v>13731.140162325672</v>
      </c>
      <c r="AL427" s="199">
        <f t="shared" si="510"/>
        <v>13731.140162325672</v>
      </c>
      <c r="AM427" s="199">
        <f t="shared" si="481"/>
        <v>27462.280324651343</v>
      </c>
      <c r="AN427" s="645">
        <f t="shared" si="482"/>
        <v>1.3296632795823744E-3</v>
      </c>
      <c r="AO427" s="199">
        <v>11</v>
      </c>
      <c r="AP427" s="250">
        <f t="shared" si="483"/>
        <v>1.2498579706851495E-3</v>
      </c>
      <c r="AQ427" s="199">
        <v>11</v>
      </c>
      <c r="AU427" s="199">
        <v>0</v>
      </c>
      <c r="AW427" s="250">
        <f t="shared" si="484"/>
        <v>0</v>
      </c>
      <c r="AX427" s="199">
        <v>1</v>
      </c>
      <c r="AY427" s="199">
        <f t="shared" si="521"/>
        <v>22746.503449241049</v>
      </c>
      <c r="AZ427" s="199">
        <f t="shared" si="485"/>
        <v>22746.503449241049</v>
      </c>
      <c r="BA427" s="252">
        <f t="shared" si="486"/>
        <v>1.7880227802581569E-3</v>
      </c>
      <c r="BB427" s="284">
        <v>1</v>
      </c>
      <c r="BC427" s="199">
        <f t="shared" si="522"/>
        <v>49926.425630216138</v>
      </c>
      <c r="BD427" s="270">
        <f t="shared" si="511"/>
        <v>4.496228780879667E-3</v>
      </c>
      <c r="BE427" s="199">
        <f t="shared" si="523"/>
        <v>213574.15408481349</v>
      </c>
      <c r="BF427" s="251">
        <f t="shared" si="512"/>
        <v>4.4962288807943269E-3</v>
      </c>
      <c r="BG427" s="204">
        <f t="shared" si="513"/>
        <v>263500.57971502963</v>
      </c>
      <c r="BH427" s="636">
        <v>0</v>
      </c>
      <c r="BI427" s="199">
        <f t="shared" si="487"/>
        <v>105043.2222417914</v>
      </c>
      <c r="BJ427" s="199">
        <f t="shared" si="488"/>
        <v>210086.4444835828</v>
      </c>
      <c r="BK427" s="199">
        <f t="shared" si="495"/>
        <v>315129.66672537418</v>
      </c>
      <c r="BL427" s="251">
        <f t="shared" si="489"/>
        <v>1.3296632795823744E-3</v>
      </c>
      <c r="BM427" s="199">
        <f t="shared" si="524"/>
        <v>21503.000637001816</v>
      </c>
      <c r="BN427" s="251">
        <f t="shared" si="490"/>
        <v>9.2856644066937862E-4</v>
      </c>
      <c r="BT427" s="199">
        <f>'Detailed Budget'!$AD$12</f>
        <v>194045122715</v>
      </c>
      <c r="BU427" s="199">
        <f>'Detailed Budget'!$AD$24</f>
        <v>194045122715</v>
      </c>
      <c r="BV427" s="596">
        <f t="shared" si="525"/>
        <v>0</v>
      </c>
      <c r="BW427" s="278"/>
      <c r="BX427" s="275">
        <f t="shared" si="526"/>
        <v>0</v>
      </c>
      <c r="BY427" s="275">
        <f t="shared" si="527"/>
        <v>0</v>
      </c>
      <c r="CA427" s="199">
        <f>'Detailed Budget'!$AD$96</f>
        <v>71050111380.677719</v>
      </c>
      <c r="CB427" s="275">
        <f t="shared" si="491"/>
        <v>127039217.68853109</v>
      </c>
      <c r="CE427" s="199">
        <f>'Detailed Budget'!$AD$175</f>
        <v>4330586076.5988197</v>
      </c>
      <c r="CF427" s="275">
        <f t="shared" si="528"/>
        <v>19471305.755680371</v>
      </c>
      <c r="CG427" s="199">
        <f>'Detailed Budget'!$AD$176</f>
        <v>20662817754.37001</v>
      </c>
      <c r="CH427" s="275">
        <f t="shared" si="529"/>
        <v>92904757.94578822</v>
      </c>
      <c r="CI427" s="275">
        <f t="shared" si="463"/>
        <v>112376063.70146859</v>
      </c>
      <c r="CJ427" s="275">
        <f>'Detailed Budget'!$AD$178</f>
        <v>46025131033.061455</v>
      </c>
      <c r="CK427" s="275">
        <f t="shared" si="530"/>
        <v>140182308.72838956</v>
      </c>
      <c r="CL427" s="275">
        <f t="shared" si="498"/>
        <v>252558372.42985815</v>
      </c>
      <c r="CM427" s="278">
        <f>'Detailed Budget'!$AD$189</f>
        <v>77498869683.252869</v>
      </c>
      <c r="CN427" s="275">
        <f t="shared" si="492"/>
        <v>0</v>
      </c>
      <c r="CO427" s="140">
        <f>'Detailed Budget'!$AD$191</f>
        <v>2684962805.4134097</v>
      </c>
      <c r="CP427" s="616">
        <f t="shared" si="493"/>
        <v>0</v>
      </c>
      <c r="CQ427" s="616">
        <f t="shared" si="494"/>
        <v>0</v>
      </c>
      <c r="CR427" s="199">
        <f>'Detailed Budget'!$AD$195</f>
        <v>18734176418</v>
      </c>
      <c r="CS427" s="275">
        <f t="shared" si="531"/>
        <v>17395927.515334468</v>
      </c>
      <c r="CW427" s="278"/>
      <c r="DH427" s="140">
        <f>'Detailed Budget'!$AD$163</f>
        <v>4928560000</v>
      </c>
      <c r="DI427" s="616">
        <f t="shared" si="532"/>
        <v>6160000</v>
      </c>
    </row>
    <row r="428" spans="1:113" outlineLevel="1">
      <c r="A428" s="214" t="s">
        <v>978</v>
      </c>
      <c r="B428" s="215" t="s">
        <v>979</v>
      </c>
      <c r="C428" s="216" t="s">
        <v>234</v>
      </c>
      <c r="D428" s="217" t="s">
        <v>234</v>
      </c>
      <c r="E428" s="216"/>
      <c r="F428" s="216"/>
      <c r="G428" s="216"/>
      <c r="H428" s="216" t="s">
        <v>234</v>
      </c>
      <c r="I428" s="217"/>
      <c r="J428" s="217" t="s">
        <v>234</v>
      </c>
      <c r="K428" s="216"/>
      <c r="L428" s="216" t="s">
        <v>234</v>
      </c>
      <c r="M428" s="217"/>
      <c r="N428" s="216"/>
      <c r="O428" s="217"/>
      <c r="P428" s="216"/>
      <c r="Q428" s="217"/>
      <c r="R428" s="217" t="s">
        <v>234</v>
      </c>
      <c r="S428" s="217"/>
      <c r="T428" s="217"/>
      <c r="U428" s="218">
        <f t="shared" si="520"/>
        <v>6</v>
      </c>
      <c r="V428" s="867" t="s">
        <v>980</v>
      </c>
      <c r="W428" s="219">
        <v>200248</v>
      </c>
      <c r="X428" s="220">
        <v>3.17</v>
      </c>
      <c r="Y428" s="221">
        <f t="shared" si="514"/>
        <v>1.0317000000000001</v>
      </c>
      <c r="Z428" s="199">
        <v>19</v>
      </c>
      <c r="AA428" s="221">
        <f t="shared" si="515"/>
        <v>1.8093191519340412</v>
      </c>
      <c r="AB428" s="199">
        <f t="shared" si="516"/>
        <v>362312.54153648787</v>
      </c>
      <c r="AC428">
        <v>20.2</v>
      </c>
      <c r="AD428" s="199">
        <f t="shared" si="517"/>
        <v>73187.133390370553</v>
      </c>
      <c r="AE428" s="199">
        <f t="shared" ref="AE428:AE496" si="534">AD428*0.95</f>
        <v>69527.776720852024</v>
      </c>
      <c r="AF428" s="199">
        <f t="shared" si="497"/>
        <v>69527.776720852024</v>
      </c>
      <c r="AG428" s="614">
        <f t="shared" si="496"/>
        <v>3.2146591629131607E-3</v>
      </c>
      <c r="AH428" s="199">
        <f t="shared" si="533"/>
        <v>18115.627076824396</v>
      </c>
      <c r="AI428" s="252">
        <f t="shared" si="479"/>
        <v>1.403390181785563E-3</v>
      </c>
      <c r="AJ428" s="199">
        <f t="shared" si="480"/>
        <v>91302.760467194952</v>
      </c>
      <c r="AK428" s="199">
        <f t="shared" si="509"/>
        <v>14492.501661459515</v>
      </c>
      <c r="AL428" s="199">
        <f t="shared" si="510"/>
        <v>14492.501661459515</v>
      </c>
      <c r="AM428" s="199">
        <f t="shared" si="481"/>
        <v>28985.00332291903</v>
      </c>
      <c r="AN428" s="645">
        <f t="shared" si="482"/>
        <v>1.403390181785563E-3</v>
      </c>
      <c r="AO428" s="199">
        <v>11</v>
      </c>
      <c r="AP428" s="250">
        <f t="shared" si="483"/>
        <v>1.2498579706851495E-3</v>
      </c>
      <c r="AQ428" s="199">
        <v>11</v>
      </c>
      <c r="AU428" s="199">
        <v>0</v>
      </c>
      <c r="AW428" s="250">
        <f t="shared" si="484"/>
        <v>0</v>
      </c>
      <c r="AX428" s="199">
        <v>1</v>
      </c>
      <c r="AY428" s="199">
        <f t="shared" si="521"/>
        <v>24007.746999407686</v>
      </c>
      <c r="AZ428" s="199">
        <f t="shared" si="485"/>
        <v>24007.746999407686</v>
      </c>
      <c r="BA428" s="252">
        <f t="shared" si="486"/>
        <v>1.8871647079036062E-3</v>
      </c>
      <c r="BB428" s="284">
        <v>1</v>
      </c>
      <c r="BC428" s="199">
        <f t="shared" si="522"/>
        <v>52694.736041066797</v>
      </c>
      <c r="BD428" s="270">
        <f t="shared" si="511"/>
        <v>4.7455347703743858E-3</v>
      </c>
      <c r="BE428" s="199">
        <f t="shared" si="523"/>
        <v>225416.3708423413</v>
      </c>
      <c r="BF428" s="251">
        <f t="shared" si="512"/>
        <v>4.7455348758290933E-3</v>
      </c>
      <c r="BG428" s="204">
        <f t="shared" si="513"/>
        <v>278111.10688340809</v>
      </c>
      <c r="BH428" s="636">
        <v>0</v>
      </c>
      <c r="BI428" s="199">
        <f t="shared" si="487"/>
        <v>110867.63771016531</v>
      </c>
      <c r="BJ428" s="199">
        <f t="shared" si="488"/>
        <v>221735.27542033061</v>
      </c>
      <c r="BK428" s="199">
        <f t="shared" si="495"/>
        <v>332602.91313049593</v>
      </c>
      <c r="BL428" s="251">
        <f t="shared" si="489"/>
        <v>1.4033901817855632E-3</v>
      </c>
      <c r="BM428" s="199">
        <f t="shared" si="524"/>
        <v>22695.294693236319</v>
      </c>
      <c r="BN428" s="251">
        <f t="shared" si="490"/>
        <v>9.8005340598731738E-4</v>
      </c>
      <c r="BT428" s="199">
        <f>'Detailed Budget'!$AD$12</f>
        <v>194045122715</v>
      </c>
      <c r="BU428" s="199">
        <f>'Detailed Budget'!$AD$24</f>
        <v>194045122715</v>
      </c>
      <c r="BV428" s="596">
        <f t="shared" si="525"/>
        <v>0</v>
      </c>
      <c r="BW428" s="278"/>
      <c r="BX428" s="275">
        <f t="shared" si="526"/>
        <v>0</v>
      </c>
      <c r="BY428" s="275">
        <f t="shared" si="527"/>
        <v>0</v>
      </c>
      <c r="CA428" s="199">
        <f>'Detailed Budget'!$AD$96</f>
        <v>71050111380.677719</v>
      </c>
      <c r="CB428" s="275">
        <f t="shared" si="491"/>
        <v>134083262.69023535</v>
      </c>
      <c r="CE428" s="199">
        <f>'Detailed Budget'!$AD$175</f>
        <v>4330586076.5988197</v>
      </c>
      <c r="CF428" s="275">
        <f t="shared" si="528"/>
        <v>20550946.802598894</v>
      </c>
      <c r="CG428" s="199">
        <f>'Detailed Budget'!$AD$176</f>
        <v>20662817754.37001</v>
      </c>
      <c r="CH428" s="275">
        <f t="shared" si="529"/>
        <v>98056122.286263466</v>
      </c>
      <c r="CI428" s="275">
        <f t="shared" si="463"/>
        <v>118607069.08886236</v>
      </c>
      <c r="CJ428" s="275">
        <f>'Detailed Budget'!$AD$178</f>
        <v>46025131033.061455</v>
      </c>
      <c r="CK428" s="275">
        <f t="shared" si="530"/>
        <v>147955109.19970986</v>
      </c>
      <c r="CL428" s="275">
        <f t="shared" si="498"/>
        <v>266562178.28857222</v>
      </c>
      <c r="CM428" s="278">
        <f>'Detailed Budget'!$AD$189</f>
        <v>77498869683.252869</v>
      </c>
      <c r="CN428" s="275">
        <f t="shared" si="492"/>
        <v>0</v>
      </c>
      <c r="CO428" s="140">
        <f>'Detailed Budget'!$AD$191</f>
        <v>2684962805.4134097</v>
      </c>
      <c r="CP428" s="616">
        <f t="shared" si="493"/>
        <v>0</v>
      </c>
      <c r="CQ428" s="616">
        <f t="shared" si="494"/>
        <v>0</v>
      </c>
      <c r="CR428" s="199">
        <f>'Detailed Budget'!$AD$195</f>
        <v>18734176418</v>
      </c>
      <c r="CS428" s="275">
        <f t="shared" si="531"/>
        <v>18360493.40682818</v>
      </c>
      <c r="CW428" s="278"/>
      <c r="DH428" s="140">
        <f>'Detailed Budget'!$AD$163</f>
        <v>4928560000</v>
      </c>
      <c r="DI428" s="616">
        <f t="shared" si="532"/>
        <v>6160000</v>
      </c>
    </row>
    <row r="429" spans="1:113" outlineLevel="1">
      <c r="A429" s="214" t="s">
        <v>981</v>
      </c>
      <c r="B429" s="215" t="s">
        <v>982</v>
      </c>
      <c r="C429" s="216" t="s">
        <v>234</v>
      </c>
      <c r="D429" s="217" t="s">
        <v>234</v>
      </c>
      <c r="E429" s="216"/>
      <c r="F429" s="216"/>
      <c r="G429" s="216"/>
      <c r="H429" s="216" t="s">
        <v>234</v>
      </c>
      <c r="I429" s="217"/>
      <c r="J429" s="217" t="s">
        <v>234</v>
      </c>
      <c r="K429" s="216"/>
      <c r="L429" s="216" t="s">
        <v>234</v>
      </c>
      <c r="M429" s="217"/>
      <c r="N429" s="216"/>
      <c r="O429" s="217"/>
      <c r="P429" s="216"/>
      <c r="Q429" s="217"/>
      <c r="R429" s="217" t="s">
        <v>234</v>
      </c>
      <c r="S429" s="217"/>
      <c r="T429" s="217"/>
      <c r="U429" s="218">
        <f t="shared" si="520"/>
        <v>6</v>
      </c>
      <c r="V429" s="867" t="s">
        <v>980</v>
      </c>
      <c r="W429" s="219">
        <v>116368</v>
      </c>
      <c r="X429" s="220">
        <v>3.17</v>
      </c>
      <c r="Y429" s="221">
        <f t="shared" si="514"/>
        <v>1.0317000000000001</v>
      </c>
      <c r="Z429" s="199">
        <v>19</v>
      </c>
      <c r="AA429" s="221">
        <f t="shared" si="515"/>
        <v>1.8093191519340412</v>
      </c>
      <c r="AB429" s="199">
        <f t="shared" si="516"/>
        <v>210546.8510722605</v>
      </c>
      <c r="AC429">
        <v>20.2</v>
      </c>
      <c r="AD429" s="199">
        <f t="shared" si="517"/>
        <v>42530.463916596622</v>
      </c>
      <c r="AE429" s="199">
        <f t="shared" si="534"/>
        <v>40403.94072076679</v>
      </c>
      <c r="AF429" s="199">
        <f t="shared" si="497"/>
        <v>40403.94072076679</v>
      </c>
      <c r="AG429" s="614">
        <f t="shared" si="496"/>
        <v>1.8681008423049354E-3</v>
      </c>
      <c r="AH429" s="199">
        <f t="shared" si="533"/>
        <v>10527.342553613025</v>
      </c>
      <c r="AI429" s="252">
        <f t="shared" si="479"/>
        <v>8.1553727714645029E-4</v>
      </c>
      <c r="AJ429" s="199">
        <f t="shared" si="480"/>
        <v>53057.806470209645</v>
      </c>
      <c r="AK429" s="199">
        <f t="shared" si="509"/>
        <v>8421.8740428904202</v>
      </c>
      <c r="AL429" s="199">
        <f t="shared" si="510"/>
        <v>8421.8740428904202</v>
      </c>
      <c r="AM429" s="199">
        <f t="shared" si="481"/>
        <v>16843.74808578084</v>
      </c>
      <c r="AN429" s="645">
        <f t="shared" si="482"/>
        <v>8.1553727714645029E-4</v>
      </c>
      <c r="AO429" s="199">
        <v>10</v>
      </c>
      <c r="AP429" s="250">
        <f t="shared" si="483"/>
        <v>1.1362345188046814E-3</v>
      </c>
      <c r="AQ429" s="199">
        <v>10</v>
      </c>
      <c r="AU429" s="199">
        <v>0</v>
      </c>
      <c r="AW429" s="250">
        <f t="shared" si="484"/>
        <v>0</v>
      </c>
      <c r="AX429" s="199">
        <v>1</v>
      </c>
      <c r="AY429" s="199">
        <f t="shared" si="521"/>
        <v>13951.367818040995</v>
      </c>
      <c r="AZ429" s="199">
        <f t="shared" si="485"/>
        <v>13951.367818040995</v>
      </c>
      <c r="BA429" s="252">
        <f t="shared" si="486"/>
        <v>1.0966680452704988E-3</v>
      </c>
      <c r="BB429" s="284">
        <v>1</v>
      </c>
      <c r="BC429" s="199">
        <f t="shared" si="522"/>
        <v>30621.934019949567</v>
      </c>
      <c r="BD429" s="270">
        <f t="shared" si="511"/>
        <v>2.757722375049571E-3</v>
      </c>
      <c r="BE429" s="199">
        <f t="shared" si="523"/>
        <v>130993.8288631176</v>
      </c>
      <c r="BF429" s="251">
        <f t="shared" si="512"/>
        <v>2.7577224363313489E-3</v>
      </c>
      <c r="BG429" s="204">
        <f t="shared" si="513"/>
        <v>161615.76288306716</v>
      </c>
      <c r="BH429" s="636">
        <v>0</v>
      </c>
      <c r="BI429" s="199">
        <f t="shared" si="487"/>
        <v>64427.33642811171</v>
      </c>
      <c r="BJ429" s="199">
        <f t="shared" si="488"/>
        <v>128854.67285622342</v>
      </c>
      <c r="BK429" s="199">
        <f t="shared" si="495"/>
        <v>193282.00928433513</v>
      </c>
      <c r="BL429" s="251">
        <f t="shared" si="489"/>
        <v>8.1553727714645029E-4</v>
      </c>
      <c r="BM429" s="199">
        <f t="shared" si="524"/>
        <v>13188.676305693558</v>
      </c>
      <c r="BN429" s="251">
        <f t="shared" si="490"/>
        <v>5.6952805894656695E-4</v>
      </c>
      <c r="BT429" s="199">
        <f>'Detailed Budget'!$AD$12</f>
        <v>194045122715</v>
      </c>
      <c r="BU429" s="199">
        <f>'Detailed Budget'!$AD$24</f>
        <v>194045122715</v>
      </c>
      <c r="BV429" s="596">
        <f t="shared" si="525"/>
        <v>0</v>
      </c>
      <c r="BW429" s="278"/>
      <c r="BX429" s="275">
        <f t="shared" si="526"/>
        <v>0</v>
      </c>
      <c r="BY429" s="275">
        <f t="shared" si="527"/>
        <v>0</v>
      </c>
      <c r="CA429" s="199">
        <f>'Detailed Budget'!$AD$96</f>
        <v>71050111380.677719</v>
      </c>
      <c r="CB429" s="275">
        <f t="shared" si="491"/>
        <v>77918386.764099061</v>
      </c>
      <c r="CE429" s="199">
        <f>'Detailed Budget'!$AD$175</f>
        <v>4330586076.5988197</v>
      </c>
      <c r="CF429" s="275">
        <f t="shared" si="528"/>
        <v>11942554.1205147</v>
      </c>
      <c r="CG429" s="199">
        <f>'Detailed Budget'!$AD$176</f>
        <v>20662817754.37001</v>
      </c>
      <c r="CH429" s="275">
        <f t="shared" si="529"/>
        <v>56982316.119051918</v>
      </c>
      <c r="CI429" s="275">
        <f t="shared" si="463"/>
        <v>68924870.239566624</v>
      </c>
      <c r="CJ429" s="275">
        <f>'Detailed Budget'!$AD$178</f>
        <v>46025131033.061455</v>
      </c>
      <c r="CK429" s="275">
        <f t="shared" si="530"/>
        <v>85979586.050057128</v>
      </c>
      <c r="CL429" s="275">
        <f t="shared" si="498"/>
        <v>154904456.28962374</v>
      </c>
      <c r="CM429" s="278">
        <f>'Detailed Budget'!$AD$189</f>
        <v>77498869683.252869</v>
      </c>
      <c r="CN429" s="275">
        <f t="shared" si="492"/>
        <v>0</v>
      </c>
      <c r="CO429" s="140">
        <f>'Detailed Budget'!$AD$191</f>
        <v>2684962805.4134097</v>
      </c>
      <c r="CP429" s="616">
        <f t="shared" si="493"/>
        <v>0</v>
      </c>
      <c r="CQ429" s="616">
        <f t="shared" si="494"/>
        <v>0</v>
      </c>
      <c r="CR429" s="199">
        <f>'Detailed Budget'!$AD$195</f>
        <v>18734176418</v>
      </c>
      <c r="CS429" s="275">
        <f t="shared" si="531"/>
        <v>10669639.131306088</v>
      </c>
      <c r="CW429" s="278"/>
      <c r="DH429" s="140">
        <f>'Detailed Budget'!$AD$163</f>
        <v>4928560000</v>
      </c>
      <c r="DI429" s="616">
        <f t="shared" si="532"/>
        <v>5600000</v>
      </c>
    </row>
    <row r="430" spans="1:113" outlineLevel="1">
      <c r="A430" s="214" t="s">
        <v>983</v>
      </c>
      <c r="B430" s="215" t="s">
        <v>984</v>
      </c>
      <c r="C430" s="216" t="s">
        <v>234</v>
      </c>
      <c r="D430" s="217" t="s">
        <v>234</v>
      </c>
      <c r="E430" s="216"/>
      <c r="F430" s="216"/>
      <c r="G430" s="216"/>
      <c r="H430" s="216" t="s">
        <v>234</v>
      </c>
      <c r="I430" s="217"/>
      <c r="J430" s="217" t="s">
        <v>234</v>
      </c>
      <c r="K430" s="216"/>
      <c r="L430" s="216" t="s">
        <v>234</v>
      </c>
      <c r="M430" s="217"/>
      <c r="N430" s="216"/>
      <c r="O430" s="217"/>
      <c r="P430" s="216"/>
      <c r="Q430" s="217"/>
      <c r="R430" s="217" t="s">
        <v>234</v>
      </c>
      <c r="S430" s="217"/>
      <c r="T430" s="217"/>
      <c r="U430" s="218">
        <f t="shared" si="520"/>
        <v>6</v>
      </c>
      <c r="V430" s="867" t="s">
        <v>980</v>
      </c>
      <c r="W430" s="219">
        <v>238014</v>
      </c>
      <c r="X430" s="220">
        <v>3.17</v>
      </c>
      <c r="Y430" s="221">
        <f t="shared" si="514"/>
        <v>1.0317000000000001</v>
      </c>
      <c r="Z430" s="199">
        <v>19</v>
      </c>
      <c r="AA430" s="221">
        <f t="shared" si="515"/>
        <v>1.8093191519340412</v>
      </c>
      <c r="AB430" s="199">
        <f t="shared" si="516"/>
        <v>430643.28862842888</v>
      </c>
      <c r="AC430">
        <v>20.2</v>
      </c>
      <c r="AD430" s="199">
        <f t="shared" si="517"/>
        <v>86989.944302942618</v>
      </c>
      <c r="AE430" s="199">
        <f t="shared" si="534"/>
        <v>82640.447087795488</v>
      </c>
      <c r="AF430" s="199">
        <f t="shared" si="497"/>
        <v>82640.447087795488</v>
      </c>
      <c r="AG430" s="614">
        <f t="shared" si="496"/>
        <v>3.8209314749790904E-3</v>
      </c>
      <c r="AH430" s="199">
        <f t="shared" si="533"/>
        <v>21532.164431421446</v>
      </c>
      <c r="AI430" s="252">
        <f t="shared" si="479"/>
        <v>1.6680641540864779E-3</v>
      </c>
      <c r="AJ430" s="199">
        <f t="shared" si="480"/>
        <v>108522.10873436407</v>
      </c>
      <c r="AK430" s="199">
        <f t="shared" si="509"/>
        <v>17225.731545137154</v>
      </c>
      <c r="AL430" s="199">
        <f t="shared" si="510"/>
        <v>17225.731545137154</v>
      </c>
      <c r="AM430" s="199">
        <f t="shared" si="481"/>
        <v>34451.463090274308</v>
      </c>
      <c r="AN430" s="645">
        <f t="shared" si="482"/>
        <v>1.6680641540864774E-3</v>
      </c>
      <c r="AO430" s="199">
        <v>11</v>
      </c>
      <c r="AP430" s="250">
        <f t="shared" si="483"/>
        <v>1.2498579706851495E-3</v>
      </c>
      <c r="AQ430" s="199">
        <v>11</v>
      </c>
      <c r="AU430" s="199">
        <v>0</v>
      </c>
      <c r="AW430" s="250">
        <f t="shared" si="484"/>
        <v>0</v>
      </c>
      <c r="AX430" s="199">
        <v>1</v>
      </c>
      <c r="AY430" s="199">
        <f t="shared" si="521"/>
        <v>28535.515432448865</v>
      </c>
      <c r="AZ430" s="199">
        <f t="shared" si="485"/>
        <v>28535.515432448865</v>
      </c>
      <c r="BA430" s="252">
        <f t="shared" si="486"/>
        <v>2.2430766888406821E-3</v>
      </c>
      <c r="BB430" s="284">
        <v>1</v>
      </c>
      <c r="BC430" s="199">
        <f t="shared" si="522"/>
        <v>62632.759898118682</v>
      </c>
      <c r="BD430" s="270">
        <f t="shared" si="511"/>
        <v>5.6405243140300468E-3</v>
      </c>
      <c r="BE430" s="199">
        <f t="shared" si="523"/>
        <v>267929.02845306328</v>
      </c>
      <c r="BF430" s="251">
        <f t="shared" si="512"/>
        <v>5.6405244393731057E-3</v>
      </c>
      <c r="BG430" s="204">
        <f t="shared" si="513"/>
        <v>330561.78835118195</v>
      </c>
      <c r="BH430" s="636">
        <v>0</v>
      </c>
      <c r="BI430" s="199">
        <f t="shared" si="487"/>
        <v>131776.84632029923</v>
      </c>
      <c r="BJ430" s="199">
        <f t="shared" si="488"/>
        <v>263553.69264059846</v>
      </c>
      <c r="BK430" s="199">
        <f t="shared" si="495"/>
        <v>395330.53896089771</v>
      </c>
      <c r="BL430" s="251">
        <f t="shared" si="489"/>
        <v>1.6680641540864777E-3</v>
      </c>
      <c r="BM430" s="199">
        <f t="shared" si="524"/>
        <v>26975.539686368647</v>
      </c>
      <c r="BN430" s="251">
        <f t="shared" si="490"/>
        <v>1.1648876961201377E-3</v>
      </c>
      <c r="BT430" s="199">
        <f>'Detailed Budget'!$AD$12</f>
        <v>194045122715</v>
      </c>
      <c r="BU430" s="199">
        <f>'Detailed Budget'!$AD$24</f>
        <v>194045122715</v>
      </c>
      <c r="BV430" s="596">
        <f t="shared" si="525"/>
        <v>0</v>
      </c>
      <c r="BW430" s="278"/>
      <c r="BX430" s="275">
        <f t="shared" si="526"/>
        <v>0</v>
      </c>
      <c r="BY430" s="275">
        <f t="shared" si="527"/>
        <v>0</v>
      </c>
      <c r="CA430" s="199">
        <f>'Detailed Budget'!$AD$96</f>
        <v>71050111380.677719</v>
      </c>
      <c r="CB430" s="275">
        <f t="shared" si="491"/>
        <v>159370848.57753223</v>
      </c>
      <c r="CE430" s="199">
        <f>'Detailed Budget'!$AD$175</f>
        <v>4330586076.5988197</v>
      </c>
      <c r="CF430" s="275">
        <f t="shared" si="528"/>
        <v>24426776.05905563</v>
      </c>
      <c r="CG430" s="199">
        <f>'Detailed Budget'!$AD$176</f>
        <v>20662817754.37001</v>
      </c>
      <c r="CH430" s="275">
        <f t="shared" si="529"/>
        <v>116549128.52983655</v>
      </c>
      <c r="CI430" s="275">
        <f t="shared" si="463"/>
        <v>140975904.58889219</v>
      </c>
      <c r="CJ430" s="275">
        <f>'Detailed Budget'!$AD$178</f>
        <v>46025131033.061455</v>
      </c>
      <c r="CK430" s="275">
        <f t="shared" si="530"/>
        <v>175858871.80426142</v>
      </c>
      <c r="CL430" s="275">
        <f t="shared" si="498"/>
        <v>316834776.39315361</v>
      </c>
      <c r="CM430" s="278">
        <f>'Detailed Budget'!$AD$189</f>
        <v>77498869683.252869</v>
      </c>
      <c r="CN430" s="275">
        <f t="shared" si="492"/>
        <v>0</v>
      </c>
      <c r="CO430" s="140">
        <f>'Detailed Budget'!$AD$191</f>
        <v>2684962805.4134097</v>
      </c>
      <c r="CP430" s="616">
        <f t="shared" si="493"/>
        <v>0</v>
      </c>
      <c r="CQ430" s="616">
        <f t="shared" si="494"/>
        <v>0</v>
      </c>
      <c r="CR430" s="199">
        <f>'Detailed Budget'!$AD$195</f>
        <v>18734176418</v>
      </c>
      <c r="CS430" s="275">
        <f t="shared" si="531"/>
        <v>21823211.606272236</v>
      </c>
      <c r="CW430" s="278"/>
      <c r="DH430" s="140">
        <f>'Detailed Budget'!$AD$163</f>
        <v>4928560000</v>
      </c>
      <c r="DI430" s="616">
        <f t="shared" si="532"/>
        <v>6160000</v>
      </c>
    </row>
    <row r="431" spans="1:113" outlineLevel="1">
      <c r="A431" s="214" t="s">
        <v>985</v>
      </c>
      <c r="B431" s="215" t="s">
        <v>986</v>
      </c>
      <c r="C431" s="216" t="s">
        <v>234</v>
      </c>
      <c r="D431" s="217" t="s">
        <v>234</v>
      </c>
      <c r="E431" s="216"/>
      <c r="F431" s="216"/>
      <c r="G431" s="216"/>
      <c r="H431" s="216" t="s">
        <v>234</v>
      </c>
      <c r="I431" s="217"/>
      <c r="J431" s="217" t="s">
        <v>234</v>
      </c>
      <c r="K431" s="216"/>
      <c r="L431" s="216" t="s">
        <v>234</v>
      </c>
      <c r="M431" s="217"/>
      <c r="N431" s="216"/>
      <c r="O431" s="217"/>
      <c r="P431" s="216"/>
      <c r="Q431" s="217"/>
      <c r="R431" s="217" t="s">
        <v>234</v>
      </c>
      <c r="S431" s="217"/>
      <c r="T431" s="217"/>
      <c r="U431" s="218">
        <f t="shared" si="520"/>
        <v>6</v>
      </c>
      <c r="V431" s="867" t="s">
        <v>980</v>
      </c>
      <c r="W431" s="219">
        <v>268620</v>
      </c>
      <c r="X431" s="220">
        <v>3.17</v>
      </c>
      <c r="Y431" s="221">
        <f t="shared" si="514"/>
        <v>1.0317000000000001</v>
      </c>
      <c r="Z431" s="199">
        <v>19</v>
      </c>
      <c r="AA431" s="221">
        <f t="shared" si="515"/>
        <v>1.8093191519340412</v>
      </c>
      <c r="AB431" s="199">
        <f t="shared" si="516"/>
        <v>486019.31059252215</v>
      </c>
      <c r="AC431">
        <v>20.2</v>
      </c>
      <c r="AD431" s="199">
        <f t="shared" si="517"/>
        <v>98175.900739689474</v>
      </c>
      <c r="AE431" s="199">
        <f t="shared" si="534"/>
        <v>93267.105702704997</v>
      </c>
      <c r="AF431" s="199">
        <f t="shared" si="497"/>
        <v>93267.105702704997</v>
      </c>
      <c r="AG431" s="614">
        <f t="shared" si="496"/>
        <v>4.3122615174270565E-3</v>
      </c>
      <c r="AH431" s="199">
        <f t="shared" si="533"/>
        <v>24300.965529626108</v>
      </c>
      <c r="AI431" s="252">
        <f t="shared" si="479"/>
        <v>1.8825589800209636E-3</v>
      </c>
      <c r="AJ431" s="199">
        <f t="shared" si="480"/>
        <v>122476.86626931558</v>
      </c>
      <c r="AK431" s="199">
        <f t="shared" si="509"/>
        <v>19440.772423700888</v>
      </c>
      <c r="AL431" s="199">
        <f t="shared" si="510"/>
        <v>19440.772423700888</v>
      </c>
      <c r="AM431" s="199">
        <f t="shared" si="481"/>
        <v>38881.544847401776</v>
      </c>
      <c r="AN431" s="645">
        <f t="shared" si="482"/>
        <v>1.8825589800209638E-3</v>
      </c>
      <c r="AO431" s="199">
        <v>15</v>
      </c>
      <c r="AP431" s="250">
        <f t="shared" si="483"/>
        <v>1.7043517782070218E-3</v>
      </c>
      <c r="AQ431" s="199">
        <v>15</v>
      </c>
      <c r="AU431" s="199">
        <v>0</v>
      </c>
      <c r="AW431" s="250">
        <f t="shared" si="484"/>
        <v>0</v>
      </c>
      <c r="AX431" s="199">
        <v>1</v>
      </c>
      <c r="AY431" s="199">
        <f t="shared" si="521"/>
        <v>32204.870954920363</v>
      </c>
      <c r="AZ431" s="199">
        <f t="shared" si="485"/>
        <v>32204.870954920363</v>
      </c>
      <c r="BA431" s="252">
        <f t="shared" si="486"/>
        <v>2.531511844498156E-3</v>
      </c>
      <c r="BB431" s="284">
        <v>1</v>
      </c>
      <c r="BC431" s="199">
        <f t="shared" si="522"/>
        <v>70686.648532576422</v>
      </c>
      <c r="BD431" s="270">
        <f t="shared" si="511"/>
        <v>6.3658341157862633E-3</v>
      </c>
      <c r="BE431" s="199">
        <f t="shared" si="523"/>
        <v>302381.7742782436</v>
      </c>
      <c r="BF431" s="251">
        <f t="shared" si="512"/>
        <v>6.3658342572470699E-3</v>
      </c>
      <c r="BG431" s="204">
        <f t="shared" si="513"/>
        <v>373068.42281082005</v>
      </c>
      <c r="BH431" s="636">
        <v>0</v>
      </c>
      <c r="BI431" s="199">
        <f t="shared" si="487"/>
        <v>148721.9090413118</v>
      </c>
      <c r="BJ431" s="199">
        <f t="shared" si="488"/>
        <v>297443.81808262359</v>
      </c>
      <c r="BK431" s="199">
        <f t="shared" si="495"/>
        <v>446165.72712393536</v>
      </c>
      <c r="BL431" s="251">
        <f t="shared" si="489"/>
        <v>1.8825589800209636E-3</v>
      </c>
      <c r="BM431" s="199">
        <f t="shared" si="524"/>
        <v>30444.299371265326</v>
      </c>
      <c r="BN431" s="251">
        <f t="shared" si="490"/>
        <v>1.3146795269681254E-3</v>
      </c>
      <c r="BT431" s="199">
        <f>'Detailed Budget'!$AD$12</f>
        <v>194045122715</v>
      </c>
      <c r="BU431" s="199">
        <f>'Detailed Budget'!$AD$24</f>
        <v>194045122715</v>
      </c>
      <c r="BV431" s="596">
        <f t="shared" si="525"/>
        <v>0</v>
      </c>
      <c r="BW431" s="278"/>
      <c r="BX431" s="275">
        <f t="shared" si="526"/>
        <v>0</v>
      </c>
      <c r="BY431" s="275">
        <f t="shared" si="527"/>
        <v>0</v>
      </c>
      <c r="CA431" s="199">
        <f>'Detailed Budget'!$AD$96</f>
        <v>71050111380.677719</v>
      </c>
      <c r="CB431" s="275">
        <f t="shared" si="491"/>
        <v>179864198.5130989</v>
      </c>
      <c r="CE431" s="199">
        <f>'Detailed Budget'!$AD$175</f>
        <v>4330586076.5988197</v>
      </c>
      <c r="CF431" s="275">
        <f t="shared" si="528"/>
        <v>27567792.587761752</v>
      </c>
      <c r="CG431" s="199">
        <f>'Detailed Budget'!$AD$176</f>
        <v>20662817754.37001</v>
      </c>
      <c r="CH431" s="275">
        <f t="shared" si="529"/>
        <v>131536073.11202158</v>
      </c>
      <c r="CI431" s="275">
        <f t="shared" si="463"/>
        <v>159103865.69978333</v>
      </c>
      <c r="CJ431" s="275">
        <f>'Detailed Budget'!$AD$178</f>
        <v>46025131033.061455</v>
      </c>
      <c r="CK431" s="275">
        <f t="shared" si="530"/>
        <v>198472401.38840869</v>
      </c>
      <c r="CL431" s="275">
        <f t="shared" si="498"/>
        <v>357576267.08819199</v>
      </c>
      <c r="CM431" s="278">
        <f>'Detailed Budget'!$AD$189</f>
        <v>77498869683.252869</v>
      </c>
      <c r="CN431" s="275">
        <f t="shared" si="492"/>
        <v>0</v>
      </c>
      <c r="CO431" s="140">
        <f>'Detailed Budget'!$AD$191</f>
        <v>2684962805.4134097</v>
      </c>
      <c r="CP431" s="616">
        <f t="shared" si="493"/>
        <v>0</v>
      </c>
      <c r="CQ431" s="616">
        <f t="shared" si="494"/>
        <v>0</v>
      </c>
      <c r="CR431" s="199">
        <f>'Detailed Budget'!$AD$195</f>
        <v>18734176418</v>
      </c>
      <c r="CS431" s="275">
        <f t="shared" si="531"/>
        <v>24629438.191353649</v>
      </c>
      <c r="CW431" s="278"/>
      <c r="DH431" s="140">
        <f>'Detailed Budget'!$AD$163</f>
        <v>4928560000</v>
      </c>
      <c r="DI431" s="616">
        <f t="shared" si="532"/>
        <v>8400000</v>
      </c>
    </row>
    <row r="432" spans="1:113" outlineLevel="1">
      <c r="A432" s="214" t="s">
        <v>987</v>
      </c>
      <c r="B432" s="215" t="s">
        <v>988</v>
      </c>
      <c r="C432" s="216" t="s">
        <v>234</v>
      </c>
      <c r="D432" s="217" t="s">
        <v>234</v>
      </c>
      <c r="E432" s="216"/>
      <c r="F432" s="216"/>
      <c r="G432" s="216"/>
      <c r="H432" s="216" t="s">
        <v>234</v>
      </c>
      <c r="I432" s="217"/>
      <c r="J432" s="217" t="s">
        <v>234</v>
      </c>
      <c r="K432" s="216"/>
      <c r="L432" s="216" t="s">
        <v>234</v>
      </c>
      <c r="M432" s="217"/>
      <c r="N432" s="216"/>
      <c r="O432" s="217"/>
      <c r="P432" s="216"/>
      <c r="Q432" s="217"/>
      <c r="R432" s="217" t="s">
        <v>234</v>
      </c>
      <c r="S432" s="217"/>
      <c r="T432" s="217"/>
      <c r="U432" s="218">
        <f t="shared" si="520"/>
        <v>6</v>
      </c>
      <c r="V432" s="867" t="s">
        <v>980</v>
      </c>
      <c r="W432" s="219">
        <v>123547</v>
      </c>
      <c r="X432" s="220">
        <v>3.17</v>
      </c>
      <c r="Y432" s="221">
        <f t="shared" si="514"/>
        <v>1.0317000000000001</v>
      </c>
      <c r="Z432" s="199">
        <v>19</v>
      </c>
      <c r="AA432" s="221">
        <f t="shared" si="515"/>
        <v>1.8093191519340412</v>
      </c>
      <c r="AB432" s="199">
        <f t="shared" si="516"/>
        <v>223535.953263995</v>
      </c>
      <c r="AC432">
        <v>20.2</v>
      </c>
      <c r="AD432" s="199">
        <f t="shared" si="517"/>
        <v>45154.262559326991</v>
      </c>
      <c r="AE432" s="199">
        <f t="shared" si="534"/>
        <v>42896.54943136064</v>
      </c>
      <c r="AF432" s="199">
        <f t="shared" si="497"/>
        <v>42896.54943136064</v>
      </c>
      <c r="AG432" s="614">
        <f t="shared" si="496"/>
        <v>1.983348126325518E-3</v>
      </c>
      <c r="AH432" s="199">
        <f t="shared" si="533"/>
        <v>11176.797663199752</v>
      </c>
      <c r="AI432" s="252">
        <f t="shared" si="479"/>
        <v>8.6584958046552766E-4</v>
      </c>
      <c r="AJ432" s="199">
        <f t="shared" si="480"/>
        <v>56331.060222526743</v>
      </c>
      <c r="AK432" s="199">
        <f t="shared" si="509"/>
        <v>8941.4381305597999</v>
      </c>
      <c r="AL432" s="199">
        <f t="shared" si="510"/>
        <v>8941.4381305597999</v>
      </c>
      <c r="AM432" s="199">
        <f t="shared" si="481"/>
        <v>17882.8762611196</v>
      </c>
      <c r="AN432" s="645">
        <f t="shared" si="482"/>
        <v>8.6584958046552745E-4</v>
      </c>
      <c r="AO432" s="199">
        <v>10</v>
      </c>
      <c r="AP432" s="250">
        <f t="shared" si="483"/>
        <v>1.1362345188046814E-3</v>
      </c>
      <c r="AQ432" s="199">
        <v>10</v>
      </c>
      <c r="AU432" s="199">
        <v>0</v>
      </c>
      <c r="AW432" s="250">
        <f t="shared" si="484"/>
        <v>0</v>
      </c>
      <c r="AX432" s="199">
        <v>1</v>
      </c>
      <c r="AY432" s="199">
        <f t="shared" si="521"/>
        <v>14812.058639965551</v>
      </c>
      <c r="AZ432" s="199">
        <f t="shared" si="485"/>
        <v>14812.058639965551</v>
      </c>
      <c r="BA432" s="252">
        <f t="shared" si="486"/>
        <v>1.1643239291646702E-3</v>
      </c>
      <c r="BB432" s="284">
        <v>1</v>
      </c>
      <c r="BC432" s="199">
        <f t="shared" si="522"/>
        <v>32511.069042715433</v>
      </c>
      <c r="BD432" s="270">
        <f t="shared" si="511"/>
        <v>2.92785238442054E-3</v>
      </c>
      <c r="BE432" s="199">
        <f t="shared" si="523"/>
        <v>139075.12868272714</v>
      </c>
      <c r="BF432" s="251">
        <f t="shared" si="512"/>
        <v>2.9278524494829269E-3</v>
      </c>
      <c r="BG432" s="204">
        <f t="shared" si="513"/>
        <v>171586.19772544259</v>
      </c>
      <c r="BH432" s="636">
        <v>0</v>
      </c>
      <c r="BI432" s="199">
        <f t="shared" si="487"/>
        <v>68402.001698782464</v>
      </c>
      <c r="BJ432" s="199">
        <f t="shared" si="488"/>
        <v>136804.00339756493</v>
      </c>
      <c r="BK432" s="199">
        <f t="shared" si="495"/>
        <v>205206.00509634739</v>
      </c>
      <c r="BL432" s="251">
        <f t="shared" si="489"/>
        <v>8.6584958046552745E-4</v>
      </c>
      <c r="BM432" s="199">
        <f t="shared" si="524"/>
        <v>14002.314996730393</v>
      </c>
      <c r="BN432" s="251">
        <f t="shared" si="490"/>
        <v>6.0466350799765845E-4</v>
      </c>
      <c r="BT432" s="199">
        <f>'Detailed Budget'!$AD$12</f>
        <v>194045122715</v>
      </c>
      <c r="BU432" s="199">
        <f>'Detailed Budget'!$AD$24</f>
        <v>194045122715</v>
      </c>
      <c r="BV432" s="596">
        <f t="shared" si="525"/>
        <v>0</v>
      </c>
      <c r="BW432" s="278"/>
      <c r="BX432" s="275">
        <f t="shared" si="526"/>
        <v>0</v>
      </c>
      <c r="BY432" s="275">
        <f t="shared" si="527"/>
        <v>0</v>
      </c>
      <c r="CA432" s="199">
        <f>'Detailed Budget'!$AD$96</f>
        <v>71050111380.677719</v>
      </c>
      <c r="CB432" s="275">
        <f t="shared" si="491"/>
        <v>82725344.850338131</v>
      </c>
      <c r="CE432" s="199">
        <f>'Detailed Budget'!$AD$175</f>
        <v>4330586076.5988197</v>
      </c>
      <c r="CF432" s="275">
        <f t="shared" si="528"/>
        <v>12679316.770308245</v>
      </c>
      <c r="CG432" s="199">
        <f>'Detailed Budget'!$AD$176</f>
        <v>20662817754.37001</v>
      </c>
      <c r="CH432" s="275">
        <f t="shared" si="529"/>
        <v>60497681.575351544</v>
      </c>
      <c r="CI432" s="275">
        <f t="shared" si="463"/>
        <v>73176998.345659792</v>
      </c>
      <c r="CJ432" s="275">
        <f>'Detailed Budget'!$AD$178</f>
        <v>46025131033.061455</v>
      </c>
      <c r="CK432" s="275">
        <f t="shared" si="530"/>
        <v>91283857.398308888</v>
      </c>
      <c r="CL432" s="275">
        <f t="shared" si="498"/>
        <v>164460855.74396867</v>
      </c>
      <c r="CM432" s="278">
        <f>'Detailed Budget'!$AD$189</f>
        <v>77498869683.252869</v>
      </c>
      <c r="CN432" s="275">
        <f t="shared" si="492"/>
        <v>0</v>
      </c>
      <c r="CO432" s="140">
        <f>'Detailed Budget'!$AD$191</f>
        <v>2684962805.4134097</v>
      </c>
      <c r="CP432" s="616">
        <f t="shared" si="493"/>
        <v>0</v>
      </c>
      <c r="CQ432" s="616">
        <f t="shared" si="494"/>
        <v>0</v>
      </c>
      <c r="CR432" s="199">
        <f>'Detailed Budget'!$AD$195</f>
        <v>18734176418</v>
      </c>
      <c r="CS432" s="275">
        <f t="shared" si="531"/>
        <v>11327872.832354886</v>
      </c>
      <c r="CW432" s="278"/>
      <c r="DH432" s="140">
        <f>'Detailed Budget'!$AD$163</f>
        <v>4928560000</v>
      </c>
      <c r="DI432" s="616">
        <f t="shared" si="532"/>
        <v>5600000</v>
      </c>
    </row>
    <row r="433" spans="1:113" outlineLevel="1">
      <c r="A433" s="214" t="s">
        <v>989</v>
      </c>
      <c r="B433" s="215" t="s">
        <v>990</v>
      </c>
      <c r="C433" s="216" t="s">
        <v>234</v>
      </c>
      <c r="D433" s="217" t="s">
        <v>234</v>
      </c>
      <c r="E433" s="216"/>
      <c r="F433" s="216"/>
      <c r="G433" s="216"/>
      <c r="H433" s="216" t="s">
        <v>234</v>
      </c>
      <c r="I433" s="217"/>
      <c r="J433" s="217" t="s">
        <v>234</v>
      </c>
      <c r="K433" s="216"/>
      <c r="L433" s="216" t="s">
        <v>234</v>
      </c>
      <c r="M433" s="217"/>
      <c r="N433" s="216"/>
      <c r="O433" s="217"/>
      <c r="P433" s="216"/>
      <c r="Q433" s="217"/>
      <c r="R433" s="217" t="s">
        <v>234</v>
      </c>
      <c r="S433" s="217"/>
      <c r="T433" s="217"/>
      <c r="U433" s="218">
        <f t="shared" si="520"/>
        <v>6</v>
      </c>
      <c r="V433" s="867" t="s">
        <v>980</v>
      </c>
      <c r="W433" s="219">
        <v>146211</v>
      </c>
      <c r="X433" s="220">
        <v>3.17</v>
      </c>
      <c r="Y433" s="221">
        <f t="shared" si="514"/>
        <v>1.0317000000000001</v>
      </c>
      <c r="Z433" s="199">
        <v>19</v>
      </c>
      <c r="AA433" s="221">
        <f t="shared" si="515"/>
        <v>1.8093191519340412</v>
      </c>
      <c r="AB433" s="199">
        <f t="shared" si="516"/>
        <v>264542.36252342811</v>
      </c>
      <c r="AC433">
        <v>20.2</v>
      </c>
      <c r="AD433" s="199">
        <f t="shared" si="517"/>
        <v>53437.557229732483</v>
      </c>
      <c r="AE433" s="199">
        <f t="shared" si="534"/>
        <v>50765.679368245859</v>
      </c>
      <c r="AF433" s="199">
        <f t="shared" si="497"/>
        <v>50765.679368245859</v>
      </c>
      <c r="AG433" s="614">
        <f t="shared" si="496"/>
        <v>2.3471821484793666E-3</v>
      </c>
      <c r="AH433" s="199">
        <f t="shared" si="533"/>
        <v>13227.118126171406</v>
      </c>
      <c r="AI433" s="252">
        <f t="shared" si="479"/>
        <v>1.0246848001930055E-3</v>
      </c>
      <c r="AJ433" s="199">
        <f t="shared" si="480"/>
        <v>66664.675355903892</v>
      </c>
      <c r="AK433" s="199">
        <f t="shared" si="509"/>
        <v>10581.694500937125</v>
      </c>
      <c r="AL433" s="199">
        <f t="shared" si="510"/>
        <v>10581.694500937125</v>
      </c>
      <c r="AM433" s="199">
        <f t="shared" si="481"/>
        <v>21163.38900187425</v>
      </c>
      <c r="AN433" s="645">
        <f t="shared" si="482"/>
        <v>1.0246848001930055E-3</v>
      </c>
      <c r="AO433" s="199">
        <v>11</v>
      </c>
      <c r="AP433" s="250">
        <f t="shared" si="483"/>
        <v>1.2498579706851495E-3</v>
      </c>
      <c r="AQ433" s="199">
        <v>11</v>
      </c>
      <c r="AU433" s="199">
        <v>0</v>
      </c>
      <c r="AW433" s="250">
        <f t="shared" si="484"/>
        <v>0</v>
      </c>
      <c r="AX433" s="199">
        <v>1</v>
      </c>
      <c r="AY433" s="199">
        <f t="shared" si="521"/>
        <v>17529.247216104017</v>
      </c>
      <c r="AZ433" s="199">
        <f t="shared" si="485"/>
        <v>17529.247216104017</v>
      </c>
      <c r="BA433" s="252">
        <f t="shared" si="486"/>
        <v>1.3779125839323946E-3</v>
      </c>
      <c r="BB433" s="284">
        <v>1</v>
      </c>
      <c r="BC433" s="199">
        <f t="shared" si="522"/>
        <v>38475.041205407389</v>
      </c>
      <c r="BD433" s="270">
        <f t="shared" si="511"/>
        <v>3.464950383081027E-3</v>
      </c>
      <c r="BE433" s="199">
        <f t="shared" si="523"/>
        <v>164587.67626757605</v>
      </c>
      <c r="BF433" s="251">
        <f t="shared" si="512"/>
        <v>3.4649504600787408E-3</v>
      </c>
      <c r="BG433" s="204">
        <f t="shared" si="513"/>
        <v>203062.71747298344</v>
      </c>
      <c r="BH433" s="636">
        <v>0</v>
      </c>
      <c r="BI433" s="199">
        <f t="shared" si="487"/>
        <v>80949.962932169001</v>
      </c>
      <c r="BJ433" s="199">
        <f t="shared" si="488"/>
        <v>161899.925864338</v>
      </c>
      <c r="BK433" s="199">
        <f t="shared" si="495"/>
        <v>242849.888796507</v>
      </c>
      <c r="BL433" s="251">
        <f t="shared" si="489"/>
        <v>1.0246848001930055E-3</v>
      </c>
      <c r="BM433" s="199">
        <f t="shared" si="524"/>
        <v>16570.960670732169</v>
      </c>
      <c r="BN433" s="251">
        <f t="shared" si="490"/>
        <v>7.1558561654953693E-4</v>
      </c>
      <c r="BT433" s="199">
        <f>'Detailed Budget'!$AD$12</f>
        <v>194045122715</v>
      </c>
      <c r="BU433" s="199">
        <f>'Detailed Budget'!$AD$24</f>
        <v>194045122715</v>
      </c>
      <c r="BV433" s="596">
        <f t="shared" si="525"/>
        <v>0</v>
      </c>
      <c r="BW433" s="278"/>
      <c r="BX433" s="275">
        <f t="shared" si="526"/>
        <v>0</v>
      </c>
      <c r="BY433" s="275">
        <f t="shared" si="527"/>
        <v>0</v>
      </c>
      <c r="CA433" s="199">
        <f>'Detailed Budget'!$AD$96</f>
        <v>71050111380.677719</v>
      </c>
      <c r="CB433" s="275">
        <f t="shared" si="491"/>
        <v>97900842.561234072</v>
      </c>
      <c r="CE433" s="199">
        <f>'Detailed Budget'!$AD$175</f>
        <v>4330586076.5988197</v>
      </c>
      <c r="CF433" s="275">
        <f t="shared" si="528"/>
        <v>15005265.885076443</v>
      </c>
      <c r="CG433" s="199">
        <f>'Detailed Budget'!$AD$176</f>
        <v>20662817754.37001</v>
      </c>
      <c r="CH433" s="275">
        <f t="shared" si="529"/>
        <v>71595639.884527534</v>
      </c>
      <c r="CI433" s="275">
        <f t="shared" si="463"/>
        <v>86600905.769603983</v>
      </c>
      <c r="CJ433" s="275">
        <f>'Detailed Budget'!$AD$178</f>
        <v>46025131033.061455</v>
      </c>
      <c r="CK433" s="275">
        <f t="shared" si="530"/>
        <v>108029365.94222556</v>
      </c>
      <c r="CL433" s="275">
        <f t="shared" si="498"/>
        <v>194630271.71182954</v>
      </c>
      <c r="CM433" s="278">
        <f>'Detailed Budget'!$AD$189</f>
        <v>77498869683.252869</v>
      </c>
      <c r="CN433" s="275">
        <f t="shared" si="492"/>
        <v>0</v>
      </c>
      <c r="CO433" s="140">
        <f>'Detailed Budget'!$AD$191</f>
        <v>2684962805.4134097</v>
      </c>
      <c r="CP433" s="616">
        <f t="shared" si="493"/>
        <v>0</v>
      </c>
      <c r="CQ433" s="616">
        <f t="shared" si="494"/>
        <v>0</v>
      </c>
      <c r="CR433" s="199">
        <f>'Detailed Budget'!$AD$195</f>
        <v>18734176418</v>
      </c>
      <c r="CS433" s="275">
        <f t="shared" si="531"/>
        <v>13405907.182622325</v>
      </c>
      <c r="CW433" s="278"/>
      <c r="DH433" s="140">
        <f>'Detailed Budget'!$AD$163</f>
        <v>4928560000</v>
      </c>
      <c r="DI433" s="616">
        <f t="shared" si="532"/>
        <v>6160000</v>
      </c>
    </row>
    <row r="434" spans="1:113" outlineLevel="1">
      <c r="A434" s="214" t="s">
        <v>991</v>
      </c>
      <c r="B434" s="215" t="s">
        <v>992</v>
      </c>
      <c r="C434" s="216" t="s">
        <v>234</v>
      </c>
      <c r="D434" s="217" t="s">
        <v>234</v>
      </c>
      <c r="E434" s="216"/>
      <c r="F434" s="216"/>
      <c r="G434" s="216"/>
      <c r="H434" s="216" t="s">
        <v>234</v>
      </c>
      <c r="I434" s="217"/>
      <c r="J434" s="217" t="s">
        <v>234</v>
      </c>
      <c r="K434" s="216"/>
      <c r="L434" s="216" t="s">
        <v>234</v>
      </c>
      <c r="M434" s="217"/>
      <c r="N434" s="216"/>
      <c r="O434" s="217"/>
      <c r="P434" s="216"/>
      <c r="Q434" s="217"/>
      <c r="R434" s="217" t="s">
        <v>234</v>
      </c>
      <c r="S434" s="217"/>
      <c r="T434" s="217"/>
      <c r="U434" s="218">
        <f t="shared" si="520"/>
        <v>6</v>
      </c>
      <c r="V434" s="867" t="s">
        <v>980</v>
      </c>
      <c r="W434" s="219">
        <v>119772</v>
      </c>
      <c r="X434" s="220">
        <v>3.17</v>
      </c>
      <c r="Y434" s="221">
        <f t="shared" si="514"/>
        <v>1.0317000000000001</v>
      </c>
      <c r="Z434" s="199">
        <v>19</v>
      </c>
      <c r="AA434" s="221">
        <f t="shared" si="515"/>
        <v>1.8093191519340412</v>
      </c>
      <c r="AB434" s="199">
        <f t="shared" si="516"/>
        <v>216705.77346544398</v>
      </c>
      <c r="AC434">
        <v>20.2</v>
      </c>
      <c r="AD434" s="199">
        <f t="shared" si="517"/>
        <v>43774.566240019689</v>
      </c>
      <c r="AE434" s="199">
        <f t="shared" si="534"/>
        <v>41585.8379280187</v>
      </c>
      <c r="AF434" s="199">
        <f t="shared" si="497"/>
        <v>41585.8379280187</v>
      </c>
      <c r="AG434" s="614">
        <f t="shared" si="496"/>
        <v>1.9227465805423029E-3</v>
      </c>
      <c r="AH434" s="199">
        <f t="shared" si="533"/>
        <v>10835.2886732722</v>
      </c>
      <c r="AI434" s="252">
        <f t="shared" si="479"/>
        <v>8.3939339645250116E-4</v>
      </c>
      <c r="AJ434" s="199">
        <f t="shared" si="480"/>
        <v>54609.854913291885</v>
      </c>
      <c r="AK434" s="199">
        <f t="shared" si="509"/>
        <v>8668.2309386177603</v>
      </c>
      <c r="AL434" s="199">
        <f t="shared" si="510"/>
        <v>8668.2309386177603</v>
      </c>
      <c r="AM434" s="199">
        <f t="shared" si="481"/>
        <v>17336.461877235521</v>
      </c>
      <c r="AN434" s="645">
        <f t="shared" si="482"/>
        <v>8.3939339645250116E-4</v>
      </c>
      <c r="AO434" s="199">
        <v>10</v>
      </c>
      <c r="AP434" s="250">
        <f t="shared" si="483"/>
        <v>1.1362345188046814E-3</v>
      </c>
      <c r="AQ434" s="199">
        <v>10</v>
      </c>
      <c r="AU434" s="199">
        <v>0</v>
      </c>
      <c r="AW434" s="250">
        <f t="shared" si="484"/>
        <v>0</v>
      </c>
      <c r="AX434" s="199">
        <v>1</v>
      </c>
      <c r="AY434" s="199">
        <f t="shared" si="521"/>
        <v>14359.473620775525</v>
      </c>
      <c r="AZ434" s="199">
        <f t="shared" si="485"/>
        <v>14359.473620775525</v>
      </c>
      <c r="BA434" s="252">
        <f t="shared" si="486"/>
        <v>1.1287478096911367E-3</v>
      </c>
      <c r="BB434" s="284">
        <v>1</v>
      </c>
      <c r="BC434" s="199">
        <f t="shared" si="522"/>
        <v>31517.687692814176</v>
      </c>
      <c r="BD434" s="270">
        <f t="shared" si="511"/>
        <v>2.8383913473157335E-3</v>
      </c>
      <c r="BE434" s="199">
        <f t="shared" si="523"/>
        <v>134825.66401926064</v>
      </c>
      <c r="BF434" s="251">
        <f t="shared" si="512"/>
        <v>2.8383914103901277E-3</v>
      </c>
      <c r="BG434" s="204">
        <f t="shared" si="513"/>
        <v>166343.35171207483</v>
      </c>
      <c r="BH434" s="636">
        <v>0</v>
      </c>
      <c r="BI434" s="199">
        <f t="shared" si="487"/>
        <v>66311.96668042586</v>
      </c>
      <c r="BJ434" s="199">
        <f t="shared" si="488"/>
        <v>132623.93336085172</v>
      </c>
      <c r="BK434" s="199">
        <f t="shared" si="495"/>
        <v>198935.90004127758</v>
      </c>
      <c r="BL434" s="251">
        <f t="shared" si="489"/>
        <v>8.3939339645250116E-4</v>
      </c>
      <c r="BM434" s="199">
        <f t="shared" si="524"/>
        <v>13574.471834916205</v>
      </c>
      <c r="BN434" s="251">
        <f t="shared" si="490"/>
        <v>5.8618790970153497E-4</v>
      </c>
      <c r="BT434" s="199">
        <f>'Detailed Budget'!$AD$12</f>
        <v>194045122715</v>
      </c>
      <c r="BU434" s="199">
        <f>'Detailed Budget'!$AD$24</f>
        <v>194045122715</v>
      </c>
      <c r="BV434" s="596">
        <f t="shared" si="525"/>
        <v>0</v>
      </c>
      <c r="BW434" s="278"/>
      <c r="BX434" s="275">
        <f t="shared" si="526"/>
        <v>0</v>
      </c>
      <c r="BY434" s="275">
        <f t="shared" si="527"/>
        <v>0</v>
      </c>
      <c r="CA434" s="199">
        <f>'Detailed Budget'!$AD$96</f>
        <v>71050111380.677719</v>
      </c>
      <c r="CB434" s="275">
        <f t="shared" si="491"/>
        <v>80197657.59925127</v>
      </c>
      <c r="CE434" s="199">
        <f>'Detailed Budget'!$AD$175</f>
        <v>4330586076.5988197</v>
      </c>
      <c r="CF434" s="275">
        <f t="shared" si="528"/>
        <v>12291898.04862408</v>
      </c>
      <c r="CG434" s="199">
        <f>'Detailed Budget'!$AD$176</f>
        <v>20662817754.37001</v>
      </c>
      <c r="CH434" s="275">
        <f t="shared" si="529"/>
        <v>58649164.428460464</v>
      </c>
      <c r="CI434" s="275">
        <f t="shared" si="463"/>
        <v>70941062.477084547</v>
      </c>
      <c r="CJ434" s="275">
        <f>'Detailed Budget'!$AD$178</f>
        <v>46025131033.061455</v>
      </c>
      <c r="CK434" s="275">
        <f t="shared" si="530"/>
        <v>88494663.312830344</v>
      </c>
      <c r="CL434" s="275">
        <f t="shared" si="498"/>
        <v>159435725.78991491</v>
      </c>
      <c r="CM434" s="278">
        <f>'Detailed Budget'!$AD$189</f>
        <v>77498869683.252869</v>
      </c>
      <c r="CN434" s="275">
        <f t="shared" si="492"/>
        <v>0</v>
      </c>
      <c r="CO434" s="140">
        <f>'Detailed Budget'!$AD$191</f>
        <v>2684962805.4134097</v>
      </c>
      <c r="CP434" s="616">
        <f t="shared" si="493"/>
        <v>0</v>
      </c>
      <c r="CQ434" s="616">
        <f t="shared" si="494"/>
        <v>0</v>
      </c>
      <c r="CR434" s="199">
        <f>'Detailed Budget'!$AD$195</f>
        <v>18734176418</v>
      </c>
      <c r="CS434" s="275">
        <f t="shared" si="531"/>
        <v>10981747.71444721</v>
      </c>
      <c r="CW434" s="278"/>
      <c r="DH434" s="140">
        <f>'Detailed Budget'!$AD$163</f>
        <v>4928560000</v>
      </c>
      <c r="DI434" s="616">
        <f t="shared" si="532"/>
        <v>5600000</v>
      </c>
    </row>
    <row r="435" spans="1:113" outlineLevel="1">
      <c r="A435" s="214" t="s">
        <v>993</v>
      </c>
      <c r="B435" s="215" t="s">
        <v>994</v>
      </c>
      <c r="C435" s="216" t="s">
        <v>234</v>
      </c>
      <c r="D435" s="217" t="s">
        <v>234</v>
      </c>
      <c r="E435" s="216"/>
      <c r="F435" s="216"/>
      <c r="G435" s="216"/>
      <c r="H435" s="216" t="s">
        <v>234</v>
      </c>
      <c r="I435" s="217"/>
      <c r="J435" s="217" t="s">
        <v>234</v>
      </c>
      <c r="K435" s="216"/>
      <c r="L435" s="216" t="s">
        <v>234</v>
      </c>
      <c r="M435" s="217"/>
      <c r="N435" s="216"/>
      <c r="O435" s="217"/>
      <c r="P435" s="216"/>
      <c r="Q435" s="217"/>
      <c r="R435" s="217" t="s">
        <v>234</v>
      </c>
      <c r="S435" s="217"/>
      <c r="T435" s="217"/>
      <c r="U435" s="218">
        <f t="shared" si="520"/>
        <v>6</v>
      </c>
      <c r="V435" s="867" t="s">
        <v>980</v>
      </c>
      <c r="W435" s="219">
        <v>151077</v>
      </c>
      <c r="X435" s="220">
        <v>3.17</v>
      </c>
      <c r="Y435" s="221">
        <f t="shared" si="514"/>
        <v>1.0317000000000001</v>
      </c>
      <c r="Z435" s="199">
        <v>19</v>
      </c>
      <c r="AA435" s="221">
        <f t="shared" si="515"/>
        <v>1.8093191519340412</v>
      </c>
      <c r="AB435" s="199">
        <f t="shared" si="516"/>
        <v>273346.50951673917</v>
      </c>
      <c r="AC435">
        <v>20.2</v>
      </c>
      <c r="AD435" s="199">
        <f t="shared" si="517"/>
        <v>55215.994922381316</v>
      </c>
      <c r="AE435" s="199">
        <f t="shared" si="534"/>
        <v>52455.195176262248</v>
      </c>
      <c r="AF435" s="199">
        <f t="shared" si="497"/>
        <v>52455.195176262248</v>
      </c>
      <c r="AG435" s="614">
        <f t="shared" si="496"/>
        <v>2.4252979423286707E-3</v>
      </c>
      <c r="AH435" s="199">
        <f t="shared" si="533"/>
        <v>13667.325475836959</v>
      </c>
      <c r="AI435" s="252">
        <f t="shared" si="479"/>
        <v>1.0587869965923132E-3</v>
      </c>
      <c r="AJ435" s="199">
        <f t="shared" si="480"/>
        <v>68883.320398218275</v>
      </c>
      <c r="AK435" s="199">
        <f t="shared" si="509"/>
        <v>10933.860380669566</v>
      </c>
      <c r="AL435" s="199">
        <f t="shared" si="510"/>
        <v>10933.860380669566</v>
      </c>
      <c r="AM435" s="199">
        <f t="shared" si="481"/>
        <v>21867.720761339133</v>
      </c>
      <c r="AN435" s="645">
        <f t="shared" si="482"/>
        <v>1.0587869965923129E-3</v>
      </c>
      <c r="AO435" s="199">
        <v>10</v>
      </c>
      <c r="AP435" s="250">
        <f t="shared" si="483"/>
        <v>1.1362345188046814E-3</v>
      </c>
      <c r="AQ435" s="199">
        <v>10</v>
      </c>
      <c r="AU435" s="199">
        <v>0</v>
      </c>
      <c r="AW435" s="250">
        <f t="shared" si="484"/>
        <v>0</v>
      </c>
      <c r="AX435" s="199">
        <v>1</v>
      </c>
      <c r="AY435" s="199">
        <f t="shared" si="521"/>
        <v>18112.632303091745</v>
      </c>
      <c r="AZ435" s="199">
        <f t="shared" si="485"/>
        <v>18112.632303091745</v>
      </c>
      <c r="BA435" s="252">
        <f t="shared" si="486"/>
        <v>1.4237704375372198E-3</v>
      </c>
      <c r="BB435" s="284">
        <v>1</v>
      </c>
      <c r="BC435" s="199">
        <f t="shared" si="522"/>
        <v>39755.516344114549</v>
      </c>
      <c r="BD435" s="270">
        <f t="shared" si="511"/>
        <v>3.5802662523663222E-3</v>
      </c>
      <c r="BE435" s="199">
        <f t="shared" si="523"/>
        <v>170065.26436093447</v>
      </c>
      <c r="BF435" s="251">
        <f t="shared" si="512"/>
        <v>3.5802663319265716E-3</v>
      </c>
      <c r="BG435" s="204">
        <f t="shared" si="513"/>
        <v>209820.78070504902</v>
      </c>
      <c r="BH435" s="636">
        <v>0</v>
      </c>
      <c r="BI435" s="199">
        <f t="shared" si="487"/>
        <v>83644.031912122184</v>
      </c>
      <c r="BJ435" s="199">
        <f t="shared" si="488"/>
        <v>167288.06382424437</v>
      </c>
      <c r="BK435" s="199">
        <f t="shared" si="495"/>
        <v>250932.09573636655</v>
      </c>
      <c r="BL435" s="251">
        <f t="shared" si="489"/>
        <v>1.0587869965923129E-3</v>
      </c>
      <c r="BM435" s="199">
        <f t="shared" si="524"/>
        <v>17122.453339709074</v>
      </c>
      <c r="BN435" s="251">
        <f t="shared" si="490"/>
        <v>7.3940078510819544E-4</v>
      </c>
      <c r="BT435" s="199">
        <f>'Detailed Budget'!$AD$12</f>
        <v>194045122715</v>
      </c>
      <c r="BU435" s="199">
        <f>'Detailed Budget'!$AD$24</f>
        <v>194045122715</v>
      </c>
      <c r="BV435" s="596">
        <f t="shared" si="525"/>
        <v>0</v>
      </c>
      <c r="BW435" s="278"/>
      <c r="BX435" s="275">
        <f t="shared" si="526"/>
        <v>0</v>
      </c>
      <c r="BY435" s="275">
        <f t="shared" si="527"/>
        <v>0</v>
      </c>
      <c r="CA435" s="199">
        <f>'Detailed Budget'!$AD$96</f>
        <v>71050111380.677719</v>
      </c>
      <c r="CB435" s="275">
        <f t="shared" si="491"/>
        <v>101159048.16753571</v>
      </c>
      <c r="CE435" s="199">
        <f>'Detailed Budget'!$AD$175</f>
        <v>4330586076.5988197</v>
      </c>
      <c r="CF435" s="275">
        <f t="shared" si="528"/>
        <v>15504651.183014231</v>
      </c>
      <c r="CG435" s="199">
        <f>'Detailed Budget'!$AD$176</f>
        <v>20662817754.37001</v>
      </c>
      <c r="CH435" s="275">
        <f t="shared" si="529"/>
        <v>73978390.728705555</v>
      </c>
      <c r="CI435" s="275">
        <f t="shared" si="463"/>
        <v>89483041.911719784</v>
      </c>
      <c r="CJ435" s="275">
        <f>'Detailed Budget'!$AD$178</f>
        <v>46025131033.061455</v>
      </c>
      <c r="CK435" s="275">
        <f t="shared" si="530"/>
        <v>111624655.58989139</v>
      </c>
      <c r="CL435" s="275">
        <f t="shared" si="498"/>
        <v>201107697.50161117</v>
      </c>
      <c r="CM435" s="278">
        <f>'Detailed Budget'!$AD$189</f>
        <v>77498869683.252869</v>
      </c>
      <c r="CN435" s="275">
        <f t="shared" si="492"/>
        <v>0</v>
      </c>
      <c r="CO435" s="140">
        <f>'Detailed Budget'!$AD$191</f>
        <v>2684962805.4134097</v>
      </c>
      <c r="CP435" s="616">
        <f t="shared" si="493"/>
        <v>0</v>
      </c>
      <c r="CQ435" s="616">
        <f t="shared" si="494"/>
        <v>0</v>
      </c>
      <c r="CR435" s="199">
        <f>'Detailed Budget'!$AD$195</f>
        <v>18734176418</v>
      </c>
      <c r="CS435" s="275">
        <f t="shared" si="531"/>
        <v>13852064.751824642</v>
      </c>
      <c r="CW435" s="278"/>
      <c r="DH435" s="140">
        <f>'Detailed Budget'!$AD$163</f>
        <v>4928560000</v>
      </c>
      <c r="DI435" s="616">
        <f t="shared" si="532"/>
        <v>5600000</v>
      </c>
    </row>
    <row r="436" spans="1:113" outlineLevel="1">
      <c r="A436" s="214" t="s">
        <v>995</v>
      </c>
      <c r="B436" s="215" t="s">
        <v>996</v>
      </c>
      <c r="C436" s="216" t="s">
        <v>234</v>
      </c>
      <c r="D436" s="217" t="s">
        <v>234</v>
      </c>
      <c r="E436" s="216"/>
      <c r="F436" s="216"/>
      <c r="G436" s="216"/>
      <c r="H436" s="216" t="s">
        <v>234</v>
      </c>
      <c r="I436" s="217"/>
      <c r="J436" s="217" t="s">
        <v>234</v>
      </c>
      <c r="K436" s="216"/>
      <c r="L436" s="216" t="s">
        <v>234</v>
      </c>
      <c r="M436" s="217"/>
      <c r="N436" s="216"/>
      <c r="O436" s="217"/>
      <c r="P436" s="216"/>
      <c r="Q436" s="217"/>
      <c r="R436" s="217" t="s">
        <v>234</v>
      </c>
      <c r="S436" s="217" t="s">
        <v>234</v>
      </c>
      <c r="T436" s="217"/>
      <c r="U436" s="218">
        <f t="shared" si="520"/>
        <v>7</v>
      </c>
      <c r="V436" s="867" t="s">
        <v>997</v>
      </c>
      <c r="W436" s="219">
        <v>197757</v>
      </c>
      <c r="X436" s="220">
        <v>3.17</v>
      </c>
      <c r="Y436" s="221">
        <f t="shared" si="514"/>
        <v>1.0317000000000001</v>
      </c>
      <c r="Z436" s="199">
        <v>19</v>
      </c>
      <c r="AA436" s="221">
        <f t="shared" si="515"/>
        <v>1.8093191519340412</v>
      </c>
      <c r="AB436" s="199">
        <f t="shared" si="516"/>
        <v>357805.52752902021</v>
      </c>
      <c r="AC436">
        <v>20.2</v>
      </c>
      <c r="AD436" s="199">
        <f t="shared" si="517"/>
        <v>72276.716560862085</v>
      </c>
      <c r="AE436" s="199">
        <f t="shared" si="534"/>
        <v>68662.880732818972</v>
      </c>
      <c r="AF436" s="199">
        <f t="shared" si="497"/>
        <v>68662.880732818972</v>
      </c>
      <c r="AG436" s="614">
        <f t="shared" si="496"/>
        <v>3.1746701693910447E-3</v>
      </c>
      <c r="AH436" s="199">
        <f t="shared" si="533"/>
        <v>17890.276376451013</v>
      </c>
      <c r="AI436" s="252">
        <f t="shared" si="479"/>
        <v>1.3859326044672986E-3</v>
      </c>
      <c r="AJ436" s="199">
        <f t="shared" si="480"/>
        <v>90166.992937313102</v>
      </c>
      <c r="AK436" s="199">
        <f t="shared" si="509"/>
        <v>14312.221101160809</v>
      </c>
      <c r="AL436" s="199">
        <f t="shared" si="510"/>
        <v>14312.221101160809</v>
      </c>
      <c r="AM436" s="199">
        <f t="shared" si="481"/>
        <v>28624.442202321618</v>
      </c>
      <c r="AN436" s="645">
        <f t="shared" si="482"/>
        <v>1.3859326044672986E-3</v>
      </c>
      <c r="AO436" s="199">
        <v>11</v>
      </c>
      <c r="AP436" s="250">
        <f t="shared" si="483"/>
        <v>1.2498579706851495E-3</v>
      </c>
      <c r="AQ436" s="199">
        <v>11</v>
      </c>
      <c r="AU436" s="199">
        <v>0</v>
      </c>
      <c r="AW436" s="250">
        <f t="shared" si="484"/>
        <v>0</v>
      </c>
      <c r="AX436" s="199">
        <v>1</v>
      </c>
      <c r="AY436" s="199">
        <f t="shared" si="521"/>
        <v>23709.100831777927</v>
      </c>
      <c r="AZ436" s="199">
        <f t="shared" si="485"/>
        <v>23709.100831777927</v>
      </c>
      <c r="BA436" s="252">
        <f t="shared" si="486"/>
        <v>1.8636891811198788E-3</v>
      </c>
      <c r="BB436" s="284">
        <v>1</v>
      </c>
      <c r="BC436" s="199">
        <f t="shared" si="522"/>
        <v>52039.235923820699</v>
      </c>
      <c r="BD436" s="270">
        <f t="shared" si="511"/>
        <v>4.6865023350292018E-3</v>
      </c>
      <c r="BE436" s="199">
        <f t="shared" si="523"/>
        <v>222612.28700745522</v>
      </c>
      <c r="BF436" s="251">
        <f t="shared" si="512"/>
        <v>4.6865024391720975E-3</v>
      </c>
      <c r="BG436" s="204">
        <f t="shared" si="513"/>
        <v>274651.52293127589</v>
      </c>
      <c r="BH436" s="636">
        <v>0</v>
      </c>
      <c r="BI436" s="199">
        <f t="shared" si="487"/>
        <v>109488.4914238802</v>
      </c>
      <c r="BJ436" s="199">
        <f t="shared" si="488"/>
        <v>218976.9828477604</v>
      </c>
      <c r="BK436" s="199">
        <f t="shared" si="495"/>
        <v>328465.47427164059</v>
      </c>
      <c r="BL436" s="251">
        <f t="shared" si="489"/>
        <v>1.3859326044672986E-3</v>
      </c>
      <c r="BM436" s="199">
        <f t="shared" si="524"/>
        <v>22412.97487440741</v>
      </c>
      <c r="BN436" s="251">
        <f t="shared" si="490"/>
        <v>9.6786195821098808E-4</v>
      </c>
      <c r="BT436" s="199">
        <f>'Detailed Budget'!$AD$12</f>
        <v>194045122715</v>
      </c>
      <c r="BU436" s="199">
        <f>'Detailed Budget'!$AD$24</f>
        <v>194045122715</v>
      </c>
      <c r="BV436" s="596">
        <f t="shared" si="525"/>
        <v>0</v>
      </c>
      <c r="BW436" s="278"/>
      <c r="BX436" s="275">
        <f t="shared" si="526"/>
        <v>0</v>
      </c>
      <c r="BY436" s="275">
        <f t="shared" si="527"/>
        <v>0</v>
      </c>
      <c r="CA436" s="199">
        <f>'Detailed Budget'!$AD$96</f>
        <v>71050111380.677719</v>
      </c>
      <c r="CB436" s="275">
        <f t="shared" si="491"/>
        <v>132415323.89753143</v>
      </c>
      <c r="CE436" s="199">
        <f>'Detailed Budget'!$AD$175</f>
        <v>4330586076.5988197</v>
      </c>
      <c r="CF436" s="275">
        <f t="shared" si="528"/>
        <v>20295301.760025319</v>
      </c>
      <c r="CG436" s="199">
        <f>'Detailed Budget'!$AD$176</f>
        <v>20662817754.37001</v>
      </c>
      <c r="CH436" s="275">
        <f t="shared" si="529"/>
        <v>96836345.806023583</v>
      </c>
      <c r="CI436" s="275">
        <f t="shared" si="463"/>
        <v>117131647.56604891</v>
      </c>
      <c r="CJ436" s="275">
        <f>'Detailed Budget'!$AD$178</f>
        <v>46025131033.061455</v>
      </c>
      <c r="CK436" s="275">
        <f t="shared" si="530"/>
        <v>146114610.53297424</v>
      </c>
      <c r="CL436" s="275">
        <f t="shared" si="498"/>
        <v>263246258.09902316</v>
      </c>
      <c r="CM436" s="278">
        <f>'Detailed Budget'!$AD$189</f>
        <v>77498869683.252869</v>
      </c>
      <c r="CN436" s="275">
        <f t="shared" si="492"/>
        <v>0</v>
      </c>
      <c r="CO436" s="140">
        <f>'Detailed Budget'!$AD$191</f>
        <v>2684962805.4134097</v>
      </c>
      <c r="CP436" s="616">
        <f t="shared" si="493"/>
        <v>0</v>
      </c>
      <c r="CQ436" s="616">
        <f t="shared" si="494"/>
        <v>0</v>
      </c>
      <c r="CR436" s="199">
        <f>'Detailed Budget'!$AD$195</f>
        <v>18734176418</v>
      </c>
      <c r="CS436" s="275">
        <f t="shared" si="531"/>
        <v>18132096.673395593</v>
      </c>
      <c r="CW436" s="278"/>
      <c r="DH436" s="140">
        <f>'Detailed Budget'!$AD$163</f>
        <v>4928560000</v>
      </c>
      <c r="DI436" s="616">
        <f t="shared" si="532"/>
        <v>6160000</v>
      </c>
    </row>
    <row r="437" spans="1:113" outlineLevel="1">
      <c r="A437" s="214" t="s">
        <v>998</v>
      </c>
      <c r="B437" s="215" t="s">
        <v>999</v>
      </c>
      <c r="C437" s="216" t="s">
        <v>234</v>
      </c>
      <c r="D437" s="217" t="s">
        <v>234</v>
      </c>
      <c r="E437" s="216"/>
      <c r="F437" s="216"/>
      <c r="G437" s="216"/>
      <c r="H437" s="216" t="s">
        <v>234</v>
      </c>
      <c r="I437" s="217"/>
      <c r="J437" s="217" t="s">
        <v>234</v>
      </c>
      <c r="K437" s="216"/>
      <c r="L437" s="216" t="s">
        <v>234</v>
      </c>
      <c r="M437" s="217"/>
      <c r="N437" s="216"/>
      <c r="O437" s="217"/>
      <c r="P437" s="216"/>
      <c r="Q437" s="217"/>
      <c r="R437" s="217" t="s">
        <v>234</v>
      </c>
      <c r="S437" s="217"/>
      <c r="T437" s="217"/>
      <c r="U437" s="218">
        <f t="shared" si="520"/>
        <v>6</v>
      </c>
      <c r="V437" s="867" t="s">
        <v>980</v>
      </c>
      <c r="W437" s="219">
        <v>84928</v>
      </c>
      <c r="X437" s="220">
        <v>3.17</v>
      </c>
      <c r="Y437" s="221">
        <f t="shared" si="514"/>
        <v>1.0317000000000001</v>
      </c>
      <c r="Z437" s="199">
        <v>19</v>
      </c>
      <c r="AA437" s="221">
        <f t="shared" si="515"/>
        <v>1.8093191519340412</v>
      </c>
      <c r="AB437" s="199">
        <f t="shared" si="516"/>
        <v>153661.85693545424</v>
      </c>
      <c r="AC437">
        <v>20.2</v>
      </c>
      <c r="AD437" s="199">
        <f t="shared" si="517"/>
        <v>31039.695100961755</v>
      </c>
      <c r="AE437" s="199">
        <f t="shared" si="534"/>
        <v>29487.710345913667</v>
      </c>
      <c r="AF437" s="199">
        <f t="shared" si="497"/>
        <v>29487.710345913667</v>
      </c>
      <c r="AG437" s="614">
        <f t="shared" si="496"/>
        <v>1.3633822729210224E-3</v>
      </c>
      <c r="AH437" s="199">
        <f t="shared" si="533"/>
        <v>7683.0928467727126</v>
      </c>
      <c r="AI437" s="252">
        <f t="shared" si="479"/>
        <v>5.9519756181676867E-4</v>
      </c>
      <c r="AJ437" s="199">
        <f t="shared" si="480"/>
        <v>38722.787947734469</v>
      </c>
      <c r="AK437" s="199">
        <f t="shared" si="509"/>
        <v>6146.4742774181695</v>
      </c>
      <c r="AL437" s="199">
        <f t="shared" si="510"/>
        <v>6146.4742774181695</v>
      </c>
      <c r="AM437" s="199">
        <f t="shared" si="481"/>
        <v>12292.948554836339</v>
      </c>
      <c r="AN437" s="645">
        <f t="shared" si="482"/>
        <v>5.9519756181676856E-4</v>
      </c>
      <c r="AO437" s="199">
        <v>10</v>
      </c>
      <c r="AP437" s="250">
        <f t="shared" si="483"/>
        <v>1.1362345188046814E-3</v>
      </c>
      <c r="AQ437" s="199">
        <v>10</v>
      </c>
      <c r="AU437" s="199">
        <v>0</v>
      </c>
      <c r="AW437" s="250">
        <f t="shared" si="484"/>
        <v>0</v>
      </c>
      <c r="AX437" s="199">
        <v>1</v>
      </c>
      <c r="AY437" s="199">
        <f t="shared" si="521"/>
        <v>10182.023976098117</v>
      </c>
      <c r="AZ437" s="199">
        <f t="shared" si="485"/>
        <v>10182.023976098117</v>
      </c>
      <c r="BA437" s="252">
        <f t="shared" si="486"/>
        <v>8.0037315884721669E-4</v>
      </c>
      <c r="BB437" s="284">
        <v>1</v>
      </c>
      <c r="BC437" s="199">
        <f t="shared" si="522"/>
        <v>22348.580472692462</v>
      </c>
      <c r="BD437" s="270">
        <f t="shared" si="511"/>
        <v>2.0126482011223871E-3</v>
      </c>
      <c r="BE437" s="199">
        <f t="shared" si="523"/>
        <v>95602.260910962214</v>
      </c>
      <c r="BF437" s="251">
        <f t="shared" si="512"/>
        <v>2.0126482458472155E-3</v>
      </c>
      <c r="BG437" s="204">
        <f t="shared" si="513"/>
        <v>117950.84138365468</v>
      </c>
      <c r="BH437" s="636">
        <v>0</v>
      </c>
      <c r="BI437" s="199">
        <f t="shared" si="487"/>
        <v>47020.528222248991</v>
      </c>
      <c r="BJ437" s="199">
        <f t="shared" si="488"/>
        <v>94041.056444497983</v>
      </c>
      <c r="BK437" s="199">
        <f t="shared" si="495"/>
        <v>141061.58466674696</v>
      </c>
      <c r="BL437" s="251">
        <f t="shared" si="489"/>
        <v>5.9519756181676845E-4</v>
      </c>
      <c r="BM437" s="199">
        <f t="shared" si="524"/>
        <v>9625.3944494185907</v>
      </c>
      <c r="BN437" s="251">
        <f t="shared" si="490"/>
        <v>4.1565446677964765E-4</v>
      </c>
      <c r="BT437" s="199">
        <f>'Detailed Budget'!$AD$12</f>
        <v>194045122715</v>
      </c>
      <c r="BU437" s="199">
        <f>'Detailed Budget'!$AD$24</f>
        <v>194045122715</v>
      </c>
      <c r="BV437" s="596">
        <f t="shared" si="525"/>
        <v>0</v>
      </c>
      <c r="BW437" s="278"/>
      <c r="BX437" s="275">
        <f t="shared" si="526"/>
        <v>0</v>
      </c>
      <c r="BY437" s="275">
        <f t="shared" si="527"/>
        <v>0</v>
      </c>
      <c r="CA437" s="199">
        <f>'Detailed Budget'!$AD$96</f>
        <v>71050111380.677719</v>
      </c>
      <c r="CB437" s="275">
        <f t="shared" si="491"/>
        <v>56866602.082199603</v>
      </c>
      <c r="CE437" s="199">
        <f>'Detailed Budget'!$AD$175</f>
        <v>4330586076.5988197</v>
      </c>
      <c r="CF437" s="275">
        <f t="shared" si="528"/>
        <v>8715946.2768722698</v>
      </c>
      <c r="CG437" s="199">
        <f>'Detailed Budget'!$AD$176</f>
        <v>20662817754.37001</v>
      </c>
      <c r="CH437" s="275">
        <f t="shared" si="529"/>
        <v>41586983.907593504</v>
      </c>
      <c r="CI437" s="275">
        <f t="shared" si="463"/>
        <v>50302930.184465773</v>
      </c>
      <c r="CJ437" s="275">
        <f>'Detailed Budget'!$AD$178</f>
        <v>46025131033.061455</v>
      </c>
      <c r="CK437" s="275">
        <f t="shared" si="530"/>
        <v>62749847.759343207</v>
      </c>
      <c r="CL437" s="275">
        <f t="shared" si="498"/>
        <v>113052777.94380897</v>
      </c>
      <c r="CM437" s="278">
        <f>'Detailed Budget'!$AD$189</f>
        <v>77498869683.252869</v>
      </c>
      <c r="CN437" s="275">
        <f t="shared" si="492"/>
        <v>0</v>
      </c>
      <c r="CO437" s="140">
        <f>'Detailed Budget'!$AD$191</f>
        <v>2684962805.4134097</v>
      </c>
      <c r="CP437" s="616">
        <f t="shared" si="493"/>
        <v>0</v>
      </c>
      <c r="CQ437" s="616">
        <f t="shared" si="494"/>
        <v>0</v>
      </c>
      <c r="CR437" s="199">
        <f>'Detailed Budget'!$AD$195</f>
        <v>18734176418</v>
      </c>
      <c r="CS437" s="275">
        <f t="shared" si="531"/>
        <v>7786944.1095796395</v>
      </c>
      <c r="CW437" s="278"/>
      <c r="DH437" s="140">
        <f>'Detailed Budget'!$AD$163</f>
        <v>4928560000</v>
      </c>
      <c r="DI437" s="616">
        <f t="shared" si="532"/>
        <v>5600000</v>
      </c>
    </row>
    <row r="438" spans="1:113" outlineLevel="1">
      <c r="A438" s="214" t="s">
        <v>1000</v>
      </c>
      <c r="B438" s="215" t="s">
        <v>1001</v>
      </c>
      <c r="C438" s="216" t="s">
        <v>234</v>
      </c>
      <c r="D438" s="217" t="s">
        <v>234</v>
      </c>
      <c r="E438" s="216"/>
      <c r="F438" s="216"/>
      <c r="G438" s="216"/>
      <c r="H438" s="216" t="s">
        <v>234</v>
      </c>
      <c r="I438" s="217"/>
      <c r="J438" s="217" t="s">
        <v>234</v>
      </c>
      <c r="K438" s="216"/>
      <c r="L438" s="216" t="s">
        <v>234</v>
      </c>
      <c r="M438" s="217"/>
      <c r="N438" s="216"/>
      <c r="O438" s="217"/>
      <c r="P438" s="216"/>
      <c r="Q438" s="217"/>
      <c r="R438" s="217" t="s">
        <v>234</v>
      </c>
      <c r="S438" s="217"/>
      <c r="T438" s="217"/>
      <c r="U438" s="218">
        <f t="shared" si="520"/>
        <v>6</v>
      </c>
      <c r="V438" s="867" t="s">
        <v>980</v>
      </c>
      <c r="W438" s="219">
        <v>154818</v>
      </c>
      <c r="X438" s="220">
        <v>3.17</v>
      </c>
      <c r="Y438" s="221">
        <f t="shared" si="514"/>
        <v>1.0317000000000001</v>
      </c>
      <c r="Z438" s="199">
        <v>19</v>
      </c>
      <c r="AA438" s="221">
        <f t="shared" si="515"/>
        <v>1.8093191519340412</v>
      </c>
      <c r="AB438" s="199">
        <f t="shared" si="516"/>
        <v>280115.17246412439</v>
      </c>
      <c r="AC438">
        <v>20.2</v>
      </c>
      <c r="AD438" s="199">
        <f t="shared" si="517"/>
        <v>56583.264837753122</v>
      </c>
      <c r="AE438" s="199">
        <f t="shared" si="534"/>
        <v>53754.101595865461</v>
      </c>
      <c r="AF438" s="199">
        <f t="shared" si="497"/>
        <v>53754.101595865461</v>
      </c>
      <c r="AG438" s="614">
        <f t="shared" si="496"/>
        <v>2.4853536728650953E-3</v>
      </c>
      <c r="AH438" s="199">
        <f t="shared" si="533"/>
        <v>14005.75862320622</v>
      </c>
      <c r="AI438" s="252">
        <f t="shared" si="479"/>
        <v>1.0850048997427056E-3</v>
      </c>
      <c r="AJ438" s="199">
        <f t="shared" si="480"/>
        <v>70589.023460959346</v>
      </c>
      <c r="AK438" s="199">
        <f t="shared" si="509"/>
        <v>11204.606898564976</v>
      </c>
      <c r="AL438" s="199">
        <f t="shared" si="510"/>
        <v>11204.606898564976</v>
      </c>
      <c r="AM438" s="199">
        <f t="shared" si="481"/>
        <v>22409.213797129953</v>
      </c>
      <c r="AN438" s="645">
        <f t="shared" si="482"/>
        <v>1.0850048997427056E-3</v>
      </c>
      <c r="AO438" s="199">
        <v>12</v>
      </c>
      <c r="AP438" s="250">
        <f t="shared" si="483"/>
        <v>1.3634814225656176E-3</v>
      </c>
      <c r="AQ438" s="199">
        <v>12</v>
      </c>
      <c r="AU438" s="199">
        <v>0</v>
      </c>
      <c r="AW438" s="250">
        <f t="shared" si="484"/>
        <v>0</v>
      </c>
      <c r="AX438" s="199">
        <v>1</v>
      </c>
      <c r="AY438" s="199">
        <f t="shared" si="521"/>
        <v>18561.141059857269</v>
      </c>
      <c r="AZ438" s="199">
        <f t="shared" si="485"/>
        <v>18561.141059857269</v>
      </c>
      <c r="BA438" s="252">
        <f t="shared" si="486"/>
        <v>1.4590261363320507E-3</v>
      </c>
      <c r="BB438" s="284">
        <v>1</v>
      </c>
      <c r="BC438" s="199">
        <f t="shared" si="522"/>
        <v>40739.950683182244</v>
      </c>
      <c r="BD438" s="270">
        <f t="shared" si="511"/>
        <v>3.6689215476799846E-3</v>
      </c>
      <c r="BE438" s="199">
        <f t="shared" si="523"/>
        <v>174276.45570027962</v>
      </c>
      <c r="BF438" s="251">
        <f t="shared" si="512"/>
        <v>3.6689216292103222E-3</v>
      </c>
      <c r="BG438" s="204">
        <f t="shared" si="513"/>
        <v>215016.40638346187</v>
      </c>
      <c r="BH438" s="636">
        <v>0</v>
      </c>
      <c r="BI438" s="199">
        <f t="shared" si="487"/>
        <v>85715.242774022074</v>
      </c>
      <c r="BJ438" s="199">
        <f t="shared" si="488"/>
        <v>171430.48554804415</v>
      </c>
      <c r="BK438" s="199">
        <f t="shared" si="495"/>
        <v>257145.72832206622</v>
      </c>
      <c r="BL438" s="251">
        <f t="shared" si="489"/>
        <v>1.0850048997427056E-3</v>
      </c>
      <c r="BM438" s="199">
        <f t="shared" si="524"/>
        <v>17546.443079668512</v>
      </c>
      <c r="BN438" s="251">
        <f t="shared" si="490"/>
        <v>7.5770998066469828E-4</v>
      </c>
      <c r="BT438" s="199">
        <f>'Detailed Budget'!$AD$12</f>
        <v>194045122715</v>
      </c>
      <c r="BU438" s="199">
        <f>'Detailed Budget'!$AD$24</f>
        <v>194045122715</v>
      </c>
      <c r="BV438" s="596">
        <f t="shared" si="525"/>
        <v>0</v>
      </c>
      <c r="BW438" s="278"/>
      <c r="BX438" s="275">
        <f t="shared" si="526"/>
        <v>0</v>
      </c>
      <c r="BY438" s="275">
        <f t="shared" si="527"/>
        <v>0</v>
      </c>
      <c r="CA438" s="199">
        <f>'Detailed Budget'!$AD$96</f>
        <v>71050111380.677719</v>
      </c>
      <c r="CB438" s="275">
        <f t="shared" si="491"/>
        <v>103663969.49371207</v>
      </c>
      <c r="CE438" s="199">
        <f>'Detailed Budget'!$AD$175</f>
        <v>4330586076.5988197</v>
      </c>
      <c r="CF438" s="275">
        <f t="shared" si="528"/>
        <v>15888580.570516335</v>
      </c>
      <c r="CG438" s="199">
        <f>'Detailed Budget'!$AD$176</f>
        <v>20662817754.37001</v>
      </c>
      <c r="CH438" s="275">
        <f t="shared" si="529"/>
        <v>75810258.979439184</v>
      </c>
      <c r="CI438" s="275">
        <f t="shared" si="463"/>
        <v>91698839.549955517</v>
      </c>
      <c r="CJ438" s="275">
        <f>'Detailed Budget'!$AD$178</f>
        <v>46025131033.061455</v>
      </c>
      <c r="CK438" s="275">
        <f t="shared" si="530"/>
        <v>114388728.45711656</v>
      </c>
      <c r="CL438" s="275">
        <f t="shared" si="498"/>
        <v>206087568.00707209</v>
      </c>
      <c r="CM438" s="278">
        <f>'Detailed Budget'!$AD$189</f>
        <v>77498869683.252869</v>
      </c>
      <c r="CN438" s="275">
        <f t="shared" si="492"/>
        <v>0</v>
      </c>
      <c r="CO438" s="140">
        <f>'Detailed Budget'!$AD$191</f>
        <v>2684962805.4134097</v>
      </c>
      <c r="CP438" s="616">
        <f t="shared" si="493"/>
        <v>0</v>
      </c>
      <c r="CQ438" s="616">
        <f t="shared" si="494"/>
        <v>0</v>
      </c>
      <c r="CR438" s="199">
        <f>'Detailed Budget'!$AD$195</f>
        <v>18734176418</v>
      </c>
      <c r="CS438" s="275">
        <f t="shared" si="531"/>
        <v>14195072.451451827</v>
      </c>
      <c r="CW438" s="278"/>
      <c r="DH438" s="140">
        <f>'Detailed Budget'!$AD$163</f>
        <v>4928560000</v>
      </c>
      <c r="DI438" s="616">
        <f t="shared" si="532"/>
        <v>6720000</v>
      </c>
    </row>
    <row r="439" spans="1:113" outlineLevel="1">
      <c r="A439" s="214" t="s">
        <v>1002</v>
      </c>
      <c r="B439" s="215" t="s">
        <v>1003</v>
      </c>
      <c r="C439" s="216" t="s">
        <v>234</v>
      </c>
      <c r="D439" s="217" t="s">
        <v>234</v>
      </c>
      <c r="E439" s="216"/>
      <c r="F439" s="216"/>
      <c r="G439" s="216"/>
      <c r="H439" s="216" t="s">
        <v>234</v>
      </c>
      <c r="I439" s="217" t="s">
        <v>234</v>
      </c>
      <c r="J439" s="217"/>
      <c r="K439" s="216" t="s">
        <v>234</v>
      </c>
      <c r="L439" s="216"/>
      <c r="M439" s="217"/>
      <c r="N439" s="216"/>
      <c r="O439" s="217"/>
      <c r="P439" s="216"/>
      <c r="Q439" s="217"/>
      <c r="R439" s="217" t="s">
        <v>234</v>
      </c>
      <c r="S439" s="217"/>
      <c r="T439" s="217"/>
      <c r="U439" s="218">
        <f t="shared" si="520"/>
        <v>6</v>
      </c>
      <c r="V439" s="867" t="s">
        <v>980</v>
      </c>
      <c r="W439" s="219">
        <v>173759</v>
      </c>
      <c r="X439" s="220">
        <v>3.17</v>
      </c>
      <c r="Y439" s="221">
        <f t="shared" si="514"/>
        <v>1.0317000000000001</v>
      </c>
      <c r="Z439" s="199">
        <v>19</v>
      </c>
      <c r="AA439" s="221">
        <f t="shared" si="515"/>
        <v>1.8093191519340412</v>
      </c>
      <c r="AB439" s="199">
        <f t="shared" si="516"/>
        <v>314385.48652090708</v>
      </c>
      <c r="AC439">
        <v>20.2</v>
      </c>
      <c r="AD439" s="199">
        <f t="shared" si="517"/>
        <v>63505.868277223228</v>
      </c>
      <c r="AE439" s="199">
        <f t="shared" si="534"/>
        <v>60330.574863362061</v>
      </c>
      <c r="AF439" s="199">
        <f t="shared" si="497"/>
        <v>60330.574863362061</v>
      </c>
      <c r="AG439" s="614">
        <f t="shared" si="496"/>
        <v>2.7894209254955248E-3</v>
      </c>
      <c r="AH439" s="199">
        <f t="shared" si="533"/>
        <v>15719.274326045355</v>
      </c>
      <c r="AI439" s="252">
        <f t="shared" si="479"/>
        <v>1.2177483650117737E-3</v>
      </c>
      <c r="AJ439" s="199">
        <f t="shared" si="480"/>
        <v>79225.142603268585</v>
      </c>
      <c r="AK439" s="199">
        <f t="shared" si="509"/>
        <v>12575.419460836283</v>
      </c>
      <c r="AL439" s="199">
        <f t="shared" si="510"/>
        <v>12575.419460836283</v>
      </c>
      <c r="AM439" s="199">
        <f t="shared" si="481"/>
        <v>25150.838921672566</v>
      </c>
      <c r="AN439" s="645">
        <f t="shared" si="482"/>
        <v>1.2177483650117737E-3</v>
      </c>
      <c r="AO439" s="199">
        <v>11</v>
      </c>
      <c r="AP439" s="250">
        <f t="shared" si="483"/>
        <v>1.2498579706851495E-3</v>
      </c>
      <c r="AQ439" s="199">
        <v>11</v>
      </c>
      <c r="AU439" s="199">
        <v>0</v>
      </c>
      <c r="AW439" s="250">
        <f t="shared" si="484"/>
        <v>0</v>
      </c>
      <c r="AX439" s="199">
        <v>1</v>
      </c>
      <c r="AY439" s="199">
        <f t="shared" si="521"/>
        <v>20831.978900513765</v>
      </c>
      <c r="AZ439" s="199">
        <f t="shared" si="485"/>
        <v>20831.978900513765</v>
      </c>
      <c r="BA439" s="252">
        <f t="shared" si="486"/>
        <v>1.637528726781904E-3</v>
      </c>
      <c r="BB439" s="284">
        <v>1</v>
      </c>
      <c r="BC439" s="199">
        <f t="shared" si="522"/>
        <v>45724.225159600719</v>
      </c>
      <c r="BD439" s="270">
        <f t="shared" si="511"/>
        <v>4.1177908202103533E-3</v>
      </c>
      <c r="BE439" s="199">
        <f t="shared" si="523"/>
        <v>195598.07429384755</v>
      </c>
      <c r="BF439" s="251">
        <f t="shared" si="512"/>
        <v>4.1177909117154103E-3</v>
      </c>
      <c r="BG439" s="204">
        <f t="shared" si="513"/>
        <v>241322.29945344827</v>
      </c>
      <c r="BH439" s="636">
        <v>0</v>
      </c>
      <c r="BI439" s="199">
        <f t="shared" si="487"/>
        <v>96201.958875397569</v>
      </c>
      <c r="BJ439" s="199">
        <f t="shared" si="488"/>
        <v>192403.91775079514</v>
      </c>
      <c r="BK439" s="199">
        <f t="shared" si="495"/>
        <v>288605.87662619271</v>
      </c>
      <c r="BL439" s="251">
        <f t="shared" si="489"/>
        <v>1.2177483650117737E-3</v>
      </c>
      <c r="BM439" s="199">
        <f t="shared" si="524"/>
        <v>19693.139060575133</v>
      </c>
      <c r="BN439" s="251">
        <f t="shared" si="490"/>
        <v>8.5041098922810851E-4</v>
      </c>
      <c r="BT439" s="199">
        <f>'Detailed Budget'!$AD$12</f>
        <v>194045122715</v>
      </c>
      <c r="BU439" s="199">
        <f>'Detailed Budget'!$AD$24</f>
        <v>194045122715</v>
      </c>
      <c r="BV439" s="596">
        <f t="shared" si="525"/>
        <v>0</v>
      </c>
      <c r="BW439" s="278"/>
      <c r="BX439" s="275">
        <f t="shared" si="526"/>
        <v>0</v>
      </c>
      <c r="BY439" s="275">
        <f t="shared" si="527"/>
        <v>0</v>
      </c>
      <c r="CA439" s="199">
        <f>'Detailed Budget'!$AD$96</f>
        <v>71050111380.677719</v>
      </c>
      <c r="CB439" s="275">
        <f t="shared" si="491"/>
        <v>116346598.42691365</v>
      </c>
      <c r="CE439" s="199">
        <f>'Detailed Budget'!$AD$175</f>
        <v>4330586076.5988197</v>
      </c>
      <c r="CF439" s="275">
        <f t="shared" si="528"/>
        <v>17832447.592349391</v>
      </c>
      <c r="CG439" s="199">
        <f>'Detailed Budget'!$AD$176</f>
        <v>20662817754.37001</v>
      </c>
      <c r="CH439" s="275">
        <f t="shared" si="529"/>
        <v>85085163.159376651</v>
      </c>
      <c r="CI439" s="275">
        <f t="shared" si="463"/>
        <v>102917610.75172605</v>
      </c>
      <c r="CJ439" s="275">
        <f>'Detailed Budget'!$AD$178</f>
        <v>46025131033.061455</v>
      </c>
      <c r="CK439" s="275">
        <f t="shared" si="530"/>
        <v>128383463.60229509</v>
      </c>
      <c r="CL439" s="275">
        <f t="shared" si="498"/>
        <v>231301074.35402113</v>
      </c>
      <c r="CM439" s="278">
        <f>'Detailed Budget'!$AD$189</f>
        <v>77498869683.252869</v>
      </c>
      <c r="CN439" s="275">
        <f t="shared" si="492"/>
        <v>0</v>
      </c>
      <c r="CO439" s="140">
        <f>'Detailed Budget'!$AD$191</f>
        <v>2684962805.4134097</v>
      </c>
      <c r="CP439" s="616">
        <f t="shared" si="493"/>
        <v>0</v>
      </c>
      <c r="CQ439" s="616">
        <f t="shared" si="494"/>
        <v>0</v>
      </c>
      <c r="CR439" s="199">
        <f>'Detailed Budget'!$AD$195</f>
        <v>18734176418</v>
      </c>
      <c r="CS439" s="275">
        <f t="shared" si="531"/>
        <v>15931749.500005282</v>
      </c>
      <c r="CW439" s="278"/>
      <c r="DH439" s="140">
        <f>'Detailed Budget'!$AD$163</f>
        <v>4928560000</v>
      </c>
      <c r="DI439" s="616">
        <f t="shared" si="532"/>
        <v>6160000</v>
      </c>
    </row>
    <row r="440" spans="1:113" outlineLevel="1">
      <c r="A440" s="214" t="s">
        <v>1004</v>
      </c>
      <c r="B440" s="215" t="s">
        <v>1005</v>
      </c>
      <c r="C440" s="216" t="s">
        <v>234</v>
      </c>
      <c r="D440" s="217" t="s">
        <v>234</v>
      </c>
      <c r="E440" s="216"/>
      <c r="F440" s="216"/>
      <c r="G440" s="216"/>
      <c r="H440" s="216" t="s">
        <v>234</v>
      </c>
      <c r="I440" s="217" t="s">
        <v>234</v>
      </c>
      <c r="J440" s="217"/>
      <c r="K440" s="216" t="s">
        <v>234</v>
      </c>
      <c r="L440" s="216"/>
      <c r="M440" s="217"/>
      <c r="N440" s="216"/>
      <c r="O440" s="217"/>
      <c r="P440" s="216"/>
      <c r="Q440" s="217"/>
      <c r="R440" s="217" t="s">
        <v>234</v>
      </c>
      <c r="S440" s="217" t="s">
        <v>234</v>
      </c>
      <c r="T440" s="217"/>
      <c r="U440" s="218">
        <f t="shared" si="520"/>
        <v>7</v>
      </c>
      <c r="V440" s="867" t="s">
        <v>997</v>
      </c>
      <c r="W440" s="219">
        <v>126102</v>
      </c>
      <c r="X440" s="220">
        <v>3.17</v>
      </c>
      <c r="Y440" s="221">
        <f t="shared" si="514"/>
        <v>1.0317000000000001</v>
      </c>
      <c r="Z440" s="199">
        <v>19</v>
      </c>
      <c r="AA440" s="221">
        <f t="shared" si="515"/>
        <v>1.8093191519340412</v>
      </c>
      <c r="AB440" s="199">
        <f t="shared" si="516"/>
        <v>228158.76369718646</v>
      </c>
      <c r="AC440">
        <v>20.2</v>
      </c>
      <c r="AD440" s="199">
        <f t="shared" si="517"/>
        <v>46088.070266831666</v>
      </c>
      <c r="AE440" s="199">
        <f t="shared" si="534"/>
        <v>43783.666753490084</v>
      </c>
      <c r="AF440" s="199">
        <f t="shared" si="497"/>
        <v>43783.666753490084</v>
      </c>
      <c r="AG440" s="614">
        <f t="shared" si="496"/>
        <v>2.0243645367827665E-3</v>
      </c>
      <c r="AH440" s="199">
        <f t="shared" si="533"/>
        <v>11407.938184859324</v>
      </c>
      <c r="AI440" s="252">
        <f t="shared" si="479"/>
        <v>8.8375568646639703E-4</v>
      </c>
      <c r="AJ440" s="199">
        <f t="shared" si="480"/>
        <v>57496.008451690992</v>
      </c>
      <c r="AK440" s="199">
        <f t="shared" si="509"/>
        <v>9126.3505478874577</v>
      </c>
      <c r="AL440" s="199">
        <f t="shared" si="510"/>
        <v>9126.3505478874577</v>
      </c>
      <c r="AM440" s="199">
        <f t="shared" si="481"/>
        <v>18252.701095774915</v>
      </c>
      <c r="AN440" s="645">
        <f t="shared" si="482"/>
        <v>8.8375568646639681E-4</v>
      </c>
      <c r="AO440" s="199">
        <v>10</v>
      </c>
      <c r="AP440" s="250">
        <f t="shared" si="483"/>
        <v>1.1362345188046814E-3</v>
      </c>
      <c r="AQ440" s="199">
        <v>10</v>
      </c>
      <c r="AU440" s="199">
        <v>0</v>
      </c>
      <c r="AW440" s="250">
        <f t="shared" si="484"/>
        <v>0</v>
      </c>
      <c r="AX440" s="199">
        <v>1</v>
      </c>
      <c r="AY440" s="199">
        <f t="shared" si="521"/>
        <v>15118.377772159065</v>
      </c>
      <c r="AZ440" s="199">
        <f t="shared" si="485"/>
        <v>15118.377772159065</v>
      </c>
      <c r="BA440" s="252">
        <f t="shared" si="486"/>
        <v>1.1884026007553663E-3</v>
      </c>
      <c r="BB440" s="284">
        <v>1</v>
      </c>
      <c r="BC440" s="199">
        <f t="shared" si="522"/>
        <v>33183.410592118802</v>
      </c>
      <c r="BD440" s="270">
        <f t="shared" si="511"/>
        <v>2.9884015101961114E-3</v>
      </c>
      <c r="BE440" s="199">
        <f t="shared" si="523"/>
        <v>141951.25642184154</v>
      </c>
      <c r="BF440" s="251">
        <f t="shared" si="512"/>
        <v>2.9884015766040131E-3</v>
      </c>
      <c r="BG440" s="204">
        <f t="shared" si="513"/>
        <v>175134.66701396034</v>
      </c>
      <c r="BH440" s="636">
        <v>0</v>
      </c>
      <c r="BI440" s="199">
        <f t="shared" si="487"/>
        <v>69816.581691339059</v>
      </c>
      <c r="BJ440" s="199">
        <f t="shared" si="488"/>
        <v>139633.16338267812</v>
      </c>
      <c r="BK440" s="199">
        <f t="shared" si="495"/>
        <v>209449.74507401718</v>
      </c>
      <c r="BL440" s="251">
        <f t="shared" si="489"/>
        <v>8.8375568646639692E-4</v>
      </c>
      <c r="BM440" s="199">
        <f t="shared" si="524"/>
        <v>14291.888315521184</v>
      </c>
      <c r="BN440" s="251">
        <f t="shared" si="490"/>
        <v>6.1716818446033261E-4</v>
      </c>
      <c r="BT440" s="199">
        <f>'Detailed Budget'!$AD$12</f>
        <v>194045122715</v>
      </c>
      <c r="BU440" s="199">
        <f>'Detailed Budget'!$AD$24</f>
        <v>194045122715</v>
      </c>
      <c r="BV440" s="596">
        <f t="shared" si="525"/>
        <v>0</v>
      </c>
      <c r="BW440" s="278"/>
      <c r="BX440" s="275">
        <f t="shared" si="526"/>
        <v>0</v>
      </c>
      <c r="BY440" s="275">
        <f t="shared" si="527"/>
        <v>0</v>
      </c>
      <c r="CA440" s="199">
        <f>'Detailed Budget'!$AD$96</f>
        <v>71050111380.677719</v>
      </c>
      <c r="CB440" s="275">
        <f t="shared" si="491"/>
        <v>84436137.148755848</v>
      </c>
      <c r="CE440" s="199">
        <f>'Detailed Budget'!$AD$175</f>
        <v>4330586076.5988197</v>
      </c>
      <c r="CF440" s="275">
        <f t="shared" si="528"/>
        <v>12941529.971342165</v>
      </c>
      <c r="CG440" s="199">
        <f>'Detailed Budget'!$AD$176</f>
        <v>20662817754.37001</v>
      </c>
      <c r="CH440" s="275">
        <f t="shared" si="529"/>
        <v>61748797.154240735</v>
      </c>
      <c r="CI440" s="275">
        <f t="shared" si="463"/>
        <v>74690327.125582904</v>
      </c>
      <c r="CJ440" s="275">
        <f>'Detailed Budget'!$AD$178</f>
        <v>46025131033.061455</v>
      </c>
      <c r="CK440" s="275">
        <f t="shared" si="530"/>
        <v>93171643.064109579</v>
      </c>
      <c r="CL440" s="275">
        <f t="shared" si="498"/>
        <v>167861970.1896925</v>
      </c>
      <c r="CM440" s="278">
        <f>'Detailed Budget'!$AD$189</f>
        <v>77498869683.252869</v>
      </c>
      <c r="CN440" s="275">
        <f t="shared" si="492"/>
        <v>0</v>
      </c>
      <c r="CO440" s="140">
        <f>'Detailed Budget'!$AD$191</f>
        <v>2684962805.4134097</v>
      </c>
      <c r="CP440" s="616">
        <f t="shared" si="493"/>
        <v>0</v>
      </c>
      <c r="CQ440" s="616">
        <f t="shared" si="494"/>
        <v>0</v>
      </c>
      <c r="CR440" s="199">
        <f>'Detailed Budget'!$AD$195</f>
        <v>18734176418</v>
      </c>
      <c r="CS440" s="275">
        <f t="shared" si="531"/>
        <v>11562137.647256637</v>
      </c>
      <c r="CW440" s="278"/>
      <c r="DH440" s="140">
        <f>'Detailed Budget'!$AD$163</f>
        <v>4928560000</v>
      </c>
      <c r="DI440" s="616">
        <f t="shared" si="532"/>
        <v>5600000</v>
      </c>
    </row>
    <row r="441" spans="1:113" outlineLevel="1">
      <c r="A441" s="214" t="s">
        <v>1006</v>
      </c>
      <c r="B441" s="215" t="s">
        <v>1007</v>
      </c>
      <c r="C441" s="216" t="s">
        <v>234</v>
      </c>
      <c r="D441" s="217" t="s">
        <v>234</v>
      </c>
      <c r="E441" s="216"/>
      <c r="F441" s="216"/>
      <c r="G441" s="216"/>
      <c r="H441" s="216" t="s">
        <v>234</v>
      </c>
      <c r="I441" s="217" t="s">
        <v>234</v>
      </c>
      <c r="J441" s="217"/>
      <c r="K441" s="216" t="s">
        <v>234</v>
      </c>
      <c r="L441" s="216"/>
      <c r="M441" s="217"/>
      <c r="N441" s="216"/>
      <c r="O441" s="217"/>
      <c r="P441" s="216"/>
      <c r="Q441" s="217"/>
      <c r="R441" s="217" t="s">
        <v>234</v>
      </c>
      <c r="S441" s="217" t="s">
        <v>234</v>
      </c>
      <c r="T441" s="217"/>
      <c r="U441" s="218">
        <f t="shared" si="520"/>
        <v>7</v>
      </c>
      <c r="V441" s="867" t="s">
        <v>997</v>
      </c>
      <c r="W441" s="219">
        <v>91728</v>
      </c>
      <c r="X441" s="220">
        <v>3.17</v>
      </c>
      <c r="Y441" s="221">
        <f t="shared" si="514"/>
        <v>1.0317000000000001</v>
      </c>
      <c r="Z441" s="199">
        <v>19</v>
      </c>
      <c r="AA441" s="221">
        <f t="shared" si="515"/>
        <v>1.8093191519340412</v>
      </c>
      <c r="AB441" s="199">
        <f t="shared" si="516"/>
        <v>165965.22716860572</v>
      </c>
      <c r="AC441">
        <v>20.2</v>
      </c>
      <c r="AD441" s="199">
        <f t="shared" si="517"/>
        <v>33524.975888058354</v>
      </c>
      <c r="AE441" s="199">
        <f t="shared" si="534"/>
        <v>31848.727093655434</v>
      </c>
      <c r="AF441" s="199">
        <f t="shared" si="497"/>
        <v>31848.727093655434</v>
      </c>
      <c r="AG441" s="614">
        <f t="shared" si="496"/>
        <v>1.4725453222788659E-3</v>
      </c>
      <c r="AH441" s="199">
        <f t="shared" si="533"/>
        <v>8298.2613584302871</v>
      </c>
      <c r="AI441" s="252">
        <f t="shared" si="479"/>
        <v>6.4285373434354461E-4</v>
      </c>
      <c r="AJ441" s="199">
        <f t="shared" si="480"/>
        <v>41823.237246488643</v>
      </c>
      <c r="AK441" s="199">
        <f t="shared" si="509"/>
        <v>6638.609086744229</v>
      </c>
      <c r="AL441" s="199">
        <f t="shared" si="510"/>
        <v>6638.609086744229</v>
      </c>
      <c r="AM441" s="199">
        <f t="shared" si="481"/>
        <v>13277.218173488458</v>
      </c>
      <c r="AN441" s="645">
        <f t="shared" si="482"/>
        <v>6.428537343435445E-4</v>
      </c>
      <c r="AO441" s="199">
        <v>10</v>
      </c>
      <c r="AP441" s="250">
        <f t="shared" si="483"/>
        <v>1.1362345188046814E-3</v>
      </c>
      <c r="AQ441" s="199">
        <v>10</v>
      </c>
      <c r="AU441" s="199">
        <v>0</v>
      </c>
      <c r="AW441" s="250">
        <f t="shared" si="484"/>
        <v>0</v>
      </c>
      <c r="AX441" s="199">
        <v>1</v>
      </c>
      <c r="AY441" s="199">
        <f t="shared" si="521"/>
        <v>10997.276460996703</v>
      </c>
      <c r="AZ441" s="199">
        <f t="shared" si="485"/>
        <v>10997.276460996703</v>
      </c>
      <c r="BA441" s="252">
        <f t="shared" si="486"/>
        <v>8.6445729458762123E-4</v>
      </c>
      <c r="BB441" s="284">
        <v>1</v>
      </c>
      <c r="BC441" s="199">
        <f t="shared" si="522"/>
        <v>24137.982639402013</v>
      </c>
      <c r="BD441" s="270">
        <f t="shared" si="511"/>
        <v>2.1737965593509128E-3</v>
      </c>
      <c r="BE441" s="199">
        <f t="shared" si="523"/>
        <v>103256.92573521973</v>
      </c>
      <c r="BF441" s="251">
        <f t="shared" si="512"/>
        <v>2.1737966076567608E-3</v>
      </c>
      <c r="BG441" s="204">
        <f t="shared" si="513"/>
        <v>127394.90837462174</v>
      </c>
      <c r="BH441" s="636">
        <v>0</v>
      </c>
      <c r="BI441" s="199">
        <f t="shared" si="487"/>
        <v>50785.35951359335</v>
      </c>
      <c r="BJ441" s="199">
        <f t="shared" si="488"/>
        <v>101570.7190271867</v>
      </c>
      <c r="BK441" s="199">
        <f t="shared" si="495"/>
        <v>152356.07854078006</v>
      </c>
      <c r="BL441" s="251">
        <f t="shared" si="489"/>
        <v>6.4285373434354461E-4</v>
      </c>
      <c r="BM441" s="199">
        <f t="shared" si="524"/>
        <v>10396.078820368646</v>
      </c>
      <c r="BN441" s="251">
        <f t="shared" si="490"/>
        <v>4.4893501470379046E-4</v>
      </c>
      <c r="BT441" s="199">
        <f>'Detailed Budget'!$AD$12</f>
        <v>194045122715</v>
      </c>
      <c r="BU441" s="199">
        <f>'Detailed Budget'!$AD$24</f>
        <v>194045122715</v>
      </c>
      <c r="BV441" s="596">
        <f t="shared" si="525"/>
        <v>0</v>
      </c>
      <c r="BW441" s="278"/>
      <c r="BX441" s="275">
        <f t="shared" si="526"/>
        <v>0</v>
      </c>
      <c r="BY441" s="275">
        <f t="shared" si="527"/>
        <v>0</v>
      </c>
      <c r="CA441" s="199">
        <f>'Detailed Budget'!$AD$96</f>
        <v>71050111380.677719</v>
      </c>
      <c r="CB441" s="275">
        <f t="shared" si="491"/>
        <v>61419787.064289816</v>
      </c>
      <c r="CE441" s="199">
        <f>'Detailed Budget'!$AD$175</f>
        <v>4330586076.5988197</v>
      </c>
      <c r="CF441" s="275">
        <f t="shared" si="528"/>
        <v>9413813.1132834833</v>
      </c>
      <c r="CG441" s="199">
        <f>'Detailed Budget'!$AD$176</f>
        <v>20662817754.37001</v>
      </c>
      <c r="CH441" s="275">
        <f t="shared" si="529"/>
        <v>44916763.139079414</v>
      </c>
      <c r="CI441" s="275">
        <f t="shared" si="463"/>
        <v>54330576.252362899</v>
      </c>
      <c r="CJ441" s="275">
        <f>'Detailed Budget'!$AD$178</f>
        <v>46025131033.061455</v>
      </c>
      <c r="CK441" s="275">
        <f t="shared" si="530"/>
        <v>67774091.410006508</v>
      </c>
      <c r="CL441" s="275">
        <f t="shared" si="498"/>
        <v>122104667.6623694</v>
      </c>
      <c r="CM441" s="278">
        <f>'Detailed Budget'!$AD$189</f>
        <v>77498869683.252869</v>
      </c>
      <c r="CN441" s="275">
        <f t="shared" si="492"/>
        <v>0</v>
      </c>
      <c r="CO441" s="140">
        <f>'Detailed Budget'!$AD$191</f>
        <v>2684962805.4134097</v>
      </c>
      <c r="CP441" s="616">
        <f t="shared" si="493"/>
        <v>0</v>
      </c>
      <c r="CQ441" s="616">
        <f t="shared" si="494"/>
        <v>0</v>
      </c>
      <c r="CR441" s="199">
        <f>'Detailed Budget'!$AD$195</f>
        <v>18734176418</v>
      </c>
      <c r="CS441" s="275">
        <f t="shared" si="531"/>
        <v>8410427.7656782344</v>
      </c>
      <c r="CW441" s="278"/>
      <c r="DH441" s="140">
        <f>'Detailed Budget'!$AD$163</f>
        <v>4928560000</v>
      </c>
      <c r="DI441" s="616">
        <f t="shared" si="532"/>
        <v>5600000</v>
      </c>
    </row>
    <row r="442" spans="1:113" outlineLevel="1">
      <c r="A442" s="214" t="s">
        <v>1008</v>
      </c>
      <c r="B442" s="215" t="s">
        <v>1009</v>
      </c>
      <c r="C442" s="216" t="s">
        <v>234</v>
      </c>
      <c r="D442" s="217" t="s">
        <v>234</v>
      </c>
      <c r="E442" s="216"/>
      <c r="F442" s="216"/>
      <c r="G442" s="216"/>
      <c r="H442" s="216" t="s">
        <v>234</v>
      </c>
      <c r="I442" s="217"/>
      <c r="J442" s="217" t="s">
        <v>234</v>
      </c>
      <c r="K442" s="216"/>
      <c r="L442" s="216" t="s">
        <v>234</v>
      </c>
      <c r="M442" s="217"/>
      <c r="N442" s="216"/>
      <c r="O442" s="217"/>
      <c r="P442" s="216"/>
      <c r="Q442" s="217"/>
      <c r="R442" s="217" t="s">
        <v>234</v>
      </c>
      <c r="S442" s="217"/>
      <c r="T442" s="217"/>
      <c r="U442" s="218">
        <f t="shared" si="520"/>
        <v>6</v>
      </c>
      <c r="V442" s="867" t="s">
        <v>980</v>
      </c>
      <c r="W442" s="219">
        <v>127142</v>
      </c>
      <c r="X442" s="220">
        <v>3.17</v>
      </c>
      <c r="Y442" s="221">
        <f t="shared" si="514"/>
        <v>1.0317000000000001</v>
      </c>
      <c r="Z442" s="199">
        <v>19</v>
      </c>
      <c r="AA442" s="221">
        <f t="shared" si="515"/>
        <v>1.8093191519340412</v>
      </c>
      <c r="AB442" s="199">
        <f t="shared" si="516"/>
        <v>230040.45561519786</v>
      </c>
      <c r="AC442">
        <v>20.2</v>
      </c>
      <c r="AD442" s="199">
        <f t="shared" si="517"/>
        <v>46468.172034269963</v>
      </c>
      <c r="AE442" s="199">
        <f t="shared" si="534"/>
        <v>44144.763432556465</v>
      </c>
      <c r="AF442" s="199">
        <f t="shared" si="497"/>
        <v>44144.763432556465</v>
      </c>
      <c r="AG442" s="614">
        <f t="shared" si="496"/>
        <v>2.0410600619786717E-3</v>
      </c>
      <c r="AH442" s="199">
        <f t="shared" si="533"/>
        <v>11502.022780759893</v>
      </c>
      <c r="AI442" s="252">
        <f t="shared" si="479"/>
        <v>8.9104427755872732E-4</v>
      </c>
      <c r="AJ442" s="199">
        <f t="shared" si="480"/>
        <v>57970.194815029856</v>
      </c>
      <c r="AK442" s="199">
        <f t="shared" si="509"/>
        <v>9201.6182246079152</v>
      </c>
      <c r="AL442" s="199">
        <f t="shared" si="510"/>
        <v>9201.6182246079152</v>
      </c>
      <c r="AM442" s="199">
        <f t="shared" si="481"/>
        <v>18403.23644921583</v>
      </c>
      <c r="AN442" s="645">
        <f t="shared" si="482"/>
        <v>8.9104427755872743E-4</v>
      </c>
      <c r="AO442" s="199">
        <v>10</v>
      </c>
      <c r="AP442" s="250">
        <f t="shared" si="483"/>
        <v>1.1362345188046814E-3</v>
      </c>
      <c r="AQ442" s="199">
        <v>10</v>
      </c>
      <c r="AU442" s="199">
        <v>0</v>
      </c>
      <c r="AW442" s="250">
        <f t="shared" si="484"/>
        <v>0</v>
      </c>
      <c r="AX442" s="199">
        <v>1</v>
      </c>
      <c r="AY442" s="199">
        <f t="shared" si="521"/>
        <v>15243.063446320022</v>
      </c>
      <c r="AZ442" s="199">
        <f t="shared" si="485"/>
        <v>15243.063446320022</v>
      </c>
      <c r="BA442" s="252">
        <f t="shared" si="486"/>
        <v>1.1982037038686044E-3</v>
      </c>
      <c r="BB442" s="284">
        <v>1</v>
      </c>
      <c r="BC442" s="199">
        <f t="shared" si="522"/>
        <v>33457.083864674372</v>
      </c>
      <c r="BD442" s="270">
        <f t="shared" si="511"/>
        <v>3.0130477296898849E-3</v>
      </c>
      <c r="BE442" s="199">
        <f t="shared" si="523"/>
        <v>143121.96986555148</v>
      </c>
      <c r="BF442" s="251">
        <f t="shared" si="512"/>
        <v>3.0130477966454723E-3</v>
      </c>
      <c r="BG442" s="204">
        <f t="shared" si="513"/>
        <v>176579.05373022586</v>
      </c>
      <c r="BH442" s="636">
        <v>0</v>
      </c>
      <c r="BI442" s="199">
        <f t="shared" si="487"/>
        <v>70392.379418250552</v>
      </c>
      <c r="BJ442" s="199">
        <f t="shared" si="488"/>
        <v>140784.7588365011</v>
      </c>
      <c r="BK442" s="199">
        <f t="shared" si="495"/>
        <v>211177.13825475166</v>
      </c>
      <c r="BL442" s="251">
        <f t="shared" si="489"/>
        <v>8.9104427755872743E-4</v>
      </c>
      <c r="BM442" s="199">
        <f t="shared" si="524"/>
        <v>14409.75768990178</v>
      </c>
      <c r="BN442" s="251">
        <f t="shared" si="490"/>
        <v>6.2225815061343686E-4</v>
      </c>
      <c r="BT442" s="199">
        <f>'Detailed Budget'!$AD$12</f>
        <v>194045122715</v>
      </c>
      <c r="BU442" s="199">
        <f>'Detailed Budget'!$AD$24</f>
        <v>194045122715</v>
      </c>
      <c r="BV442" s="596">
        <f t="shared" si="525"/>
        <v>0</v>
      </c>
      <c r="BW442" s="278"/>
      <c r="BX442" s="275">
        <f t="shared" si="526"/>
        <v>0</v>
      </c>
      <c r="BY442" s="275">
        <f t="shared" si="527"/>
        <v>0</v>
      </c>
      <c r="CA442" s="199">
        <f>'Detailed Budget'!$AD$96</f>
        <v>71050111380.677719</v>
      </c>
      <c r="CB442" s="275">
        <f t="shared" si="491"/>
        <v>85132506.616604924</v>
      </c>
      <c r="CE442" s="199">
        <f>'Detailed Budget'!$AD$175</f>
        <v>4330586076.5988197</v>
      </c>
      <c r="CF442" s="275">
        <f t="shared" si="528"/>
        <v>13048262.5463227</v>
      </c>
      <c r="CG442" s="199">
        <f>'Detailed Budget'!$AD$176</f>
        <v>20662817754.37001</v>
      </c>
      <c r="CH442" s="275">
        <f t="shared" si="529"/>
        <v>62258057.507291503</v>
      </c>
      <c r="CI442" s="275">
        <f t="shared" si="463"/>
        <v>75306320.053614199</v>
      </c>
      <c r="CJ442" s="275">
        <f>'Detailed Budget'!$AD$178</f>
        <v>46025131033.061455</v>
      </c>
      <c r="CK442" s="275">
        <f t="shared" si="530"/>
        <v>93940056.798916891</v>
      </c>
      <c r="CL442" s="275">
        <f t="shared" si="498"/>
        <v>169246376.85253108</v>
      </c>
      <c r="CM442" s="278">
        <f>'Detailed Budget'!$AD$189</f>
        <v>77498869683.252869</v>
      </c>
      <c r="CN442" s="275">
        <f t="shared" si="492"/>
        <v>0</v>
      </c>
      <c r="CO442" s="140">
        <f>'Detailed Budget'!$AD$191</f>
        <v>2684962805.4134097</v>
      </c>
      <c r="CP442" s="616">
        <f t="shared" si="493"/>
        <v>0</v>
      </c>
      <c r="CQ442" s="616">
        <f t="shared" si="494"/>
        <v>0</v>
      </c>
      <c r="CR442" s="199">
        <f>'Detailed Budget'!$AD$195</f>
        <v>18734176418</v>
      </c>
      <c r="CS442" s="275">
        <f t="shared" si="531"/>
        <v>11657493.971130541</v>
      </c>
      <c r="CW442" s="278"/>
      <c r="DH442" s="140">
        <f>'Detailed Budget'!$AD$163</f>
        <v>4928560000</v>
      </c>
      <c r="DI442" s="616">
        <f t="shared" si="532"/>
        <v>5600000</v>
      </c>
    </row>
    <row r="443" spans="1:113" outlineLevel="1">
      <c r="A443" s="214" t="s">
        <v>1010</v>
      </c>
      <c r="B443" s="215" t="s">
        <v>1011</v>
      </c>
      <c r="C443" s="216" t="s">
        <v>234</v>
      </c>
      <c r="D443" s="217" t="s">
        <v>234</v>
      </c>
      <c r="E443" s="216"/>
      <c r="F443" s="216"/>
      <c r="G443" s="216"/>
      <c r="H443" s="216" t="s">
        <v>234</v>
      </c>
      <c r="I443" s="217"/>
      <c r="J443" s="217" t="s">
        <v>234</v>
      </c>
      <c r="K443" s="216"/>
      <c r="L443" s="216" t="s">
        <v>234</v>
      </c>
      <c r="M443" s="217"/>
      <c r="N443" s="216"/>
      <c r="O443" s="217"/>
      <c r="P443" s="216"/>
      <c r="Q443" s="217"/>
      <c r="R443" s="217" t="s">
        <v>234</v>
      </c>
      <c r="S443" s="217"/>
      <c r="T443" s="217"/>
      <c r="U443" s="218">
        <f t="shared" si="520"/>
        <v>6</v>
      </c>
      <c r="V443" s="867" t="s">
        <v>980</v>
      </c>
      <c r="W443" s="219">
        <v>148474</v>
      </c>
      <c r="X443" s="220">
        <v>3.17</v>
      </c>
      <c r="Y443" s="221">
        <f t="shared" si="514"/>
        <v>1.0317000000000001</v>
      </c>
      <c r="Z443" s="199">
        <v>19</v>
      </c>
      <c r="AA443" s="221">
        <f t="shared" si="515"/>
        <v>1.8093191519340412</v>
      </c>
      <c r="AB443" s="199">
        <f t="shared" si="516"/>
        <v>268636.85176425485</v>
      </c>
      <c r="AC443">
        <v>20.2</v>
      </c>
      <c r="AD443" s="199">
        <f t="shared" si="517"/>
        <v>54264.644056379475</v>
      </c>
      <c r="AE443" s="199">
        <f t="shared" si="534"/>
        <v>51551.411853560501</v>
      </c>
      <c r="AF443" s="199">
        <f t="shared" si="497"/>
        <v>51551.411853560501</v>
      </c>
      <c r="AG443" s="614">
        <f t="shared" si="496"/>
        <v>2.383510969170072E-3</v>
      </c>
      <c r="AH443" s="199">
        <f t="shared" si="533"/>
        <v>13431.842588212743</v>
      </c>
      <c r="AI443" s="252">
        <f t="shared" si="479"/>
        <v>1.0405444940794898E-3</v>
      </c>
      <c r="AJ443" s="199">
        <f t="shared" si="480"/>
        <v>67696.486644592223</v>
      </c>
      <c r="AK443" s="199">
        <f t="shared" si="509"/>
        <v>10745.474070570195</v>
      </c>
      <c r="AL443" s="199">
        <f t="shared" si="510"/>
        <v>10745.474070570195</v>
      </c>
      <c r="AM443" s="199">
        <f t="shared" si="481"/>
        <v>21490.94814114039</v>
      </c>
      <c r="AN443" s="645">
        <f t="shared" si="482"/>
        <v>1.04054449407949E-3</v>
      </c>
      <c r="AO443" s="199">
        <v>11</v>
      </c>
      <c r="AP443" s="250">
        <f t="shared" si="483"/>
        <v>1.2498579706851495E-3</v>
      </c>
      <c r="AQ443" s="199">
        <v>11</v>
      </c>
      <c r="AU443" s="199">
        <v>0</v>
      </c>
      <c r="AW443" s="250">
        <f t="shared" si="484"/>
        <v>0</v>
      </c>
      <c r="AX443" s="199">
        <v>1</v>
      </c>
      <c r="AY443" s="199">
        <f t="shared" si="521"/>
        <v>17800.558447475414</v>
      </c>
      <c r="AZ443" s="199">
        <f t="shared" si="485"/>
        <v>17800.558447475414</v>
      </c>
      <c r="BA443" s="252">
        <f t="shared" si="486"/>
        <v>1.399239407341297E-3</v>
      </c>
      <c r="BB443" s="284">
        <v>1</v>
      </c>
      <c r="BC443" s="199">
        <f t="shared" si="522"/>
        <v>39070.543720593218</v>
      </c>
      <c r="BD443" s="270">
        <f t="shared" si="511"/>
        <v>3.5185796087679601E-3</v>
      </c>
      <c r="BE443" s="199">
        <f t="shared" si="523"/>
        <v>167135.10369364879</v>
      </c>
      <c r="BF443" s="251">
        <f t="shared" si="512"/>
        <v>3.5185796869574171E-3</v>
      </c>
      <c r="BG443" s="204">
        <f t="shared" si="513"/>
        <v>206205.647414242</v>
      </c>
      <c r="BH443" s="636">
        <v>0</v>
      </c>
      <c r="BI443" s="199">
        <f t="shared" si="487"/>
        <v>82202.876639861992</v>
      </c>
      <c r="BJ443" s="199">
        <f t="shared" si="488"/>
        <v>164405.75327972398</v>
      </c>
      <c r="BK443" s="199">
        <f t="shared" si="495"/>
        <v>246608.62991958598</v>
      </c>
      <c r="BL443" s="251">
        <f t="shared" si="489"/>
        <v>1.04054449407949E-3</v>
      </c>
      <c r="BM443" s="199">
        <f t="shared" si="524"/>
        <v>16827.439895946871</v>
      </c>
      <c r="BN443" s="251">
        <f t="shared" si="490"/>
        <v>7.2666118713076268E-4</v>
      </c>
      <c r="BT443" s="199">
        <f>'Detailed Budget'!$AD$12</f>
        <v>194045122715</v>
      </c>
      <c r="BU443" s="199">
        <f>'Detailed Budget'!$AD$24</f>
        <v>194045122715</v>
      </c>
      <c r="BV443" s="596">
        <f t="shared" si="525"/>
        <v>0</v>
      </c>
      <c r="BW443" s="278"/>
      <c r="BX443" s="275">
        <f t="shared" si="526"/>
        <v>0</v>
      </c>
      <c r="BY443" s="275">
        <f t="shared" si="527"/>
        <v>0</v>
      </c>
      <c r="CA443" s="199">
        <f>'Detailed Budget'!$AD$96</f>
        <v>71050111380.677719</v>
      </c>
      <c r="CB443" s="275">
        <f t="shared" si="491"/>
        <v>99416115.73983264</v>
      </c>
      <c r="CE443" s="199">
        <f>'Detailed Budget'!$AD$175</f>
        <v>4330586076.5988197</v>
      </c>
      <c r="CF443" s="275">
        <f t="shared" si="528"/>
        <v>15237511.863135051</v>
      </c>
      <c r="CG443" s="199">
        <f>'Detailed Budget'!$AD$176</f>
        <v>20662817754.37001</v>
      </c>
      <c r="CH443" s="275">
        <f t="shared" si="529"/>
        <v>72703770.825829387</v>
      </c>
      <c r="CI443" s="275">
        <f t="shared" si="463"/>
        <v>87941282.688964441</v>
      </c>
      <c r="CJ443" s="275">
        <f>'Detailed Budget'!$AD$178</f>
        <v>46025131033.061455</v>
      </c>
      <c r="CK443" s="275">
        <f t="shared" si="530"/>
        <v>109701404.67479187</v>
      </c>
      <c r="CL443" s="275">
        <f t="shared" si="498"/>
        <v>197642687.3637563</v>
      </c>
      <c r="CM443" s="278">
        <f>'Detailed Budget'!$AD$189</f>
        <v>77498869683.252869</v>
      </c>
      <c r="CN443" s="275">
        <f t="shared" si="492"/>
        <v>0</v>
      </c>
      <c r="CO443" s="140">
        <f>'Detailed Budget'!$AD$191</f>
        <v>2684962805.4134097</v>
      </c>
      <c r="CP443" s="616">
        <f t="shared" si="493"/>
        <v>0</v>
      </c>
      <c r="CQ443" s="616">
        <f t="shared" si="494"/>
        <v>0</v>
      </c>
      <c r="CR443" s="199">
        <f>'Detailed Budget'!$AD$195</f>
        <v>18734176418</v>
      </c>
      <c r="CS443" s="275">
        <f t="shared" si="531"/>
        <v>13613398.875821019</v>
      </c>
      <c r="CW443" s="278"/>
      <c r="DH443" s="140">
        <f>'Detailed Budget'!$AD$163</f>
        <v>4928560000</v>
      </c>
      <c r="DI443" s="616">
        <f t="shared" si="532"/>
        <v>6160000</v>
      </c>
    </row>
    <row r="444" spans="1:113" outlineLevel="1">
      <c r="A444" s="214" t="s">
        <v>1012</v>
      </c>
      <c r="B444" s="215" t="s">
        <v>1013</v>
      </c>
      <c r="C444" s="216" t="s">
        <v>234</v>
      </c>
      <c r="D444" s="217" t="s">
        <v>234</v>
      </c>
      <c r="E444" s="216"/>
      <c r="F444" s="216"/>
      <c r="G444" s="216"/>
      <c r="H444" s="216" t="s">
        <v>234</v>
      </c>
      <c r="I444" s="217" t="s">
        <v>234</v>
      </c>
      <c r="J444" s="217"/>
      <c r="K444" s="216" t="s">
        <v>234</v>
      </c>
      <c r="L444" s="216"/>
      <c r="M444" s="217"/>
      <c r="N444" s="216"/>
      <c r="O444" s="217"/>
      <c r="P444" s="216"/>
      <c r="Q444" s="217"/>
      <c r="R444" s="217" t="s">
        <v>234</v>
      </c>
      <c r="S444" s="217"/>
      <c r="T444" s="217"/>
      <c r="U444" s="218">
        <f t="shared" si="520"/>
        <v>6</v>
      </c>
      <c r="V444" s="867" t="s">
        <v>980</v>
      </c>
      <c r="W444" s="219">
        <v>265271</v>
      </c>
      <c r="X444" s="220">
        <v>3.17</v>
      </c>
      <c r="Y444" s="221">
        <f t="shared" si="514"/>
        <v>1.0317000000000001</v>
      </c>
      <c r="Z444" s="199">
        <v>19</v>
      </c>
      <c r="AA444" s="221">
        <f t="shared" si="515"/>
        <v>1.8093191519340412</v>
      </c>
      <c r="AB444" s="199">
        <f t="shared" si="516"/>
        <v>479959.90075269504</v>
      </c>
      <c r="AC444">
        <v>20.2</v>
      </c>
      <c r="AD444" s="199">
        <f t="shared" si="517"/>
        <v>96951.89995204439</v>
      </c>
      <c r="AE444" s="199">
        <f t="shared" si="534"/>
        <v>92104.304954442166</v>
      </c>
      <c r="AF444" s="199">
        <f t="shared" si="497"/>
        <v>92104.304954442166</v>
      </c>
      <c r="AG444" s="614">
        <f t="shared" si="496"/>
        <v>4.2584987156183184E-3</v>
      </c>
      <c r="AH444" s="199">
        <f t="shared" si="533"/>
        <v>23997.995037634755</v>
      </c>
      <c r="AI444" s="252">
        <f t="shared" si="479"/>
        <v>1.8590883150515266E-3</v>
      </c>
      <c r="AJ444" s="199">
        <f t="shared" si="480"/>
        <v>120949.89498967915</v>
      </c>
      <c r="AK444" s="199">
        <f t="shared" si="509"/>
        <v>19198.3960301078</v>
      </c>
      <c r="AL444" s="199">
        <f t="shared" si="510"/>
        <v>19198.3960301078</v>
      </c>
      <c r="AM444" s="199">
        <f t="shared" si="481"/>
        <v>38396.792060215601</v>
      </c>
      <c r="AN444" s="645">
        <f t="shared" si="482"/>
        <v>1.8590883150515264E-3</v>
      </c>
      <c r="AO444" s="199">
        <v>11</v>
      </c>
      <c r="AP444" s="250">
        <f t="shared" si="483"/>
        <v>1.2498579706851495E-3</v>
      </c>
      <c r="AQ444" s="199">
        <v>11</v>
      </c>
      <c r="AU444" s="199">
        <v>0</v>
      </c>
      <c r="AW444" s="250">
        <f t="shared" si="484"/>
        <v>0</v>
      </c>
      <c r="AX444" s="199">
        <v>1</v>
      </c>
      <c r="AY444" s="199">
        <f t="shared" si="521"/>
        <v>31803.359106107804</v>
      </c>
      <c r="AZ444" s="199">
        <f t="shared" si="485"/>
        <v>31803.359106107804</v>
      </c>
      <c r="BA444" s="252">
        <f t="shared" si="486"/>
        <v>2.4999504076460063E-3</v>
      </c>
      <c r="BB444" s="284">
        <v>1</v>
      </c>
      <c r="BC444" s="199">
        <f t="shared" si="522"/>
        <v>69805.36796547196</v>
      </c>
      <c r="BD444" s="270">
        <f t="shared" si="511"/>
        <v>6.286468549358713E-3</v>
      </c>
      <c r="BE444" s="199">
        <f t="shared" si="523"/>
        <v>298611.85185229674</v>
      </c>
      <c r="BF444" s="251">
        <f t="shared" si="512"/>
        <v>6.2864686890558678E-3</v>
      </c>
      <c r="BG444" s="204">
        <f t="shared" si="513"/>
        <v>368417.21981776867</v>
      </c>
      <c r="BH444" s="636">
        <v>0</v>
      </c>
      <c r="BI444" s="199">
        <f t="shared" si="487"/>
        <v>146867.72963032467</v>
      </c>
      <c r="BJ444" s="199">
        <f t="shared" si="488"/>
        <v>293735.45926064934</v>
      </c>
      <c r="BK444" s="199">
        <f t="shared" si="495"/>
        <v>440603.18889097404</v>
      </c>
      <c r="BL444" s="251">
        <f t="shared" si="489"/>
        <v>1.8590883150515264E-3</v>
      </c>
      <c r="BM444" s="199">
        <f t="shared" si="524"/>
        <v>30064.737318572425</v>
      </c>
      <c r="BN444" s="251">
        <f t="shared" si="490"/>
        <v>1.298288857115485E-3</v>
      </c>
      <c r="BT444" s="199">
        <f>'Detailed Budget'!$AD$12</f>
        <v>194045122715</v>
      </c>
      <c r="BU444" s="199">
        <f>'Detailed Budget'!$AD$24</f>
        <v>194045122715</v>
      </c>
      <c r="BV444" s="596">
        <f t="shared" si="525"/>
        <v>0</v>
      </c>
      <c r="BW444" s="278"/>
      <c r="BX444" s="275">
        <f t="shared" si="526"/>
        <v>0</v>
      </c>
      <c r="BY444" s="275">
        <f t="shared" si="527"/>
        <v>0</v>
      </c>
      <c r="CA444" s="199">
        <f>'Detailed Budget'!$AD$96</f>
        <v>71050111380.677719</v>
      </c>
      <c r="CB444" s="275">
        <f t="shared" si="491"/>
        <v>177621754.90941942</v>
      </c>
      <c r="CE444" s="199">
        <f>'Detailed Budget'!$AD$175</f>
        <v>4330586076.5988197</v>
      </c>
      <c r="CF444" s="275">
        <f t="shared" si="528"/>
        <v>27224093.170829222</v>
      </c>
      <c r="CG444" s="199">
        <f>'Detailed Budget'!$AD$176</f>
        <v>20662817754.37001</v>
      </c>
      <c r="CH444" s="275">
        <f t="shared" si="529"/>
        <v>129896156.84051475</v>
      </c>
      <c r="CI444" s="275">
        <f t="shared" si="463"/>
        <v>157120250.01134396</v>
      </c>
      <c r="CJ444" s="275">
        <f>'Detailed Budget'!$AD$178</f>
        <v>46025131033.061455</v>
      </c>
      <c r="CK444" s="275">
        <f t="shared" si="530"/>
        <v>195997961.390457</v>
      </c>
      <c r="CL444" s="275">
        <f t="shared" si="498"/>
        <v>353118211.40180099</v>
      </c>
      <c r="CM444" s="278">
        <f>'Detailed Budget'!$AD$189</f>
        <v>77498869683.252869</v>
      </c>
      <c r="CN444" s="275">
        <f t="shared" si="492"/>
        <v>0</v>
      </c>
      <c r="CO444" s="140">
        <f>'Detailed Budget'!$AD$191</f>
        <v>2684962805.4134097</v>
      </c>
      <c r="CP444" s="616">
        <f t="shared" si="493"/>
        <v>0</v>
      </c>
      <c r="CQ444" s="616">
        <f t="shared" si="494"/>
        <v>0</v>
      </c>
      <c r="CR444" s="199">
        <f>'Detailed Budget'!$AD$195</f>
        <v>18734176418</v>
      </c>
      <c r="CS444" s="275">
        <f t="shared" si="531"/>
        <v>24322372.490725093</v>
      </c>
      <c r="CW444" s="278"/>
      <c r="DH444" s="140">
        <f>'Detailed Budget'!$AD$163</f>
        <v>4928560000</v>
      </c>
      <c r="DI444" s="616">
        <f t="shared" si="532"/>
        <v>6160000</v>
      </c>
    </row>
    <row r="445" spans="1:113" outlineLevel="1">
      <c r="A445" s="214" t="s">
        <v>1014</v>
      </c>
      <c r="B445" s="215" t="s">
        <v>1015</v>
      </c>
      <c r="C445" s="216" t="s">
        <v>234</v>
      </c>
      <c r="D445" s="217" t="s">
        <v>234</v>
      </c>
      <c r="E445" s="216"/>
      <c r="F445" s="216"/>
      <c r="G445" s="216"/>
      <c r="H445" s="216" t="s">
        <v>234</v>
      </c>
      <c r="I445" s="217"/>
      <c r="J445" s="217" t="s">
        <v>234</v>
      </c>
      <c r="K445" s="216"/>
      <c r="L445" s="216" t="s">
        <v>234</v>
      </c>
      <c r="M445" s="217"/>
      <c r="N445" s="216"/>
      <c r="O445" s="217"/>
      <c r="P445" s="216"/>
      <c r="Q445" s="217"/>
      <c r="R445" s="217" t="s">
        <v>234</v>
      </c>
      <c r="S445" s="217"/>
      <c r="T445" s="217"/>
      <c r="U445" s="218">
        <f t="shared" si="520"/>
        <v>6</v>
      </c>
      <c r="V445" s="867" t="s">
        <v>980</v>
      </c>
      <c r="W445" s="219">
        <v>100564</v>
      </c>
      <c r="X445" s="220">
        <v>3.17</v>
      </c>
      <c r="Y445" s="221">
        <f t="shared" si="514"/>
        <v>1.0317000000000001</v>
      </c>
      <c r="Z445" s="199">
        <v>19</v>
      </c>
      <c r="AA445" s="221">
        <f t="shared" si="515"/>
        <v>1.8093191519340412</v>
      </c>
      <c r="AB445" s="199">
        <f t="shared" si="516"/>
        <v>181952.37119509492</v>
      </c>
      <c r="AC445">
        <v>20.2</v>
      </c>
      <c r="AD445" s="199">
        <f t="shared" si="517"/>
        <v>36754.378981409172</v>
      </c>
      <c r="AE445" s="199">
        <f t="shared" si="534"/>
        <v>34916.66003233871</v>
      </c>
      <c r="AF445" s="199">
        <f t="shared" si="497"/>
        <v>34916.66003233871</v>
      </c>
      <c r="AG445" s="614">
        <f t="shared" si="496"/>
        <v>1.6143930728856172E-3</v>
      </c>
      <c r="AH445" s="199">
        <f t="shared" si="533"/>
        <v>9097.6185597547465</v>
      </c>
      <c r="AI445" s="252">
        <f t="shared" si="479"/>
        <v>7.0477872558569047E-4</v>
      </c>
      <c r="AJ445" s="199">
        <f t="shared" si="480"/>
        <v>45851.997541163917</v>
      </c>
      <c r="AK445" s="199">
        <f t="shared" si="509"/>
        <v>7278.0948478037972</v>
      </c>
      <c r="AL445" s="199">
        <f t="shared" si="510"/>
        <v>7278.0948478037972</v>
      </c>
      <c r="AM445" s="199">
        <f t="shared" si="481"/>
        <v>14556.189695607594</v>
      </c>
      <c r="AN445" s="645">
        <f t="shared" si="482"/>
        <v>7.0477872558569047E-4</v>
      </c>
      <c r="AO445" s="199">
        <v>10</v>
      </c>
      <c r="AP445" s="250">
        <f t="shared" si="483"/>
        <v>1.1362345188046814E-3</v>
      </c>
      <c r="AQ445" s="199">
        <v>10</v>
      </c>
      <c r="AU445" s="199">
        <v>0</v>
      </c>
      <c r="AW445" s="250">
        <f t="shared" si="484"/>
        <v>0</v>
      </c>
      <c r="AX445" s="199">
        <v>1</v>
      </c>
      <c r="AY445" s="199">
        <f t="shared" si="521"/>
        <v>12056.625131079632</v>
      </c>
      <c r="AZ445" s="199">
        <f t="shared" si="485"/>
        <v>12056.625131079632</v>
      </c>
      <c r="BA445" s="252">
        <f t="shared" si="486"/>
        <v>9.4772897449971151E-4</v>
      </c>
      <c r="BB445" s="284">
        <v>1</v>
      </c>
      <c r="BC445" s="199">
        <f t="shared" si="522"/>
        <v>26463.152866614604</v>
      </c>
      <c r="BD445" s="270">
        <f t="shared" si="511"/>
        <v>2.3831946318960975E-3</v>
      </c>
      <c r="BE445" s="199">
        <f t="shared" si="523"/>
        <v>113203.48726274025</v>
      </c>
      <c r="BF445" s="251">
        <f t="shared" si="512"/>
        <v>2.3831946848551643E-3</v>
      </c>
      <c r="BG445" s="204">
        <f t="shared" si="513"/>
        <v>139666.64012935484</v>
      </c>
      <c r="BH445" s="636">
        <v>0</v>
      </c>
      <c r="BI445" s="199">
        <f t="shared" si="487"/>
        <v>55677.425585699049</v>
      </c>
      <c r="BJ445" s="199">
        <f t="shared" si="488"/>
        <v>111354.8511713981</v>
      </c>
      <c r="BK445" s="199">
        <f t="shared" si="495"/>
        <v>167032.27675709716</v>
      </c>
      <c r="BL445" s="251">
        <f t="shared" si="489"/>
        <v>7.0477872558569058E-4</v>
      </c>
      <c r="BM445" s="199">
        <f t="shared" si="524"/>
        <v>11397.515158856104</v>
      </c>
      <c r="BN445" s="251">
        <f t="shared" si="490"/>
        <v>4.9218015021227973E-4</v>
      </c>
      <c r="BT445" s="199">
        <f>'Detailed Budget'!$AD$12</f>
        <v>194045122715</v>
      </c>
      <c r="BU445" s="199">
        <f>'Detailed Budget'!$AD$24</f>
        <v>194045122715</v>
      </c>
      <c r="BV445" s="596">
        <f t="shared" si="525"/>
        <v>0</v>
      </c>
      <c r="BW445" s="278"/>
      <c r="BX445" s="275">
        <f t="shared" si="526"/>
        <v>0</v>
      </c>
      <c r="BY445" s="275">
        <f t="shared" si="527"/>
        <v>0</v>
      </c>
      <c r="CA445" s="199">
        <f>'Detailed Budget'!$AD$96</f>
        <v>71050111380.677719</v>
      </c>
      <c r="CB445" s="275">
        <f t="shared" si="491"/>
        <v>67336249.19689998</v>
      </c>
      <c r="CE445" s="199">
        <f>'Detailed Budget'!$AD$175</f>
        <v>4330586076.5988197</v>
      </c>
      <c r="CF445" s="275">
        <f t="shared" si="528"/>
        <v>10320629.490714289</v>
      </c>
      <c r="CG445" s="199">
        <f>'Detailed Budget'!$AD$176</f>
        <v>20662817754.37001</v>
      </c>
      <c r="CH445" s="275">
        <f t="shared" si="529"/>
        <v>49243517.44634553</v>
      </c>
      <c r="CI445" s="275">
        <f t="shared" si="463"/>
        <v>59564146.93705982</v>
      </c>
      <c r="CJ445" s="275">
        <f>'Detailed Budget'!$AD$178</f>
        <v>46025131033.061455</v>
      </c>
      <c r="CK445" s="275">
        <f t="shared" si="530"/>
        <v>74302652.718427271</v>
      </c>
      <c r="CL445" s="275">
        <f t="shared" si="498"/>
        <v>133866799.65548709</v>
      </c>
      <c r="CM445" s="278">
        <f>'Detailed Budget'!$AD$189</f>
        <v>77498869683.252869</v>
      </c>
      <c r="CN445" s="275">
        <f t="shared" si="492"/>
        <v>0</v>
      </c>
      <c r="CO445" s="140">
        <f>'Detailed Budget'!$AD$191</f>
        <v>2684962805.4134097</v>
      </c>
      <c r="CP445" s="616">
        <f t="shared" si="493"/>
        <v>0</v>
      </c>
      <c r="CQ445" s="616">
        <f t="shared" si="494"/>
        <v>0</v>
      </c>
      <c r="CR445" s="199">
        <f>'Detailed Budget'!$AD$195</f>
        <v>18734176418</v>
      </c>
      <c r="CS445" s="275">
        <f t="shared" si="531"/>
        <v>9220589.7635145895</v>
      </c>
      <c r="CW445" s="278"/>
      <c r="DH445" s="140">
        <f>'Detailed Budget'!$AD$163</f>
        <v>4928560000</v>
      </c>
      <c r="DI445" s="616">
        <f t="shared" si="532"/>
        <v>5600000</v>
      </c>
    </row>
    <row r="446" spans="1:113" outlineLevel="1">
      <c r="A446" s="214" t="s">
        <v>1016</v>
      </c>
      <c r="B446" s="215" t="s">
        <v>1017</v>
      </c>
      <c r="C446" s="216" t="s">
        <v>234</v>
      </c>
      <c r="D446" s="217" t="s">
        <v>234</v>
      </c>
      <c r="E446" s="216"/>
      <c r="F446" s="216"/>
      <c r="G446" s="216"/>
      <c r="H446" s="216" t="s">
        <v>234</v>
      </c>
      <c r="I446" s="217"/>
      <c r="J446" s="217" t="s">
        <v>234</v>
      </c>
      <c r="K446" s="216"/>
      <c r="L446" s="216" t="s">
        <v>234</v>
      </c>
      <c r="M446" s="217"/>
      <c r="N446" s="216"/>
      <c r="O446" s="217"/>
      <c r="P446" s="216"/>
      <c r="Q446" s="217"/>
      <c r="R446" s="217" t="s">
        <v>234</v>
      </c>
      <c r="S446" s="217"/>
      <c r="T446" s="217"/>
      <c r="U446" s="218">
        <f t="shared" si="520"/>
        <v>6</v>
      </c>
      <c r="V446" s="867" t="s">
        <v>980</v>
      </c>
      <c r="W446" s="219">
        <v>165335</v>
      </c>
      <c r="X446" s="220">
        <v>3.17</v>
      </c>
      <c r="Y446" s="221">
        <f t="shared" si="514"/>
        <v>1.0317000000000001</v>
      </c>
      <c r="Z446" s="199">
        <v>19</v>
      </c>
      <c r="AA446" s="221">
        <f t="shared" si="515"/>
        <v>1.8093191519340412</v>
      </c>
      <c r="AB446" s="199">
        <f t="shared" si="516"/>
        <v>299143.78198501474</v>
      </c>
      <c r="AC446">
        <v>20.2</v>
      </c>
      <c r="AD446" s="199">
        <f t="shared" si="517"/>
        <v>60427.04396097298</v>
      </c>
      <c r="AE446" s="199">
        <f t="shared" si="534"/>
        <v>57405.691762924325</v>
      </c>
      <c r="AF446" s="199">
        <f t="shared" si="497"/>
        <v>57405.691762924325</v>
      </c>
      <c r="AG446" s="614">
        <f t="shared" si="496"/>
        <v>2.6541871714086908E-3</v>
      </c>
      <c r="AH446" s="199">
        <f t="shared" si="533"/>
        <v>14957.189099250738</v>
      </c>
      <c r="AI446" s="252">
        <f t="shared" si="479"/>
        <v>1.1587107771638971E-3</v>
      </c>
      <c r="AJ446" s="199">
        <f t="shared" si="480"/>
        <v>75384.23306022372</v>
      </c>
      <c r="AK446" s="199">
        <f t="shared" si="509"/>
        <v>11965.751279400589</v>
      </c>
      <c r="AL446" s="199">
        <f t="shared" si="510"/>
        <v>11965.751279400589</v>
      </c>
      <c r="AM446" s="199">
        <f t="shared" si="481"/>
        <v>23931.502558801178</v>
      </c>
      <c r="AN446" s="645">
        <f t="shared" si="482"/>
        <v>1.1587107771638971E-3</v>
      </c>
      <c r="AO446" s="199">
        <v>10</v>
      </c>
      <c r="AP446" s="250">
        <f t="shared" si="483"/>
        <v>1.1362345188046814E-3</v>
      </c>
      <c r="AQ446" s="199">
        <v>10</v>
      </c>
      <c r="AU446" s="199">
        <v>0</v>
      </c>
      <c r="AW446" s="250">
        <f t="shared" si="484"/>
        <v>0</v>
      </c>
      <c r="AX446" s="199">
        <v>1</v>
      </c>
      <c r="AY446" s="199">
        <f t="shared" si="521"/>
        <v>19822.024939809988</v>
      </c>
      <c r="AZ446" s="199">
        <f t="shared" si="485"/>
        <v>19822.024939809988</v>
      </c>
      <c r="BA446" s="252">
        <f t="shared" si="486"/>
        <v>1.5581397915646739E-3</v>
      </c>
      <c r="BB446" s="284">
        <v>1</v>
      </c>
      <c r="BC446" s="199">
        <f t="shared" si="522"/>
        <v>43507.471651900545</v>
      </c>
      <c r="BD446" s="270">
        <f t="shared" si="511"/>
        <v>3.9181564423107808E-3</v>
      </c>
      <c r="BE446" s="199">
        <f t="shared" si="523"/>
        <v>186115.29539979677</v>
      </c>
      <c r="BF446" s="251">
        <f t="shared" si="512"/>
        <v>3.9181565293795861E-3</v>
      </c>
      <c r="BG446" s="204">
        <f t="shared" si="513"/>
        <v>229622.7670516973</v>
      </c>
      <c r="BH446" s="636">
        <v>0</v>
      </c>
      <c r="BI446" s="199">
        <f t="shared" si="487"/>
        <v>91537.997287414502</v>
      </c>
      <c r="BJ446" s="199">
        <f t="shared" si="488"/>
        <v>183075.994574829</v>
      </c>
      <c r="BK446" s="199">
        <f t="shared" si="495"/>
        <v>274613.99186224351</v>
      </c>
      <c r="BL446" s="251">
        <f t="shared" si="489"/>
        <v>1.1587107771638971E-3</v>
      </c>
      <c r="BM446" s="199">
        <f t="shared" si="524"/>
        <v>18738.3971280923</v>
      </c>
      <c r="BN446" s="251">
        <f t="shared" si="490"/>
        <v>8.0918226338796452E-4</v>
      </c>
      <c r="BT446" s="199">
        <f>'Detailed Budget'!$AD$12</f>
        <v>194045122715</v>
      </c>
      <c r="BU446" s="199">
        <f>'Detailed Budget'!$AD$24</f>
        <v>194045122715</v>
      </c>
      <c r="BV446" s="596">
        <f t="shared" si="525"/>
        <v>0</v>
      </c>
      <c r="BW446" s="278"/>
      <c r="BX446" s="275">
        <f t="shared" si="526"/>
        <v>0</v>
      </c>
      <c r="BY446" s="275">
        <f t="shared" si="527"/>
        <v>0</v>
      </c>
      <c r="CA446" s="199">
        <f>'Detailed Budget'!$AD$96</f>
        <v>71050111380.677719</v>
      </c>
      <c r="CB446" s="275">
        <f t="shared" si="491"/>
        <v>110706005.73733604</v>
      </c>
      <c r="CE446" s="199">
        <f>'Detailed Budget'!$AD$175</f>
        <v>4330586076.5988197</v>
      </c>
      <c r="CF446" s="275">
        <f t="shared" si="528"/>
        <v>16967913.735007033</v>
      </c>
      <c r="CG446" s="199">
        <f>'Detailed Budget'!$AD$176</f>
        <v>20662817754.37001</v>
      </c>
      <c r="CH446" s="275">
        <f t="shared" si="529"/>
        <v>80960154.299665287</v>
      </c>
      <c r="CI446" s="275">
        <f t="shared" si="463"/>
        <v>97928068.03467232</v>
      </c>
      <c r="CJ446" s="275">
        <f>'Detailed Budget'!$AD$178</f>
        <v>46025131033.061455</v>
      </c>
      <c r="CK446" s="275">
        <f t="shared" si="530"/>
        <v>122159312.35035573</v>
      </c>
      <c r="CL446" s="275">
        <f t="shared" si="498"/>
        <v>220087380.38502806</v>
      </c>
      <c r="CM446" s="278">
        <f>'Detailed Budget'!$AD$189</f>
        <v>77498869683.252869</v>
      </c>
      <c r="CN446" s="275">
        <f t="shared" si="492"/>
        <v>0</v>
      </c>
      <c r="CO446" s="140">
        <f>'Detailed Budget'!$AD$191</f>
        <v>2684962805.4134097</v>
      </c>
      <c r="CP446" s="616">
        <f t="shared" si="493"/>
        <v>0</v>
      </c>
      <c r="CQ446" s="616">
        <f t="shared" si="494"/>
        <v>0</v>
      </c>
      <c r="CR446" s="199">
        <f>'Detailed Budget'!$AD$195</f>
        <v>18734176418</v>
      </c>
      <c r="CS446" s="275">
        <f t="shared" si="531"/>
        <v>15159363.276626669</v>
      </c>
      <c r="CW446" s="278"/>
      <c r="DH446" s="140">
        <f>'Detailed Budget'!$AD$163</f>
        <v>4928560000</v>
      </c>
      <c r="DI446" s="616">
        <f t="shared" si="532"/>
        <v>5600000</v>
      </c>
    </row>
    <row r="447" spans="1:113" outlineLevel="1">
      <c r="A447" s="214"/>
      <c r="B447" s="215"/>
      <c r="C447" s="216"/>
      <c r="D447" s="217"/>
      <c r="E447" s="216"/>
      <c r="F447" s="216"/>
      <c r="G447" s="216"/>
      <c r="H447" s="216"/>
      <c r="I447" s="217"/>
      <c r="J447" s="217"/>
      <c r="K447" s="216"/>
      <c r="L447" s="216"/>
      <c r="M447" s="217"/>
      <c r="N447" s="216"/>
      <c r="O447" s="217"/>
      <c r="P447" s="216"/>
      <c r="Q447" s="217"/>
      <c r="R447" s="217"/>
      <c r="S447" s="217"/>
      <c r="T447" s="217"/>
      <c r="U447" s="218"/>
      <c r="V447" s="867"/>
      <c r="W447" s="219"/>
      <c r="X447" s="220"/>
      <c r="Y447" s="221"/>
      <c r="Z447" s="199"/>
      <c r="AA447" s="221"/>
      <c r="AF447" s="199">
        <f t="shared" si="497"/>
        <v>0</v>
      </c>
      <c r="AG447" s="614">
        <f t="shared" si="496"/>
        <v>0</v>
      </c>
      <c r="AJ447" s="199"/>
      <c r="AK447" s="199">
        <f t="shared" si="509"/>
        <v>0</v>
      </c>
      <c r="AL447" s="199">
        <f t="shared" si="510"/>
        <v>0</v>
      </c>
      <c r="AM447" s="199">
        <f t="shared" si="481"/>
        <v>0</v>
      </c>
      <c r="AN447" s="645">
        <f t="shared" si="482"/>
        <v>0</v>
      </c>
      <c r="AP447" s="250">
        <f t="shared" si="483"/>
        <v>0</v>
      </c>
      <c r="AW447" s="250">
        <f t="shared" si="484"/>
        <v>0</v>
      </c>
      <c r="AX447" s="199"/>
      <c r="BA447" s="252">
        <f t="shared" si="486"/>
        <v>0</v>
      </c>
      <c r="BB447" s="284"/>
      <c r="BD447" s="270"/>
      <c r="BF447" s="251"/>
      <c r="BG447" s="204"/>
      <c r="BH447" s="636"/>
      <c r="BI447" s="199">
        <f t="shared" si="487"/>
        <v>0</v>
      </c>
      <c r="BJ447" s="199">
        <f t="shared" si="488"/>
        <v>0</v>
      </c>
      <c r="BK447" s="199">
        <f t="shared" si="495"/>
        <v>0</v>
      </c>
      <c r="BL447" s="251">
        <f t="shared" si="489"/>
        <v>0</v>
      </c>
      <c r="BN447" s="251">
        <f t="shared" si="490"/>
        <v>0</v>
      </c>
      <c r="BT447" s="199"/>
      <c r="BU447" s="199"/>
      <c r="BV447" s="596"/>
      <c r="BW447" s="278"/>
      <c r="BX447" s="275"/>
      <c r="BY447" s="275"/>
      <c r="CA447" s="199">
        <f>'Detailed Budget'!$AD$96</f>
        <v>71050111380.677719</v>
      </c>
      <c r="CB447" s="275">
        <f t="shared" si="491"/>
        <v>0</v>
      </c>
      <c r="CE447" s="199"/>
      <c r="CF447" s="275"/>
      <c r="CG447" s="199"/>
      <c r="CH447" s="275"/>
      <c r="CI447" s="275"/>
      <c r="CJ447" s="275"/>
      <c r="CK447" s="275"/>
      <c r="CL447" s="275"/>
      <c r="CM447" s="278">
        <f>'Detailed Budget'!$AD$189</f>
        <v>77498869683.252869</v>
      </c>
      <c r="CN447" s="275">
        <f t="shared" si="492"/>
        <v>0</v>
      </c>
      <c r="CO447" s="140">
        <f>'Detailed Budget'!$AD$191</f>
        <v>2684962805.4134097</v>
      </c>
      <c r="CP447" s="616">
        <f t="shared" si="493"/>
        <v>0</v>
      </c>
      <c r="CQ447" s="616">
        <f t="shared" si="494"/>
        <v>0</v>
      </c>
      <c r="CR447" s="199"/>
      <c r="CS447" s="275"/>
      <c r="CW447" s="278"/>
      <c r="DH447" s="140">
        <f>'Detailed Budget'!$AD$163</f>
        <v>4928560000</v>
      </c>
      <c r="DI447" s="616">
        <f t="shared" si="532"/>
        <v>0</v>
      </c>
    </row>
    <row r="448" spans="1:113" s="213" customFormat="1">
      <c r="A448" s="206">
        <v>3.6</v>
      </c>
      <c r="B448" s="207" t="s">
        <v>1018</v>
      </c>
      <c r="C448" s="208">
        <f t="shared" ref="C448:T448" si="535">COUNTA(C450:C472)</f>
        <v>23</v>
      </c>
      <c r="D448" s="208">
        <f t="shared" si="535"/>
        <v>23</v>
      </c>
      <c r="E448" s="208">
        <f t="shared" si="535"/>
        <v>0</v>
      </c>
      <c r="F448" s="208">
        <f t="shared" si="535"/>
        <v>0</v>
      </c>
      <c r="G448" s="208">
        <f t="shared" si="535"/>
        <v>0</v>
      </c>
      <c r="H448" s="208">
        <f t="shared" si="535"/>
        <v>23</v>
      </c>
      <c r="I448" s="208">
        <f t="shared" si="535"/>
        <v>23</v>
      </c>
      <c r="J448" s="208">
        <f t="shared" si="535"/>
        <v>0</v>
      </c>
      <c r="K448" s="208">
        <f t="shared" si="535"/>
        <v>23</v>
      </c>
      <c r="L448" s="208">
        <f t="shared" si="535"/>
        <v>0</v>
      </c>
      <c r="M448" s="208">
        <f t="shared" si="535"/>
        <v>0</v>
      </c>
      <c r="N448" s="208">
        <f t="shared" si="535"/>
        <v>0</v>
      </c>
      <c r="O448" s="208">
        <f t="shared" si="535"/>
        <v>0</v>
      </c>
      <c r="P448" s="208">
        <f t="shared" si="535"/>
        <v>0</v>
      </c>
      <c r="Q448" s="208">
        <f t="shared" si="535"/>
        <v>2</v>
      </c>
      <c r="R448" s="208">
        <f t="shared" si="535"/>
        <v>21</v>
      </c>
      <c r="S448" s="208">
        <f t="shared" si="535"/>
        <v>2</v>
      </c>
      <c r="T448" s="208">
        <f t="shared" si="535"/>
        <v>0</v>
      </c>
      <c r="U448" s="209">
        <f>SUM(C448:T448)</f>
        <v>140</v>
      </c>
      <c r="V448" s="866"/>
      <c r="W448" s="210">
        <f>SUM(W450:W472)</f>
        <v>3702676</v>
      </c>
      <c r="X448" s="211">
        <v>3.03</v>
      </c>
      <c r="Y448" s="212">
        <f t="shared" si="514"/>
        <v>1.0303</v>
      </c>
      <c r="Z448" s="210">
        <v>19</v>
      </c>
      <c r="AA448" s="212">
        <f t="shared" si="515"/>
        <v>1.7632354008841205</v>
      </c>
      <c r="AB448" s="210">
        <f t="shared" si="516"/>
        <v>6528689.4012040114</v>
      </c>
      <c r="AC448" s="213">
        <v>20.2</v>
      </c>
      <c r="AD448" s="210">
        <f t="shared" si="517"/>
        <v>1318795.2590432102</v>
      </c>
      <c r="AE448" s="210">
        <f t="shared" si="534"/>
        <v>1252855.4960910496</v>
      </c>
      <c r="AF448" s="210">
        <f>SUM(AF450:AF472)</f>
        <v>1252855.4960910496</v>
      </c>
      <c r="AG448" s="614">
        <f t="shared" si="496"/>
        <v>5.792653800056461E-2</v>
      </c>
      <c r="AH448" s="210">
        <f>SUM(AH450:AH472)</f>
        <v>326434.47006020061</v>
      </c>
      <c r="AI448" s="252">
        <f t="shared" si="479"/>
        <v>2.5288383799031304E-2</v>
      </c>
      <c r="AJ448" s="210">
        <f>SUM(AJ450:AJ472)</f>
        <v>1645229.7291034108</v>
      </c>
      <c r="AK448" s="199">
        <f t="shared" si="509"/>
        <v>261147.57604816047</v>
      </c>
      <c r="AL448" s="199">
        <f t="shared" si="510"/>
        <v>261147.57604816047</v>
      </c>
      <c r="AM448" s="199">
        <f t="shared" si="481"/>
        <v>522295.15209632093</v>
      </c>
      <c r="AN448" s="645">
        <f t="shared" si="482"/>
        <v>2.5288383799031301E-2</v>
      </c>
      <c r="AO448" s="210">
        <f>SUM(AO450:AO472)</f>
        <v>244</v>
      </c>
      <c r="AP448" s="250">
        <f t="shared" si="483"/>
        <v>2.7724122258834222E-2</v>
      </c>
      <c r="AQ448" s="210">
        <f>SUM(AQ450:AQ472)</f>
        <v>244</v>
      </c>
      <c r="AR448" s="210"/>
      <c r="AS448" s="210"/>
      <c r="AT448" s="210"/>
      <c r="AU448" s="199"/>
      <c r="AV448" s="199"/>
      <c r="AW448" s="250">
        <f t="shared" si="484"/>
        <v>0</v>
      </c>
      <c r="AX448" s="199"/>
      <c r="AY448" s="210">
        <v>476936</v>
      </c>
      <c r="AZ448" s="210">
        <f>SUM(AZ450:AZ472)</f>
        <v>476935.92146974243</v>
      </c>
      <c r="BA448" s="252">
        <f t="shared" si="486"/>
        <v>3.7490258413310912E-2</v>
      </c>
      <c r="BB448" s="284"/>
      <c r="BC448" s="210">
        <f>SUM(BC450:BC472)</f>
        <v>949532.58651111147</v>
      </c>
      <c r="BD448" s="270">
        <f t="shared" si="511"/>
        <v>8.5512144920515287E-2</v>
      </c>
      <c r="BE448" s="210">
        <f>SUM(BE450:BE472)</f>
        <v>4061889.3978530881</v>
      </c>
      <c r="BF448" s="251">
        <f t="shared" si="512"/>
        <v>8.5512146820755974E-2</v>
      </c>
      <c r="BG448" s="210">
        <f>SUM(BG450:BG472)</f>
        <v>5011421.9843641985</v>
      </c>
      <c r="BH448"/>
      <c r="BI448" s="199">
        <f t="shared" si="487"/>
        <v>1997778.9567684273</v>
      </c>
      <c r="BJ448" s="199">
        <f t="shared" si="488"/>
        <v>3995557.9135368546</v>
      </c>
      <c r="BK448" s="199">
        <f t="shared" si="495"/>
        <v>5993336.8703052821</v>
      </c>
      <c r="BL448" s="251">
        <f t="shared" si="489"/>
        <v>2.5288383799031301E-2</v>
      </c>
      <c r="BM448" s="210">
        <v>439653</v>
      </c>
      <c r="BN448" s="251">
        <f t="shared" si="490"/>
        <v>1.8985583836941957E-2</v>
      </c>
      <c r="BT448" s="210">
        <f>'Detailed Budget'!$AD$12</f>
        <v>194045122715</v>
      </c>
      <c r="BU448" s="210">
        <f>'Detailed Budget'!$AD$24</f>
        <v>194045122715</v>
      </c>
      <c r="BV448" s="596">
        <f>AV448/34743979</f>
        <v>0</v>
      </c>
      <c r="BW448" s="278"/>
      <c r="BX448" s="613">
        <f t="shared" si="526"/>
        <v>0</v>
      </c>
      <c r="BY448" s="613">
        <f t="shared" si="527"/>
        <v>0</v>
      </c>
      <c r="CA448" s="210">
        <f>'Detailed Budget'!$AD$96</f>
        <v>71050111380.677719</v>
      </c>
      <c r="CB448" s="613">
        <f t="shared" si="491"/>
        <v>2663687035.95613</v>
      </c>
      <c r="CE448" s="210">
        <f>'Detailed Budget'!$AD$175</f>
        <v>4330586076.5988197</v>
      </c>
      <c r="CF448" s="613">
        <f>SUM(CF450:CF472)</f>
        <v>370317704.17288405</v>
      </c>
      <c r="CG448" s="632">
        <f>'Detailed Budget'!$AD$176</f>
        <v>20662817754.37001</v>
      </c>
      <c r="CH448" s="613">
        <f>SUM(CH450:CH472)</f>
        <v>1766921905.5422113</v>
      </c>
      <c r="CI448" s="613">
        <f>SUM(CI450:CI472)</f>
        <v>2137239609.7150958</v>
      </c>
      <c r="CJ448" s="275">
        <f>'Detailed Budget'!$AD$178</f>
        <v>46025131033.061455</v>
      </c>
      <c r="CK448" s="613">
        <f t="shared" ref="CK448:CL448" si="536">SUM(CK450:CK472)</f>
        <v>2666076501.7676005</v>
      </c>
      <c r="CL448" s="613">
        <f t="shared" si="536"/>
        <v>4803316111.4826956</v>
      </c>
      <c r="CM448" s="278">
        <f>'Detailed Budget'!$AD$189</f>
        <v>77498869683.252869</v>
      </c>
      <c r="CN448" s="275">
        <f t="shared" si="492"/>
        <v>0</v>
      </c>
      <c r="CO448" s="140">
        <f>'Detailed Budget'!$AD$191</f>
        <v>2684962805.4134097</v>
      </c>
      <c r="CP448" s="616">
        <f t="shared" si="493"/>
        <v>0</v>
      </c>
      <c r="CQ448" s="616">
        <f t="shared" si="494"/>
        <v>0</v>
      </c>
      <c r="CR448" s="210">
        <f>'Detailed Budget'!$AD$195</f>
        <v>18734176418</v>
      </c>
      <c r="CS448" s="275">
        <f>BN448*CR448</f>
        <v>355679276.99999994</v>
      </c>
      <c r="CW448" s="278"/>
      <c r="DH448" s="140">
        <f>'Detailed Budget'!$AD$163</f>
        <v>4928560000</v>
      </c>
      <c r="DI448" s="616">
        <f t="shared" si="532"/>
        <v>136640000</v>
      </c>
    </row>
    <row r="449" spans="1:113" s="213" customFormat="1">
      <c r="A449" s="214" t="s">
        <v>2337</v>
      </c>
      <c r="B449" s="215" t="s">
        <v>2318</v>
      </c>
      <c r="C449" s="208"/>
      <c r="D449" s="208"/>
      <c r="E449" s="208"/>
      <c r="F449" s="208"/>
      <c r="G449" s="208"/>
      <c r="H449" s="208"/>
      <c r="I449" s="208"/>
      <c r="J449" s="208"/>
      <c r="K449" s="208"/>
      <c r="L449" s="208"/>
      <c r="M449" s="208"/>
      <c r="N449" s="208"/>
      <c r="O449" s="208"/>
      <c r="P449" s="208"/>
      <c r="Q449" s="208"/>
      <c r="R449" s="208"/>
      <c r="S449" s="208"/>
      <c r="T449" s="208"/>
      <c r="U449" s="209"/>
      <c r="V449" s="866"/>
      <c r="W449" s="210"/>
      <c r="X449" s="211"/>
      <c r="Y449" s="212"/>
      <c r="Z449" s="210"/>
      <c r="AA449" s="212"/>
      <c r="AB449" s="210"/>
      <c r="AD449" s="210"/>
      <c r="AE449" s="210"/>
      <c r="AF449" s="199"/>
      <c r="AG449" s="614">
        <f t="shared" si="496"/>
        <v>0</v>
      </c>
      <c r="AH449" s="210"/>
      <c r="AI449" s="252"/>
      <c r="AJ449" s="199"/>
      <c r="AK449" s="199">
        <f t="shared" si="509"/>
        <v>0</v>
      </c>
      <c r="AL449" s="199">
        <f t="shared" si="510"/>
        <v>0</v>
      </c>
      <c r="AM449" s="199">
        <f t="shared" si="481"/>
        <v>0</v>
      </c>
      <c r="AN449" s="645">
        <f t="shared" si="482"/>
        <v>0</v>
      </c>
      <c r="AO449" s="210"/>
      <c r="AP449" s="250"/>
      <c r="AQ449" s="210"/>
      <c r="AR449" s="210"/>
      <c r="AS449" s="210"/>
      <c r="AT449" s="210"/>
      <c r="AU449" s="199"/>
      <c r="AV449" s="199"/>
      <c r="AW449" s="250">
        <f t="shared" si="484"/>
        <v>0</v>
      </c>
      <c r="AX449" s="199"/>
      <c r="AY449" s="210"/>
      <c r="AZ449" s="199"/>
      <c r="BA449" s="252">
        <f t="shared" si="486"/>
        <v>0</v>
      </c>
      <c r="BB449" s="284"/>
      <c r="BC449" s="199"/>
      <c r="BD449" s="270">
        <f t="shared" si="511"/>
        <v>0</v>
      </c>
      <c r="BE449" s="199"/>
      <c r="BF449" s="251">
        <f t="shared" si="512"/>
        <v>0</v>
      </c>
      <c r="BG449" s="204"/>
      <c r="BH449"/>
      <c r="BI449" s="199">
        <f t="shared" si="487"/>
        <v>0</v>
      </c>
      <c r="BJ449" s="199">
        <f t="shared" si="488"/>
        <v>0</v>
      </c>
      <c r="BK449" s="199">
        <f t="shared" si="495"/>
        <v>0</v>
      </c>
      <c r="BL449" s="251">
        <f t="shared" si="489"/>
        <v>0</v>
      </c>
      <c r="BM449" s="210"/>
      <c r="BN449" s="251">
        <f t="shared" si="490"/>
        <v>0</v>
      </c>
      <c r="BT449" s="210"/>
      <c r="BU449" s="210">
        <f>'Detailed Budget'!$AD$24</f>
        <v>194045122715</v>
      </c>
      <c r="BV449" s="596"/>
      <c r="BW449" s="278"/>
      <c r="BX449" s="275"/>
      <c r="BY449" s="275"/>
      <c r="CA449" s="210">
        <f>'Detailed Budget'!$AD$96</f>
        <v>71050111380.677719</v>
      </c>
      <c r="CB449" s="275"/>
      <c r="CE449" s="210"/>
      <c r="CF449" s="275"/>
      <c r="CG449" s="240"/>
      <c r="CH449" s="275"/>
      <c r="CI449" s="275"/>
      <c r="CJ449" s="275"/>
      <c r="CK449" s="275"/>
      <c r="CL449" s="275"/>
      <c r="CM449" s="278">
        <f>'Detailed Budget'!$AD$189</f>
        <v>77498869683.252869</v>
      </c>
      <c r="CN449" s="275">
        <f t="shared" si="492"/>
        <v>0</v>
      </c>
      <c r="CO449" s="140">
        <f>'Detailed Budget'!$AD$191</f>
        <v>2684962805.4134097</v>
      </c>
      <c r="CP449" s="616">
        <f t="shared" si="493"/>
        <v>0</v>
      </c>
      <c r="CQ449" s="616">
        <f t="shared" si="494"/>
        <v>0</v>
      </c>
      <c r="CR449" s="210"/>
      <c r="CS449" s="275"/>
      <c r="CW449" s="278"/>
      <c r="DH449" s="140"/>
      <c r="DI449" s="616"/>
    </row>
    <row r="450" spans="1:113" outlineLevel="1">
      <c r="A450" s="214" t="s">
        <v>1019</v>
      </c>
      <c r="B450" s="215" t="s">
        <v>1020</v>
      </c>
      <c r="C450" s="216" t="s">
        <v>234</v>
      </c>
      <c r="D450" s="217" t="s">
        <v>234</v>
      </c>
      <c r="E450" s="216"/>
      <c r="F450" s="216"/>
      <c r="G450" s="216"/>
      <c r="H450" s="216" t="s">
        <v>234</v>
      </c>
      <c r="I450" s="217" t="s">
        <v>234</v>
      </c>
      <c r="J450" s="217"/>
      <c r="K450" s="216" t="s">
        <v>234</v>
      </c>
      <c r="L450" s="216"/>
      <c r="M450" s="217"/>
      <c r="N450" s="216"/>
      <c r="O450" s="217"/>
      <c r="P450" s="216"/>
      <c r="Q450" s="217"/>
      <c r="R450" s="217" t="s">
        <v>234</v>
      </c>
      <c r="S450" s="217"/>
      <c r="T450" s="217"/>
      <c r="U450" s="218">
        <f t="shared" ref="U450:U472" si="537">COUNTA(C450:T450)</f>
        <v>6</v>
      </c>
      <c r="V450" s="867" t="s">
        <v>238</v>
      </c>
      <c r="W450" s="219">
        <v>104274</v>
      </c>
      <c r="X450" s="220">
        <v>3.03</v>
      </c>
      <c r="Y450" s="221">
        <f t="shared" si="514"/>
        <v>1.0303</v>
      </c>
      <c r="Z450" s="199">
        <v>19</v>
      </c>
      <c r="AA450" s="221">
        <f t="shared" si="515"/>
        <v>1.7632354008841205</v>
      </c>
      <c r="AB450" s="199">
        <f t="shared" si="516"/>
        <v>183859.60819179079</v>
      </c>
      <c r="AC450">
        <v>20.2</v>
      </c>
      <c r="AD450" s="199">
        <f t="shared" si="517"/>
        <v>37139.640854741738</v>
      </c>
      <c r="AE450" s="199">
        <f t="shared" si="534"/>
        <v>35282.658812004651</v>
      </c>
      <c r="AF450" s="199">
        <f t="shared" si="497"/>
        <v>35282.658812004651</v>
      </c>
      <c r="AG450" s="614">
        <f t="shared" si="496"/>
        <v>1.6313152496926211E-3</v>
      </c>
      <c r="AH450" s="199">
        <f>AB450*0.05</f>
        <v>9192.9804095895397</v>
      </c>
      <c r="AI450" s="252">
        <f t="shared" si="479"/>
        <v>7.1216626360507654E-4</v>
      </c>
      <c r="AJ450" s="199">
        <f t="shared" si="480"/>
        <v>46332.621264331276</v>
      </c>
      <c r="AK450" s="199">
        <f t="shared" si="509"/>
        <v>7354.3843276716316</v>
      </c>
      <c r="AL450" s="199">
        <f t="shared" si="510"/>
        <v>7354.3843276716316</v>
      </c>
      <c r="AM450" s="199">
        <f t="shared" si="481"/>
        <v>14708.768655343263</v>
      </c>
      <c r="AN450" s="645">
        <f t="shared" si="482"/>
        <v>7.1216626360507643E-4</v>
      </c>
      <c r="AO450" s="199">
        <v>10</v>
      </c>
      <c r="AP450" s="250">
        <f t="shared" si="483"/>
        <v>1.1362345188046814E-3</v>
      </c>
      <c r="AQ450" s="199">
        <v>10</v>
      </c>
      <c r="AU450" s="199">
        <v>0</v>
      </c>
      <c r="AW450" s="250">
        <f t="shared" si="484"/>
        <v>0</v>
      </c>
      <c r="AX450" s="199">
        <v>1</v>
      </c>
      <c r="AY450" s="199">
        <f t="shared" ref="AY450:AY472" si="538">AJ450/1645230*476936</f>
        <v>13431.371331257698</v>
      </c>
      <c r="AZ450" s="199">
        <f t="shared" si="485"/>
        <v>13431.371331257698</v>
      </c>
      <c r="BA450" s="252">
        <f t="shared" si="486"/>
        <v>1.0557929469901181E-3</v>
      </c>
      <c r="BB450" s="284">
        <v>1</v>
      </c>
      <c r="BC450" s="199">
        <f t="shared" ref="BC450:BC472" si="539">AD450*BB450*0.18*4</f>
        <v>26740.541415414049</v>
      </c>
      <c r="BD450" s="270">
        <f t="shared" si="511"/>
        <v>2.4081754383699278E-3</v>
      </c>
      <c r="BE450" s="199">
        <f t="shared" ref="BE450:BE472" si="540">AD450*BB450*0.77*4</f>
        <v>114390.09383260456</v>
      </c>
      <c r="BF450" s="251">
        <f t="shared" si="512"/>
        <v>2.4081754918841153E-3</v>
      </c>
      <c r="BG450" s="204">
        <f t="shared" si="513"/>
        <v>141130.6352480186</v>
      </c>
      <c r="BH450" s="636">
        <v>0</v>
      </c>
      <c r="BI450" s="199">
        <f t="shared" si="487"/>
        <v>56261.040106687986</v>
      </c>
      <c r="BJ450" s="199">
        <f t="shared" si="488"/>
        <v>112522.08021337597</v>
      </c>
      <c r="BK450" s="199">
        <f t="shared" si="495"/>
        <v>168783.12032006396</v>
      </c>
      <c r="BL450" s="251">
        <f t="shared" si="489"/>
        <v>7.1216626360507654E-4</v>
      </c>
      <c r="BM450" s="199">
        <f t="shared" ref="BM450:BM472" si="541">AH450/326434*439653</f>
        <v>12381.435193690822</v>
      </c>
      <c r="BN450" s="251">
        <f t="shared" si="490"/>
        <v>5.3466887725429099E-4</v>
      </c>
      <c r="BT450" s="199">
        <f>'Detailed Budget'!$AD$12</f>
        <v>194045122715</v>
      </c>
      <c r="BU450" s="199">
        <f>'Detailed Budget'!$AD$24</f>
        <v>194045122715</v>
      </c>
      <c r="BV450" s="596">
        <f t="shared" ref="BV450:BV472" si="542">AV450/34743979</f>
        <v>0</v>
      </c>
      <c r="BW450" s="278"/>
      <c r="BX450" s="275">
        <f t="shared" si="526"/>
        <v>0</v>
      </c>
      <c r="BY450" s="275">
        <f t="shared" si="527"/>
        <v>0</v>
      </c>
      <c r="CA450" s="199">
        <f>'Detailed Budget'!$AD$96</f>
        <v>71050111380.677719</v>
      </c>
      <c r="CB450" s="275">
        <f t="shared" si="491"/>
        <v>75014206.478581861</v>
      </c>
      <c r="CE450" s="199">
        <f>'Detailed Budget'!$AD$175</f>
        <v>4330586076.5988197</v>
      </c>
      <c r="CF450" s="275">
        <f t="shared" ref="CF450:CF472" si="543">BB450*BD450*CE450</f>
        <v>10428811.023412069</v>
      </c>
      <c r="CG450" s="199">
        <f>'Detailed Budget'!$AD$176</f>
        <v>20662817754.37001</v>
      </c>
      <c r="CH450" s="275">
        <f t="shared" ref="CH450:CH472" si="544">BB450*BF450*CG450</f>
        <v>49759691.309341833</v>
      </c>
      <c r="CI450" s="275">
        <f t="shared" si="463"/>
        <v>60188502.332753904</v>
      </c>
      <c r="CJ450" s="275">
        <f>'Detailed Budget'!$AD$178</f>
        <v>46025131033.061455</v>
      </c>
      <c r="CK450" s="275">
        <f t="shared" ref="CK450:CK472" si="545">BB450*AG450*CJ450</f>
        <v>75081498.123334259</v>
      </c>
      <c r="CL450" s="275">
        <f t="shared" si="498"/>
        <v>135270000.45608816</v>
      </c>
      <c r="CM450" s="278">
        <f>'Detailed Budget'!$AD$189</f>
        <v>77498869683.252869</v>
      </c>
      <c r="CN450" s="275">
        <f t="shared" si="492"/>
        <v>0</v>
      </c>
      <c r="CO450" s="140">
        <f>'Detailed Budget'!$AD$191</f>
        <v>2684962805.4134097</v>
      </c>
      <c r="CP450" s="616">
        <f t="shared" si="493"/>
        <v>0</v>
      </c>
      <c r="CQ450" s="616">
        <f t="shared" si="494"/>
        <v>0</v>
      </c>
      <c r="CR450" s="199">
        <f>'Detailed Budget'!$AD$195</f>
        <v>18734176418</v>
      </c>
      <c r="CS450" s="275">
        <f t="shared" ref="CS450:CS472" si="546">BN450*CR450</f>
        <v>10016581.071695875</v>
      </c>
      <c r="CW450" s="278"/>
      <c r="DH450" s="140">
        <f>'Detailed Budget'!$AD$163</f>
        <v>4928560000</v>
      </c>
      <c r="DI450" s="616">
        <f t="shared" ref="DI450:DI474" si="547">AP450*DH450</f>
        <v>5600000</v>
      </c>
    </row>
    <row r="451" spans="1:113" outlineLevel="1">
      <c r="A451" s="214" t="s">
        <v>1021</v>
      </c>
      <c r="B451" s="215" t="s">
        <v>1022</v>
      </c>
      <c r="C451" s="216" t="s">
        <v>234</v>
      </c>
      <c r="D451" s="217" t="s">
        <v>234</v>
      </c>
      <c r="E451" s="216"/>
      <c r="F451" s="216"/>
      <c r="G451" s="216"/>
      <c r="H451" s="216" t="s">
        <v>234</v>
      </c>
      <c r="I451" s="217" t="s">
        <v>234</v>
      </c>
      <c r="J451" s="217"/>
      <c r="K451" s="216" t="s">
        <v>234</v>
      </c>
      <c r="L451" s="216"/>
      <c r="M451" s="217"/>
      <c r="N451" s="216"/>
      <c r="O451" s="217"/>
      <c r="P451" s="216"/>
      <c r="Q451" s="217"/>
      <c r="R451" s="217" t="s">
        <v>234</v>
      </c>
      <c r="S451" s="217"/>
      <c r="T451" s="217"/>
      <c r="U451" s="218">
        <f t="shared" si="537"/>
        <v>6</v>
      </c>
      <c r="V451" s="867" t="s">
        <v>238</v>
      </c>
      <c r="W451" s="219">
        <v>174302</v>
      </c>
      <c r="X451" s="220">
        <v>3.03</v>
      </c>
      <c r="Y451" s="221">
        <f t="shared" si="514"/>
        <v>1.0303</v>
      </c>
      <c r="Z451" s="199">
        <v>19</v>
      </c>
      <c r="AA451" s="221">
        <f t="shared" si="515"/>
        <v>1.7632354008841205</v>
      </c>
      <c r="AB451" s="199">
        <f t="shared" si="516"/>
        <v>307335.45684490394</v>
      </c>
      <c r="AC451">
        <v>20.2</v>
      </c>
      <c r="AD451" s="199">
        <f t="shared" si="517"/>
        <v>62081.762282670599</v>
      </c>
      <c r="AE451" s="199">
        <f t="shared" si="534"/>
        <v>58977.674168537065</v>
      </c>
      <c r="AF451" s="199">
        <f t="shared" si="497"/>
        <v>58977.674168537065</v>
      </c>
      <c r="AG451" s="614">
        <f t="shared" si="496"/>
        <v>2.7268687367121547E-3</v>
      </c>
      <c r="AH451" s="199">
        <f t="shared" ref="AH451:AH472" si="548">AB451*0.05</f>
        <v>15366.772842245198</v>
      </c>
      <c r="AI451" s="252">
        <f t="shared" si="479"/>
        <v>1.1904406091536915E-3</v>
      </c>
      <c r="AJ451" s="199">
        <f t="shared" si="480"/>
        <v>77448.535124915797</v>
      </c>
      <c r="AK451" s="199">
        <f t="shared" si="509"/>
        <v>12293.418273796158</v>
      </c>
      <c r="AL451" s="199">
        <f t="shared" si="510"/>
        <v>12293.418273796158</v>
      </c>
      <c r="AM451" s="199">
        <f t="shared" si="481"/>
        <v>24586.836547592316</v>
      </c>
      <c r="AN451" s="645">
        <f t="shared" si="482"/>
        <v>1.1904406091536915E-3</v>
      </c>
      <c r="AO451" s="199">
        <v>11</v>
      </c>
      <c r="AP451" s="250">
        <f t="shared" si="483"/>
        <v>1.2498579706851495E-3</v>
      </c>
      <c r="AQ451" s="199">
        <v>11</v>
      </c>
      <c r="AU451" s="199">
        <v>0</v>
      </c>
      <c r="AW451" s="250">
        <f t="shared" si="484"/>
        <v>0</v>
      </c>
      <c r="AX451" s="199">
        <v>1</v>
      </c>
      <c r="AY451" s="199">
        <f t="shared" si="538"/>
        <v>22451.568806997708</v>
      </c>
      <c r="AZ451" s="199">
        <f t="shared" si="485"/>
        <v>22451.568806997708</v>
      </c>
      <c r="BA451" s="252">
        <f t="shared" si="486"/>
        <v>1.7648390034550466E-3</v>
      </c>
      <c r="BB451" s="284">
        <v>1</v>
      </c>
      <c r="BC451" s="199">
        <f t="shared" si="539"/>
        <v>44698.868843522832</v>
      </c>
      <c r="BD451" s="270">
        <f t="shared" si="511"/>
        <v>4.0254502105870607E-3</v>
      </c>
      <c r="BE451" s="199">
        <f t="shared" si="540"/>
        <v>191211.82783062544</v>
      </c>
      <c r="BF451" s="251">
        <f t="shared" si="512"/>
        <v>4.025450300040135E-3</v>
      </c>
      <c r="BG451" s="204">
        <f t="shared" si="513"/>
        <v>235910.69667414826</v>
      </c>
      <c r="BH451" s="636">
        <v>0</v>
      </c>
      <c r="BI451" s="199">
        <f t="shared" si="487"/>
        <v>94044.649794540601</v>
      </c>
      <c r="BJ451" s="199">
        <f t="shared" si="488"/>
        <v>188089.2995890812</v>
      </c>
      <c r="BK451" s="199">
        <f t="shared" si="495"/>
        <v>282133.9493836218</v>
      </c>
      <c r="BL451" s="251">
        <f t="shared" si="489"/>
        <v>1.1904406091536913E-3</v>
      </c>
      <c r="BM451" s="199">
        <f t="shared" si="541"/>
        <v>20696.519910339081</v>
      </c>
      <c r="BN451" s="251">
        <f t="shared" si="490"/>
        <v>8.9374009478084102E-4</v>
      </c>
      <c r="BT451" s="199">
        <f>'Detailed Budget'!$AD$12</f>
        <v>194045122715</v>
      </c>
      <c r="BU451" s="199">
        <f>'Detailed Budget'!$AD$24</f>
        <v>194045122715</v>
      </c>
      <c r="BV451" s="596">
        <f t="shared" si="542"/>
        <v>0</v>
      </c>
      <c r="BW451" s="278"/>
      <c r="BX451" s="275">
        <f t="shared" si="526"/>
        <v>0</v>
      </c>
      <c r="BY451" s="275">
        <f t="shared" si="527"/>
        <v>0</v>
      </c>
      <c r="CA451" s="199">
        <f>'Detailed Budget'!$AD$96</f>
        <v>71050111380.677719</v>
      </c>
      <c r="CB451" s="275">
        <f t="shared" si="491"/>
        <v>125392007.76444533</v>
      </c>
      <c r="CE451" s="199">
        <f>'Detailed Budget'!$AD$175</f>
        <v>4330586076.5988197</v>
      </c>
      <c r="CF451" s="275">
        <f t="shared" si="543"/>
        <v>17432558.63401011</v>
      </c>
      <c r="CG451" s="199">
        <f>'Detailed Budget'!$AD$176</f>
        <v>20662817754.37001</v>
      </c>
      <c r="CH451" s="275">
        <f t="shared" si="544"/>
        <v>83177145.929003388</v>
      </c>
      <c r="CI451" s="275">
        <f t="shared" si="463"/>
        <v>100609704.56301349</v>
      </c>
      <c r="CJ451" s="275">
        <f>'Detailed Budget'!$AD$178</f>
        <v>46025131033.061455</v>
      </c>
      <c r="CK451" s="275">
        <f t="shared" si="545"/>
        <v>125504490.91713569</v>
      </c>
      <c r="CL451" s="275">
        <f t="shared" si="498"/>
        <v>226114195.48014918</v>
      </c>
      <c r="CM451" s="278">
        <f>'Detailed Budget'!$AD$189</f>
        <v>77498869683.252869</v>
      </c>
      <c r="CN451" s="275">
        <f t="shared" si="492"/>
        <v>0</v>
      </c>
      <c r="CO451" s="140">
        <f>'Detailed Budget'!$AD$191</f>
        <v>2684962805.4134097</v>
      </c>
      <c r="CP451" s="616">
        <f t="shared" si="493"/>
        <v>0</v>
      </c>
      <c r="CQ451" s="616">
        <f t="shared" si="494"/>
        <v>0</v>
      </c>
      <c r="CR451" s="199">
        <f>'Detailed Budget'!$AD$195</f>
        <v>18734176418</v>
      </c>
      <c r="CS451" s="275">
        <f t="shared" si="546"/>
        <v>16743484.607464317</v>
      </c>
      <c r="CW451" s="278"/>
      <c r="DH451" s="140">
        <f>'Detailed Budget'!$AD$163</f>
        <v>4928560000</v>
      </c>
      <c r="DI451" s="616">
        <f t="shared" si="547"/>
        <v>6160000</v>
      </c>
    </row>
    <row r="452" spans="1:113" outlineLevel="1">
      <c r="A452" s="214" t="s">
        <v>1023</v>
      </c>
      <c r="B452" s="215" t="s">
        <v>2361</v>
      </c>
      <c r="C452" s="216" t="s">
        <v>234</v>
      </c>
      <c r="D452" s="217" t="s">
        <v>234</v>
      </c>
      <c r="E452" s="216"/>
      <c r="F452" s="216"/>
      <c r="G452" s="216"/>
      <c r="H452" s="216" t="s">
        <v>234</v>
      </c>
      <c r="I452" s="217" t="s">
        <v>234</v>
      </c>
      <c r="J452" s="217"/>
      <c r="K452" s="216" t="s">
        <v>234</v>
      </c>
      <c r="L452" s="216"/>
      <c r="M452" s="217"/>
      <c r="N452" s="216"/>
      <c r="O452" s="217"/>
      <c r="P452" s="216"/>
      <c r="Q452" s="217"/>
      <c r="R452" s="217" t="s">
        <v>234</v>
      </c>
      <c r="S452" s="217"/>
      <c r="T452" s="217"/>
      <c r="U452" s="218">
        <f t="shared" si="537"/>
        <v>6</v>
      </c>
      <c r="V452" s="867" t="s">
        <v>238</v>
      </c>
      <c r="W452" s="219">
        <v>193443</v>
      </c>
      <c r="X452" s="220">
        <v>3.03</v>
      </c>
      <c r="Y452" s="221">
        <f t="shared" si="514"/>
        <v>1.0303</v>
      </c>
      <c r="Z452" s="199">
        <v>19</v>
      </c>
      <c r="AA452" s="221">
        <f t="shared" si="515"/>
        <v>1.7632354008841205</v>
      </c>
      <c r="AB452" s="199">
        <f t="shared" si="516"/>
        <v>341085.5456532269</v>
      </c>
      <c r="AC452">
        <v>20.2</v>
      </c>
      <c r="AD452" s="199">
        <f t="shared" si="517"/>
        <v>68899.280221951834</v>
      </c>
      <c r="AE452" s="199">
        <f t="shared" si="534"/>
        <v>65454.316210854238</v>
      </c>
      <c r="AF452" s="199">
        <f t="shared" si="497"/>
        <v>65454.316210854238</v>
      </c>
      <c r="AG452" s="614">
        <f t="shared" si="496"/>
        <v>3.0263202317575779E-3</v>
      </c>
      <c r="AH452" s="199">
        <f t="shared" si="548"/>
        <v>17054.277282661347</v>
      </c>
      <c r="AI452" s="252">
        <f t="shared" si="479"/>
        <v>1.3211690213337632E-3</v>
      </c>
      <c r="AJ452" s="199">
        <f t="shared" si="480"/>
        <v>85953.557504613185</v>
      </c>
      <c r="AK452" s="199">
        <f t="shared" si="509"/>
        <v>13643.421826129077</v>
      </c>
      <c r="AL452" s="199">
        <f t="shared" si="510"/>
        <v>13643.421826129077</v>
      </c>
      <c r="AM452" s="199">
        <f t="shared" si="481"/>
        <v>27286.843652258154</v>
      </c>
      <c r="AN452" s="645">
        <f t="shared" si="482"/>
        <v>1.321169021333763E-3</v>
      </c>
      <c r="AO452" s="199">
        <v>11</v>
      </c>
      <c r="AP452" s="250">
        <f t="shared" si="483"/>
        <v>1.2498579706851495E-3</v>
      </c>
      <c r="AQ452" s="199">
        <v>11</v>
      </c>
      <c r="AU452" s="199">
        <v>0</v>
      </c>
      <c r="AW452" s="250">
        <f t="shared" si="484"/>
        <v>0</v>
      </c>
      <c r="AX452" s="199">
        <v>1</v>
      </c>
      <c r="AY452" s="199">
        <f t="shared" si="538"/>
        <v>24917.091167812519</v>
      </c>
      <c r="AZ452" s="199">
        <f t="shared" si="485"/>
        <v>24917.091167812519</v>
      </c>
      <c r="BA452" s="252">
        <f t="shared" si="486"/>
        <v>1.9586450605578514E-3</v>
      </c>
      <c r="BB452" s="284">
        <v>1</v>
      </c>
      <c r="BC452" s="199">
        <f t="shared" si="539"/>
        <v>49607.48175980532</v>
      </c>
      <c r="BD452" s="270">
        <f t="shared" si="511"/>
        <v>4.4675056229222425E-3</v>
      </c>
      <c r="BE452" s="199">
        <f t="shared" si="540"/>
        <v>212209.78308361166</v>
      </c>
      <c r="BF452" s="251">
        <f t="shared" si="512"/>
        <v>4.4675057221986204E-3</v>
      </c>
      <c r="BG452" s="204">
        <f t="shared" si="513"/>
        <v>261817.26484341698</v>
      </c>
      <c r="BH452" s="636">
        <v>0</v>
      </c>
      <c r="BI452" s="199">
        <f t="shared" si="487"/>
        <v>104372.17696988744</v>
      </c>
      <c r="BJ452" s="199">
        <f t="shared" si="488"/>
        <v>208744.35393977488</v>
      </c>
      <c r="BK452" s="199">
        <f t="shared" si="495"/>
        <v>313116.53090966231</v>
      </c>
      <c r="BL452" s="251">
        <f t="shared" si="489"/>
        <v>1.321169021333763E-3</v>
      </c>
      <c r="BM452" s="199">
        <f t="shared" si="541"/>
        <v>22969.311316081992</v>
      </c>
      <c r="BN452" s="251">
        <f t="shared" si="490"/>
        <v>9.9188629593860217E-4</v>
      </c>
      <c r="BT452" s="199">
        <f>'Detailed Budget'!$AD$12</f>
        <v>194045122715</v>
      </c>
      <c r="BU452" s="199">
        <f>'Detailed Budget'!$AD$24</f>
        <v>194045122715</v>
      </c>
      <c r="BV452" s="596">
        <f t="shared" si="542"/>
        <v>0</v>
      </c>
      <c r="BW452" s="278"/>
      <c r="BX452" s="275">
        <f t="shared" si="526"/>
        <v>0</v>
      </c>
      <c r="BY452" s="275">
        <f t="shared" si="527"/>
        <v>0</v>
      </c>
      <c r="CA452" s="199">
        <f>'Detailed Budget'!$AD$96</f>
        <v>71050111380.677719</v>
      </c>
      <c r="CB452" s="275">
        <f t="shared" si="491"/>
        <v>139161949.70784959</v>
      </c>
      <c r="CE452" s="199">
        <f>'Detailed Budget'!$AD$175</f>
        <v>4330586076.5988197</v>
      </c>
      <c r="CF452" s="275">
        <f t="shared" si="543"/>
        <v>19346917.647753999</v>
      </c>
      <c r="CG452" s="199">
        <f>'Detailed Budget'!$AD$176</f>
        <v>20662817754.37001</v>
      </c>
      <c r="CH452" s="275">
        <f t="shared" si="544"/>
        <v>92311256.554395273</v>
      </c>
      <c r="CI452" s="275">
        <f t="shared" ref="CI452:CI520" si="549">CF452+CH452</f>
        <v>111658174.20214927</v>
      </c>
      <c r="CJ452" s="275">
        <f>'Detailed Budget'!$AD$178</f>
        <v>46025131033.061455</v>
      </c>
      <c r="CK452" s="275">
        <f t="shared" si="545"/>
        <v>139286785.21464744</v>
      </c>
      <c r="CL452" s="275">
        <f t="shared" si="498"/>
        <v>250944959.41679671</v>
      </c>
      <c r="CM452" s="278">
        <f>'Detailed Budget'!$AD$189</f>
        <v>77498869683.252869</v>
      </c>
      <c r="CN452" s="275">
        <f t="shared" si="492"/>
        <v>0</v>
      </c>
      <c r="CO452" s="140">
        <f>'Detailed Budget'!$AD$191</f>
        <v>2684962805.4134097</v>
      </c>
      <c r="CP452" s="616">
        <f t="shared" si="493"/>
        <v>0</v>
      </c>
      <c r="CQ452" s="616">
        <f t="shared" si="494"/>
        <v>0</v>
      </c>
      <c r="CR452" s="199">
        <f>'Detailed Budget'!$AD$195</f>
        <v>18734176418</v>
      </c>
      <c r="CS452" s="275">
        <f t="shared" si="546"/>
        <v>18582172.854710329</v>
      </c>
      <c r="CW452" s="278"/>
      <c r="DH452" s="140">
        <f>'Detailed Budget'!$AD$163</f>
        <v>4928560000</v>
      </c>
      <c r="DI452" s="616">
        <f t="shared" si="547"/>
        <v>6160000</v>
      </c>
    </row>
    <row r="453" spans="1:113" outlineLevel="1">
      <c r="A453" s="214" t="s">
        <v>1024</v>
      </c>
      <c r="B453" s="215" t="s">
        <v>1025</v>
      </c>
      <c r="C453" s="216" t="s">
        <v>234</v>
      </c>
      <c r="D453" s="217" t="s">
        <v>234</v>
      </c>
      <c r="E453" s="216"/>
      <c r="F453" s="216"/>
      <c r="G453" s="216"/>
      <c r="H453" s="216" t="s">
        <v>234</v>
      </c>
      <c r="I453" s="217" t="s">
        <v>234</v>
      </c>
      <c r="J453" s="217"/>
      <c r="K453" s="216" t="s">
        <v>234</v>
      </c>
      <c r="L453" s="216"/>
      <c r="M453" s="217"/>
      <c r="N453" s="216"/>
      <c r="O453" s="217"/>
      <c r="P453" s="216"/>
      <c r="Q453" s="217"/>
      <c r="R453" s="217" t="s">
        <v>234</v>
      </c>
      <c r="S453" s="217"/>
      <c r="T453" s="217"/>
      <c r="U453" s="218">
        <f t="shared" si="537"/>
        <v>6</v>
      </c>
      <c r="V453" s="867" t="s">
        <v>238</v>
      </c>
      <c r="W453" s="219">
        <v>249051</v>
      </c>
      <c r="X453" s="220">
        <v>3.03</v>
      </c>
      <c r="Y453" s="221">
        <f t="shared" si="514"/>
        <v>1.0303</v>
      </c>
      <c r="Z453" s="199">
        <v>19</v>
      </c>
      <c r="AA453" s="221">
        <f t="shared" si="515"/>
        <v>1.7632354008841205</v>
      </c>
      <c r="AB453" s="199">
        <f t="shared" si="516"/>
        <v>439135.53982559108</v>
      </c>
      <c r="AC453">
        <v>20.2</v>
      </c>
      <c r="AD453" s="199">
        <f t="shared" si="517"/>
        <v>88705.37904476939</v>
      </c>
      <c r="AE453" s="199">
        <f t="shared" si="534"/>
        <v>84270.110092530915</v>
      </c>
      <c r="AF453" s="199">
        <f t="shared" si="497"/>
        <v>84270.110092530915</v>
      </c>
      <c r="AG453" s="614">
        <f t="shared" si="496"/>
        <v>3.8962799379634126E-3</v>
      </c>
      <c r="AH453" s="199">
        <f t="shared" si="548"/>
        <v>21956.776991279556</v>
      </c>
      <c r="AI453" s="252">
        <f t="shared" si="479"/>
        <v>1.7009582457478173E-3</v>
      </c>
      <c r="AJ453" s="199">
        <f t="shared" si="480"/>
        <v>110662.15603604895</v>
      </c>
      <c r="AK453" s="199">
        <f t="shared" si="509"/>
        <v>17565.421593023642</v>
      </c>
      <c r="AL453" s="199">
        <f t="shared" si="510"/>
        <v>17565.421593023642</v>
      </c>
      <c r="AM453" s="199">
        <f t="shared" si="481"/>
        <v>35130.843186047285</v>
      </c>
      <c r="AN453" s="645">
        <f t="shared" si="482"/>
        <v>1.7009582457478171E-3</v>
      </c>
      <c r="AO453" s="199">
        <v>11</v>
      </c>
      <c r="AP453" s="250">
        <f t="shared" si="483"/>
        <v>1.2498579706851495E-3</v>
      </c>
      <c r="AQ453" s="199">
        <v>11</v>
      </c>
      <c r="AU453" s="199">
        <v>0</v>
      </c>
      <c r="AW453" s="250">
        <f t="shared" si="484"/>
        <v>0</v>
      </c>
      <c r="AX453" s="199">
        <v>1</v>
      </c>
      <c r="AY453" s="199">
        <f t="shared" si="538"/>
        <v>32079.870930635254</v>
      </c>
      <c r="AZ453" s="199">
        <f t="shared" si="485"/>
        <v>32079.870930635254</v>
      </c>
      <c r="BA453" s="252">
        <f t="shared" si="486"/>
        <v>2.5216860314252435E-3</v>
      </c>
      <c r="BB453" s="284">
        <v>1</v>
      </c>
      <c r="BC453" s="199">
        <f t="shared" si="539"/>
        <v>63867.872912233957</v>
      </c>
      <c r="BD453" s="270">
        <f t="shared" si="511"/>
        <v>5.7517550022198136E-3</v>
      </c>
      <c r="BE453" s="199">
        <f t="shared" si="540"/>
        <v>273212.56745788973</v>
      </c>
      <c r="BF453" s="251">
        <f t="shared" si="512"/>
        <v>5.7517551300346271E-3</v>
      </c>
      <c r="BG453" s="204">
        <f t="shared" si="513"/>
        <v>337080.44037012372</v>
      </c>
      <c r="BH453" s="636">
        <v>0</v>
      </c>
      <c r="BI453" s="199">
        <f t="shared" si="487"/>
        <v>134375.47518663085</v>
      </c>
      <c r="BJ453" s="199">
        <f t="shared" si="488"/>
        <v>268750.9503732617</v>
      </c>
      <c r="BK453" s="199">
        <f t="shared" si="495"/>
        <v>403126.42555989255</v>
      </c>
      <c r="BL453" s="251">
        <f t="shared" si="489"/>
        <v>1.7009582457478169E-3</v>
      </c>
      <c r="BM453" s="199">
        <f t="shared" si="541"/>
        <v>29572.173470125756</v>
      </c>
      <c r="BN453" s="251">
        <f t="shared" si="490"/>
        <v>1.2770184182927522E-3</v>
      </c>
      <c r="BT453" s="199">
        <f>'Detailed Budget'!$AD$12</f>
        <v>194045122715</v>
      </c>
      <c r="BU453" s="199">
        <f>'Detailed Budget'!$AD$24</f>
        <v>194045122715</v>
      </c>
      <c r="BV453" s="596">
        <f t="shared" si="542"/>
        <v>0</v>
      </c>
      <c r="BW453" s="278"/>
      <c r="BX453" s="275">
        <f t="shared" si="526"/>
        <v>0</v>
      </c>
      <c r="BY453" s="275">
        <f t="shared" si="527"/>
        <v>0</v>
      </c>
      <c r="CA453" s="199">
        <f>'Detailed Budget'!$AD$96</f>
        <v>71050111380.677719</v>
      </c>
      <c r="CB453" s="275">
        <f t="shared" si="491"/>
        <v>179166073.39986274</v>
      </c>
      <c r="CE453" s="199">
        <f>'Detailed Budget'!$AD$175</f>
        <v>4330586076.5988197</v>
      </c>
      <c r="CF453" s="275">
        <f t="shared" si="543"/>
        <v>24908470.12862074</v>
      </c>
      <c r="CG453" s="199">
        <f>'Detailed Budget'!$AD$176</f>
        <v>20662817754.37001</v>
      </c>
      <c r="CH453" s="275">
        <f t="shared" si="544"/>
        <v>118847468.01966828</v>
      </c>
      <c r="CI453" s="275">
        <f t="shared" si="549"/>
        <v>143755938.14828902</v>
      </c>
      <c r="CJ453" s="275">
        <f>'Detailed Budget'!$AD$178</f>
        <v>46025131033.061455</v>
      </c>
      <c r="CK453" s="275">
        <f t="shared" si="545"/>
        <v>179326794.68625462</v>
      </c>
      <c r="CL453" s="275">
        <f t="shared" si="498"/>
        <v>323082732.83454365</v>
      </c>
      <c r="CM453" s="278">
        <f>'Detailed Budget'!$AD$189</f>
        <v>77498869683.252869</v>
      </c>
      <c r="CN453" s="275">
        <f t="shared" si="492"/>
        <v>0</v>
      </c>
      <c r="CO453" s="140">
        <f>'Detailed Budget'!$AD$191</f>
        <v>2684962805.4134097</v>
      </c>
      <c r="CP453" s="616">
        <f t="shared" si="493"/>
        <v>0</v>
      </c>
      <c r="CQ453" s="616">
        <f t="shared" si="494"/>
        <v>0</v>
      </c>
      <c r="CR453" s="199">
        <f>'Detailed Budget'!$AD$195</f>
        <v>18734176418</v>
      </c>
      <c r="CS453" s="275">
        <f t="shared" si="546"/>
        <v>23923888.337331738</v>
      </c>
      <c r="CW453" s="278"/>
      <c r="DH453" s="140">
        <f>'Detailed Budget'!$AD$163</f>
        <v>4928560000</v>
      </c>
      <c r="DI453" s="616">
        <f t="shared" si="547"/>
        <v>6160000</v>
      </c>
    </row>
    <row r="454" spans="1:113" outlineLevel="1">
      <c r="A454" s="214" t="s">
        <v>1026</v>
      </c>
      <c r="B454" s="215" t="s">
        <v>1027</v>
      </c>
      <c r="C454" s="216" t="s">
        <v>234</v>
      </c>
      <c r="D454" s="217" t="s">
        <v>234</v>
      </c>
      <c r="E454" s="216"/>
      <c r="F454" s="216"/>
      <c r="G454" s="216"/>
      <c r="H454" s="216" t="s">
        <v>234</v>
      </c>
      <c r="I454" s="217" t="s">
        <v>234</v>
      </c>
      <c r="J454" s="217"/>
      <c r="K454" s="216" t="s">
        <v>234</v>
      </c>
      <c r="L454" s="216"/>
      <c r="M454" s="217"/>
      <c r="N454" s="216"/>
      <c r="O454" s="217"/>
      <c r="P454" s="216"/>
      <c r="Q454" s="217"/>
      <c r="R454" s="217" t="s">
        <v>234</v>
      </c>
      <c r="S454" s="217"/>
      <c r="T454" s="217"/>
      <c r="U454" s="218">
        <f t="shared" si="537"/>
        <v>6</v>
      </c>
      <c r="V454" s="867" t="s">
        <v>238</v>
      </c>
      <c r="W454" s="219">
        <v>182118</v>
      </c>
      <c r="X454" s="220">
        <v>3.03</v>
      </c>
      <c r="Y454" s="221">
        <f t="shared" si="514"/>
        <v>1.0303</v>
      </c>
      <c r="Z454" s="199">
        <v>19</v>
      </c>
      <c r="AA454" s="221">
        <f t="shared" si="515"/>
        <v>1.7632354008841205</v>
      </c>
      <c r="AB454" s="199">
        <f t="shared" si="516"/>
        <v>321116.90473821427</v>
      </c>
      <c r="AC454">
        <v>20.2</v>
      </c>
      <c r="AD454" s="199">
        <f t="shared" si="517"/>
        <v>64865.614757119278</v>
      </c>
      <c r="AE454" s="199">
        <f t="shared" si="534"/>
        <v>61622.334019263311</v>
      </c>
      <c r="AF454" s="199">
        <f t="shared" si="497"/>
        <v>61622.334019263311</v>
      </c>
      <c r="AG454" s="614">
        <f t="shared" si="496"/>
        <v>2.8491461979354466E-3</v>
      </c>
      <c r="AH454" s="199">
        <f t="shared" si="548"/>
        <v>16055.845236910714</v>
      </c>
      <c r="AI454" s="252">
        <f t="shared" ref="AI454:AI517" si="550">AH454/12908475</f>
        <v>1.2438220035217726E-3</v>
      </c>
      <c r="AJ454" s="199">
        <f t="shared" si="480"/>
        <v>80921.459994029996</v>
      </c>
      <c r="AK454" s="199">
        <f t="shared" si="509"/>
        <v>12844.676189528571</v>
      </c>
      <c r="AL454" s="199">
        <f t="shared" si="510"/>
        <v>12844.676189528571</v>
      </c>
      <c r="AM454" s="199">
        <f t="shared" si="481"/>
        <v>25689.352379057142</v>
      </c>
      <c r="AN454" s="645">
        <f t="shared" si="482"/>
        <v>1.2438220035217726E-3</v>
      </c>
      <c r="AO454" s="199">
        <v>11</v>
      </c>
      <c r="AP454" s="250">
        <f t="shared" si="483"/>
        <v>1.2498579706851495E-3</v>
      </c>
      <c r="AQ454" s="199">
        <v>11</v>
      </c>
      <c r="AU454" s="199">
        <v>0</v>
      </c>
      <c r="AW454" s="250">
        <f t="shared" si="484"/>
        <v>0</v>
      </c>
      <c r="AX454" s="199">
        <v>1</v>
      </c>
      <c r="AY454" s="199">
        <f t="shared" si="538"/>
        <v>23458.335578437476</v>
      </c>
      <c r="AZ454" s="199">
        <f t="shared" si="485"/>
        <v>23458.335578437476</v>
      </c>
      <c r="BA454" s="252">
        <f t="shared" si="486"/>
        <v>1.8439774049134618E-3</v>
      </c>
      <c r="BB454" s="284">
        <v>1</v>
      </c>
      <c r="BC454" s="199">
        <f t="shared" si="539"/>
        <v>46703.24262512588</v>
      </c>
      <c r="BD454" s="270">
        <f t="shared" si="511"/>
        <v>4.2059582876369421E-3</v>
      </c>
      <c r="BE454" s="199">
        <f t="shared" si="540"/>
        <v>199786.09345192739</v>
      </c>
      <c r="BF454" s="251">
        <f t="shared" si="512"/>
        <v>4.2059583811012461E-3</v>
      </c>
      <c r="BG454" s="204">
        <f t="shared" si="513"/>
        <v>246489.33607705327</v>
      </c>
      <c r="BH454" s="636">
        <v>0</v>
      </c>
      <c r="BI454" s="199">
        <f t="shared" si="487"/>
        <v>98261.772849893576</v>
      </c>
      <c r="BJ454" s="199">
        <f t="shared" si="488"/>
        <v>196523.54569978715</v>
      </c>
      <c r="BK454" s="199">
        <f t="shared" si="495"/>
        <v>294785.31854968076</v>
      </c>
      <c r="BL454" s="251">
        <f t="shared" si="489"/>
        <v>1.2438220035217728E-3</v>
      </c>
      <c r="BM454" s="199">
        <f t="shared" si="541"/>
        <v>21624.587285465073</v>
      </c>
      <c r="BN454" s="251">
        <f t="shared" si="490"/>
        <v>9.3381693027789255E-4</v>
      </c>
      <c r="BT454" s="199">
        <f>'Detailed Budget'!$AD$12</f>
        <v>194045122715</v>
      </c>
      <c r="BU454" s="199">
        <f>'Detailed Budget'!$AD$24</f>
        <v>194045122715</v>
      </c>
      <c r="BV454" s="596">
        <f t="shared" si="542"/>
        <v>0</v>
      </c>
      <c r="BW454" s="278"/>
      <c r="BX454" s="275">
        <f t="shared" si="526"/>
        <v>0</v>
      </c>
      <c r="BY454" s="275">
        <f t="shared" si="527"/>
        <v>0</v>
      </c>
      <c r="CA454" s="199">
        <f>'Detailed Budget'!$AD$96</f>
        <v>71050111380.677719</v>
      </c>
      <c r="CB454" s="275">
        <f t="shared" si="491"/>
        <v>131014800.00255452</v>
      </c>
      <c r="CE454" s="199">
        <f>'Detailed Budget'!$AD$175</f>
        <v>4330586076.5988197</v>
      </c>
      <c r="CF454" s="275">
        <f t="shared" si="543"/>
        <v>18214264.399195954</v>
      </c>
      <c r="CG454" s="199">
        <f>'Detailed Budget'!$AD$176</f>
        <v>20662817754.37001</v>
      </c>
      <c r="CH454" s="275">
        <f t="shared" si="544"/>
        <v>86906951.51116018</v>
      </c>
      <c r="CI454" s="275">
        <f t="shared" si="549"/>
        <v>105121215.91035613</v>
      </c>
      <c r="CJ454" s="275">
        <f>'Detailed Budget'!$AD$178</f>
        <v>46025131033.061455</v>
      </c>
      <c r="CK454" s="275">
        <f t="shared" si="545"/>
        <v>131132327.09232777</v>
      </c>
      <c r="CL454" s="275">
        <f t="shared" si="498"/>
        <v>236253543.00268391</v>
      </c>
      <c r="CM454" s="278">
        <f>'Detailed Budget'!$AD$189</f>
        <v>77498869683.252869</v>
      </c>
      <c r="CN454" s="275">
        <f t="shared" si="492"/>
        <v>0</v>
      </c>
      <c r="CO454" s="140">
        <f>'Detailed Budget'!$AD$191</f>
        <v>2684962805.4134097</v>
      </c>
      <c r="CP454" s="616">
        <f t="shared" si="493"/>
        <v>0</v>
      </c>
      <c r="CQ454" s="616">
        <f t="shared" si="494"/>
        <v>0</v>
      </c>
      <c r="CR454" s="199">
        <f>'Detailed Budget'!$AD$195</f>
        <v>18734176418</v>
      </c>
      <c r="CS454" s="275">
        <f t="shared" si="546"/>
        <v>17494291.113941245</v>
      </c>
      <c r="CW454" s="278"/>
      <c r="DH454" s="140">
        <f>'Detailed Budget'!$AD$163</f>
        <v>4928560000</v>
      </c>
      <c r="DI454" s="616">
        <f t="shared" si="547"/>
        <v>6160000</v>
      </c>
    </row>
    <row r="455" spans="1:113" outlineLevel="1">
      <c r="A455" s="214" t="s">
        <v>1028</v>
      </c>
      <c r="B455" s="215" t="s">
        <v>1029</v>
      </c>
      <c r="C455" s="216" t="s">
        <v>234</v>
      </c>
      <c r="D455" s="217" t="s">
        <v>234</v>
      </c>
      <c r="E455" s="216"/>
      <c r="F455" s="216"/>
      <c r="G455" s="216"/>
      <c r="H455" s="216" t="s">
        <v>234</v>
      </c>
      <c r="I455" s="217" t="s">
        <v>234</v>
      </c>
      <c r="J455" s="217"/>
      <c r="K455" s="216" t="s">
        <v>234</v>
      </c>
      <c r="L455" s="216"/>
      <c r="M455" s="217"/>
      <c r="N455" s="216"/>
      <c r="O455" s="217"/>
      <c r="P455" s="216"/>
      <c r="Q455" s="217"/>
      <c r="R455" s="217" t="s">
        <v>234</v>
      </c>
      <c r="S455" s="217"/>
      <c r="T455" s="217"/>
      <c r="U455" s="218">
        <f t="shared" si="537"/>
        <v>6</v>
      </c>
      <c r="V455" s="867" t="s">
        <v>238</v>
      </c>
      <c r="W455" s="219">
        <v>95400</v>
      </c>
      <c r="X455" s="220">
        <v>3.03</v>
      </c>
      <c r="Y455" s="221">
        <f t="shared" si="514"/>
        <v>1.0303</v>
      </c>
      <c r="Z455" s="199">
        <v>19</v>
      </c>
      <c r="AA455" s="221">
        <f t="shared" si="515"/>
        <v>1.7632354008841205</v>
      </c>
      <c r="AB455" s="199">
        <f t="shared" ref="AB455:AB488" si="551">W455*AA455</f>
        <v>168212.65724434509</v>
      </c>
      <c r="AC455">
        <v>20.2</v>
      </c>
      <c r="AD455" s="199">
        <f t="shared" ref="AD455:AD488" si="552">AB455*AC455/100</f>
        <v>33978.95676335771</v>
      </c>
      <c r="AE455" s="199">
        <f t="shared" si="534"/>
        <v>32280.008925189824</v>
      </c>
      <c r="AF455" s="199">
        <f t="shared" si="497"/>
        <v>32280.008925189824</v>
      </c>
      <c r="AG455" s="614">
        <f t="shared" si="496"/>
        <v>1.4924859008062993E-3</v>
      </c>
      <c r="AH455" s="199">
        <f t="shared" si="548"/>
        <v>8410.632862217255</v>
      </c>
      <c r="AI455" s="252">
        <f t="shared" si="550"/>
        <v>6.5155898448246246E-4</v>
      </c>
      <c r="AJ455" s="199">
        <f t="shared" ref="AJ455:AJ518" si="553">AD455+AH455</f>
        <v>42389.589625574969</v>
      </c>
      <c r="AK455" s="199">
        <f t="shared" si="509"/>
        <v>6728.5062897738035</v>
      </c>
      <c r="AL455" s="199">
        <f t="shared" si="510"/>
        <v>6728.5062897738035</v>
      </c>
      <c r="AM455" s="199">
        <f t="shared" ref="AM455:AM518" si="554">AK455+AL455</f>
        <v>13457.012579547607</v>
      </c>
      <c r="AN455" s="645">
        <f t="shared" ref="AN455:AN518" si="555">AM455/20653560</f>
        <v>6.5155898448246246E-4</v>
      </c>
      <c r="AO455" s="199">
        <v>10</v>
      </c>
      <c r="AP455" s="250">
        <f t="shared" ref="AP455:AP518" si="556">AO455/8801</f>
        <v>1.1362345188046814E-3</v>
      </c>
      <c r="AQ455" s="199">
        <v>10</v>
      </c>
      <c r="AU455" s="199">
        <v>0</v>
      </c>
      <c r="AW455" s="250">
        <f t="shared" ref="AW455:AW518" si="557">AV455/34743979</f>
        <v>0</v>
      </c>
      <c r="AX455" s="199">
        <v>1</v>
      </c>
      <c r="AY455" s="199">
        <f t="shared" si="538"/>
        <v>12288.325229702366</v>
      </c>
      <c r="AZ455" s="199">
        <f t="shared" ref="AZ455:AZ518" si="558">AX455*AY455</f>
        <v>12288.325229702366</v>
      </c>
      <c r="BA455" s="252">
        <f t="shared" ref="BA455:BA518" si="559">AZ455/12721596</f>
        <v>9.6594210582558713E-4</v>
      </c>
      <c r="BB455" s="284">
        <v>1</v>
      </c>
      <c r="BC455" s="199">
        <f t="shared" si="539"/>
        <v>24464.848869617552</v>
      </c>
      <c r="BD455" s="270">
        <f t="shared" si="511"/>
        <v>2.203233182005976E-3</v>
      </c>
      <c r="BE455" s="199">
        <f t="shared" si="540"/>
        <v>104655.18683114175</v>
      </c>
      <c r="BF455" s="251">
        <f t="shared" si="512"/>
        <v>2.203233230965961E-3</v>
      </c>
      <c r="BG455" s="204">
        <f t="shared" si="513"/>
        <v>129120.0357007593</v>
      </c>
      <c r="BH455" s="636">
        <v>0</v>
      </c>
      <c r="BI455" s="199">
        <f t="shared" ref="BI455:BI518" si="560">AK455*0.85*0.75*12</f>
        <v>51473.073116769592</v>
      </c>
      <c r="BJ455" s="199">
        <f t="shared" ref="BJ455:BJ518" si="561">AL455*0.85*0.75*2*12</f>
        <v>102946.14623353918</v>
      </c>
      <c r="BK455" s="199">
        <f t="shared" si="495"/>
        <v>154419.21935030876</v>
      </c>
      <c r="BL455" s="251">
        <f t="shared" ref="BL455:BL518" si="562">BK455/236999601</f>
        <v>6.5155898448246235E-4</v>
      </c>
      <c r="BM455" s="199">
        <f t="shared" si="541"/>
        <v>11327.741502945168</v>
      </c>
      <c r="BN455" s="251">
        <f t="shared" ref="BN455:BN518" si="563">BM455/23157202</f>
        <v>4.8916710675776668E-4</v>
      </c>
      <c r="BT455" s="199">
        <f>'Detailed Budget'!$AD$12</f>
        <v>194045122715</v>
      </c>
      <c r="BU455" s="199">
        <f>'Detailed Budget'!$AD$24</f>
        <v>194045122715</v>
      </c>
      <c r="BV455" s="596">
        <f t="shared" si="542"/>
        <v>0</v>
      </c>
      <c r="BW455" s="278"/>
      <c r="BX455" s="275">
        <f t="shared" si="526"/>
        <v>0</v>
      </c>
      <c r="BY455" s="275">
        <f t="shared" si="527"/>
        <v>0</v>
      </c>
      <c r="CA455" s="199">
        <f>'Detailed Budget'!$AD$96</f>
        <v>71050111380.677719</v>
      </c>
      <c r="CB455" s="275">
        <f t="shared" ref="CB455:CB518" si="564">BA455*CA455</f>
        <v>68630294.206194356</v>
      </c>
      <c r="CE455" s="199">
        <f>'Detailed Budget'!$AD$175</f>
        <v>4330586076.5988197</v>
      </c>
      <c r="CF455" s="275">
        <f t="shared" si="543"/>
        <v>9541290.9414955936</v>
      </c>
      <c r="CG455" s="199">
        <f>'Detailed Budget'!$AD$176</f>
        <v>20662817754.37001</v>
      </c>
      <c r="CH455" s="275">
        <f t="shared" si="544"/>
        <v>45525006.721821457</v>
      </c>
      <c r="CI455" s="275">
        <f t="shared" si="549"/>
        <v>55066297.663317055</v>
      </c>
      <c r="CJ455" s="275">
        <f>'Detailed Budget'!$AD$178</f>
        <v>46025131033.061455</v>
      </c>
      <c r="CK455" s="275">
        <f t="shared" si="545"/>
        <v>68691859.14960669</v>
      </c>
      <c r="CL455" s="275">
        <f t="shared" si="498"/>
        <v>123758156.81292374</v>
      </c>
      <c r="CM455" s="278">
        <f>'Detailed Budget'!$AD$189</f>
        <v>77498869683.252869</v>
      </c>
      <c r="CN455" s="275">
        <f t="shared" ref="CN455:CN518" si="565">BH455*BL455*CM455</f>
        <v>0</v>
      </c>
      <c r="CO455" s="140">
        <f>'Detailed Budget'!$AD$191</f>
        <v>2684962805.4134097</v>
      </c>
      <c r="CP455" s="616">
        <f t="shared" ref="CP455:CP518" si="566">BH455*AN455*CO455</f>
        <v>0</v>
      </c>
      <c r="CQ455" s="616">
        <f t="shared" ref="CQ455:CQ518" si="567">CN455+CP455</f>
        <v>0</v>
      </c>
      <c r="CR455" s="199">
        <f>'Detailed Budget'!$AD$195</f>
        <v>18734176418</v>
      </c>
      <c r="CS455" s="275">
        <f t="shared" si="546"/>
        <v>9164142.8758826405</v>
      </c>
      <c r="CW455" s="278"/>
      <c r="DH455" s="140">
        <f>'Detailed Budget'!$AD$163</f>
        <v>4928560000</v>
      </c>
      <c r="DI455" s="616">
        <f t="shared" si="547"/>
        <v>5600000</v>
      </c>
    </row>
    <row r="456" spans="1:113" outlineLevel="1">
      <c r="A456" s="214" t="s">
        <v>1030</v>
      </c>
      <c r="B456" s="215" t="s">
        <v>1031</v>
      </c>
      <c r="C456" s="216" t="s">
        <v>234</v>
      </c>
      <c r="D456" s="217" t="s">
        <v>234</v>
      </c>
      <c r="E456" s="216"/>
      <c r="F456" s="216"/>
      <c r="G456" s="216"/>
      <c r="H456" s="216" t="s">
        <v>234</v>
      </c>
      <c r="I456" s="217" t="s">
        <v>234</v>
      </c>
      <c r="J456" s="217"/>
      <c r="K456" s="216" t="s">
        <v>234</v>
      </c>
      <c r="L456" s="216"/>
      <c r="M456" s="217"/>
      <c r="N456" s="216"/>
      <c r="O456" s="217"/>
      <c r="P456" s="216"/>
      <c r="Q456" s="217"/>
      <c r="R456" s="217" t="s">
        <v>234</v>
      </c>
      <c r="S456" s="217"/>
      <c r="T456" s="217"/>
      <c r="U456" s="218">
        <f t="shared" si="537"/>
        <v>6</v>
      </c>
      <c r="V456" s="867" t="s">
        <v>238</v>
      </c>
      <c r="W456" s="219">
        <v>231569</v>
      </c>
      <c r="X456" s="220">
        <v>3.03</v>
      </c>
      <c r="Y456" s="221">
        <f t="shared" si="514"/>
        <v>1.0303</v>
      </c>
      <c r="Z456" s="199">
        <v>19</v>
      </c>
      <c r="AA456" s="221">
        <f t="shared" si="515"/>
        <v>1.7632354008841205</v>
      </c>
      <c r="AB456" s="199">
        <f t="shared" si="551"/>
        <v>408310.6585473349</v>
      </c>
      <c r="AC456">
        <v>20.2</v>
      </c>
      <c r="AD456" s="199">
        <f t="shared" si="552"/>
        <v>82478.753026561637</v>
      </c>
      <c r="AE456" s="199">
        <f t="shared" si="534"/>
        <v>78354.815375233549</v>
      </c>
      <c r="AF456" s="199">
        <f t="shared" si="497"/>
        <v>78354.815375233549</v>
      </c>
      <c r="AG456" s="614">
        <f t="shared" si="496"/>
        <v>3.6227826788659732E-3</v>
      </c>
      <c r="AH456" s="199">
        <f t="shared" si="548"/>
        <v>20415.532927366745</v>
      </c>
      <c r="AI456" s="252">
        <f t="shared" si="550"/>
        <v>1.5815604033293433E-3</v>
      </c>
      <c r="AJ456" s="199">
        <f t="shared" si="553"/>
        <v>102894.28595392838</v>
      </c>
      <c r="AK456" s="199">
        <f t="shared" si="509"/>
        <v>16332.426341893397</v>
      </c>
      <c r="AL456" s="199">
        <f t="shared" si="510"/>
        <v>16332.426341893397</v>
      </c>
      <c r="AM456" s="199">
        <f t="shared" si="554"/>
        <v>32664.852683786794</v>
      </c>
      <c r="AN456" s="645">
        <f t="shared" si="555"/>
        <v>1.5815604033293433E-3</v>
      </c>
      <c r="AO456" s="199">
        <v>11</v>
      </c>
      <c r="AP456" s="250">
        <f t="shared" si="556"/>
        <v>1.2498579706851495E-3</v>
      </c>
      <c r="AQ456" s="199">
        <v>11</v>
      </c>
      <c r="AU456" s="199">
        <v>0</v>
      </c>
      <c r="AW456" s="250">
        <f t="shared" si="557"/>
        <v>0</v>
      </c>
      <c r="AX456" s="199">
        <v>1</v>
      </c>
      <c r="AY456" s="199">
        <f t="shared" si="538"/>
        <v>29828.041772714325</v>
      </c>
      <c r="AZ456" s="199">
        <f t="shared" si="558"/>
        <v>29828.041772714325</v>
      </c>
      <c r="BA456" s="252">
        <f t="shared" si="559"/>
        <v>2.3446776467916704E-3</v>
      </c>
      <c r="BB456" s="284">
        <v>1</v>
      </c>
      <c r="BC456" s="199">
        <f t="shared" si="539"/>
        <v>59384.702179124375</v>
      </c>
      <c r="BD456" s="270">
        <f t="shared" si="511"/>
        <v>5.3480136763515906E-3</v>
      </c>
      <c r="BE456" s="199">
        <f t="shared" si="540"/>
        <v>254034.55932180985</v>
      </c>
      <c r="BF456" s="251">
        <f t="shared" si="512"/>
        <v>5.3480137951945131E-3</v>
      </c>
      <c r="BG456" s="204">
        <f t="shared" si="513"/>
        <v>313419.26150093426</v>
      </c>
      <c r="BH456" s="636">
        <v>0</v>
      </c>
      <c r="BI456" s="199">
        <f t="shared" si="560"/>
        <v>124943.06151548449</v>
      </c>
      <c r="BJ456" s="199">
        <f t="shared" si="561"/>
        <v>249886.12303096897</v>
      </c>
      <c r="BK456" s="199">
        <f t="shared" ref="BK456:BK519" si="568">BI456+BJ456</f>
        <v>374829.18454645347</v>
      </c>
      <c r="BL456" s="251">
        <f t="shared" si="562"/>
        <v>1.5815604033293435E-3</v>
      </c>
      <c r="BM456" s="199">
        <f t="shared" si="541"/>
        <v>27496.370776682492</v>
      </c>
      <c r="BN456" s="251">
        <f t="shared" si="563"/>
        <v>1.1873788023562817E-3</v>
      </c>
      <c r="BT456" s="199">
        <f>'Detailed Budget'!$AD$12</f>
        <v>194045122715</v>
      </c>
      <c r="BU456" s="199">
        <f>'Detailed Budget'!$AD$24</f>
        <v>194045122715</v>
      </c>
      <c r="BV456" s="596">
        <f t="shared" si="542"/>
        <v>0</v>
      </c>
      <c r="BW456" s="278"/>
      <c r="BX456" s="275">
        <f t="shared" si="526"/>
        <v>0</v>
      </c>
      <c r="BY456" s="275">
        <f t="shared" si="527"/>
        <v>0</v>
      </c>
      <c r="CA456" s="199">
        <f>'Detailed Budget'!$AD$96</f>
        <v>71050111380.677719</v>
      </c>
      <c r="CB456" s="275">
        <f t="shared" si="564"/>
        <v>166589607.95633352</v>
      </c>
      <c r="CE456" s="199">
        <f>'Detailed Budget'!$AD$175</f>
        <v>4330586076.5988197</v>
      </c>
      <c r="CF456" s="275">
        <f t="shared" si="543"/>
        <v>23160033.564268265</v>
      </c>
      <c r="CG456" s="199">
        <f>'Detailed Budget'!$AD$176</f>
        <v>20662817754.37001</v>
      </c>
      <c r="CH456" s="275">
        <f t="shared" si="544"/>
        <v>110505034.39796093</v>
      </c>
      <c r="CI456" s="275">
        <f t="shared" si="549"/>
        <v>133665067.96222919</v>
      </c>
      <c r="CJ456" s="275">
        <f>'Detailed Budget'!$AD$178</f>
        <v>46025131033.061455</v>
      </c>
      <c r="CK456" s="275">
        <f t="shared" si="545"/>
        <v>166739047.4991118</v>
      </c>
      <c r="CL456" s="275">
        <f t="shared" si="498"/>
        <v>300404115.46134102</v>
      </c>
      <c r="CM456" s="278">
        <f>'Detailed Budget'!$AD$189</f>
        <v>77498869683.252869</v>
      </c>
      <c r="CN456" s="275">
        <f t="shared" si="565"/>
        <v>0</v>
      </c>
      <c r="CO456" s="140">
        <f>'Detailed Budget'!$AD$191</f>
        <v>2684962805.4134097</v>
      </c>
      <c r="CP456" s="616">
        <f t="shared" si="566"/>
        <v>0</v>
      </c>
      <c r="CQ456" s="616">
        <f t="shared" si="567"/>
        <v>0</v>
      </c>
      <c r="CR456" s="199">
        <f>'Detailed Budget'!$AD$195</f>
        <v>18734176418</v>
      </c>
      <c r="CS456" s="275">
        <f t="shared" si="546"/>
        <v>22244563.958336134</v>
      </c>
      <c r="CW456" s="278"/>
      <c r="DH456" s="140">
        <f>'Detailed Budget'!$AD$163</f>
        <v>4928560000</v>
      </c>
      <c r="DI456" s="616">
        <f t="shared" si="547"/>
        <v>6160000</v>
      </c>
    </row>
    <row r="457" spans="1:113" outlineLevel="1">
      <c r="A457" s="214" t="s">
        <v>1032</v>
      </c>
      <c r="B457" s="215" t="s">
        <v>1033</v>
      </c>
      <c r="C457" s="216" t="s">
        <v>234</v>
      </c>
      <c r="D457" s="217" t="s">
        <v>234</v>
      </c>
      <c r="E457" s="216"/>
      <c r="F457" s="216"/>
      <c r="G457" s="216"/>
      <c r="H457" s="216" t="s">
        <v>234</v>
      </c>
      <c r="I457" s="217" t="s">
        <v>234</v>
      </c>
      <c r="J457" s="217"/>
      <c r="K457" s="216" t="s">
        <v>234</v>
      </c>
      <c r="L457" s="216"/>
      <c r="M457" s="217"/>
      <c r="N457" s="216"/>
      <c r="O457" s="217"/>
      <c r="P457" s="216"/>
      <c r="Q457" s="217"/>
      <c r="R457" s="217" t="s">
        <v>234</v>
      </c>
      <c r="S457" s="217"/>
      <c r="T457" s="217"/>
      <c r="U457" s="218">
        <f t="shared" si="537"/>
        <v>6</v>
      </c>
      <c r="V457" s="867" t="s">
        <v>238</v>
      </c>
      <c r="W457" s="219">
        <v>150133</v>
      </c>
      <c r="X457" s="220">
        <v>3.03</v>
      </c>
      <c r="Y457" s="221">
        <f t="shared" si="514"/>
        <v>1.0303</v>
      </c>
      <c r="Z457" s="199">
        <v>19</v>
      </c>
      <c r="AA457" s="221">
        <f t="shared" si="515"/>
        <v>1.7632354008841205</v>
      </c>
      <c r="AB457" s="199">
        <f t="shared" si="551"/>
        <v>264719.82044093567</v>
      </c>
      <c r="AC457">
        <v>20.2</v>
      </c>
      <c r="AD457" s="199">
        <f t="shared" si="552"/>
        <v>53473.403729069003</v>
      </c>
      <c r="AE457" s="199">
        <f t="shared" si="534"/>
        <v>50799.733542615548</v>
      </c>
      <c r="AF457" s="199">
        <f t="shared" si="497"/>
        <v>50799.733542615548</v>
      </c>
      <c r="AG457" s="614">
        <f t="shared" ref="AG457:AG520" si="569">AE457/21628351</f>
        <v>2.3487566640015942E-3</v>
      </c>
      <c r="AH457" s="199">
        <f t="shared" si="548"/>
        <v>13235.991022046785</v>
      </c>
      <c r="AI457" s="252">
        <f t="shared" si="550"/>
        <v>1.0253721699927207E-3</v>
      </c>
      <c r="AJ457" s="199">
        <f t="shared" si="553"/>
        <v>66709.394751115789</v>
      </c>
      <c r="AK457" s="199">
        <f t="shared" si="509"/>
        <v>10588.792817637426</v>
      </c>
      <c r="AL457" s="199">
        <f t="shared" si="510"/>
        <v>10588.792817637426</v>
      </c>
      <c r="AM457" s="199">
        <f t="shared" si="554"/>
        <v>21177.585635274852</v>
      </c>
      <c r="AN457" s="645">
        <f t="shared" si="555"/>
        <v>1.0253721699927205E-3</v>
      </c>
      <c r="AO457" s="199">
        <v>11</v>
      </c>
      <c r="AP457" s="250">
        <f t="shared" si="556"/>
        <v>1.2498579706851495E-3</v>
      </c>
      <c r="AQ457" s="199">
        <v>11</v>
      </c>
      <c r="AU457" s="199">
        <v>0</v>
      </c>
      <c r="AW457" s="250">
        <f t="shared" si="557"/>
        <v>0</v>
      </c>
      <c r="AX457" s="199">
        <v>1</v>
      </c>
      <c r="AY457" s="199">
        <f t="shared" si="538"/>
        <v>19338.397607032548</v>
      </c>
      <c r="AZ457" s="199">
        <f t="shared" si="558"/>
        <v>19338.397607032548</v>
      </c>
      <c r="BA457" s="252">
        <f t="shared" si="559"/>
        <v>1.5201235447999252E-3</v>
      </c>
      <c r="BB457" s="284">
        <v>1</v>
      </c>
      <c r="BC457" s="199">
        <f t="shared" si="539"/>
        <v>38500.850684929683</v>
      </c>
      <c r="BD457" s="270">
        <f t="shared" si="511"/>
        <v>3.4672747097914381E-3</v>
      </c>
      <c r="BE457" s="199">
        <f t="shared" si="540"/>
        <v>164698.08348553252</v>
      </c>
      <c r="BF457" s="251">
        <f t="shared" si="512"/>
        <v>3.4672747868408028E-3</v>
      </c>
      <c r="BG457" s="204">
        <f t="shared" si="513"/>
        <v>203198.93417046219</v>
      </c>
      <c r="BH457" s="636">
        <v>0</v>
      </c>
      <c r="BI457" s="199">
        <f t="shared" si="560"/>
        <v>81004.265054926305</v>
      </c>
      <c r="BJ457" s="199">
        <f t="shared" si="561"/>
        <v>162008.53010985261</v>
      </c>
      <c r="BK457" s="199">
        <f t="shared" si="568"/>
        <v>243012.79516477892</v>
      </c>
      <c r="BL457" s="251">
        <f t="shared" si="562"/>
        <v>1.0253721699927205E-3</v>
      </c>
      <c r="BM457" s="199">
        <f t="shared" si="541"/>
        <v>17826.706656830891</v>
      </c>
      <c r="BN457" s="251">
        <f t="shared" si="563"/>
        <v>7.6981263353106694E-4</v>
      </c>
      <c r="BT457" s="199">
        <f>'Detailed Budget'!$AD$12</f>
        <v>194045122715</v>
      </c>
      <c r="BU457" s="199">
        <f>'Detailed Budget'!$AD$24</f>
        <v>194045122715</v>
      </c>
      <c r="BV457" s="596">
        <f t="shared" si="542"/>
        <v>0</v>
      </c>
      <c r="BW457" s="278"/>
      <c r="BX457" s="275">
        <f t="shared" si="526"/>
        <v>0</v>
      </c>
      <c r="BY457" s="275">
        <f t="shared" si="527"/>
        <v>0</v>
      </c>
      <c r="CA457" s="199">
        <f>'Detailed Budget'!$AD$96</f>
        <v>71050111380.677719</v>
      </c>
      <c r="CB457" s="275">
        <f t="shared" si="564"/>
        <v>108004947.17042533</v>
      </c>
      <c r="CE457" s="199">
        <f>'Detailed Budget'!$AD$175</f>
        <v>4330586076.5988197</v>
      </c>
      <c r="CF457" s="275">
        <f t="shared" si="543"/>
        <v>15015331.581966015</v>
      </c>
      <c r="CG457" s="199">
        <f>'Detailed Budget'!$AD$176</f>
        <v>20662817754.37001</v>
      </c>
      <c r="CH457" s="275">
        <f t="shared" si="544"/>
        <v>71643667.024813637</v>
      </c>
      <c r="CI457" s="275">
        <f t="shared" si="549"/>
        <v>86658998.60677965</v>
      </c>
      <c r="CJ457" s="275">
        <f>'Detailed Budget'!$AD$178</f>
        <v>46025131033.061455</v>
      </c>
      <c r="CK457" s="275">
        <f t="shared" si="545"/>
        <v>108101833.22544967</v>
      </c>
      <c r="CL457" s="275">
        <f t="shared" si="498"/>
        <v>194760831.83222932</v>
      </c>
      <c r="CM457" s="278">
        <f>'Detailed Budget'!$AD$189</f>
        <v>77498869683.252869</v>
      </c>
      <c r="CN457" s="275">
        <f t="shared" si="565"/>
        <v>0</v>
      </c>
      <c r="CO457" s="140">
        <f>'Detailed Budget'!$AD$191</f>
        <v>2684962805.4134097</v>
      </c>
      <c r="CP457" s="616">
        <f t="shared" si="566"/>
        <v>0</v>
      </c>
      <c r="CQ457" s="616">
        <f t="shared" si="567"/>
        <v>0</v>
      </c>
      <c r="CR457" s="199">
        <f>'Detailed Budget'!$AD$195</f>
        <v>18734176418</v>
      </c>
      <c r="CS457" s="275">
        <f t="shared" si="546"/>
        <v>14421805.68537619</v>
      </c>
      <c r="CW457" s="278"/>
      <c r="DH457" s="140">
        <f>'Detailed Budget'!$AD$163</f>
        <v>4928560000</v>
      </c>
      <c r="DI457" s="616">
        <f t="shared" si="547"/>
        <v>6160000</v>
      </c>
    </row>
    <row r="458" spans="1:113" outlineLevel="1">
      <c r="A458" s="214" t="s">
        <v>1034</v>
      </c>
      <c r="B458" s="215" t="s">
        <v>1035</v>
      </c>
      <c r="C458" s="216" t="s">
        <v>234</v>
      </c>
      <c r="D458" s="217" t="s">
        <v>234</v>
      </c>
      <c r="E458" s="216"/>
      <c r="F458" s="216"/>
      <c r="G458" s="216"/>
      <c r="H458" s="216" t="s">
        <v>234</v>
      </c>
      <c r="I458" s="217" t="s">
        <v>234</v>
      </c>
      <c r="J458" s="217"/>
      <c r="K458" s="216" t="s">
        <v>234</v>
      </c>
      <c r="L458" s="216"/>
      <c r="M458" s="217"/>
      <c r="N458" s="216"/>
      <c r="O458" s="217"/>
      <c r="P458" s="216"/>
      <c r="Q458" s="217"/>
      <c r="R458" s="217" t="s">
        <v>234</v>
      </c>
      <c r="S458" s="217" t="s">
        <v>234</v>
      </c>
      <c r="T458" s="217"/>
      <c r="U458" s="218">
        <f t="shared" si="537"/>
        <v>7</v>
      </c>
      <c r="V458" s="867" t="s">
        <v>418</v>
      </c>
      <c r="W458" s="219">
        <v>150268</v>
      </c>
      <c r="X458" s="220">
        <v>3.03</v>
      </c>
      <c r="Y458" s="221">
        <f t="shared" si="514"/>
        <v>1.0303</v>
      </c>
      <c r="Z458" s="199">
        <v>19</v>
      </c>
      <c r="AA458" s="221">
        <f t="shared" si="515"/>
        <v>1.7632354008841205</v>
      </c>
      <c r="AB458" s="199">
        <f t="shared" si="551"/>
        <v>264957.85722005501</v>
      </c>
      <c r="AC458">
        <v>20.2</v>
      </c>
      <c r="AD458" s="199">
        <f t="shared" si="552"/>
        <v>53521.487158451106</v>
      </c>
      <c r="AE458" s="199">
        <f t="shared" si="534"/>
        <v>50845.412800528546</v>
      </c>
      <c r="AF458" s="199">
        <f t="shared" si="497"/>
        <v>50845.412800528546</v>
      </c>
      <c r="AG458" s="614">
        <f t="shared" si="569"/>
        <v>2.3508686723517917E-3</v>
      </c>
      <c r="AH458" s="199">
        <f t="shared" si="548"/>
        <v>13247.892861002751</v>
      </c>
      <c r="AI458" s="252">
        <f t="shared" si="550"/>
        <v>1.0262941874235919E-3</v>
      </c>
      <c r="AJ458" s="199">
        <f t="shared" si="553"/>
        <v>66769.380019453849</v>
      </c>
      <c r="AK458" s="199">
        <f t="shared" si="509"/>
        <v>10598.314288802201</v>
      </c>
      <c r="AL458" s="199">
        <f t="shared" si="510"/>
        <v>10598.314288802201</v>
      </c>
      <c r="AM458" s="199">
        <f t="shared" si="554"/>
        <v>21196.628577604402</v>
      </c>
      <c r="AN458" s="645">
        <f t="shared" si="555"/>
        <v>1.0262941874235919E-3</v>
      </c>
      <c r="AO458" s="199">
        <v>10</v>
      </c>
      <c r="AP458" s="250">
        <f t="shared" si="556"/>
        <v>1.1362345188046814E-3</v>
      </c>
      <c r="AQ458" s="199">
        <v>10</v>
      </c>
      <c r="AU458" s="199">
        <v>0</v>
      </c>
      <c r="AW458" s="250">
        <f t="shared" si="557"/>
        <v>0</v>
      </c>
      <c r="AX458" s="199">
        <v>1</v>
      </c>
      <c r="AY458" s="199">
        <f t="shared" si="538"/>
        <v>19355.786746508536</v>
      </c>
      <c r="AZ458" s="199">
        <f t="shared" si="558"/>
        <v>19355.786746508536</v>
      </c>
      <c r="BA458" s="252">
        <f t="shared" si="559"/>
        <v>1.5214904440062817E-3</v>
      </c>
      <c r="BB458" s="284">
        <v>1</v>
      </c>
      <c r="BC458" s="199">
        <f t="shared" si="539"/>
        <v>38535.470754084796</v>
      </c>
      <c r="BD458" s="270">
        <f t="shared" si="511"/>
        <v>3.4703924925961627E-3</v>
      </c>
      <c r="BE458" s="199">
        <f t="shared" si="540"/>
        <v>164846.18044802942</v>
      </c>
      <c r="BF458" s="251">
        <f t="shared" si="512"/>
        <v>3.470392569714811E-3</v>
      </c>
      <c r="BG458" s="204">
        <f t="shared" si="513"/>
        <v>203381.65120211421</v>
      </c>
      <c r="BH458" s="636">
        <v>0</v>
      </c>
      <c r="BI458" s="199">
        <f t="shared" si="560"/>
        <v>81077.104309336835</v>
      </c>
      <c r="BJ458" s="199">
        <f t="shared" si="561"/>
        <v>162154.20861867367</v>
      </c>
      <c r="BK458" s="199">
        <f t="shared" si="568"/>
        <v>243231.31292801051</v>
      </c>
      <c r="BL458" s="251">
        <f t="shared" si="562"/>
        <v>1.0262941874235919E-3</v>
      </c>
      <c r="BM458" s="199">
        <f t="shared" si="541"/>
        <v>17842.736479712414</v>
      </c>
      <c r="BN458" s="251">
        <f t="shared" si="563"/>
        <v>7.7050485113496934E-4</v>
      </c>
      <c r="BT458" s="199">
        <f>'Detailed Budget'!$AD$12</f>
        <v>194045122715</v>
      </c>
      <c r="BU458" s="199">
        <f>'Detailed Budget'!$AD$24</f>
        <v>194045122715</v>
      </c>
      <c r="BV458" s="596">
        <f t="shared" si="542"/>
        <v>0</v>
      </c>
      <c r="BW458" s="278"/>
      <c r="BX458" s="275">
        <f t="shared" si="526"/>
        <v>0</v>
      </c>
      <c r="BY458" s="275">
        <f t="shared" si="527"/>
        <v>0</v>
      </c>
      <c r="CA458" s="199">
        <f>'Detailed Budget'!$AD$96</f>
        <v>71050111380.677719</v>
      </c>
      <c r="CB458" s="275">
        <f t="shared" si="564"/>
        <v>108102065.51128311</v>
      </c>
      <c r="CE458" s="199">
        <f>'Detailed Budget'!$AD$175</f>
        <v>4330586076.5988197</v>
      </c>
      <c r="CF458" s="275">
        <f t="shared" si="543"/>
        <v>15028833.408770015</v>
      </c>
      <c r="CG458" s="199">
        <f>'Detailed Budget'!$AD$176</f>
        <v>20662817754.37001</v>
      </c>
      <c r="CH458" s="275">
        <f t="shared" si="544"/>
        <v>71708089.204136968</v>
      </c>
      <c r="CI458" s="275">
        <f t="shared" si="549"/>
        <v>86736922.612906978</v>
      </c>
      <c r="CJ458" s="275">
        <f>'Detailed Budget'!$AD$178</f>
        <v>46025131033.061455</v>
      </c>
      <c r="CK458" s="275">
        <f t="shared" si="545"/>
        <v>108199038.68651043</v>
      </c>
      <c r="CL458" s="275">
        <f t="shared" si="498"/>
        <v>194935961.29941741</v>
      </c>
      <c r="CM458" s="278">
        <f>'Detailed Budget'!$AD$189</f>
        <v>77498869683.252869</v>
      </c>
      <c r="CN458" s="275">
        <f t="shared" si="565"/>
        <v>0</v>
      </c>
      <c r="CO458" s="140">
        <f>'Detailed Budget'!$AD$191</f>
        <v>2684962805.4134097</v>
      </c>
      <c r="CP458" s="616">
        <f t="shared" si="566"/>
        <v>0</v>
      </c>
      <c r="CQ458" s="616">
        <f t="shared" si="567"/>
        <v>0</v>
      </c>
      <c r="CR458" s="199">
        <f>'Detailed Budget'!$AD$195</f>
        <v>18734176418</v>
      </c>
      <c r="CS458" s="275">
        <f t="shared" si="546"/>
        <v>14434773.812087344</v>
      </c>
      <c r="CW458" s="278"/>
      <c r="DH458" s="140">
        <f>'Detailed Budget'!$AD$163</f>
        <v>4928560000</v>
      </c>
      <c r="DI458" s="616">
        <f t="shared" si="547"/>
        <v>5600000</v>
      </c>
    </row>
    <row r="459" spans="1:113" outlineLevel="1">
      <c r="A459" s="214" t="s">
        <v>1036</v>
      </c>
      <c r="B459" s="215" t="s">
        <v>1037</v>
      </c>
      <c r="C459" s="216" t="s">
        <v>234</v>
      </c>
      <c r="D459" s="217" t="s">
        <v>234</v>
      </c>
      <c r="E459" s="216"/>
      <c r="F459" s="216"/>
      <c r="G459" s="216"/>
      <c r="H459" s="216" t="s">
        <v>234</v>
      </c>
      <c r="I459" s="217" t="s">
        <v>234</v>
      </c>
      <c r="J459" s="217"/>
      <c r="K459" s="216" t="s">
        <v>234</v>
      </c>
      <c r="L459" s="216"/>
      <c r="M459" s="217"/>
      <c r="N459" s="216"/>
      <c r="O459" s="217"/>
      <c r="P459" s="216"/>
      <c r="Q459" s="217"/>
      <c r="R459" s="217" t="s">
        <v>234</v>
      </c>
      <c r="S459" s="217"/>
      <c r="T459" s="217"/>
      <c r="U459" s="218">
        <f t="shared" si="537"/>
        <v>6</v>
      </c>
      <c r="V459" s="867" t="s">
        <v>238</v>
      </c>
      <c r="W459" s="219">
        <v>123154</v>
      </c>
      <c r="X459" s="220">
        <v>3.03</v>
      </c>
      <c r="Y459" s="221">
        <f t="shared" si="514"/>
        <v>1.0303</v>
      </c>
      <c r="Z459" s="199">
        <v>19</v>
      </c>
      <c r="AA459" s="221">
        <f t="shared" si="515"/>
        <v>1.7632354008841205</v>
      </c>
      <c r="AB459" s="199">
        <f t="shared" si="551"/>
        <v>217149.49256048296</v>
      </c>
      <c r="AC459">
        <v>20.2</v>
      </c>
      <c r="AD459" s="199">
        <f t="shared" si="552"/>
        <v>43864.197497217552</v>
      </c>
      <c r="AE459" s="199">
        <f t="shared" si="534"/>
        <v>41670.987622356675</v>
      </c>
      <c r="AF459" s="199">
        <f t="shared" si="497"/>
        <v>41670.987622356675</v>
      </c>
      <c r="AG459" s="614">
        <f t="shared" si="569"/>
        <v>1.9266835285943287E-3</v>
      </c>
      <c r="AH459" s="199">
        <f t="shared" si="548"/>
        <v>10857.474628024149</v>
      </c>
      <c r="AI459" s="252">
        <f t="shared" si="550"/>
        <v>8.4111210875212979E-4</v>
      </c>
      <c r="AJ459" s="199">
        <f t="shared" si="553"/>
        <v>54721.672125241705</v>
      </c>
      <c r="AK459" s="199">
        <f t="shared" si="509"/>
        <v>8685.9797024193194</v>
      </c>
      <c r="AL459" s="199">
        <f t="shared" si="510"/>
        <v>8685.9797024193194</v>
      </c>
      <c r="AM459" s="199">
        <f t="shared" si="554"/>
        <v>17371.959404838639</v>
      </c>
      <c r="AN459" s="645">
        <f t="shared" si="555"/>
        <v>8.4111210875212989E-4</v>
      </c>
      <c r="AO459" s="199">
        <v>10</v>
      </c>
      <c r="AP459" s="250">
        <f t="shared" si="556"/>
        <v>1.1362345188046814E-3</v>
      </c>
      <c r="AQ459" s="199">
        <v>10</v>
      </c>
      <c r="AU459" s="199">
        <v>0</v>
      </c>
      <c r="AW459" s="250">
        <f t="shared" si="557"/>
        <v>0</v>
      </c>
      <c r="AX459" s="199">
        <v>1</v>
      </c>
      <c r="AY459" s="199">
        <f t="shared" si="538"/>
        <v>15863.274689085587</v>
      </c>
      <c r="AZ459" s="199">
        <f t="shared" si="558"/>
        <v>15863.274689085587</v>
      </c>
      <c r="BA459" s="252">
        <f t="shared" si="559"/>
        <v>1.2469563322939658E-3</v>
      </c>
      <c r="BB459" s="284">
        <v>1</v>
      </c>
      <c r="BC459" s="199">
        <f t="shared" si="539"/>
        <v>31582.222197996638</v>
      </c>
      <c r="BD459" s="270">
        <f t="shared" si="511"/>
        <v>2.8442031372826406E-3</v>
      </c>
      <c r="BE459" s="199">
        <f t="shared" si="540"/>
        <v>135101.72829143007</v>
      </c>
      <c r="BF459" s="251">
        <f t="shared" si="512"/>
        <v>2.8442032004861837E-3</v>
      </c>
      <c r="BG459" s="204">
        <f t="shared" si="513"/>
        <v>166683.9504894267</v>
      </c>
      <c r="BH459" s="636">
        <v>0</v>
      </c>
      <c r="BI459" s="199">
        <f t="shared" si="560"/>
        <v>66447.744723507785</v>
      </c>
      <c r="BJ459" s="199">
        <f t="shared" si="561"/>
        <v>132895.48944701557</v>
      </c>
      <c r="BK459" s="199">
        <f t="shared" si="568"/>
        <v>199343.23417052336</v>
      </c>
      <c r="BL459" s="251">
        <f t="shared" si="562"/>
        <v>8.4111210875212979E-4</v>
      </c>
      <c r="BM459" s="199">
        <f t="shared" si="541"/>
        <v>14623.235608529447</v>
      </c>
      <c r="BN459" s="251">
        <f t="shared" si="563"/>
        <v>6.3147679104450731E-4</v>
      </c>
      <c r="BT459" s="199">
        <f>'Detailed Budget'!$AD$12</f>
        <v>194045122715</v>
      </c>
      <c r="BU459" s="199">
        <f>'Detailed Budget'!$AD$24</f>
        <v>194045122715</v>
      </c>
      <c r="BV459" s="596">
        <f t="shared" si="542"/>
        <v>0</v>
      </c>
      <c r="BW459" s="278"/>
      <c r="BX459" s="275">
        <f t="shared" si="526"/>
        <v>0</v>
      </c>
      <c r="BY459" s="275">
        <f t="shared" si="527"/>
        <v>0</v>
      </c>
      <c r="CA459" s="199">
        <f>'Detailed Budget'!$AD$96</f>
        <v>71050111380.677719</v>
      </c>
      <c r="CB459" s="275">
        <f t="shared" si="564"/>
        <v>88596386.296327651</v>
      </c>
      <c r="CE459" s="199">
        <f>'Detailed Budget'!$AD$175</f>
        <v>4330586076.5988197</v>
      </c>
      <c r="CF459" s="275">
        <f t="shared" si="543"/>
        <v>12317066.505334884</v>
      </c>
      <c r="CG459" s="199">
        <f>'Detailed Budget'!$AD$176</f>
        <v>20662817754.37001</v>
      </c>
      <c r="CH459" s="275">
        <f t="shared" si="544"/>
        <v>58769252.388041921</v>
      </c>
      <c r="CI459" s="275">
        <f t="shared" si="549"/>
        <v>71086318.893376797</v>
      </c>
      <c r="CJ459" s="275">
        <f>'Detailed Budget'!$AD$178</f>
        <v>46025131033.061455</v>
      </c>
      <c r="CK459" s="275">
        <f t="shared" si="545"/>
        <v>88675861.862795189</v>
      </c>
      <c r="CL459" s="275">
        <f t="shared" si="498"/>
        <v>159762180.756172</v>
      </c>
      <c r="CM459" s="278">
        <f>'Detailed Budget'!$AD$189</f>
        <v>77498869683.252869</v>
      </c>
      <c r="CN459" s="275">
        <f t="shared" si="565"/>
        <v>0</v>
      </c>
      <c r="CO459" s="140">
        <f>'Detailed Budget'!$AD$191</f>
        <v>2684962805.4134097</v>
      </c>
      <c r="CP459" s="616">
        <f t="shared" si="566"/>
        <v>0</v>
      </c>
      <c r="CQ459" s="616">
        <f t="shared" si="567"/>
        <v>0</v>
      </c>
      <c r="CR459" s="199">
        <f>'Detailed Budget'!$AD$195</f>
        <v>18734176418</v>
      </c>
      <c r="CS459" s="275">
        <f t="shared" si="546"/>
        <v>11830197.607300323</v>
      </c>
      <c r="CW459" s="278"/>
      <c r="DH459" s="140">
        <f>'Detailed Budget'!$AD$163</f>
        <v>4928560000</v>
      </c>
      <c r="DI459" s="616">
        <f t="shared" si="547"/>
        <v>5600000</v>
      </c>
    </row>
    <row r="460" spans="1:113" outlineLevel="1">
      <c r="A460" s="214" t="s">
        <v>1038</v>
      </c>
      <c r="B460" s="215" t="s">
        <v>1039</v>
      </c>
      <c r="C460" s="216" t="s">
        <v>234</v>
      </c>
      <c r="D460" s="217" t="s">
        <v>234</v>
      </c>
      <c r="E460" s="216"/>
      <c r="F460" s="216"/>
      <c r="G460" s="216"/>
      <c r="H460" s="216" t="s">
        <v>234</v>
      </c>
      <c r="I460" s="217" t="s">
        <v>234</v>
      </c>
      <c r="J460" s="217"/>
      <c r="K460" s="216" t="s">
        <v>234</v>
      </c>
      <c r="L460" s="216"/>
      <c r="M460" s="217"/>
      <c r="N460" s="216"/>
      <c r="O460" s="217"/>
      <c r="P460" s="216"/>
      <c r="Q460" s="217"/>
      <c r="R460" s="217" t="s">
        <v>234</v>
      </c>
      <c r="S460" s="217"/>
      <c r="T460" s="217"/>
      <c r="U460" s="218">
        <f t="shared" si="537"/>
        <v>6</v>
      </c>
      <c r="V460" s="867" t="s">
        <v>238</v>
      </c>
      <c r="W460" s="219">
        <v>134084</v>
      </c>
      <c r="X460" s="220">
        <v>3.03</v>
      </c>
      <c r="Y460" s="221">
        <f t="shared" si="514"/>
        <v>1.0303</v>
      </c>
      <c r="Z460" s="199">
        <v>19</v>
      </c>
      <c r="AA460" s="221">
        <f t="shared" si="515"/>
        <v>1.7632354008841205</v>
      </c>
      <c r="AB460" s="199">
        <f t="shared" si="551"/>
        <v>236421.65549214641</v>
      </c>
      <c r="AC460">
        <v>20.2</v>
      </c>
      <c r="AD460" s="199">
        <f t="shared" si="552"/>
        <v>47757.174409413572</v>
      </c>
      <c r="AE460" s="199">
        <f t="shared" si="534"/>
        <v>45369.315688942894</v>
      </c>
      <c r="AF460" s="199">
        <f t="shared" ref="AF460:AF523" si="570">AE460*BB460</f>
        <v>45369.315688942894</v>
      </c>
      <c r="AG460" s="614">
        <f t="shared" si="569"/>
        <v>2.0976779824288449E-3</v>
      </c>
      <c r="AH460" s="199">
        <f t="shared" si="548"/>
        <v>11821.082774607321</v>
      </c>
      <c r="AI460" s="252">
        <f t="shared" si="550"/>
        <v>9.1576137185897803E-4</v>
      </c>
      <c r="AJ460" s="199">
        <f t="shared" si="553"/>
        <v>59578.257184020891</v>
      </c>
      <c r="AK460" s="199">
        <f t="shared" si="509"/>
        <v>9456.8662196858568</v>
      </c>
      <c r="AL460" s="199">
        <f t="shared" si="510"/>
        <v>9456.8662196858568</v>
      </c>
      <c r="AM460" s="199">
        <f t="shared" si="554"/>
        <v>18913.732439371714</v>
      </c>
      <c r="AN460" s="645">
        <f t="shared" si="555"/>
        <v>9.1576137185897803E-4</v>
      </c>
      <c r="AO460" s="199">
        <v>11</v>
      </c>
      <c r="AP460" s="250">
        <f t="shared" si="556"/>
        <v>1.2498579706851495E-3</v>
      </c>
      <c r="AQ460" s="199">
        <v>11</v>
      </c>
      <c r="AU460" s="199">
        <v>0</v>
      </c>
      <c r="AW460" s="250">
        <f t="shared" si="557"/>
        <v>0</v>
      </c>
      <c r="AX460" s="199">
        <v>1</v>
      </c>
      <c r="AY460" s="199">
        <f t="shared" si="538"/>
        <v>17271.150944438279</v>
      </c>
      <c r="AZ460" s="199">
        <f t="shared" si="558"/>
        <v>17271.150944438279</v>
      </c>
      <c r="BA460" s="252">
        <f t="shared" si="559"/>
        <v>1.3576245421123481E-3</v>
      </c>
      <c r="BB460" s="284">
        <v>1</v>
      </c>
      <c r="BC460" s="199">
        <f t="shared" si="539"/>
        <v>34385.16557477777</v>
      </c>
      <c r="BD460" s="270">
        <f t="shared" si="511"/>
        <v>3.0966280710281891E-3</v>
      </c>
      <c r="BE460" s="199">
        <f t="shared" si="540"/>
        <v>147092.09718099379</v>
      </c>
      <c r="BF460" s="251">
        <f t="shared" si="512"/>
        <v>3.0966281398410885E-3</v>
      </c>
      <c r="BG460" s="204">
        <f t="shared" si="513"/>
        <v>181477.26275577158</v>
      </c>
      <c r="BH460" s="636">
        <v>0</v>
      </c>
      <c r="BI460" s="199">
        <f t="shared" si="560"/>
        <v>72345.026580596808</v>
      </c>
      <c r="BJ460" s="199">
        <f t="shared" si="561"/>
        <v>144690.05316119362</v>
      </c>
      <c r="BK460" s="199">
        <f t="shared" si="568"/>
        <v>217035.07974179043</v>
      </c>
      <c r="BL460" s="251">
        <f t="shared" si="562"/>
        <v>9.1576137185897803E-4</v>
      </c>
      <c r="BM460" s="199">
        <f t="shared" si="541"/>
        <v>15921.057564789306</v>
      </c>
      <c r="BN460" s="251">
        <f t="shared" si="563"/>
        <v>6.8752077927157636E-4</v>
      </c>
      <c r="BT460" s="199">
        <f>'Detailed Budget'!$AD$12</f>
        <v>194045122715</v>
      </c>
      <c r="BU460" s="199">
        <f>'Detailed Budget'!$AD$24</f>
        <v>194045122715</v>
      </c>
      <c r="BV460" s="596">
        <f t="shared" si="542"/>
        <v>0</v>
      </c>
      <c r="BW460" s="278"/>
      <c r="BX460" s="275">
        <f t="shared" si="526"/>
        <v>0</v>
      </c>
      <c r="BY460" s="275">
        <f t="shared" si="527"/>
        <v>0</v>
      </c>
      <c r="CA460" s="199">
        <f>'Detailed Budget'!$AD$96</f>
        <v>71050111380.677719</v>
      </c>
      <c r="CB460" s="275">
        <f t="shared" si="564"/>
        <v>96459374.930223912</v>
      </c>
      <c r="CE460" s="199">
        <f>'Detailed Budget'!$AD$175</f>
        <v>4330586076.5988197</v>
      </c>
      <c r="CF460" s="275">
        <f t="shared" si="543"/>
        <v>13410214.408799738</v>
      </c>
      <c r="CG460" s="199">
        <f>'Detailed Budget'!$AD$176</f>
        <v>20662817754.37001</v>
      </c>
      <c r="CH460" s="275">
        <f t="shared" si="544"/>
        <v>63985062.906590223</v>
      </c>
      <c r="CI460" s="275">
        <f t="shared" si="549"/>
        <v>77395277.315389961</v>
      </c>
      <c r="CJ460" s="275">
        <f>'Detailed Budget'!$AD$178</f>
        <v>46025131033.061455</v>
      </c>
      <c r="CK460" s="275">
        <f t="shared" si="545"/>
        <v>96545904.00645557</v>
      </c>
      <c r="CL460" s="275">
        <f t="shared" si="498"/>
        <v>173941181.32184553</v>
      </c>
      <c r="CM460" s="278">
        <f>'Detailed Budget'!$AD$189</f>
        <v>77498869683.252869</v>
      </c>
      <c r="CN460" s="275">
        <f t="shared" si="565"/>
        <v>0</v>
      </c>
      <c r="CO460" s="140">
        <f>'Detailed Budget'!$AD$191</f>
        <v>2684962805.4134097</v>
      </c>
      <c r="CP460" s="616">
        <f t="shared" si="566"/>
        <v>0</v>
      </c>
      <c r="CQ460" s="616">
        <f t="shared" si="567"/>
        <v>0</v>
      </c>
      <c r="CR460" s="199">
        <f>'Detailed Budget'!$AD$195</f>
        <v>18734176418</v>
      </c>
      <c r="CS460" s="275">
        <f t="shared" si="546"/>
        <v>12880135.56991455</v>
      </c>
      <c r="CW460" s="278"/>
      <c r="DH460" s="140">
        <f>'Detailed Budget'!$AD$163</f>
        <v>4928560000</v>
      </c>
      <c r="DI460" s="616">
        <f t="shared" si="547"/>
        <v>6160000</v>
      </c>
    </row>
    <row r="461" spans="1:113" outlineLevel="1">
      <c r="A461" s="214" t="s">
        <v>1040</v>
      </c>
      <c r="B461" s="215" t="s">
        <v>1041</v>
      </c>
      <c r="C461" s="216" t="s">
        <v>234</v>
      </c>
      <c r="D461" s="217" t="s">
        <v>234</v>
      </c>
      <c r="E461" s="216"/>
      <c r="F461" s="216"/>
      <c r="G461" s="216"/>
      <c r="H461" s="216" t="s">
        <v>234</v>
      </c>
      <c r="I461" s="217" t="s">
        <v>234</v>
      </c>
      <c r="J461" s="217"/>
      <c r="K461" s="216" t="s">
        <v>234</v>
      </c>
      <c r="L461" s="216"/>
      <c r="M461" s="217"/>
      <c r="N461" s="216"/>
      <c r="O461" s="217"/>
      <c r="P461" s="216"/>
      <c r="Q461" s="217"/>
      <c r="R461" s="217" t="s">
        <v>234</v>
      </c>
      <c r="S461" s="217"/>
      <c r="T461" s="217"/>
      <c r="U461" s="218">
        <f t="shared" si="537"/>
        <v>6</v>
      </c>
      <c r="V461" s="867" t="s">
        <v>238</v>
      </c>
      <c r="W461" s="219">
        <v>149152</v>
      </c>
      <c r="X461" s="220">
        <v>3.03</v>
      </c>
      <c r="Y461" s="221">
        <f t="shared" si="514"/>
        <v>1.0303</v>
      </c>
      <c r="Z461" s="199">
        <v>19</v>
      </c>
      <c r="AA461" s="221">
        <f t="shared" si="515"/>
        <v>1.7632354008841205</v>
      </c>
      <c r="AB461" s="199">
        <f t="shared" si="551"/>
        <v>262990.08651266835</v>
      </c>
      <c r="AC461">
        <v>20.2</v>
      </c>
      <c r="AD461" s="199">
        <f t="shared" si="552"/>
        <v>53123.997475559001</v>
      </c>
      <c r="AE461" s="199">
        <f t="shared" si="534"/>
        <v>50467.797601781051</v>
      </c>
      <c r="AF461" s="199">
        <f t="shared" si="570"/>
        <v>50467.797601781051</v>
      </c>
      <c r="AG461" s="614">
        <f t="shared" si="569"/>
        <v>2.3334094033234921E-3</v>
      </c>
      <c r="AH461" s="199">
        <f t="shared" si="548"/>
        <v>13149.504325633417</v>
      </c>
      <c r="AI461" s="252">
        <f t="shared" si="550"/>
        <v>1.0186721766617217E-3</v>
      </c>
      <c r="AJ461" s="199">
        <f t="shared" si="553"/>
        <v>66273.501801192411</v>
      </c>
      <c r="AK461" s="199">
        <f t="shared" si="509"/>
        <v>10519.603460506734</v>
      </c>
      <c r="AL461" s="199">
        <f t="shared" si="510"/>
        <v>10519.603460506734</v>
      </c>
      <c r="AM461" s="199">
        <f t="shared" si="554"/>
        <v>21039.206921013469</v>
      </c>
      <c r="AN461" s="645">
        <f t="shared" si="555"/>
        <v>1.0186721766617217E-3</v>
      </c>
      <c r="AO461" s="199">
        <v>11</v>
      </c>
      <c r="AP461" s="250">
        <f t="shared" si="556"/>
        <v>1.2498579706851495E-3</v>
      </c>
      <c r="AQ461" s="199">
        <v>11</v>
      </c>
      <c r="AU461" s="199">
        <v>0</v>
      </c>
      <c r="AW461" s="250">
        <f t="shared" si="557"/>
        <v>0</v>
      </c>
      <c r="AX461" s="199">
        <v>1</v>
      </c>
      <c r="AY461" s="199">
        <f t="shared" si="538"/>
        <v>19212.036526840322</v>
      </c>
      <c r="AZ461" s="199">
        <f t="shared" si="558"/>
        <v>19212.036526840322</v>
      </c>
      <c r="BA461" s="252">
        <f t="shared" si="559"/>
        <v>1.5101907439003975E-3</v>
      </c>
      <c r="BB461" s="284">
        <v>1</v>
      </c>
      <c r="BC461" s="199">
        <f t="shared" si="539"/>
        <v>38249.278182402479</v>
      </c>
      <c r="BD461" s="270">
        <f t="shared" si="511"/>
        <v>3.4446188214104327E-3</v>
      </c>
      <c r="BE461" s="199">
        <f t="shared" si="540"/>
        <v>163621.91222472172</v>
      </c>
      <c r="BF461" s="251">
        <f t="shared" si="512"/>
        <v>3.4446188979563412E-3</v>
      </c>
      <c r="BG461" s="204">
        <f t="shared" si="513"/>
        <v>201871.1904071242</v>
      </c>
      <c r="BH461" s="636">
        <v>0</v>
      </c>
      <c r="BI461" s="199">
        <f t="shared" si="560"/>
        <v>80474.96647287652</v>
      </c>
      <c r="BJ461" s="199">
        <f t="shared" si="561"/>
        <v>160949.93294575304</v>
      </c>
      <c r="BK461" s="199">
        <f t="shared" si="568"/>
        <v>241424.89941862956</v>
      </c>
      <c r="BL461" s="251">
        <f t="shared" si="562"/>
        <v>1.0186721766617217E-3</v>
      </c>
      <c r="BM461" s="199">
        <f t="shared" si="541"/>
        <v>17710.22327722513</v>
      </c>
      <c r="BN461" s="251">
        <f t="shared" si="563"/>
        <v>7.6478251894270867E-4</v>
      </c>
      <c r="BT461" s="199">
        <f>'Detailed Budget'!$AD$12</f>
        <v>194045122715</v>
      </c>
      <c r="BU461" s="199">
        <f>'Detailed Budget'!$AD$24</f>
        <v>194045122715</v>
      </c>
      <c r="BV461" s="596">
        <f t="shared" si="542"/>
        <v>0</v>
      </c>
      <c r="BW461" s="278"/>
      <c r="BX461" s="275">
        <f t="shared" si="526"/>
        <v>0</v>
      </c>
      <c r="BY461" s="275">
        <f t="shared" si="527"/>
        <v>0</v>
      </c>
      <c r="CA461" s="199">
        <f>'Detailed Budget'!$AD$96</f>
        <v>71050111380.677719</v>
      </c>
      <c r="CB461" s="275">
        <f t="shared" si="564"/>
        <v>107299220.56019178</v>
      </c>
      <c r="CE461" s="199">
        <f>'Detailed Budget'!$AD$175</f>
        <v>4330586076.5988197</v>
      </c>
      <c r="CF461" s="275">
        <f t="shared" si="543"/>
        <v>14917218.307190256</v>
      </c>
      <c r="CG461" s="199">
        <f>'Detailed Budget'!$AD$176</f>
        <v>20662817754.37001</v>
      </c>
      <c r="CH461" s="275">
        <f t="shared" si="544"/>
        <v>71175532.521730751</v>
      </c>
      <c r="CI461" s="275">
        <f t="shared" si="549"/>
        <v>86092750.828921005</v>
      </c>
      <c r="CJ461" s="275">
        <f>'Detailed Budget'!$AD$178</f>
        <v>46025131033.061455</v>
      </c>
      <c r="CK461" s="275">
        <f t="shared" si="545"/>
        <v>107395473.54174146</v>
      </c>
      <c r="CL461" s="275">
        <f t="shared" si="498"/>
        <v>193488224.37066245</v>
      </c>
      <c r="CM461" s="278">
        <f>'Detailed Budget'!$AD$189</f>
        <v>77498869683.252869</v>
      </c>
      <c r="CN461" s="275">
        <f t="shared" si="565"/>
        <v>0</v>
      </c>
      <c r="CO461" s="140">
        <f>'Detailed Budget'!$AD$191</f>
        <v>2684962805.4134097</v>
      </c>
      <c r="CP461" s="616">
        <f t="shared" si="566"/>
        <v>0</v>
      </c>
      <c r="CQ461" s="616">
        <f t="shared" si="567"/>
        <v>0</v>
      </c>
      <c r="CR461" s="199">
        <f>'Detailed Budget'!$AD$195</f>
        <v>18734176418</v>
      </c>
      <c r="CS461" s="275">
        <f t="shared" si="546"/>
        <v>14327570.63127513</v>
      </c>
      <c r="CW461" s="278"/>
      <c r="DH461" s="140">
        <f>'Detailed Budget'!$AD$163</f>
        <v>4928560000</v>
      </c>
      <c r="DI461" s="616">
        <f t="shared" si="547"/>
        <v>6160000</v>
      </c>
    </row>
    <row r="462" spans="1:113" outlineLevel="1">
      <c r="A462" s="214" t="s">
        <v>1042</v>
      </c>
      <c r="B462" s="215" t="s">
        <v>1043</v>
      </c>
      <c r="C462" s="216" t="s">
        <v>234</v>
      </c>
      <c r="D462" s="217" t="s">
        <v>234</v>
      </c>
      <c r="E462" s="216"/>
      <c r="F462" s="216"/>
      <c r="G462" s="216"/>
      <c r="H462" s="216" t="s">
        <v>234</v>
      </c>
      <c r="I462" s="217" t="s">
        <v>234</v>
      </c>
      <c r="J462" s="217"/>
      <c r="K462" s="216" t="s">
        <v>234</v>
      </c>
      <c r="L462" s="216"/>
      <c r="M462" s="217"/>
      <c r="N462" s="216"/>
      <c r="O462" s="217"/>
      <c r="P462" s="216"/>
      <c r="Q462" s="217"/>
      <c r="R462" s="217" t="s">
        <v>234</v>
      </c>
      <c r="S462" s="217"/>
      <c r="T462" s="217"/>
      <c r="U462" s="218">
        <f t="shared" si="537"/>
        <v>6</v>
      </c>
      <c r="V462" s="867" t="s">
        <v>238</v>
      </c>
      <c r="W462" s="219">
        <v>207470</v>
      </c>
      <c r="X462" s="220">
        <v>3.03</v>
      </c>
      <c r="Y462" s="221">
        <f t="shared" si="514"/>
        <v>1.0303</v>
      </c>
      <c r="Z462" s="199">
        <v>19</v>
      </c>
      <c r="AA462" s="221">
        <f t="shared" si="515"/>
        <v>1.7632354008841205</v>
      </c>
      <c r="AB462" s="199">
        <f t="shared" si="551"/>
        <v>365818.44862142846</v>
      </c>
      <c r="AC462">
        <v>20.2</v>
      </c>
      <c r="AD462" s="199">
        <f t="shared" si="552"/>
        <v>73895.32662152854</v>
      </c>
      <c r="AE462" s="199">
        <f t="shared" si="534"/>
        <v>70200.560290452107</v>
      </c>
      <c r="AF462" s="199">
        <f t="shared" si="570"/>
        <v>70200.560290452107</v>
      </c>
      <c r="AG462" s="614">
        <f t="shared" si="569"/>
        <v>3.2457657215962561E-3</v>
      </c>
      <c r="AH462" s="199">
        <f t="shared" si="548"/>
        <v>18290.922431071423</v>
      </c>
      <c r="AI462" s="252">
        <f t="shared" si="550"/>
        <v>1.4169700472806759E-3</v>
      </c>
      <c r="AJ462" s="199">
        <f t="shared" si="553"/>
        <v>92186.24905259996</v>
      </c>
      <c r="AK462" s="199">
        <f t="shared" si="509"/>
        <v>14632.737944857139</v>
      </c>
      <c r="AL462" s="199">
        <f t="shared" si="510"/>
        <v>14632.737944857139</v>
      </c>
      <c r="AM462" s="199">
        <f t="shared" si="554"/>
        <v>29265.475889714278</v>
      </c>
      <c r="AN462" s="645">
        <f t="shared" si="555"/>
        <v>1.4169700472806759E-3</v>
      </c>
      <c r="AO462" s="199">
        <v>11</v>
      </c>
      <c r="AP462" s="250">
        <f t="shared" si="556"/>
        <v>1.2498579706851495E-3</v>
      </c>
      <c r="AQ462" s="199">
        <v>11</v>
      </c>
      <c r="AU462" s="199">
        <v>0</v>
      </c>
      <c r="AW462" s="250">
        <f t="shared" si="557"/>
        <v>0</v>
      </c>
      <c r="AX462" s="199">
        <v>1</v>
      </c>
      <c r="AY462" s="199">
        <f t="shared" si="538"/>
        <v>26723.887163588563</v>
      </c>
      <c r="AZ462" s="199">
        <f t="shared" si="558"/>
        <v>26723.887163588563</v>
      </c>
      <c r="BA462" s="252">
        <f t="shared" si="559"/>
        <v>2.1006709506879925E-3</v>
      </c>
      <c r="BB462" s="284">
        <v>1</v>
      </c>
      <c r="BC462" s="199">
        <f t="shared" si="539"/>
        <v>53204.63516750055</v>
      </c>
      <c r="BD462" s="270">
        <f t="shared" si="511"/>
        <v>4.7914548036769363E-3</v>
      </c>
      <c r="BE462" s="199">
        <f t="shared" si="540"/>
        <v>227597.6059943079</v>
      </c>
      <c r="BF462" s="251">
        <f t="shared" si="512"/>
        <v>4.7914549101520732E-3</v>
      </c>
      <c r="BG462" s="204">
        <f t="shared" si="513"/>
        <v>280802.24116180843</v>
      </c>
      <c r="BH462" s="636">
        <v>0</v>
      </c>
      <c r="BI462" s="199">
        <f t="shared" si="560"/>
        <v>111940.4452781571</v>
      </c>
      <c r="BJ462" s="199">
        <f t="shared" si="561"/>
        <v>223880.8905563142</v>
      </c>
      <c r="BK462" s="199">
        <f t="shared" si="568"/>
        <v>335821.33583447128</v>
      </c>
      <c r="BL462" s="251">
        <f t="shared" si="562"/>
        <v>1.4169700472806757E-3</v>
      </c>
      <c r="BM462" s="199">
        <f t="shared" si="541"/>
        <v>24634.869283186938</v>
      </c>
      <c r="BN462" s="251">
        <f t="shared" si="563"/>
        <v>1.0638102687529753E-3</v>
      </c>
      <c r="BT462" s="199">
        <f>'Detailed Budget'!$AD$12</f>
        <v>194045122715</v>
      </c>
      <c r="BU462" s="199">
        <f>'Detailed Budget'!$AD$24</f>
        <v>194045122715</v>
      </c>
      <c r="BV462" s="596">
        <f t="shared" si="542"/>
        <v>0</v>
      </c>
      <c r="BW462" s="278"/>
      <c r="BX462" s="275">
        <f t="shared" si="526"/>
        <v>0</v>
      </c>
      <c r="BY462" s="275">
        <f t="shared" si="527"/>
        <v>0</v>
      </c>
      <c r="CA462" s="199">
        <f>'Detailed Budget'!$AD$96</f>
        <v>71050111380.677719</v>
      </c>
      <c r="CB462" s="275">
        <f t="shared" si="564"/>
        <v>149252905.02053604</v>
      </c>
      <c r="CE462" s="199">
        <f>'Detailed Budget'!$AD$175</f>
        <v>4330586076.5988197</v>
      </c>
      <c r="CF462" s="275">
        <f t="shared" si="543"/>
        <v>20749807.45945587</v>
      </c>
      <c r="CG462" s="199">
        <f>'Detailed Budget'!$AD$176</f>
        <v>20662817754.37001</v>
      </c>
      <c r="CH462" s="275">
        <f t="shared" si="544"/>
        <v>99004959.586753622</v>
      </c>
      <c r="CI462" s="275">
        <f t="shared" si="549"/>
        <v>119754767.04620948</v>
      </c>
      <c r="CJ462" s="275">
        <f>'Detailed Budget'!$AD$178</f>
        <v>46025131033.061455</v>
      </c>
      <c r="CK462" s="275">
        <f t="shared" si="545"/>
        <v>149386792.63908696</v>
      </c>
      <c r="CL462" s="275">
        <f t="shared" ref="CL462:CL527" si="571">CI462+CK462</f>
        <v>269141559.68529642</v>
      </c>
      <c r="CM462" s="278">
        <f>'Detailed Budget'!$AD$189</f>
        <v>77498869683.252869</v>
      </c>
      <c r="CN462" s="275">
        <f t="shared" si="565"/>
        <v>0</v>
      </c>
      <c r="CO462" s="140">
        <f>'Detailed Budget'!$AD$191</f>
        <v>2684962805.4134097</v>
      </c>
      <c r="CP462" s="616">
        <f t="shared" si="566"/>
        <v>0</v>
      </c>
      <c r="CQ462" s="616">
        <f t="shared" si="567"/>
        <v>0</v>
      </c>
      <c r="CR462" s="199">
        <f>'Detailed Budget'!$AD$195</f>
        <v>18734176418</v>
      </c>
      <c r="CS462" s="275">
        <f t="shared" si="546"/>
        <v>19929609.250098232</v>
      </c>
      <c r="CW462" s="278"/>
      <c r="DH462" s="140">
        <f>'Detailed Budget'!$AD$163</f>
        <v>4928560000</v>
      </c>
      <c r="DI462" s="616">
        <f t="shared" si="547"/>
        <v>6160000</v>
      </c>
    </row>
    <row r="463" spans="1:113" outlineLevel="1">
      <c r="A463" s="214" t="s">
        <v>1044</v>
      </c>
      <c r="B463" s="215" t="s">
        <v>1045</v>
      </c>
      <c r="C463" s="216" t="s">
        <v>234</v>
      </c>
      <c r="D463" s="217" t="s">
        <v>234</v>
      </c>
      <c r="E463" s="216"/>
      <c r="F463" s="216"/>
      <c r="G463" s="216"/>
      <c r="H463" s="216" t="s">
        <v>234</v>
      </c>
      <c r="I463" s="217" t="s">
        <v>234</v>
      </c>
      <c r="J463" s="217"/>
      <c r="K463" s="216" t="s">
        <v>234</v>
      </c>
      <c r="L463" s="216"/>
      <c r="M463" s="217"/>
      <c r="N463" s="216"/>
      <c r="O463" s="217"/>
      <c r="P463" s="216"/>
      <c r="Q463" s="217"/>
      <c r="R463" s="217" t="s">
        <v>234</v>
      </c>
      <c r="S463" s="217"/>
      <c r="T463" s="217"/>
      <c r="U463" s="218">
        <f t="shared" si="537"/>
        <v>6</v>
      </c>
      <c r="V463" s="867" t="s">
        <v>238</v>
      </c>
      <c r="W463" s="219">
        <v>156907</v>
      </c>
      <c r="X463" s="220">
        <v>3.03</v>
      </c>
      <c r="Y463" s="221">
        <f t="shared" si="514"/>
        <v>1.0303</v>
      </c>
      <c r="Z463" s="199">
        <v>19</v>
      </c>
      <c r="AA463" s="221">
        <f t="shared" si="515"/>
        <v>1.7632354008841205</v>
      </c>
      <c r="AB463" s="199">
        <f t="shared" si="551"/>
        <v>276663.9770465247</v>
      </c>
      <c r="AC463">
        <v>20.2</v>
      </c>
      <c r="AD463" s="199">
        <f t="shared" si="552"/>
        <v>55886.123363397986</v>
      </c>
      <c r="AE463" s="199">
        <f t="shared" si="534"/>
        <v>53091.817195228083</v>
      </c>
      <c r="AF463" s="199">
        <f t="shared" si="570"/>
        <v>53091.817195228083</v>
      </c>
      <c r="AG463" s="614">
        <f t="shared" si="569"/>
        <v>2.4547325496626204E-3</v>
      </c>
      <c r="AH463" s="199">
        <f t="shared" si="548"/>
        <v>13833.198852326235</v>
      </c>
      <c r="AI463" s="252">
        <f t="shared" si="550"/>
        <v>1.0716369557462236E-3</v>
      </c>
      <c r="AJ463" s="199">
        <f t="shared" si="553"/>
        <v>69719.322215724227</v>
      </c>
      <c r="AK463" s="199">
        <f t="shared" si="509"/>
        <v>11066.559081860989</v>
      </c>
      <c r="AL463" s="199">
        <f t="shared" si="510"/>
        <v>11066.559081860989</v>
      </c>
      <c r="AM463" s="199">
        <f t="shared" si="554"/>
        <v>22133.118163721978</v>
      </c>
      <c r="AN463" s="645">
        <f t="shared" si="555"/>
        <v>1.0716369557462239E-3</v>
      </c>
      <c r="AO463" s="199">
        <v>10</v>
      </c>
      <c r="AP463" s="250">
        <f t="shared" si="556"/>
        <v>1.1362345188046814E-3</v>
      </c>
      <c r="AQ463" s="199">
        <v>10</v>
      </c>
      <c r="AU463" s="199">
        <v>0</v>
      </c>
      <c r="AW463" s="250">
        <f t="shared" si="557"/>
        <v>0</v>
      </c>
      <c r="AX463" s="199">
        <v>1</v>
      </c>
      <c r="AY463" s="199">
        <f t="shared" si="538"/>
        <v>20210.945983405756</v>
      </c>
      <c r="AZ463" s="199">
        <f t="shared" si="558"/>
        <v>20210.945983405756</v>
      </c>
      <c r="BA463" s="252">
        <f t="shared" si="559"/>
        <v>1.5887115094211258E-3</v>
      </c>
      <c r="BB463" s="284">
        <v>1</v>
      </c>
      <c r="BC463" s="199">
        <f t="shared" si="539"/>
        <v>40238.008821646552</v>
      </c>
      <c r="BD463" s="270">
        <f t="shared" si="511"/>
        <v>3.6237181225263278E-3</v>
      </c>
      <c r="BE463" s="199">
        <f t="shared" si="540"/>
        <v>172129.25995926579</v>
      </c>
      <c r="BF463" s="251">
        <f t="shared" si="512"/>
        <v>3.6237182030521595E-3</v>
      </c>
      <c r="BG463" s="204">
        <f t="shared" si="513"/>
        <v>212367.26878091233</v>
      </c>
      <c r="BH463" s="636">
        <v>0</v>
      </c>
      <c r="BI463" s="199">
        <f t="shared" si="560"/>
        <v>84659.176976236558</v>
      </c>
      <c r="BJ463" s="199">
        <f t="shared" si="561"/>
        <v>169318.35395247312</v>
      </c>
      <c r="BK463" s="199">
        <f t="shared" si="568"/>
        <v>253977.53092870966</v>
      </c>
      <c r="BL463" s="251">
        <f t="shared" si="562"/>
        <v>1.0716369557462236E-3</v>
      </c>
      <c r="BM463" s="199">
        <f t="shared" si="541"/>
        <v>18631.047547197246</v>
      </c>
      <c r="BN463" s="251">
        <f t="shared" si="563"/>
        <v>8.0454657463355228E-4</v>
      </c>
      <c r="BT463" s="199">
        <f>'Detailed Budget'!$AD$12</f>
        <v>194045122715</v>
      </c>
      <c r="BU463" s="199">
        <f>'Detailed Budget'!$AD$24</f>
        <v>194045122715</v>
      </c>
      <c r="BV463" s="596">
        <f t="shared" si="542"/>
        <v>0</v>
      </c>
      <c r="BW463" s="278"/>
      <c r="BX463" s="275">
        <f t="shared" si="526"/>
        <v>0</v>
      </c>
      <c r="BY463" s="275">
        <f t="shared" si="527"/>
        <v>0</v>
      </c>
      <c r="CA463" s="199">
        <f>'Detailed Budget'!$AD$96</f>
        <v>71050111380.677719</v>
      </c>
      <c r="CB463" s="275">
        <f t="shared" si="564"/>
        <v>112878129.69613561</v>
      </c>
      <c r="CE463" s="199">
        <f>'Detailed Budget'!$AD$175</f>
        <v>4330586076.5988197</v>
      </c>
      <c r="CF463" s="275">
        <f t="shared" si="543"/>
        <v>15692823.246931331</v>
      </c>
      <c r="CG463" s="199">
        <f>'Detailed Budget'!$AD$176</f>
        <v>20662817754.37001</v>
      </c>
      <c r="CH463" s="275">
        <f t="shared" si="544"/>
        <v>74876228.822859958</v>
      </c>
      <c r="CI463" s="275">
        <f t="shared" si="549"/>
        <v>90569052.069791287</v>
      </c>
      <c r="CJ463" s="275">
        <f>'Detailed Budget'!$AD$178</f>
        <v>46025131033.061455</v>
      </c>
      <c r="CK463" s="275">
        <f t="shared" si="545"/>
        <v>112979387.24934314</v>
      </c>
      <c r="CL463" s="275">
        <f t="shared" si="571"/>
        <v>203548439.31913441</v>
      </c>
      <c r="CM463" s="278">
        <f>'Detailed Budget'!$AD$189</f>
        <v>77498869683.252869</v>
      </c>
      <c r="CN463" s="275">
        <f t="shared" si="565"/>
        <v>0</v>
      </c>
      <c r="CO463" s="140">
        <f>'Detailed Budget'!$AD$191</f>
        <v>2684962805.4134097</v>
      </c>
      <c r="CP463" s="616">
        <f t="shared" si="566"/>
        <v>0</v>
      </c>
      <c r="CQ463" s="616">
        <f t="shared" si="567"/>
        <v>0</v>
      </c>
      <c r="CR463" s="199">
        <f>'Detailed Budget'!$AD$195</f>
        <v>18734176418</v>
      </c>
      <c r="CS463" s="275">
        <f t="shared" si="546"/>
        <v>15072517.465682572</v>
      </c>
      <c r="CW463" s="278"/>
      <c r="DH463" s="140">
        <f>'Detailed Budget'!$AD$163</f>
        <v>4928560000</v>
      </c>
      <c r="DI463" s="616">
        <f t="shared" si="547"/>
        <v>5600000</v>
      </c>
    </row>
    <row r="464" spans="1:113" outlineLevel="1">
      <c r="A464" s="214" t="s">
        <v>1046</v>
      </c>
      <c r="B464" s="215" t="s">
        <v>1047</v>
      </c>
      <c r="C464" s="216" t="s">
        <v>234</v>
      </c>
      <c r="D464" s="217" t="s">
        <v>234</v>
      </c>
      <c r="E464" s="216"/>
      <c r="F464" s="216"/>
      <c r="G464" s="216"/>
      <c r="H464" s="216" t="s">
        <v>234</v>
      </c>
      <c r="I464" s="217" t="s">
        <v>234</v>
      </c>
      <c r="J464" s="217"/>
      <c r="K464" s="216" t="s">
        <v>234</v>
      </c>
      <c r="L464" s="216"/>
      <c r="M464" s="217"/>
      <c r="N464" s="216"/>
      <c r="O464" s="217"/>
      <c r="P464" s="216"/>
      <c r="Q464" s="217"/>
      <c r="R464" s="217" t="s">
        <v>234</v>
      </c>
      <c r="S464" s="217"/>
      <c r="T464" s="217"/>
      <c r="U464" s="218">
        <f t="shared" si="537"/>
        <v>6</v>
      </c>
      <c r="V464" s="867" t="s">
        <v>238</v>
      </c>
      <c r="W464" s="219">
        <v>104601</v>
      </c>
      <c r="X464" s="220">
        <v>3.03</v>
      </c>
      <c r="Y464" s="221">
        <f t="shared" si="514"/>
        <v>1.0303</v>
      </c>
      <c r="Z464" s="199">
        <v>19</v>
      </c>
      <c r="AA464" s="221">
        <f t="shared" si="515"/>
        <v>1.7632354008841205</v>
      </c>
      <c r="AB464" s="199">
        <f t="shared" si="551"/>
        <v>184436.18616787987</v>
      </c>
      <c r="AC464">
        <v>20.2</v>
      </c>
      <c r="AD464" s="199">
        <f t="shared" si="552"/>
        <v>37256.109605911734</v>
      </c>
      <c r="AE464" s="199">
        <f t="shared" si="534"/>
        <v>35393.304125616145</v>
      </c>
      <c r="AF464" s="199">
        <f t="shared" si="570"/>
        <v>35393.304125616145</v>
      </c>
      <c r="AG464" s="614">
        <f t="shared" si="569"/>
        <v>1.6364310032519883E-3</v>
      </c>
      <c r="AH464" s="199">
        <f t="shared" si="548"/>
        <v>9221.8093083939948</v>
      </c>
      <c r="AI464" s="252">
        <f t="shared" si="550"/>
        <v>7.1439959471540941E-4</v>
      </c>
      <c r="AJ464" s="199">
        <f t="shared" si="553"/>
        <v>46477.91891430573</v>
      </c>
      <c r="AK464" s="199">
        <f t="shared" si="509"/>
        <v>7377.4474467151949</v>
      </c>
      <c r="AL464" s="199">
        <f t="shared" si="510"/>
        <v>7377.4474467151949</v>
      </c>
      <c r="AM464" s="199">
        <f t="shared" si="554"/>
        <v>14754.89489343039</v>
      </c>
      <c r="AN464" s="645">
        <f t="shared" si="555"/>
        <v>7.143995947154093E-4</v>
      </c>
      <c r="AO464" s="199">
        <v>10</v>
      </c>
      <c r="AP464" s="250">
        <f t="shared" si="556"/>
        <v>1.1362345188046814E-3</v>
      </c>
      <c r="AQ464" s="199">
        <v>10</v>
      </c>
      <c r="AU464" s="199">
        <v>0</v>
      </c>
      <c r="AW464" s="250">
        <f t="shared" si="557"/>
        <v>0</v>
      </c>
      <c r="AX464" s="199">
        <v>1</v>
      </c>
      <c r="AY464" s="199">
        <f t="shared" si="538"/>
        <v>13473.491691321771</v>
      </c>
      <c r="AZ464" s="199">
        <f t="shared" si="558"/>
        <v>13473.491691321771</v>
      </c>
      <c r="BA464" s="252">
        <f t="shared" si="559"/>
        <v>1.0591038806232937E-3</v>
      </c>
      <c r="BB464" s="284">
        <v>1</v>
      </c>
      <c r="BC464" s="199">
        <f t="shared" si="539"/>
        <v>26824.398916256447</v>
      </c>
      <c r="BD464" s="270">
        <f t="shared" si="511"/>
        <v>2.4157274011635957E-3</v>
      </c>
      <c r="BE464" s="199">
        <f t="shared" si="540"/>
        <v>114748.81758620814</v>
      </c>
      <c r="BF464" s="251">
        <f t="shared" si="512"/>
        <v>2.415727454845602E-3</v>
      </c>
      <c r="BG464" s="204">
        <f t="shared" si="513"/>
        <v>141573.21650246458</v>
      </c>
      <c r="BH464" s="636">
        <v>0</v>
      </c>
      <c r="BI464" s="199">
        <f t="shared" si="560"/>
        <v>56437.472967371243</v>
      </c>
      <c r="BJ464" s="199">
        <f t="shared" si="561"/>
        <v>112874.94593474249</v>
      </c>
      <c r="BK464" s="199">
        <f t="shared" si="568"/>
        <v>169312.41890211374</v>
      </c>
      <c r="BL464" s="251">
        <f t="shared" si="562"/>
        <v>7.1439959471540941E-4</v>
      </c>
      <c r="BM464" s="199">
        <f t="shared" si="541"/>
        <v>12420.262986892742</v>
      </c>
      <c r="BN464" s="251">
        <f t="shared" si="563"/>
        <v>5.3634558211707712E-4</v>
      </c>
      <c r="BT464" s="199">
        <f>'Detailed Budget'!$AD$12</f>
        <v>194045122715</v>
      </c>
      <c r="BU464" s="199">
        <f>'Detailed Budget'!$AD$24</f>
        <v>194045122715</v>
      </c>
      <c r="BV464" s="596">
        <f t="shared" si="542"/>
        <v>0</v>
      </c>
      <c r="BW464" s="278"/>
      <c r="BX464" s="275">
        <f t="shared" si="526"/>
        <v>0</v>
      </c>
      <c r="BY464" s="275">
        <f t="shared" si="527"/>
        <v>0</v>
      </c>
      <c r="CA464" s="199">
        <f>'Detailed Budget'!$AD$96</f>
        <v>71050111380.677719</v>
      </c>
      <c r="CB464" s="275">
        <f t="shared" si="564"/>
        <v>75249448.681993023</v>
      </c>
      <c r="CE464" s="199">
        <f>'Detailed Budget'!$AD$175</f>
        <v>4330586076.5988197</v>
      </c>
      <c r="CF464" s="275">
        <f t="shared" si="543"/>
        <v>10461515.448337318</v>
      </c>
      <c r="CG464" s="199">
        <f>'Detailed Budget'!$AD$176</f>
        <v>20662817754.37001</v>
      </c>
      <c r="CH464" s="275">
        <f t="shared" si="544"/>
        <v>49915736.143702783</v>
      </c>
      <c r="CI464" s="275">
        <f t="shared" si="549"/>
        <v>60377251.592040099</v>
      </c>
      <c r="CJ464" s="275">
        <f>'Detailed Budget'!$AD$178</f>
        <v>46025131033.061455</v>
      </c>
      <c r="CK464" s="275">
        <f t="shared" si="545"/>
        <v>75316951.351236984</v>
      </c>
      <c r="CL464" s="275">
        <f t="shared" si="571"/>
        <v>135694202.94327709</v>
      </c>
      <c r="CM464" s="278">
        <f>'Detailed Budget'!$AD$189</f>
        <v>77498869683.252869</v>
      </c>
      <c r="CN464" s="275">
        <f t="shared" si="565"/>
        <v>0</v>
      </c>
      <c r="CO464" s="140">
        <f>'Detailed Budget'!$AD$191</f>
        <v>2684962805.4134097</v>
      </c>
      <c r="CP464" s="616">
        <f t="shared" si="566"/>
        <v>0</v>
      </c>
      <c r="CQ464" s="616">
        <f t="shared" si="567"/>
        <v>0</v>
      </c>
      <c r="CR464" s="199">
        <f>'Detailed Budget'!$AD$195</f>
        <v>18734176418</v>
      </c>
      <c r="CS464" s="275">
        <f t="shared" si="546"/>
        <v>10047992.756396228</v>
      </c>
      <c r="CW464" s="278"/>
      <c r="DH464" s="140">
        <f>'Detailed Budget'!$AD$163</f>
        <v>4928560000</v>
      </c>
      <c r="DI464" s="616">
        <f t="shared" si="547"/>
        <v>5600000</v>
      </c>
    </row>
    <row r="465" spans="1:113" outlineLevel="1">
      <c r="A465" s="214" t="s">
        <v>1048</v>
      </c>
      <c r="B465" s="215" t="s">
        <v>1049</v>
      </c>
      <c r="C465" s="216" t="s">
        <v>234</v>
      </c>
      <c r="D465" s="217" t="s">
        <v>234</v>
      </c>
      <c r="E465" s="216"/>
      <c r="F465" s="216"/>
      <c r="G465" s="216"/>
      <c r="H465" s="216" t="s">
        <v>234</v>
      </c>
      <c r="I465" s="217" t="s">
        <v>234</v>
      </c>
      <c r="J465" s="217"/>
      <c r="K465" s="216" t="s">
        <v>234</v>
      </c>
      <c r="L465" s="216"/>
      <c r="M465" s="217"/>
      <c r="N465" s="216"/>
      <c r="O465" s="217"/>
      <c r="P465" s="216"/>
      <c r="Q465" s="217" t="s">
        <v>234</v>
      </c>
      <c r="R465" s="217"/>
      <c r="S465" s="217"/>
      <c r="T465" s="217"/>
      <c r="U465" s="218">
        <f t="shared" si="537"/>
        <v>6</v>
      </c>
      <c r="V465" s="867" t="s">
        <v>284</v>
      </c>
      <c r="W465" s="219">
        <v>233012</v>
      </c>
      <c r="X465" s="220">
        <v>3.03</v>
      </c>
      <c r="Y465" s="221">
        <f t="shared" si="514"/>
        <v>1.0303</v>
      </c>
      <c r="Z465" s="199">
        <v>19</v>
      </c>
      <c r="AA465" s="221">
        <f t="shared" si="515"/>
        <v>1.7632354008841205</v>
      </c>
      <c r="AB465" s="199">
        <f t="shared" si="551"/>
        <v>410855.00723081065</v>
      </c>
      <c r="AC465">
        <v>20.2</v>
      </c>
      <c r="AD465" s="199">
        <f t="shared" si="552"/>
        <v>82992.711460623745</v>
      </c>
      <c r="AE465" s="199">
        <f t="shared" si="534"/>
        <v>78843.075887592553</v>
      </c>
      <c r="AF465" s="199">
        <f t="shared" si="570"/>
        <v>78843.075887592553</v>
      </c>
      <c r="AG465" s="614">
        <f t="shared" si="569"/>
        <v>3.6453577014536409E-3</v>
      </c>
      <c r="AH465" s="199">
        <f t="shared" si="548"/>
        <v>20542.750361540533</v>
      </c>
      <c r="AI465" s="252">
        <f t="shared" si="550"/>
        <v>1.5914157452015464E-3</v>
      </c>
      <c r="AJ465" s="199">
        <f t="shared" si="553"/>
        <v>103535.46182216427</v>
      </c>
      <c r="AK465" s="199">
        <f t="shared" ref="AK465:AK528" si="572">AB465*0.04</f>
        <v>16434.200289232427</v>
      </c>
      <c r="AL465" s="199">
        <f t="shared" ref="AL465:AL528" si="573">AB465*0.04</f>
        <v>16434.200289232427</v>
      </c>
      <c r="AM465" s="199">
        <f t="shared" si="554"/>
        <v>32868.400578464854</v>
      </c>
      <c r="AN465" s="645">
        <f t="shared" si="555"/>
        <v>1.5914157452015466E-3</v>
      </c>
      <c r="AO465" s="199">
        <v>11</v>
      </c>
      <c r="AP465" s="250">
        <f t="shared" si="556"/>
        <v>1.2498579706851495E-3</v>
      </c>
      <c r="AQ465" s="199">
        <v>11</v>
      </c>
      <c r="AU465" s="199">
        <v>0</v>
      </c>
      <c r="AW465" s="250">
        <f t="shared" si="557"/>
        <v>0</v>
      </c>
      <c r="AX465" s="199">
        <v>1</v>
      </c>
      <c r="AY465" s="199">
        <f t="shared" si="538"/>
        <v>30013.912352446612</v>
      </c>
      <c r="AZ465" s="199">
        <f t="shared" si="558"/>
        <v>30013.912352446612</v>
      </c>
      <c r="BA465" s="252">
        <f t="shared" si="559"/>
        <v>2.3592882805307299E-3</v>
      </c>
      <c r="BB465" s="284">
        <v>1</v>
      </c>
      <c r="BC465" s="199">
        <f t="shared" si="539"/>
        <v>59754.752251649094</v>
      </c>
      <c r="BD465" s="270">
        <f t="shared" si="511"/>
        <v>5.3813393103309889E-3</v>
      </c>
      <c r="BE465" s="199">
        <f t="shared" si="540"/>
        <v>255617.55129872114</v>
      </c>
      <c r="BF465" s="251">
        <f t="shared" si="512"/>
        <v>5.3813394299144692E-3</v>
      </c>
      <c r="BG465" s="204">
        <f t="shared" si="513"/>
        <v>315372.30355037021</v>
      </c>
      <c r="BH465" s="636">
        <v>0</v>
      </c>
      <c r="BI465" s="199">
        <f t="shared" si="560"/>
        <v>125721.63221262806</v>
      </c>
      <c r="BJ465" s="199">
        <f t="shared" si="561"/>
        <v>251443.26442525611</v>
      </c>
      <c r="BK465" s="199">
        <f t="shared" si="568"/>
        <v>377164.8966378842</v>
      </c>
      <c r="BL465" s="251">
        <f t="shared" si="562"/>
        <v>1.5914157452015466E-3</v>
      </c>
      <c r="BM465" s="199">
        <f t="shared" si="541"/>
        <v>27667.711772371687</v>
      </c>
      <c r="BN465" s="251">
        <f t="shared" si="563"/>
        <v>1.1947778394113282E-3</v>
      </c>
      <c r="BT465" s="199">
        <f>'Detailed Budget'!$AD$12</f>
        <v>194045122715</v>
      </c>
      <c r="BU465" s="199">
        <f>'Detailed Budget'!$AD$24</f>
        <v>194045122715</v>
      </c>
      <c r="BV465" s="596">
        <f t="shared" si="542"/>
        <v>0</v>
      </c>
      <c r="BW465" s="278"/>
      <c r="BX465" s="275">
        <f t="shared" si="526"/>
        <v>0</v>
      </c>
      <c r="BY465" s="275">
        <f t="shared" si="527"/>
        <v>0</v>
      </c>
      <c r="CA465" s="199">
        <f>'Detailed Budget'!$AD$96</f>
        <v>71050111380.677719</v>
      </c>
      <c r="CB465" s="275">
        <f t="shared" si="564"/>
        <v>167627695.11083597</v>
      </c>
      <c r="CE465" s="199">
        <f>'Detailed Budget'!$AD$175</f>
        <v>4330586076.5988197</v>
      </c>
      <c r="CF465" s="275">
        <f t="shared" si="543"/>
        <v>23304353.090773277</v>
      </c>
      <c r="CG465" s="199">
        <f>'Detailed Budget'!$AD$176</f>
        <v>20662817754.37001</v>
      </c>
      <c r="CH465" s="275">
        <f t="shared" si="544"/>
        <v>111193635.91472809</v>
      </c>
      <c r="CI465" s="275">
        <f t="shared" si="549"/>
        <v>134497989.00550136</v>
      </c>
      <c r="CJ465" s="275">
        <f>'Detailed Budget'!$AD$178</f>
        <v>46025131033.061455</v>
      </c>
      <c r="CK465" s="275">
        <f t="shared" si="545"/>
        <v>167778065.87178355</v>
      </c>
      <c r="CL465" s="275">
        <f t="shared" si="571"/>
        <v>302276054.87728488</v>
      </c>
      <c r="CM465" s="278">
        <f>'Detailed Budget'!$AD$189</f>
        <v>77498869683.252869</v>
      </c>
      <c r="CN465" s="275">
        <f t="shared" si="565"/>
        <v>0</v>
      </c>
      <c r="CO465" s="140">
        <f>'Detailed Budget'!$AD$191</f>
        <v>2684962805.4134097</v>
      </c>
      <c r="CP465" s="616">
        <f t="shared" si="566"/>
        <v>0</v>
      </c>
      <c r="CQ465" s="616">
        <f t="shared" si="567"/>
        <v>0</v>
      </c>
      <c r="CR465" s="199">
        <f>'Detailed Budget'!$AD$195</f>
        <v>18734176418</v>
      </c>
      <c r="CS465" s="275">
        <f t="shared" si="546"/>
        <v>22383178.823848695</v>
      </c>
      <c r="CW465" s="278"/>
      <c r="DH465" s="140">
        <f>'Detailed Budget'!$AD$163</f>
        <v>4928560000</v>
      </c>
      <c r="DI465" s="616">
        <f t="shared" si="547"/>
        <v>6160000</v>
      </c>
    </row>
    <row r="466" spans="1:113" outlineLevel="1">
      <c r="A466" s="214" t="s">
        <v>1050</v>
      </c>
      <c r="B466" s="215" t="s">
        <v>1051</v>
      </c>
      <c r="C466" s="216" t="s">
        <v>234</v>
      </c>
      <c r="D466" s="217" t="s">
        <v>234</v>
      </c>
      <c r="E466" s="216"/>
      <c r="F466" s="216"/>
      <c r="G466" s="216"/>
      <c r="H466" s="216" t="s">
        <v>234</v>
      </c>
      <c r="I466" s="217" t="s">
        <v>234</v>
      </c>
      <c r="J466" s="217"/>
      <c r="K466" s="216" t="s">
        <v>234</v>
      </c>
      <c r="L466" s="216"/>
      <c r="M466" s="217"/>
      <c r="N466" s="216"/>
      <c r="O466" s="217"/>
      <c r="P466" s="216"/>
      <c r="Q466" s="217" t="s">
        <v>234</v>
      </c>
      <c r="R466" s="217"/>
      <c r="S466" s="217"/>
      <c r="T466" s="217"/>
      <c r="U466" s="218">
        <f t="shared" si="537"/>
        <v>6</v>
      </c>
      <c r="V466" s="867" t="s">
        <v>284</v>
      </c>
      <c r="W466" s="219">
        <v>197686</v>
      </c>
      <c r="X466" s="220">
        <v>3.03</v>
      </c>
      <c r="Y466" s="221">
        <f t="shared" si="514"/>
        <v>1.0303</v>
      </c>
      <c r="Z466" s="199">
        <v>19</v>
      </c>
      <c r="AA466" s="221">
        <f t="shared" si="515"/>
        <v>1.7632354008841205</v>
      </c>
      <c r="AB466" s="199">
        <f t="shared" si="551"/>
        <v>348566.95345917821</v>
      </c>
      <c r="AC466">
        <v>20.2</v>
      </c>
      <c r="AD466" s="199">
        <f t="shared" si="552"/>
        <v>70410.524598753997</v>
      </c>
      <c r="AE466" s="199">
        <f t="shared" si="534"/>
        <v>66889.99836881629</v>
      </c>
      <c r="AF466" s="199">
        <f t="shared" si="570"/>
        <v>66889.99836881629</v>
      </c>
      <c r="AG466" s="614">
        <f t="shared" si="569"/>
        <v>3.0926998719789729E-3</v>
      </c>
      <c r="AH466" s="199">
        <f t="shared" si="548"/>
        <v>17428.347672958913</v>
      </c>
      <c r="AI466" s="252">
        <f t="shared" si="550"/>
        <v>1.3501476876981141E-3</v>
      </c>
      <c r="AJ466" s="199">
        <f t="shared" si="553"/>
        <v>87838.872271712913</v>
      </c>
      <c r="AK466" s="199">
        <f t="shared" si="572"/>
        <v>13942.67813836713</v>
      </c>
      <c r="AL466" s="199">
        <f t="shared" si="573"/>
        <v>13942.67813836713</v>
      </c>
      <c r="AM466" s="199">
        <f t="shared" si="554"/>
        <v>27885.356276734259</v>
      </c>
      <c r="AN466" s="645">
        <f t="shared" si="555"/>
        <v>1.3501476876981141E-3</v>
      </c>
      <c r="AO466" s="199">
        <v>11</v>
      </c>
      <c r="AP466" s="250">
        <f t="shared" si="556"/>
        <v>1.2498579706851495E-3</v>
      </c>
      <c r="AQ466" s="199">
        <v>11</v>
      </c>
      <c r="AU466" s="199">
        <v>0</v>
      </c>
      <c r="AW466" s="250">
        <f t="shared" si="557"/>
        <v>0</v>
      </c>
      <c r="AX466" s="199">
        <v>1</v>
      </c>
      <c r="AY466" s="199">
        <f t="shared" si="538"/>
        <v>25463.625381120979</v>
      </c>
      <c r="AZ466" s="199">
        <f t="shared" si="558"/>
        <v>25463.625381120979</v>
      </c>
      <c r="BA466" s="252">
        <f t="shared" si="559"/>
        <v>2.0016061963546855E-3</v>
      </c>
      <c r="BB466" s="284">
        <v>1</v>
      </c>
      <c r="BC466" s="199">
        <f t="shared" si="539"/>
        <v>50695.577711102873</v>
      </c>
      <c r="BD466" s="270">
        <f t="shared" si="511"/>
        <v>4.5654963817403907E-3</v>
      </c>
      <c r="BE466" s="199">
        <f t="shared" si="540"/>
        <v>216864.41576416232</v>
      </c>
      <c r="BF466" s="251">
        <f t="shared" si="512"/>
        <v>4.5654964831943071E-3</v>
      </c>
      <c r="BG466" s="204">
        <f t="shared" si="513"/>
        <v>267559.99347526522</v>
      </c>
      <c r="BH466" s="636">
        <v>0</v>
      </c>
      <c r="BI466" s="199">
        <f t="shared" si="560"/>
        <v>106661.48775850853</v>
      </c>
      <c r="BJ466" s="199">
        <f t="shared" si="561"/>
        <v>213322.97551701707</v>
      </c>
      <c r="BK466" s="199">
        <f t="shared" si="568"/>
        <v>319984.4632755256</v>
      </c>
      <c r="BL466" s="251">
        <f t="shared" si="562"/>
        <v>1.3501476876981138E-3</v>
      </c>
      <c r="BM466" s="199">
        <f t="shared" si="541"/>
        <v>23473.12271227692</v>
      </c>
      <c r="BN466" s="251">
        <f t="shared" si="563"/>
        <v>1.0136424388523674E-3</v>
      </c>
      <c r="BT466" s="199">
        <f>'Detailed Budget'!$AD$12</f>
        <v>194045122715</v>
      </c>
      <c r="BU466" s="199">
        <f>'Detailed Budget'!$AD$24</f>
        <v>194045122715</v>
      </c>
      <c r="BV466" s="596">
        <f t="shared" si="542"/>
        <v>0</v>
      </c>
      <c r="BW466" s="278"/>
      <c r="BX466" s="275">
        <f t="shared" si="526"/>
        <v>0</v>
      </c>
      <c r="BY466" s="275">
        <f t="shared" si="527"/>
        <v>0</v>
      </c>
      <c r="CA466" s="199">
        <f>'Detailed Budget'!$AD$96</f>
        <v>71050111380.677719</v>
      </c>
      <c r="CB466" s="275">
        <f t="shared" si="564"/>
        <v>142214343.19125509</v>
      </c>
      <c r="CE466" s="199">
        <f>'Detailed Budget'!$AD$175</f>
        <v>4330586076.5988197</v>
      </c>
      <c r="CF466" s="275">
        <f t="shared" si="543"/>
        <v>19771275.063527226</v>
      </c>
      <c r="CG466" s="199">
        <f>'Detailed Budget'!$AD$176</f>
        <v>20662817754.37001</v>
      </c>
      <c r="CH466" s="275">
        <f t="shared" si="544"/>
        <v>94336021.790461168</v>
      </c>
      <c r="CI466" s="275">
        <f t="shared" si="549"/>
        <v>114107296.85398839</v>
      </c>
      <c r="CJ466" s="275">
        <f>'Detailed Budget'!$AD$178</f>
        <v>46025131033.061455</v>
      </c>
      <c r="CK466" s="275">
        <f t="shared" si="545"/>
        <v>142341916.85376462</v>
      </c>
      <c r="CL466" s="275">
        <f t="shared" si="571"/>
        <v>256449213.707753</v>
      </c>
      <c r="CM466" s="278">
        <f>'Detailed Budget'!$AD$189</f>
        <v>77498869683.252869</v>
      </c>
      <c r="CN466" s="275">
        <f t="shared" si="565"/>
        <v>0</v>
      </c>
      <c r="CO466" s="140">
        <f>'Detailed Budget'!$AD$191</f>
        <v>2684962805.4134097</v>
      </c>
      <c r="CP466" s="616">
        <f t="shared" si="566"/>
        <v>0</v>
      </c>
      <c r="CQ466" s="616">
        <f t="shared" si="567"/>
        <v>0</v>
      </c>
      <c r="CR466" s="199">
        <f>'Detailed Budget'!$AD$195</f>
        <v>18734176418</v>
      </c>
      <c r="CS466" s="275">
        <f t="shared" si="546"/>
        <v>18989756.274232026</v>
      </c>
      <c r="CW466" s="278"/>
      <c r="DH466" s="140">
        <f>'Detailed Budget'!$AD$163</f>
        <v>4928560000</v>
      </c>
      <c r="DI466" s="616">
        <f t="shared" si="547"/>
        <v>6160000</v>
      </c>
    </row>
    <row r="467" spans="1:113" outlineLevel="1">
      <c r="A467" s="214" t="s">
        <v>1052</v>
      </c>
      <c r="B467" s="215" t="s">
        <v>1053</v>
      </c>
      <c r="C467" s="216" t="s">
        <v>234</v>
      </c>
      <c r="D467" s="217" t="s">
        <v>234</v>
      </c>
      <c r="E467" s="216"/>
      <c r="F467" s="216"/>
      <c r="G467" s="216"/>
      <c r="H467" s="216" t="s">
        <v>234</v>
      </c>
      <c r="I467" s="217" t="s">
        <v>234</v>
      </c>
      <c r="J467" s="217"/>
      <c r="K467" s="216" t="s">
        <v>234</v>
      </c>
      <c r="L467" s="216"/>
      <c r="M467" s="217"/>
      <c r="N467" s="216"/>
      <c r="O467" s="217"/>
      <c r="P467" s="216"/>
      <c r="Q467" s="217"/>
      <c r="R467" s="217" t="s">
        <v>234</v>
      </c>
      <c r="S467" s="217"/>
      <c r="T467" s="217"/>
      <c r="U467" s="218">
        <f t="shared" si="537"/>
        <v>6</v>
      </c>
      <c r="V467" s="867" t="s">
        <v>238</v>
      </c>
      <c r="W467" s="219">
        <v>225917</v>
      </c>
      <c r="X467" s="220">
        <v>3.03</v>
      </c>
      <c r="Y467" s="221">
        <f t="shared" si="514"/>
        <v>1.0303</v>
      </c>
      <c r="Z467" s="199">
        <v>19</v>
      </c>
      <c r="AA467" s="221">
        <f t="shared" si="515"/>
        <v>1.7632354008841205</v>
      </c>
      <c r="AB467" s="199">
        <f t="shared" si="551"/>
        <v>398344.85206153785</v>
      </c>
      <c r="AC467">
        <v>20.2</v>
      </c>
      <c r="AD467" s="199">
        <f t="shared" si="552"/>
        <v>80465.660116430648</v>
      </c>
      <c r="AE467" s="199">
        <f t="shared" si="534"/>
        <v>76442.377110609115</v>
      </c>
      <c r="AF467" s="199">
        <f t="shared" si="570"/>
        <v>76442.377110609115</v>
      </c>
      <c r="AG467" s="614">
        <f t="shared" si="569"/>
        <v>3.5343599292710346E-3</v>
      </c>
      <c r="AH467" s="199">
        <f t="shared" si="548"/>
        <v>19917.242603076895</v>
      </c>
      <c r="AI467" s="252">
        <f t="shared" si="550"/>
        <v>1.5429586068901938E-3</v>
      </c>
      <c r="AJ467" s="199">
        <f t="shared" si="553"/>
        <v>100382.90271950755</v>
      </c>
      <c r="AK467" s="199">
        <f t="shared" si="572"/>
        <v>15933.794082461514</v>
      </c>
      <c r="AL467" s="199">
        <f t="shared" si="573"/>
        <v>15933.794082461514</v>
      </c>
      <c r="AM467" s="199">
        <f t="shared" si="554"/>
        <v>31867.588164923029</v>
      </c>
      <c r="AN467" s="645">
        <f t="shared" si="555"/>
        <v>1.5429586068901938E-3</v>
      </c>
      <c r="AO467" s="199">
        <v>11</v>
      </c>
      <c r="AP467" s="250">
        <f t="shared" si="556"/>
        <v>1.2498579706851495E-3</v>
      </c>
      <c r="AQ467" s="199">
        <v>11</v>
      </c>
      <c r="AU467" s="199">
        <v>0</v>
      </c>
      <c r="AW467" s="250">
        <f t="shared" si="557"/>
        <v>0</v>
      </c>
      <c r="AX467" s="199">
        <v>1</v>
      </c>
      <c r="AY467" s="199">
        <f t="shared" si="538"/>
        <v>29100.01646665272</v>
      </c>
      <c r="AZ467" s="199">
        <f t="shared" si="558"/>
        <v>29100.01646665272</v>
      </c>
      <c r="BA467" s="252">
        <f t="shared" si="559"/>
        <v>2.2874501333521925E-3</v>
      </c>
      <c r="BB467" s="284">
        <v>1</v>
      </c>
      <c r="BC467" s="199">
        <f t="shared" si="539"/>
        <v>57935.275283830066</v>
      </c>
      <c r="BD467" s="270">
        <f t="shared" si="511"/>
        <v>5.217482502927087E-3</v>
      </c>
      <c r="BE467" s="199">
        <f t="shared" si="540"/>
        <v>247834.2331586064</v>
      </c>
      <c r="BF467" s="251">
        <f t="shared" si="512"/>
        <v>5.2174826188693601E-3</v>
      </c>
      <c r="BG467" s="204">
        <f t="shared" si="513"/>
        <v>305769.50844243646</v>
      </c>
      <c r="BH467" s="636">
        <v>0</v>
      </c>
      <c r="BI467" s="199">
        <f t="shared" si="560"/>
        <v>121893.5247308306</v>
      </c>
      <c r="BJ467" s="199">
        <f t="shared" si="561"/>
        <v>243787.0494616612</v>
      </c>
      <c r="BK467" s="199">
        <f t="shared" si="568"/>
        <v>365680.57419249183</v>
      </c>
      <c r="BL467" s="251">
        <f t="shared" si="562"/>
        <v>1.542958606890194E-3</v>
      </c>
      <c r="BM467" s="199">
        <f t="shared" si="541"/>
        <v>26825.255525375927</v>
      </c>
      <c r="BN467" s="251">
        <f t="shared" si="563"/>
        <v>1.158397958672897E-3</v>
      </c>
      <c r="BT467" s="199">
        <f>'Detailed Budget'!$AD$12</f>
        <v>194045122715</v>
      </c>
      <c r="BU467" s="199">
        <f>'Detailed Budget'!$AD$24</f>
        <v>194045122715</v>
      </c>
      <c r="BV467" s="596">
        <f t="shared" si="542"/>
        <v>0</v>
      </c>
      <c r="BW467" s="278"/>
      <c r="BX467" s="275">
        <f t="shared" si="526"/>
        <v>0</v>
      </c>
      <c r="BY467" s="275">
        <f t="shared" si="527"/>
        <v>0</v>
      </c>
      <c r="CA467" s="199">
        <f>'Detailed Budget'!$AD$96</f>
        <v>71050111380.677719</v>
      </c>
      <c r="CB467" s="275">
        <f t="shared" si="564"/>
        <v>162523586.75241938</v>
      </c>
      <c r="CE467" s="199">
        <f>'Detailed Budget'!$AD$175</f>
        <v>4330586076.5988197</v>
      </c>
      <c r="CF467" s="275">
        <f t="shared" si="543"/>
        <v>22594757.082074005</v>
      </c>
      <c r="CG467" s="199">
        <f>'Detailed Budget'!$AD$176</f>
        <v>20662817754.37001</v>
      </c>
      <c r="CH467" s="275">
        <f t="shared" si="544"/>
        <v>107807892.49029075</v>
      </c>
      <c r="CI467" s="275">
        <f t="shared" si="549"/>
        <v>130402649.57236475</v>
      </c>
      <c r="CJ467" s="275">
        <f>'Detailed Budget'!$AD$178</f>
        <v>46025131033.061455</v>
      </c>
      <c r="CK467" s="275">
        <f t="shared" si="545"/>
        <v>162669378.86270118</v>
      </c>
      <c r="CL467" s="275">
        <f t="shared" si="571"/>
        <v>293072028.43506593</v>
      </c>
      <c r="CM467" s="278">
        <f>'Detailed Budget'!$AD$189</f>
        <v>77498869683.252869</v>
      </c>
      <c r="CN467" s="275">
        <f t="shared" si="565"/>
        <v>0</v>
      </c>
      <c r="CO467" s="140">
        <f>'Detailed Budget'!$AD$191</f>
        <v>2684962805.4134097</v>
      </c>
      <c r="CP467" s="616">
        <f t="shared" si="566"/>
        <v>0</v>
      </c>
      <c r="CQ467" s="616">
        <f t="shared" si="567"/>
        <v>0</v>
      </c>
      <c r="CR467" s="199">
        <f>'Detailed Budget'!$AD$195</f>
        <v>18734176418</v>
      </c>
      <c r="CS467" s="275">
        <f t="shared" si="546"/>
        <v>21701631.720029123</v>
      </c>
      <c r="CW467" s="278"/>
      <c r="DH467" s="140">
        <f>'Detailed Budget'!$AD$163</f>
        <v>4928560000</v>
      </c>
      <c r="DI467" s="616">
        <f t="shared" si="547"/>
        <v>6160000</v>
      </c>
    </row>
    <row r="468" spans="1:113" outlineLevel="1">
      <c r="A468" s="214" t="s">
        <v>1054</v>
      </c>
      <c r="B468" s="215" t="s">
        <v>1055</v>
      </c>
      <c r="C468" s="216" t="s">
        <v>234</v>
      </c>
      <c r="D468" s="217" t="s">
        <v>234</v>
      </c>
      <c r="E468" s="216"/>
      <c r="F468" s="216"/>
      <c r="G468" s="216"/>
      <c r="H468" s="216" t="s">
        <v>234</v>
      </c>
      <c r="I468" s="217" t="s">
        <v>234</v>
      </c>
      <c r="J468" s="217"/>
      <c r="K468" s="216" t="s">
        <v>234</v>
      </c>
      <c r="L468" s="216"/>
      <c r="M468" s="217"/>
      <c r="N468" s="216"/>
      <c r="O468" s="217"/>
      <c r="P468" s="216"/>
      <c r="Q468" s="217"/>
      <c r="R468" s="217" t="s">
        <v>234</v>
      </c>
      <c r="S468" s="217"/>
      <c r="T468" s="217"/>
      <c r="U468" s="218">
        <f t="shared" si="537"/>
        <v>6</v>
      </c>
      <c r="V468" s="867" t="s">
        <v>238</v>
      </c>
      <c r="W468" s="219">
        <v>114770</v>
      </c>
      <c r="X468" s="220">
        <v>3.03</v>
      </c>
      <c r="Y468" s="221">
        <f t="shared" si="514"/>
        <v>1.0303</v>
      </c>
      <c r="Z468" s="199">
        <v>19</v>
      </c>
      <c r="AA468" s="221">
        <f t="shared" si="515"/>
        <v>1.7632354008841205</v>
      </c>
      <c r="AB468" s="199">
        <f t="shared" si="551"/>
        <v>202366.5269594705</v>
      </c>
      <c r="AC468">
        <v>20.2</v>
      </c>
      <c r="AD468" s="199">
        <f t="shared" si="552"/>
        <v>40878.038445813043</v>
      </c>
      <c r="AE468" s="199">
        <f t="shared" si="534"/>
        <v>38834.136523522386</v>
      </c>
      <c r="AF468" s="199">
        <f t="shared" si="570"/>
        <v>38834.136523522386</v>
      </c>
      <c r="AG468" s="614">
        <f t="shared" si="569"/>
        <v>1.7955199877939094E-3</v>
      </c>
      <c r="AH468" s="199">
        <f t="shared" si="548"/>
        <v>10118.326347973525</v>
      </c>
      <c r="AI468" s="252">
        <f t="shared" si="550"/>
        <v>7.8385141141564169E-4</v>
      </c>
      <c r="AJ468" s="199">
        <f t="shared" si="553"/>
        <v>50996.364793786568</v>
      </c>
      <c r="AK468" s="199">
        <f t="shared" si="572"/>
        <v>8094.6610783788201</v>
      </c>
      <c r="AL468" s="199">
        <f t="shared" si="573"/>
        <v>8094.6610783788201</v>
      </c>
      <c r="AM468" s="199">
        <f t="shared" si="554"/>
        <v>16189.32215675764</v>
      </c>
      <c r="AN468" s="645">
        <f t="shared" si="555"/>
        <v>7.8385141141564169E-4</v>
      </c>
      <c r="AO468" s="199">
        <v>10</v>
      </c>
      <c r="AP468" s="250">
        <f t="shared" si="556"/>
        <v>1.1362345188046814E-3</v>
      </c>
      <c r="AQ468" s="199">
        <v>10</v>
      </c>
      <c r="AU468" s="199">
        <v>0</v>
      </c>
      <c r="AW468" s="250">
        <f t="shared" si="557"/>
        <v>0</v>
      </c>
      <c r="AX468" s="199">
        <v>1</v>
      </c>
      <c r="AY468" s="199">
        <f t="shared" si="538"/>
        <v>14783.344723406084</v>
      </c>
      <c r="AZ468" s="199">
        <f t="shared" si="558"/>
        <v>14783.344723406084</v>
      </c>
      <c r="BA468" s="252">
        <f t="shared" si="559"/>
        <v>1.1620668289895454E-3</v>
      </c>
      <c r="BB468" s="284">
        <v>1</v>
      </c>
      <c r="BC468" s="199">
        <f t="shared" si="539"/>
        <v>29432.187680985389</v>
      </c>
      <c r="BD468" s="270">
        <f t="shared" si="511"/>
        <v>2.6505772777654702E-3</v>
      </c>
      <c r="BE468" s="199">
        <f t="shared" si="540"/>
        <v>125904.35841310417</v>
      </c>
      <c r="BF468" s="251">
        <f t="shared" si="512"/>
        <v>2.6505773366662824E-3</v>
      </c>
      <c r="BG468" s="204">
        <f t="shared" si="513"/>
        <v>155336.54609408957</v>
      </c>
      <c r="BH468" s="636">
        <v>0</v>
      </c>
      <c r="BI468" s="199">
        <f t="shared" si="560"/>
        <v>61924.157249597978</v>
      </c>
      <c r="BJ468" s="199">
        <f t="shared" si="561"/>
        <v>123848.31449919596</v>
      </c>
      <c r="BK468" s="199">
        <f t="shared" si="568"/>
        <v>185772.47174879393</v>
      </c>
      <c r="BL468" s="251">
        <f t="shared" si="562"/>
        <v>7.8385141141564169E-4</v>
      </c>
      <c r="BM468" s="199">
        <f t="shared" si="541"/>
        <v>13627.724237872293</v>
      </c>
      <c r="BN468" s="251">
        <f t="shared" si="563"/>
        <v>5.8848751407325863E-4</v>
      </c>
      <c r="BT468" s="199">
        <f>'Detailed Budget'!$AD$12</f>
        <v>194045122715</v>
      </c>
      <c r="BU468" s="199">
        <f>'Detailed Budget'!$AD$24</f>
        <v>194045122715</v>
      </c>
      <c r="BV468" s="596">
        <f t="shared" si="542"/>
        <v>0</v>
      </c>
      <c r="BW468" s="278"/>
      <c r="BX468" s="275">
        <f t="shared" si="526"/>
        <v>0</v>
      </c>
      <c r="BY468" s="275">
        <f t="shared" si="527"/>
        <v>0</v>
      </c>
      <c r="CA468" s="199">
        <f>'Detailed Budget'!$AD$96</f>
        <v>71050111380.677719</v>
      </c>
      <c r="CB468" s="275">
        <f t="shared" si="564"/>
        <v>82564977.631498173</v>
      </c>
      <c r="CE468" s="199">
        <f>'Detailed Budget'!$AD$175</f>
        <v>4330586076.5988197</v>
      </c>
      <c r="CF468" s="275">
        <f t="shared" si="543"/>
        <v>11478553.054040348</v>
      </c>
      <c r="CG468" s="199">
        <f>'Detailed Budget'!$AD$176</f>
        <v>20662817754.37001</v>
      </c>
      <c r="CH468" s="275">
        <f t="shared" si="544"/>
        <v>54768396.451398835</v>
      </c>
      <c r="CI468" s="275">
        <f t="shared" si="549"/>
        <v>66246949.505439185</v>
      </c>
      <c r="CJ468" s="275">
        <f>'Detailed Budget'!$AD$178</f>
        <v>46025131033.061455</v>
      </c>
      <c r="CK468" s="275">
        <f t="shared" si="545"/>
        <v>82639042.71069558</v>
      </c>
      <c r="CL468" s="275">
        <f t="shared" si="571"/>
        <v>148885992.21613476</v>
      </c>
      <c r="CM468" s="278">
        <f>'Detailed Budget'!$AD$189</f>
        <v>77498869683.252869</v>
      </c>
      <c r="CN468" s="275">
        <f t="shared" si="565"/>
        <v>0</v>
      </c>
      <c r="CO468" s="140">
        <f>'Detailed Budget'!$AD$191</f>
        <v>2684962805.4134097</v>
      </c>
      <c r="CP468" s="616">
        <f t="shared" si="566"/>
        <v>0</v>
      </c>
      <c r="CQ468" s="616">
        <f t="shared" si="567"/>
        <v>0</v>
      </c>
      <c r="CR468" s="199">
        <f>'Detailed Budget'!$AD$195</f>
        <v>18734176418</v>
      </c>
      <c r="CS468" s="275">
        <f t="shared" si="546"/>
        <v>11024828.908438684</v>
      </c>
      <c r="CW468" s="278"/>
      <c r="DH468" s="140">
        <f>'Detailed Budget'!$AD$163</f>
        <v>4928560000</v>
      </c>
      <c r="DI468" s="616">
        <f t="shared" si="547"/>
        <v>5600000</v>
      </c>
    </row>
    <row r="469" spans="1:113" outlineLevel="1">
      <c r="A469" s="214" t="s">
        <v>1056</v>
      </c>
      <c r="B469" s="215" t="s">
        <v>1057</v>
      </c>
      <c r="C469" s="216" t="s">
        <v>234</v>
      </c>
      <c r="D469" s="217" t="s">
        <v>234</v>
      </c>
      <c r="E469" s="216"/>
      <c r="F469" s="216"/>
      <c r="G469" s="216"/>
      <c r="H469" s="216" t="s">
        <v>234</v>
      </c>
      <c r="I469" s="217" t="s">
        <v>234</v>
      </c>
      <c r="J469" s="217"/>
      <c r="K469" s="216" t="s">
        <v>234</v>
      </c>
      <c r="L469" s="216"/>
      <c r="M469" s="217"/>
      <c r="N469" s="216"/>
      <c r="O469" s="217"/>
      <c r="P469" s="216"/>
      <c r="Q469" s="217"/>
      <c r="R469" s="217" t="s">
        <v>234</v>
      </c>
      <c r="S469" s="217" t="s">
        <v>234</v>
      </c>
      <c r="T469" s="217"/>
      <c r="U469" s="218">
        <f t="shared" si="537"/>
        <v>7</v>
      </c>
      <c r="V469" s="867" t="s">
        <v>418</v>
      </c>
      <c r="W469" s="219">
        <v>68414</v>
      </c>
      <c r="X469" s="220">
        <v>3.03</v>
      </c>
      <c r="Y469" s="221">
        <f t="shared" si="514"/>
        <v>1.0303</v>
      </c>
      <c r="Z469" s="199">
        <v>19</v>
      </c>
      <c r="AA469" s="221">
        <f t="shared" si="515"/>
        <v>1.7632354008841205</v>
      </c>
      <c r="AB469" s="199">
        <f t="shared" si="551"/>
        <v>120629.98671608622</v>
      </c>
      <c r="AC469">
        <v>20.2</v>
      </c>
      <c r="AD469" s="199">
        <f t="shared" si="552"/>
        <v>24367.257316649415</v>
      </c>
      <c r="AE469" s="199">
        <f t="shared" si="534"/>
        <v>23148.894450816944</v>
      </c>
      <c r="AF469" s="199">
        <f t="shared" si="570"/>
        <v>23148.894450816944</v>
      </c>
      <c r="AG469" s="614">
        <f t="shared" si="569"/>
        <v>1.0703032538549491E-3</v>
      </c>
      <c r="AH469" s="199">
        <f t="shared" si="548"/>
        <v>6031.4993358043112</v>
      </c>
      <c r="AI469" s="252">
        <f t="shared" si="550"/>
        <v>4.6725111493064141E-4</v>
      </c>
      <c r="AJ469" s="199">
        <f t="shared" si="553"/>
        <v>30398.756652453725</v>
      </c>
      <c r="AK469" s="199">
        <f t="shared" si="572"/>
        <v>4825.1994686434491</v>
      </c>
      <c r="AL469" s="199">
        <f t="shared" si="573"/>
        <v>4825.1994686434491</v>
      </c>
      <c r="AM469" s="199">
        <f t="shared" si="554"/>
        <v>9650.3989372868982</v>
      </c>
      <c r="AN469" s="645">
        <f t="shared" si="555"/>
        <v>4.6725111493064141E-4</v>
      </c>
      <c r="AO469" s="199">
        <v>10</v>
      </c>
      <c r="AP469" s="250">
        <f t="shared" si="556"/>
        <v>1.1362345188046814E-3</v>
      </c>
      <c r="AQ469" s="199">
        <v>10</v>
      </c>
      <c r="AU469" s="199">
        <v>0</v>
      </c>
      <c r="AW469" s="250">
        <f t="shared" si="557"/>
        <v>0</v>
      </c>
      <c r="AX469" s="199">
        <v>1</v>
      </c>
      <c r="AY469" s="199">
        <f t="shared" si="538"/>
        <v>8812.3006526714616</v>
      </c>
      <c r="AZ469" s="199">
        <f t="shared" si="558"/>
        <v>8812.3006526714616</v>
      </c>
      <c r="BA469" s="252">
        <f t="shared" si="559"/>
        <v>6.9270401706448322E-4</v>
      </c>
      <c r="BB469" s="284">
        <v>1</v>
      </c>
      <c r="BC469" s="199">
        <f t="shared" si="539"/>
        <v>17544.425267987579</v>
      </c>
      <c r="BD469" s="270">
        <f t="shared" si="511"/>
        <v>1.579999946685082E-3</v>
      </c>
      <c r="BE469" s="199">
        <f t="shared" si="540"/>
        <v>75051.152535280198</v>
      </c>
      <c r="BF469" s="251">
        <f t="shared" si="512"/>
        <v>1.5799999817956523E-3</v>
      </c>
      <c r="BG469" s="204">
        <f t="shared" si="513"/>
        <v>92595.577803267777</v>
      </c>
      <c r="BH469" s="636">
        <v>0</v>
      </c>
      <c r="BI469" s="199">
        <f t="shared" si="560"/>
        <v>36912.775935122387</v>
      </c>
      <c r="BJ469" s="199">
        <f t="shared" si="561"/>
        <v>73825.551870244773</v>
      </c>
      <c r="BK469" s="199">
        <f t="shared" si="568"/>
        <v>110738.32780536715</v>
      </c>
      <c r="BL469" s="251">
        <f t="shared" si="562"/>
        <v>4.6725111493064141E-4</v>
      </c>
      <c r="BM469" s="199">
        <f t="shared" si="541"/>
        <v>8123.4392786424605</v>
      </c>
      <c r="BN469" s="251">
        <f t="shared" si="563"/>
        <v>3.5079537150656026E-4</v>
      </c>
      <c r="BT469" s="199">
        <f>'Detailed Budget'!$AD$12</f>
        <v>194045122715</v>
      </c>
      <c r="BU469" s="199">
        <f>'Detailed Budget'!$AD$24</f>
        <v>194045122715</v>
      </c>
      <c r="BV469" s="596">
        <f t="shared" si="542"/>
        <v>0</v>
      </c>
      <c r="BW469" s="278"/>
      <c r="BX469" s="275">
        <f t="shared" si="526"/>
        <v>0</v>
      </c>
      <c r="BY469" s="275">
        <f t="shared" si="527"/>
        <v>0</v>
      </c>
      <c r="CA469" s="199">
        <f>'Detailed Budget'!$AD$96</f>
        <v>71050111380.677719</v>
      </c>
      <c r="CB469" s="275">
        <f t="shared" si="564"/>
        <v>49216697.566274412</v>
      </c>
      <c r="CE469" s="199">
        <f>'Detailed Budget'!$AD$175</f>
        <v>4330586076.5988197</v>
      </c>
      <c r="CF469" s="275">
        <f t="shared" si="543"/>
        <v>6842325.7701412933</v>
      </c>
      <c r="CG469" s="199">
        <f>'Detailed Budget'!$AD$176</f>
        <v>20662817754.37001</v>
      </c>
      <c r="CH469" s="275">
        <f t="shared" si="544"/>
        <v>32647251.675751496</v>
      </c>
      <c r="CI469" s="275">
        <f t="shared" si="549"/>
        <v>39489577.445892788</v>
      </c>
      <c r="CJ469" s="275">
        <f>'Detailed Budget'!$AD$178</f>
        <v>46025131033.061455</v>
      </c>
      <c r="CK469" s="275">
        <f t="shared" si="545"/>
        <v>49260847.503786072</v>
      </c>
      <c r="CL469" s="275">
        <f t="shared" si="571"/>
        <v>88750424.949678868</v>
      </c>
      <c r="CM469" s="278">
        <f>'Detailed Budget'!$AD$189</f>
        <v>77498869683.252869</v>
      </c>
      <c r="CN469" s="275">
        <f t="shared" si="565"/>
        <v>0</v>
      </c>
      <c r="CO469" s="140">
        <f>'Detailed Budget'!$AD$191</f>
        <v>2684962805.4134097</v>
      </c>
      <c r="CP469" s="616">
        <f t="shared" si="566"/>
        <v>0</v>
      </c>
      <c r="CQ469" s="616">
        <f t="shared" si="567"/>
        <v>0</v>
      </c>
      <c r="CR469" s="199">
        <f>'Detailed Budget'!$AD$195</f>
        <v>18734176418</v>
      </c>
      <c r="CS469" s="275">
        <f t="shared" si="546"/>
        <v>6571862.3764217505</v>
      </c>
      <c r="CW469" s="278"/>
      <c r="DH469" s="140">
        <f>'Detailed Budget'!$AD$163</f>
        <v>4928560000</v>
      </c>
      <c r="DI469" s="616">
        <f t="shared" si="547"/>
        <v>5600000</v>
      </c>
    </row>
    <row r="470" spans="1:113" outlineLevel="1">
      <c r="A470" s="214" t="s">
        <v>1058</v>
      </c>
      <c r="B470" s="215" t="s">
        <v>1059</v>
      </c>
      <c r="C470" s="216" t="s">
        <v>234</v>
      </c>
      <c r="D470" s="217" t="s">
        <v>234</v>
      </c>
      <c r="E470" s="216"/>
      <c r="F470" s="216"/>
      <c r="G470" s="216"/>
      <c r="H470" s="216" t="s">
        <v>234</v>
      </c>
      <c r="I470" s="217" t="s">
        <v>234</v>
      </c>
      <c r="J470" s="217"/>
      <c r="K470" s="216" t="s">
        <v>234</v>
      </c>
      <c r="L470" s="216"/>
      <c r="M470" s="217"/>
      <c r="N470" s="216"/>
      <c r="O470" s="217"/>
      <c r="P470" s="216"/>
      <c r="Q470" s="217"/>
      <c r="R470" s="217" t="s">
        <v>234</v>
      </c>
      <c r="S470" s="217"/>
      <c r="T470" s="217"/>
      <c r="U470" s="218">
        <f t="shared" si="537"/>
        <v>6</v>
      </c>
      <c r="V470" s="867" t="s">
        <v>238</v>
      </c>
      <c r="W470" s="219">
        <v>179246</v>
      </c>
      <c r="X470" s="220">
        <v>3.03</v>
      </c>
      <c r="Y470" s="221">
        <f t="shared" si="514"/>
        <v>1.0303</v>
      </c>
      <c r="Z470" s="199">
        <v>19</v>
      </c>
      <c r="AA470" s="221">
        <f t="shared" si="515"/>
        <v>1.7632354008841205</v>
      </c>
      <c r="AB470" s="199">
        <f t="shared" si="551"/>
        <v>316052.89266687504</v>
      </c>
      <c r="AC470">
        <v>20.2</v>
      </c>
      <c r="AD470" s="199">
        <f t="shared" si="552"/>
        <v>63842.684318708758</v>
      </c>
      <c r="AE470" s="199">
        <f t="shared" si="534"/>
        <v>60650.550102773319</v>
      </c>
      <c r="AF470" s="199">
        <f t="shared" si="570"/>
        <v>60650.550102773319</v>
      </c>
      <c r="AG470" s="614">
        <f t="shared" si="569"/>
        <v>2.80421517584828E-3</v>
      </c>
      <c r="AH470" s="199">
        <f t="shared" si="548"/>
        <v>15802.644633343753</v>
      </c>
      <c r="AI470" s="252">
        <f t="shared" si="550"/>
        <v>1.2242069363998266E-3</v>
      </c>
      <c r="AJ470" s="199">
        <f t="shared" si="553"/>
        <v>79645.328952052514</v>
      </c>
      <c r="AK470" s="199">
        <f t="shared" si="572"/>
        <v>12642.115706675002</v>
      </c>
      <c r="AL470" s="199">
        <f t="shared" si="573"/>
        <v>12642.115706675002</v>
      </c>
      <c r="AM470" s="199">
        <f t="shared" si="554"/>
        <v>25284.231413350004</v>
      </c>
      <c r="AN470" s="645">
        <f t="shared" si="555"/>
        <v>1.2242069363998266E-3</v>
      </c>
      <c r="AO470" s="199">
        <v>11</v>
      </c>
      <c r="AP470" s="250">
        <f t="shared" si="556"/>
        <v>1.2498579706851495E-3</v>
      </c>
      <c r="AQ470" s="199">
        <v>11</v>
      </c>
      <c r="AU470" s="199">
        <v>0</v>
      </c>
      <c r="AW470" s="250">
        <f t="shared" si="557"/>
        <v>0</v>
      </c>
      <c r="AX470" s="199">
        <v>1</v>
      </c>
      <c r="AY470" s="199">
        <f t="shared" si="538"/>
        <v>23088.397737140775</v>
      </c>
      <c r="AZ470" s="199">
        <f t="shared" si="558"/>
        <v>23088.397737140775</v>
      </c>
      <c r="BA470" s="252">
        <f t="shared" si="559"/>
        <v>1.8148978899456306E-3</v>
      </c>
      <c r="BB470" s="284">
        <v>1</v>
      </c>
      <c r="BC470" s="199">
        <f t="shared" si="539"/>
        <v>45966.732709470307</v>
      </c>
      <c r="BD470" s="270">
        <f t="shared" si="511"/>
        <v>4.1396303453023389E-3</v>
      </c>
      <c r="BE470" s="199">
        <f t="shared" si="540"/>
        <v>196635.46770162298</v>
      </c>
      <c r="BF470" s="251">
        <f t="shared" si="512"/>
        <v>4.1396304372927108E-3</v>
      </c>
      <c r="BG470" s="204">
        <f t="shared" si="513"/>
        <v>242602.2004110933</v>
      </c>
      <c r="BH470" s="636">
        <v>0</v>
      </c>
      <c r="BI470" s="199">
        <f t="shared" si="560"/>
        <v>96712.185156063759</v>
      </c>
      <c r="BJ470" s="199">
        <f t="shared" si="561"/>
        <v>193424.37031212752</v>
      </c>
      <c r="BK470" s="199">
        <f t="shared" si="568"/>
        <v>290136.55546819128</v>
      </c>
      <c r="BL470" s="251">
        <f t="shared" si="562"/>
        <v>1.2242069363998266E-3</v>
      </c>
      <c r="BM470" s="199">
        <f t="shared" si="541"/>
        <v>21283.567646089195</v>
      </c>
      <c r="BN470" s="251">
        <f t="shared" si="563"/>
        <v>9.1909064169709261E-4</v>
      </c>
      <c r="BT470" s="199">
        <f>'Detailed Budget'!$AD$12</f>
        <v>194045122715</v>
      </c>
      <c r="BU470" s="199">
        <f>'Detailed Budget'!$AD$24</f>
        <v>194045122715</v>
      </c>
      <c r="BV470" s="596">
        <f t="shared" si="542"/>
        <v>0</v>
      </c>
      <c r="BW470" s="278"/>
      <c r="BX470" s="275">
        <f t="shared" si="526"/>
        <v>0</v>
      </c>
      <c r="BY470" s="275">
        <f t="shared" si="527"/>
        <v>0</v>
      </c>
      <c r="CA470" s="199">
        <f>'Detailed Budget'!$AD$96</f>
        <v>71050111380.677719</v>
      </c>
      <c r="CB470" s="275">
        <f t="shared" si="564"/>
        <v>128948697.22519404</v>
      </c>
      <c r="CE470" s="199">
        <f>'Detailed Budget'!$AD$175</f>
        <v>4330586076.5988197</v>
      </c>
      <c r="CF470" s="275">
        <f t="shared" si="543"/>
        <v>17927025.535632271</v>
      </c>
      <c r="CG470" s="199">
        <f>'Detailed Budget'!$AD$176</f>
        <v>20662817754.37001</v>
      </c>
      <c r="CH470" s="275">
        <f t="shared" si="544"/>
        <v>85536429.296222314</v>
      </c>
      <c r="CI470" s="275">
        <f t="shared" si="549"/>
        <v>103463454.83185458</v>
      </c>
      <c r="CJ470" s="275">
        <f>'Detailed Budget'!$AD$178</f>
        <v>46025131033.061455</v>
      </c>
      <c r="CK470" s="275">
        <f t="shared" si="545"/>
        <v>129064370.91331656</v>
      </c>
      <c r="CL470" s="275">
        <f t="shared" si="571"/>
        <v>232527825.74517113</v>
      </c>
      <c r="CM470" s="278">
        <f>'Detailed Budget'!$AD$189</f>
        <v>77498869683.252869</v>
      </c>
      <c r="CN470" s="275">
        <f t="shared" si="565"/>
        <v>0</v>
      </c>
      <c r="CO470" s="140">
        <f>'Detailed Budget'!$AD$191</f>
        <v>2684962805.4134097</v>
      </c>
      <c r="CP470" s="616">
        <f t="shared" si="566"/>
        <v>0</v>
      </c>
      <c r="CQ470" s="616">
        <f t="shared" si="567"/>
        <v>0</v>
      </c>
      <c r="CR470" s="199">
        <f>'Detailed Budget'!$AD$195</f>
        <v>18734176418</v>
      </c>
      <c r="CS470" s="275">
        <f t="shared" si="546"/>
        <v>17218406.225686159</v>
      </c>
      <c r="CW470" s="278"/>
      <c r="DH470" s="140">
        <f>'Detailed Budget'!$AD$163</f>
        <v>4928560000</v>
      </c>
      <c r="DI470" s="616">
        <f t="shared" si="547"/>
        <v>6160000</v>
      </c>
    </row>
    <row r="471" spans="1:113" outlineLevel="1">
      <c r="A471" s="214" t="s">
        <v>1060</v>
      </c>
      <c r="B471" s="215" t="s">
        <v>1061</v>
      </c>
      <c r="C471" s="216" t="s">
        <v>234</v>
      </c>
      <c r="D471" s="217" t="s">
        <v>234</v>
      </c>
      <c r="E471" s="216"/>
      <c r="F471" s="216"/>
      <c r="G471" s="216"/>
      <c r="H471" s="216" t="s">
        <v>234</v>
      </c>
      <c r="I471" s="217" t="s">
        <v>234</v>
      </c>
      <c r="J471" s="217"/>
      <c r="K471" s="216" t="s">
        <v>234</v>
      </c>
      <c r="L471" s="216"/>
      <c r="M471" s="217"/>
      <c r="N471" s="216"/>
      <c r="O471" s="217"/>
      <c r="P471" s="216"/>
      <c r="Q471" s="217"/>
      <c r="R471" s="217" t="s">
        <v>234</v>
      </c>
      <c r="S471" s="217"/>
      <c r="T471" s="217"/>
      <c r="U471" s="218">
        <f t="shared" si="537"/>
        <v>6</v>
      </c>
      <c r="V471" s="867" t="s">
        <v>238</v>
      </c>
      <c r="W471" s="219">
        <v>162403</v>
      </c>
      <c r="X471" s="220">
        <v>3.03</v>
      </c>
      <c r="Y471" s="221">
        <f t="shared" si="514"/>
        <v>1.0303</v>
      </c>
      <c r="Z471" s="199">
        <v>19</v>
      </c>
      <c r="AA471" s="221">
        <f t="shared" si="515"/>
        <v>1.7632354008841205</v>
      </c>
      <c r="AB471" s="199">
        <f t="shared" si="551"/>
        <v>286354.71880978381</v>
      </c>
      <c r="AC471">
        <v>20.2</v>
      </c>
      <c r="AD471" s="199">
        <f t="shared" si="552"/>
        <v>57843.653199576329</v>
      </c>
      <c r="AE471" s="199">
        <f t="shared" si="534"/>
        <v>54951.470539597511</v>
      </c>
      <c r="AF471" s="199">
        <f t="shared" si="570"/>
        <v>54951.470539597511</v>
      </c>
      <c r="AG471" s="614">
        <f t="shared" si="569"/>
        <v>2.5407147562751089E-3</v>
      </c>
      <c r="AH471" s="199">
        <f t="shared" si="548"/>
        <v>14317.73594048919</v>
      </c>
      <c r="AI471" s="252">
        <f t="shared" si="550"/>
        <v>1.1091733098208107E-3</v>
      </c>
      <c r="AJ471" s="199">
        <f t="shared" si="553"/>
        <v>72161.389140065527</v>
      </c>
      <c r="AK471" s="199">
        <f t="shared" si="572"/>
        <v>11454.188752391352</v>
      </c>
      <c r="AL471" s="199">
        <f t="shared" si="573"/>
        <v>11454.188752391352</v>
      </c>
      <c r="AM471" s="199">
        <f t="shared" si="554"/>
        <v>22908.377504782704</v>
      </c>
      <c r="AN471" s="645">
        <f t="shared" si="555"/>
        <v>1.1091733098208107E-3</v>
      </c>
      <c r="AO471" s="199">
        <v>11</v>
      </c>
      <c r="AP471" s="250">
        <f t="shared" si="556"/>
        <v>1.2498579706851495E-3</v>
      </c>
      <c r="AQ471" s="199">
        <v>11</v>
      </c>
      <c r="AU471" s="199">
        <v>0</v>
      </c>
      <c r="AW471" s="250">
        <f t="shared" si="557"/>
        <v>0</v>
      </c>
      <c r="AX471" s="199">
        <v>1</v>
      </c>
      <c r="AY471" s="199">
        <f t="shared" si="538"/>
        <v>20918.877172739551</v>
      </c>
      <c r="AZ471" s="199">
        <f t="shared" si="558"/>
        <v>20918.877172739551</v>
      </c>
      <c r="BA471" s="252">
        <f t="shared" si="559"/>
        <v>1.6443594948888135E-3</v>
      </c>
      <c r="BB471" s="284">
        <v>1</v>
      </c>
      <c r="BC471" s="199">
        <f t="shared" si="539"/>
        <v>41647.430303694957</v>
      </c>
      <c r="BD471" s="270">
        <f t="shared" ref="BD471:BD537" si="574">BC471/11104067</f>
        <v>3.7506465247098162E-3</v>
      </c>
      <c r="BE471" s="199">
        <f t="shared" si="540"/>
        <v>178158.4518546951</v>
      </c>
      <c r="BF471" s="251">
        <f t="shared" ref="BF471:BF537" si="575">BE471/47500730</f>
        <v>3.7506466080562363E-3</v>
      </c>
      <c r="BG471" s="204">
        <f t="shared" si="513"/>
        <v>219805.88215839007</v>
      </c>
      <c r="BH471" s="636">
        <v>0</v>
      </c>
      <c r="BI471" s="199">
        <f t="shared" si="560"/>
        <v>87624.543955793837</v>
      </c>
      <c r="BJ471" s="199">
        <f t="shared" si="561"/>
        <v>175249.08791158767</v>
      </c>
      <c r="BK471" s="199">
        <f t="shared" si="568"/>
        <v>262873.63186738151</v>
      </c>
      <c r="BL471" s="251">
        <f t="shared" si="562"/>
        <v>1.1091733098208107E-3</v>
      </c>
      <c r="BM471" s="199">
        <f t="shared" si="541"/>
        <v>19283.639447618491</v>
      </c>
      <c r="BN471" s="251">
        <f t="shared" si="563"/>
        <v>8.3272752241909411E-4</v>
      </c>
      <c r="BT471" s="199">
        <f>'Detailed Budget'!$AD$12</f>
        <v>194045122715</v>
      </c>
      <c r="BU471" s="199">
        <f>'Detailed Budget'!$AD$24</f>
        <v>194045122715</v>
      </c>
      <c r="BV471" s="596">
        <f t="shared" si="542"/>
        <v>0</v>
      </c>
      <c r="BW471" s="278"/>
      <c r="BX471" s="275">
        <f t="shared" si="526"/>
        <v>0</v>
      </c>
      <c r="BY471" s="275">
        <f t="shared" si="527"/>
        <v>0</v>
      </c>
      <c r="CA471" s="199">
        <f>'Detailed Budget'!$AD$96</f>
        <v>71050111380.677719</v>
      </c>
      <c r="CB471" s="275">
        <f t="shared" si="564"/>
        <v>116831925.26172516</v>
      </c>
      <c r="CE471" s="199">
        <f>'Detailed Budget'!$AD$175</f>
        <v>4330586076.5988197</v>
      </c>
      <c r="CF471" s="275">
        <f t="shared" si="543"/>
        <v>16242497.618152082</v>
      </c>
      <c r="CG471" s="199">
        <f>'Detailed Budget'!$AD$176</f>
        <v>20662817754.37001</v>
      </c>
      <c r="CH471" s="275">
        <f t="shared" si="544"/>
        <v>77498927.323312059</v>
      </c>
      <c r="CI471" s="275">
        <f t="shared" si="549"/>
        <v>93741424.941464141</v>
      </c>
      <c r="CJ471" s="275">
        <f>'Detailed Budget'!$AD$178</f>
        <v>46025131033.061455</v>
      </c>
      <c r="CK471" s="275">
        <f t="shared" si="545"/>
        <v>116936729.57519469</v>
      </c>
      <c r="CL471" s="275">
        <f t="shared" si="571"/>
        <v>210678154.51665884</v>
      </c>
      <c r="CM471" s="278">
        <f>'Detailed Budget'!$AD$189</f>
        <v>77498869683.252869</v>
      </c>
      <c r="CN471" s="275">
        <f t="shared" si="565"/>
        <v>0</v>
      </c>
      <c r="CO471" s="140">
        <f>'Detailed Budget'!$AD$191</f>
        <v>2684962805.4134097</v>
      </c>
      <c r="CP471" s="616">
        <f t="shared" si="566"/>
        <v>0</v>
      </c>
      <c r="CQ471" s="616">
        <f t="shared" si="567"/>
        <v>0</v>
      </c>
      <c r="CR471" s="199">
        <f>'Detailed Budget'!$AD$195</f>
        <v>18734176418</v>
      </c>
      <c r="CS471" s="275">
        <f t="shared" si="546"/>
        <v>15600464.313123358</v>
      </c>
      <c r="CW471" s="278"/>
      <c r="DH471" s="140">
        <f>'Detailed Budget'!$AD$163</f>
        <v>4928560000</v>
      </c>
      <c r="DI471" s="616">
        <f t="shared" si="547"/>
        <v>6160000</v>
      </c>
    </row>
    <row r="472" spans="1:113" outlineLevel="1">
      <c r="A472" s="214" t="s">
        <v>1062</v>
      </c>
      <c r="B472" s="215" t="s">
        <v>1063</v>
      </c>
      <c r="C472" s="216" t="s">
        <v>234</v>
      </c>
      <c r="D472" s="217" t="s">
        <v>234</v>
      </c>
      <c r="E472" s="216"/>
      <c r="F472" s="216"/>
      <c r="G472" s="216"/>
      <c r="H472" s="216" t="s">
        <v>234</v>
      </c>
      <c r="I472" s="217" t="s">
        <v>234</v>
      </c>
      <c r="J472" s="217"/>
      <c r="K472" s="216" t="s">
        <v>234</v>
      </c>
      <c r="L472" s="216"/>
      <c r="M472" s="217"/>
      <c r="N472" s="216"/>
      <c r="O472" s="217"/>
      <c r="P472" s="216"/>
      <c r="Q472" s="217"/>
      <c r="R472" s="217" t="s">
        <v>234</v>
      </c>
      <c r="S472" s="217"/>
      <c r="T472" s="217"/>
      <c r="U472" s="218">
        <f t="shared" si="537"/>
        <v>6</v>
      </c>
      <c r="V472" s="867" t="s">
        <v>238</v>
      </c>
      <c r="W472" s="219">
        <v>115302</v>
      </c>
      <c r="X472" s="220">
        <v>3.03</v>
      </c>
      <c r="Y472" s="221">
        <f t="shared" si="514"/>
        <v>1.0303</v>
      </c>
      <c r="Z472" s="199">
        <v>19</v>
      </c>
      <c r="AA472" s="221">
        <f t="shared" si="515"/>
        <v>1.7632354008841205</v>
      </c>
      <c r="AB472" s="199">
        <f t="shared" si="551"/>
        <v>203304.56819274084</v>
      </c>
      <c r="AC472">
        <v>20.2</v>
      </c>
      <c r="AD472" s="199">
        <f t="shared" si="552"/>
        <v>41067.522774933648</v>
      </c>
      <c r="AE472" s="199">
        <f t="shared" si="534"/>
        <v>39014.146636186961</v>
      </c>
      <c r="AF472" s="199">
        <f t="shared" si="570"/>
        <v>39014.146636186961</v>
      </c>
      <c r="AG472" s="614">
        <f t="shared" si="569"/>
        <v>1.8038428651443172E-3</v>
      </c>
      <c r="AH472" s="199">
        <f t="shared" si="548"/>
        <v>10165.228409637042</v>
      </c>
      <c r="AI472" s="252">
        <f t="shared" si="550"/>
        <v>7.8748484306914973E-4</v>
      </c>
      <c r="AJ472" s="199">
        <f t="shared" si="553"/>
        <v>51232.75118457069</v>
      </c>
      <c r="AK472" s="199">
        <f t="shared" si="572"/>
        <v>8132.1827277096336</v>
      </c>
      <c r="AL472" s="199">
        <f t="shared" si="573"/>
        <v>8132.1827277096336</v>
      </c>
      <c r="AM472" s="199">
        <f t="shared" si="554"/>
        <v>16264.365455419267</v>
      </c>
      <c r="AN472" s="645">
        <f t="shared" si="555"/>
        <v>7.8748484306914973E-4</v>
      </c>
      <c r="AO472" s="199">
        <v>10</v>
      </c>
      <c r="AP472" s="250">
        <f t="shared" si="556"/>
        <v>1.1362345188046814E-3</v>
      </c>
      <c r="AQ472" s="199">
        <v>10</v>
      </c>
      <c r="AU472" s="199">
        <v>0</v>
      </c>
      <c r="AW472" s="250">
        <f t="shared" si="557"/>
        <v>0</v>
      </c>
      <c r="AX472" s="199">
        <v>1</v>
      </c>
      <c r="AY472" s="199">
        <f t="shared" si="538"/>
        <v>14851.870813785554</v>
      </c>
      <c r="AZ472" s="199">
        <f t="shared" si="558"/>
        <v>14851.870813785554</v>
      </c>
      <c r="BA472" s="252">
        <f t="shared" si="559"/>
        <v>1.1674534243805222E-3</v>
      </c>
      <c r="BB472" s="284">
        <v>1</v>
      </c>
      <c r="BC472" s="199">
        <f t="shared" si="539"/>
        <v>29568.616397952224</v>
      </c>
      <c r="BD472" s="270">
        <f t="shared" si="574"/>
        <v>2.6628636514848319E-3</v>
      </c>
      <c r="BE472" s="199">
        <f t="shared" si="540"/>
        <v>126487.97014679563</v>
      </c>
      <c r="BF472" s="251">
        <f t="shared" si="575"/>
        <v>2.6628637106586705E-3</v>
      </c>
      <c r="BG472" s="204">
        <f t="shared" si="513"/>
        <v>156056.58654474787</v>
      </c>
      <c r="BH472" s="636">
        <v>0</v>
      </c>
      <c r="BI472" s="199">
        <f t="shared" si="560"/>
        <v>62211.197866978691</v>
      </c>
      <c r="BJ472" s="199">
        <f t="shared" si="561"/>
        <v>124422.39573395738</v>
      </c>
      <c r="BK472" s="199">
        <f t="shared" si="568"/>
        <v>186633.59360093606</v>
      </c>
      <c r="BL472" s="251">
        <f t="shared" si="562"/>
        <v>7.8748484306914951E-4</v>
      </c>
      <c r="BM472" s="199">
        <f t="shared" si="541"/>
        <v>13690.893613968381</v>
      </c>
      <c r="BN472" s="251">
        <f t="shared" si="563"/>
        <v>5.9121536418641515E-4</v>
      </c>
      <c r="BT472" s="199">
        <f>'Detailed Budget'!$AD$12</f>
        <v>194045122715</v>
      </c>
      <c r="BU472" s="199">
        <f>'Detailed Budget'!$AD$24</f>
        <v>194045122715</v>
      </c>
      <c r="BV472" s="596">
        <f t="shared" si="542"/>
        <v>0</v>
      </c>
      <c r="BW472" s="278"/>
      <c r="BX472" s="275">
        <f t="shared" si="526"/>
        <v>0</v>
      </c>
      <c r="BY472" s="275">
        <f t="shared" si="527"/>
        <v>0</v>
      </c>
      <c r="CA472" s="199">
        <f>'Detailed Budget'!$AD$96</f>
        <v>71050111380.677719</v>
      </c>
      <c r="CB472" s="275">
        <f t="shared" si="564"/>
        <v>82947695.83398971</v>
      </c>
      <c r="CE472" s="199">
        <f>'Detailed Budget'!$AD$175</f>
        <v>4330586076.5988197</v>
      </c>
      <c r="CF472" s="275">
        <f t="shared" si="543"/>
        <v>11531760.253001304</v>
      </c>
      <c r="CG472" s="199">
        <f>'Detailed Budget'!$AD$176</f>
        <v>20662817754.37001</v>
      </c>
      <c r="CH472" s="275">
        <f t="shared" si="544"/>
        <v>55022267.558065586</v>
      </c>
      <c r="CI472" s="275">
        <f t="shared" si="549"/>
        <v>66554027.811066888</v>
      </c>
      <c r="CJ472" s="275">
        <f>'Detailed Budget'!$AD$178</f>
        <v>46025131033.061455</v>
      </c>
      <c r="CK472" s="275">
        <f t="shared" si="545"/>
        <v>83022104.231320202</v>
      </c>
      <c r="CL472" s="275">
        <f t="shared" si="571"/>
        <v>149576132.0423871</v>
      </c>
      <c r="CM472" s="278">
        <f>'Detailed Budget'!$AD$189</f>
        <v>77498869683.252869</v>
      </c>
      <c r="CN472" s="275">
        <f t="shared" si="565"/>
        <v>0</v>
      </c>
      <c r="CO472" s="140">
        <f>'Detailed Budget'!$AD$191</f>
        <v>2684962805.4134097</v>
      </c>
      <c r="CP472" s="616">
        <f t="shared" si="566"/>
        <v>0</v>
      </c>
      <c r="CQ472" s="616">
        <f t="shared" si="567"/>
        <v>0</v>
      </c>
      <c r="CR472" s="199">
        <f>'Detailed Budget'!$AD$195</f>
        <v>18734176418</v>
      </c>
      <c r="CS472" s="275">
        <f t="shared" si="546"/>
        <v>11075932.93370042</v>
      </c>
      <c r="CW472" s="278"/>
      <c r="DH472" s="140">
        <f>'Detailed Budget'!$AD$163</f>
        <v>4928560000</v>
      </c>
      <c r="DI472" s="616">
        <f t="shared" si="547"/>
        <v>5600000</v>
      </c>
    </row>
    <row r="473" spans="1:113" outlineLevel="1">
      <c r="A473" s="214"/>
      <c r="B473" s="215"/>
      <c r="C473" s="216"/>
      <c r="D473" s="217"/>
      <c r="E473" s="216"/>
      <c r="F473" s="216"/>
      <c r="G473" s="216"/>
      <c r="H473" s="216"/>
      <c r="I473" s="217"/>
      <c r="J473" s="217"/>
      <c r="K473" s="216"/>
      <c r="L473" s="216"/>
      <c r="M473" s="217"/>
      <c r="N473" s="216"/>
      <c r="O473" s="217"/>
      <c r="P473" s="216"/>
      <c r="Q473" s="217"/>
      <c r="R473" s="217"/>
      <c r="S473" s="217"/>
      <c r="T473" s="217"/>
      <c r="U473" s="218"/>
      <c r="V473" s="867"/>
      <c r="W473" s="219"/>
      <c r="X473" s="220"/>
      <c r="Y473" s="221"/>
      <c r="Z473" s="199"/>
      <c r="AA473" s="221"/>
      <c r="AF473" s="199">
        <f t="shared" si="570"/>
        <v>0</v>
      </c>
      <c r="AG473" s="614">
        <f t="shared" si="569"/>
        <v>0</v>
      </c>
      <c r="AJ473" s="199"/>
      <c r="AK473" s="199">
        <f t="shared" si="572"/>
        <v>0</v>
      </c>
      <c r="AL473" s="199">
        <f t="shared" si="573"/>
        <v>0</v>
      </c>
      <c r="AM473" s="199">
        <f t="shared" si="554"/>
        <v>0</v>
      </c>
      <c r="AN473" s="645">
        <f t="shared" si="555"/>
        <v>0</v>
      </c>
      <c r="AP473" s="250">
        <f t="shared" si="556"/>
        <v>0</v>
      </c>
      <c r="AW473" s="250">
        <f t="shared" si="557"/>
        <v>0</v>
      </c>
      <c r="AX473" s="199"/>
      <c r="BA473" s="252">
        <f t="shared" si="559"/>
        <v>0</v>
      </c>
      <c r="BB473" s="284"/>
      <c r="BD473" s="270"/>
      <c r="BF473" s="251"/>
      <c r="BG473" s="204"/>
      <c r="BH473" s="636"/>
      <c r="BI473" s="199">
        <f t="shared" si="560"/>
        <v>0</v>
      </c>
      <c r="BJ473" s="199">
        <f t="shared" si="561"/>
        <v>0</v>
      </c>
      <c r="BK473" s="199">
        <f t="shared" si="568"/>
        <v>0</v>
      </c>
      <c r="BL473" s="251">
        <f t="shared" si="562"/>
        <v>0</v>
      </c>
      <c r="BN473" s="251">
        <f t="shared" si="563"/>
        <v>0</v>
      </c>
      <c r="BT473" s="199"/>
      <c r="BU473" s="199"/>
      <c r="BV473" s="596"/>
      <c r="BW473" s="278"/>
      <c r="BX473" s="275"/>
      <c r="BY473" s="275"/>
      <c r="CA473" s="199">
        <f>'Detailed Budget'!$AD$96</f>
        <v>71050111380.677719</v>
      </c>
      <c r="CB473" s="275">
        <f t="shared" si="564"/>
        <v>0</v>
      </c>
      <c r="CE473" s="199"/>
      <c r="CF473" s="275"/>
      <c r="CG473" s="199"/>
      <c r="CH473" s="275"/>
      <c r="CI473" s="275"/>
      <c r="CJ473" s="275"/>
      <c r="CK473" s="275"/>
      <c r="CL473" s="275"/>
      <c r="CM473" s="278">
        <f>'Detailed Budget'!$AD$189</f>
        <v>77498869683.252869</v>
      </c>
      <c r="CN473" s="275">
        <f t="shared" si="565"/>
        <v>0</v>
      </c>
      <c r="CO473" s="140">
        <f>'Detailed Budget'!$AD$191</f>
        <v>2684962805.4134097</v>
      </c>
      <c r="CP473" s="616">
        <f t="shared" si="566"/>
        <v>0</v>
      </c>
      <c r="CQ473" s="616">
        <f t="shared" si="567"/>
        <v>0</v>
      </c>
      <c r="CR473" s="199"/>
      <c r="CS473" s="275"/>
      <c r="CW473" s="278"/>
      <c r="DH473" s="140">
        <f>'Detailed Budget'!$AD$163</f>
        <v>4928560000</v>
      </c>
      <c r="DI473" s="616">
        <f t="shared" si="547"/>
        <v>0</v>
      </c>
    </row>
    <row r="474" spans="1:113" s="213" customFormat="1">
      <c r="A474" s="206">
        <v>3.7</v>
      </c>
      <c r="B474" s="207" t="s">
        <v>1064</v>
      </c>
      <c r="C474" s="208">
        <f t="shared" ref="C474:T474" si="576">COUNTA(C476:C489)</f>
        <v>14</v>
      </c>
      <c r="D474" s="208">
        <f t="shared" si="576"/>
        <v>14</v>
      </c>
      <c r="E474" s="208">
        <f t="shared" si="576"/>
        <v>0</v>
      </c>
      <c r="F474" s="208">
        <f t="shared" si="576"/>
        <v>0</v>
      </c>
      <c r="G474" s="208">
        <f t="shared" si="576"/>
        <v>0</v>
      </c>
      <c r="H474" s="208">
        <f t="shared" si="576"/>
        <v>14</v>
      </c>
      <c r="I474" s="208">
        <f t="shared" si="576"/>
        <v>14</v>
      </c>
      <c r="J474" s="208">
        <f t="shared" si="576"/>
        <v>0</v>
      </c>
      <c r="K474" s="208">
        <f t="shared" si="576"/>
        <v>14</v>
      </c>
      <c r="L474" s="208">
        <f t="shared" si="576"/>
        <v>0</v>
      </c>
      <c r="M474" s="208">
        <f t="shared" si="576"/>
        <v>0</v>
      </c>
      <c r="N474" s="208">
        <f t="shared" si="576"/>
        <v>0</v>
      </c>
      <c r="O474" s="208">
        <f t="shared" si="576"/>
        <v>0</v>
      </c>
      <c r="P474" s="208">
        <f t="shared" si="576"/>
        <v>0</v>
      </c>
      <c r="Q474" s="208">
        <f t="shared" si="576"/>
        <v>0</v>
      </c>
      <c r="R474" s="208">
        <f t="shared" si="576"/>
        <v>14</v>
      </c>
      <c r="S474" s="208">
        <f t="shared" si="576"/>
        <v>0</v>
      </c>
      <c r="T474" s="208">
        <f t="shared" si="576"/>
        <v>0</v>
      </c>
      <c r="U474" s="209">
        <f>SUM(C474:T474)</f>
        <v>84</v>
      </c>
      <c r="V474" s="866"/>
      <c r="W474" s="210">
        <f>SUM(W476:W489)</f>
        <v>3278873</v>
      </c>
      <c r="X474" s="211">
        <v>3.2</v>
      </c>
      <c r="Y474" s="212">
        <f t="shared" si="514"/>
        <v>1.032</v>
      </c>
      <c r="Z474" s="210">
        <v>19</v>
      </c>
      <c r="AA474" s="212">
        <f t="shared" si="515"/>
        <v>1.8193415940533015</v>
      </c>
      <c r="AB474" s="210">
        <f t="shared" si="551"/>
        <v>5965390.0305183306</v>
      </c>
      <c r="AC474" s="213">
        <v>20.2</v>
      </c>
      <c r="AD474" s="210">
        <f t="shared" si="552"/>
        <v>1205008.7861647028</v>
      </c>
      <c r="AE474" s="210">
        <f t="shared" si="534"/>
        <v>1144758.3468564677</v>
      </c>
      <c r="AF474" s="210">
        <f>SUM(AF476:AF489)</f>
        <v>1144758.3468564679</v>
      </c>
      <c r="AG474" s="614">
        <f t="shared" si="569"/>
        <v>5.2928600375334561E-2</v>
      </c>
      <c r="AH474" s="210">
        <f>SUM(AH476:AH489)</f>
        <v>298269.50152591662</v>
      </c>
      <c r="AI474" s="252">
        <f t="shared" si="550"/>
        <v>2.3106486360775894E-2</v>
      </c>
      <c r="AJ474" s="210">
        <f>SUM(AJ476:AJ489)</f>
        <v>1503278.2876906192</v>
      </c>
      <c r="AK474" s="199">
        <f t="shared" si="572"/>
        <v>238615.60122073322</v>
      </c>
      <c r="AL474" s="199">
        <f t="shared" si="573"/>
        <v>238615.60122073322</v>
      </c>
      <c r="AM474" s="199">
        <f t="shared" si="554"/>
        <v>477231.20244146645</v>
      </c>
      <c r="AN474" s="645">
        <f t="shared" si="555"/>
        <v>2.3106486360775887E-2</v>
      </c>
      <c r="AO474" s="210">
        <f>SUM(AO476:AO489)</f>
        <v>147</v>
      </c>
      <c r="AP474" s="250">
        <f t="shared" si="556"/>
        <v>1.6702647426428813E-2</v>
      </c>
      <c r="AQ474" s="210">
        <f>SUM(AQ476:AQ489)</f>
        <v>147</v>
      </c>
      <c r="AR474" s="210"/>
      <c r="AS474" s="210"/>
      <c r="AT474" s="210"/>
      <c r="AU474" s="199"/>
      <c r="AV474" s="199"/>
      <c r="AW474" s="250">
        <f t="shared" si="557"/>
        <v>0</v>
      </c>
      <c r="AX474" s="199"/>
      <c r="AY474" s="210">
        <v>502562</v>
      </c>
      <c r="AZ474" s="210">
        <f>SUM(AZ476:AZ489)</f>
        <v>502562.09617806767</v>
      </c>
      <c r="BA474" s="252">
        <f t="shared" si="559"/>
        <v>3.9504642041617077E-2</v>
      </c>
      <c r="BB474" s="284"/>
      <c r="BC474" s="210">
        <f>SUM(BC476:BC489)</f>
        <v>867606.32603858598</v>
      </c>
      <c r="BD474" s="270">
        <f t="shared" si="574"/>
        <v>7.8134104021399184E-2</v>
      </c>
      <c r="BE474" s="210">
        <f>SUM(BE476:BE489)</f>
        <v>3711427.0613872851</v>
      </c>
      <c r="BF474" s="251">
        <f t="shared" si="575"/>
        <v>7.8134105757685937E-2</v>
      </c>
      <c r="BG474" s="210">
        <f>SUM(BG476:BG489)</f>
        <v>4579033.3874258716</v>
      </c>
      <c r="BH474"/>
      <c r="BI474" s="199">
        <f t="shared" si="560"/>
        <v>1825409.3493386093</v>
      </c>
      <c r="BJ474" s="199">
        <f t="shared" si="561"/>
        <v>3650818.6986772185</v>
      </c>
      <c r="BK474" s="199">
        <f t="shared" si="568"/>
        <v>5476228.0480158273</v>
      </c>
      <c r="BL474" s="251">
        <f t="shared" si="562"/>
        <v>2.3106486360775887E-2</v>
      </c>
      <c r="BM474" s="210">
        <v>617582</v>
      </c>
      <c r="BN474" s="251">
        <f t="shared" si="563"/>
        <v>2.6669111406464392E-2</v>
      </c>
      <c r="BT474" s="210">
        <f>'Detailed Budget'!$AD$12</f>
        <v>194045122715</v>
      </c>
      <c r="BU474" s="210">
        <f>'Detailed Budget'!$AD$24</f>
        <v>194045122715</v>
      </c>
      <c r="BV474" s="596">
        <f>AV474/34743979</f>
        <v>0</v>
      </c>
      <c r="BW474" s="278"/>
      <c r="BX474" s="275">
        <f t="shared" si="526"/>
        <v>0</v>
      </c>
      <c r="BY474" s="275">
        <f t="shared" si="527"/>
        <v>0</v>
      </c>
      <c r="CA474" s="210">
        <f>'Detailed Budget'!$AD$96</f>
        <v>71050111380.677719</v>
      </c>
      <c r="CB474" s="275">
        <f t="shared" si="564"/>
        <v>2806809217.1106968</v>
      </c>
      <c r="CE474" s="210">
        <f>'Detailed Budget'!$AD$175</f>
        <v>4330586076.5988197</v>
      </c>
      <c r="CF474" s="613">
        <f>SUM(CF476:CF489)</f>
        <v>338366462.98259521</v>
      </c>
      <c r="CG474" s="632">
        <f>'Detailed Budget'!$AD$176</f>
        <v>20662817754.37001</v>
      </c>
      <c r="CH474" s="613">
        <f>SUM(CH476:CH489)</f>
        <v>1614470787.671737</v>
      </c>
      <c r="CI474" s="613">
        <f>SUM(CI476:CI489)</f>
        <v>1952837250.6543322</v>
      </c>
      <c r="CJ474" s="275">
        <f>'Detailed Budget'!$AD$178</f>
        <v>46025131033.061455</v>
      </c>
      <c r="CK474" s="613">
        <f t="shared" ref="CK474:CL474" si="577">SUM(CK476:CK489)</f>
        <v>2436045767.671319</v>
      </c>
      <c r="CL474" s="613">
        <f t="shared" si="577"/>
        <v>4388883018.3256512</v>
      </c>
      <c r="CM474" s="278">
        <f>'Detailed Budget'!$AD$189</f>
        <v>77498869683.252869</v>
      </c>
      <c r="CN474" s="275">
        <f t="shared" si="565"/>
        <v>0</v>
      </c>
      <c r="CO474" s="140">
        <f>'Detailed Budget'!$AD$191</f>
        <v>2684962805.4134097</v>
      </c>
      <c r="CP474" s="616">
        <f t="shared" si="566"/>
        <v>0</v>
      </c>
      <c r="CQ474" s="616">
        <f t="shared" si="567"/>
        <v>0</v>
      </c>
      <c r="CR474" s="210">
        <f>'Detailed Budget'!$AD$195</f>
        <v>18734176418</v>
      </c>
      <c r="CS474" s="275">
        <f>BN474*CR474</f>
        <v>499623838</v>
      </c>
      <c r="CW474" s="278"/>
      <c r="DH474" s="140">
        <f>'Detailed Budget'!$AD$163</f>
        <v>4928560000</v>
      </c>
      <c r="DI474" s="616">
        <f t="shared" si="547"/>
        <v>82320000</v>
      </c>
    </row>
    <row r="475" spans="1:113" s="213" customFormat="1">
      <c r="A475" s="214" t="s">
        <v>2338</v>
      </c>
      <c r="B475" s="215" t="s">
        <v>2318</v>
      </c>
      <c r="C475" s="208"/>
      <c r="D475" s="208"/>
      <c r="E475" s="208"/>
      <c r="F475" s="208"/>
      <c r="G475" s="208"/>
      <c r="H475" s="208"/>
      <c r="I475" s="208"/>
      <c r="J475" s="208"/>
      <c r="K475" s="208"/>
      <c r="L475" s="208"/>
      <c r="M475" s="208"/>
      <c r="N475" s="208"/>
      <c r="O475" s="208"/>
      <c r="P475" s="208"/>
      <c r="Q475" s="208"/>
      <c r="R475" s="208"/>
      <c r="S475" s="208"/>
      <c r="T475" s="208"/>
      <c r="U475" s="209"/>
      <c r="V475" s="866"/>
      <c r="W475" s="210"/>
      <c r="X475" s="211"/>
      <c r="Y475" s="212"/>
      <c r="Z475" s="210"/>
      <c r="AA475" s="212"/>
      <c r="AB475" s="210"/>
      <c r="AD475" s="210"/>
      <c r="AE475" s="199"/>
      <c r="AF475" s="199"/>
      <c r="AG475" s="614">
        <f t="shared" si="569"/>
        <v>0</v>
      </c>
      <c r="AH475" s="210"/>
      <c r="AI475" s="252"/>
      <c r="AJ475" s="199"/>
      <c r="AK475" s="199">
        <f t="shared" si="572"/>
        <v>0</v>
      </c>
      <c r="AL475" s="199">
        <f t="shared" si="573"/>
        <v>0</v>
      </c>
      <c r="AM475" s="199">
        <f t="shared" si="554"/>
        <v>0</v>
      </c>
      <c r="AN475" s="645">
        <f t="shared" si="555"/>
        <v>0</v>
      </c>
      <c r="AO475" s="210"/>
      <c r="AP475" s="250"/>
      <c r="AQ475" s="210"/>
      <c r="AR475" s="210"/>
      <c r="AS475" s="210"/>
      <c r="AT475" s="210"/>
      <c r="AU475" s="199"/>
      <c r="AV475" s="199"/>
      <c r="AW475" s="250">
        <f t="shared" si="557"/>
        <v>0</v>
      </c>
      <c r="AX475" s="199"/>
      <c r="AY475" s="210"/>
      <c r="AZ475" s="199"/>
      <c r="BA475" s="252">
        <f t="shared" si="559"/>
        <v>0</v>
      </c>
      <c r="BB475" s="284"/>
      <c r="BC475" s="199"/>
      <c r="BD475" s="270">
        <f t="shared" si="574"/>
        <v>0</v>
      </c>
      <c r="BE475" s="199"/>
      <c r="BF475" s="251">
        <f t="shared" si="575"/>
        <v>0</v>
      </c>
      <c r="BG475" s="204"/>
      <c r="BH475"/>
      <c r="BI475" s="199">
        <f t="shared" si="560"/>
        <v>0</v>
      </c>
      <c r="BJ475" s="199">
        <f t="shared" si="561"/>
        <v>0</v>
      </c>
      <c r="BK475" s="199">
        <f t="shared" si="568"/>
        <v>0</v>
      </c>
      <c r="BL475" s="251">
        <f t="shared" si="562"/>
        <v>0</v>
      </c>
      <c r="BM475" s="210"/>
      <c r="BN475" s="251">
        <f t="shared" si="563"/>
        <v>0</v>
      </c>
      <c r="BT475" s="210"/>
      <c r="BU475" s="210">
        <f>'Detailed Budget'!$AD$24</f>
        <v>194045122715</v>
      </c>
      <c r="BV475" s="596"/>
      <c r="BW475" s="278"/>
      <c r="BX475" s="275"/>
      <c r="BY475" s="275"/>
      <c r="CA475" s="210"/>
      <c r="CB475" s="275"/>
      <c r="CE475" s="210"/>
      <c r="CF475" s="275"/>
      <c r="CG475" s="240"/>
      <c r="CH475" s="275"/>
      <c r="CI475" s="275"/>
      <c r="CJ475" s="275"/>
      <c r="CK475" s="275"/>
      <c r="CL475" s="275"/>
      <c r="CM475" s="278">
        <f>'Detailed Budget'!$AD$189</f>
        <v>77498869683.252869</v>
      </c>
      <c r="CN475" s="275">
        <f t="shared" si="565"/>
        <v>0</v>
      </c>
      <c r="CO475" s="140">
        <f>'Detailed Budget'!$AD$191</f>
        <v>2684962805.4134097</v>
      </c>
      <c r="CP475" s="616">
        <f t="shared" si="566"/>
        <v>0</v>
      </c>
      <c r="CQ475" s="616">
        <f t="shared" si="567"/>
        <v>0</v>
      </c>
      <c r="CR475" s="210"/>
      <c r="CS475" s="275"/>
      <c r="CW475" s="278"/>
      <c r="DH475" s="140"/>
      <c r="DI475" s="616"/>
    </row>
    <row r="476" spans="1:113" outlineLevel="1">
      <c r="A476" s="214" t="s">
        <v>1065</v>
      </c>
      <c r="B476" s="215" t="s">
        <v>1066</v>
      </c>
      <c r="C476" s="216" t="s">
        <v>234</v>
      </c>
      <c r="D476" s="217" t="s">
        <v>234</v>
      </c>
      <c r="E476" s="216"/>
      <c r="F476" s="216"/>
      <c r="G476" s="216"/>
      <c r="H476" s="216" t="s">
        <v>234</v>
      </c>
      <c r="I476" s="217" t="s">
        <v>234</v>
      </c>
      <c r="J476" s="217"/>
      <c r="K476" s="216" t="s">
        <v>234</v>
      </c>
      <c r="L476" s="216"/>
      <c r="M476" s="217"/>
      <c r="N476" s="216"/>
      <c r="O476" s="217"/>
      <c r="P476" s="216"/>
      <c r="Q476" s="217"/>
      <c r="R476" s="217" t="s">
        <v>234</v>
      </c>
      <c r="S476" s="217"/>
      <c r="T476" s="217"/>
      <c r="U476" s="218">
        <f t="shared" ref="U476:U489" si="578">COUNTA(C476:T476)</f>
        <v>6</v>
      </c>
      <c r="V476" s="867" t="s">
        <v>238</v>
      </c>
      <c r="W476" s="219">
        <v>143637</v>
      </c>
      <c r="X476" s="220">
        <v>3.2</v>
      </c>
      <c r="Y476" s="221">
        <f t="shared" si="514"/>
        <v>1.032</v>
      </c>
      <c r="Z476" s="199">
        <v>19</v>
      </c>
      <c r="AA476" s="221">
        <f t="shared" si="515"/>
        <v>1.8193415940533015</v>
      </c>
      <c r="AB476" s="199">
        <f t="shared" si="551"/>
        <v>261324.76854503408</v>
      </c>
      <c r="AC476">
        <v>20.2</v>
      </c>
      <c r="AD476" s="199">
        <f t="shared" si="552"/>
        <v>52787.603246096885</v>
      </c>
      <c r="AE476" s="199">
        <f t="shared" si="534"/>
        <v>50148.223083792036</v>
      </c>
      <c r="AF476" s="199">
        <f t="shared" si="570"/>
        <v>50148.223083792036</v>
      </c>
      <c r="AG476" s="614">
        <f t="shared" si="569"/>
        <v>2.3186336805701016E-3</v>
      </c>
      <c r="AH476" s="199">
        <f>AB476*0.05</f>
        <v>13066.238427251705</v>
      </c>
      <c r="AI476" s="252">
        <f t="shared" si="550"/>
        <v>1.0122216936742493E-3</v>
      </c>
      <c r="AJ476" s="199">
        <f t="shared" si="553"/>
        <v>65853.841673348594</v>
      </c>
      <c r="AK476" s="199">
        <f t="shared" si="572"/>
        <v>10452.990741801363</v>
      </c>
      <c r="AL476" s="199">
        <f t="shared" si="573"/>
        <v>10452.990741801363</v>
      </c>
      <c r="AM476" s="199">
        <f t="shared" si="554"/>
        <v>20905.981483602725</v>
      </c>
      <c r="AN476" s="645">
        <f t="shared" si="555"/>
        <v>1.0122216936742491E-3</v>
      </c>
      <c r="AO476" s="199">
        <v>10</v>
      </c>
      <c r="AP476" s="250"/>
      <c r="AQ476" s="199">
        <v>10</v>
      </c>
      <c r="AU476" s="199">
        <v>0</v>
      </c>
      <c r="AW476" s="250">
        <f t="shared" si="557"/>
        <v>0</v>
      </c>
      <c r="AX476" s="199">
        <v>1</v>
      </c>
      <c r="AY476" s="199">
        <f t="shared" ref="AY476:AY489" si="579">AJ476/1503278*502562</f>
        <v>22015.647391261908</v>
      </c>
      <c r="AZ476" s="199">
        <f t="shared" si="558"/>
        <v>22015.647391261908</v>
      </c>
      <c r="BA476" s="252">
        <f t="shared" si="559"/>
        <v>1.7305727513483298E-3</v>
      </c>
      <c r="BB476" s="284">
        <v>1</v>
      </c>
      <c r="BC476" s="199">
        <f t="shared" ref="BC476:BC489" si="580">AD476*BB476*0.18*4</f>
        <v>38007.074337189755</v>
      </c>
      <c r="BD476" s="270">
        <f t="shared" si="574"/>
        <v>3.4228066470771254E-3</v>
      </c>
      <c r="BE476" s="199">
        <f t="shared" ref="BE476:BE489" si="581">AD476*BB476*0.77*4</f>
        <v>162585.81799797842</v>
      </c>
      <c r="BF476" s="251">
        <f t="shared" si="575"/>
        <v>3.422806723138327E-3</v>
      </c>
      <c r="BG476" s="204">
        <f t="shared" si="513"/>
        <v>200592.89233516817</v>
      </c>
      <c r="BH476" s="636">
        <v>0</v>
      </c>
      <c r="BI476" s="199">
        <f t="shared" si="560"/>
        <v>79965.379174780421</v>
      </c>
      <c r="BJ476" s="199">
        <f t="shared" si="561"/>
        <v>159930.75834956084</v>
      </c>
      <c r="BK476" s="199">
        <f t="shared" si="568"/>
        <v>239896.13752434126</v>
      </c>
      <c r="BL476" s="251">
        <f t="shared" si="562"/>
        <v>1.0122216936742491E-3</v>
      </c>
      <c r="BM476" s="199">
        <f t="shared" ref="BM476:BM489" si="582">AH476/298270*617582</f>
        <v>27054.258424846492</v>
      </c>
      <c r="BN476" s="251">
        <f t="shared" si="563"/>
        <v>1.1682870160586107E-3</v>
      </c>
      <c r="BT476" s="199">
        <f>'Detailed Budget'!$AD$12</f>
        <v>194045122715</v>
      </c>
      <c r="BU476" s="199">
        <f>'Detailed Budget'!$AD$24</f>
        <v>194045122715</v>
      </c>
      <c r="BV476" s="596">
        <f t="shared" ref="BV476:BV492" si="583">AV476/34743979</f>
        <v>0</v>
      </c>
      <c r="BW476" s="278"/>
      <c r="BX476" s="275"/>
      <c r="BY476" s="275"/>
      <c r="CA476" s="199"/>
      <c r="CE476" s="199">
        <f>'Detailed Budget'!$AD$175</f>
        <v>4330586076.5988197</v>
      </c>
      <c r="CF476" s="275">
        <f t="shared" ref="CF476:CF490" si="584">BB476*BD476*CE476</f>
        <v>14822758.80872209</v>
      </c>
      <c r="CG476" s="199">
        <f>'Detailed Budget'!$AD$176</f>
        <v>20662817754.37001</v>
      </c>
      <c r="CH476" s="275">
        <f t="shared" ref="CH476:CH490" si="585">BB476*BF476*CG476</f>
        <v>70724831.528639659</v>
      </c>
      <c r="CI476" s="275">
        <f t="shared" si="549"/>
        <v>85547590.337361753</v>
      </c>
      <c r="CJ476" s="275">
        <f>'Detailed Budget'!$AD$178</f>
        <v>46025131033.061455</v>
      </c>
      <c r="CK476" s="275">
        <f t="shared" ref="CK476:CK490" si="586">BB476*AG476*CJ476</f>
        <v>106715418.96590848</v>
      </c>
      <c r="CL476" s="275">
        <f t="shared" si="571"/>
        <v>192263009.30327022</v>
      </c>
      <c r="CM476" s="278">
        <f>'Detailed Budget'!$AD$189</f>
        <v>77498869683.252869</v>
      </c>
      <c r="CN476" s="275">
        <f t="shared" si="565"/>
        <v>0</v>
      </c>
      <c r="CO476" s="140">
        <f>'Detailed Budget'!$AD$191</f>
        <v>2684962805.4134097</v>
      </c>
      <c r="CP476" s="616">
        <f t="shared" si="566"/>
        <v>0</v>
      </c>
      <c r="CQ476" s="616">
        <f t="shared" si="567"/>
        <v>0</v>
      </c>
      <c r="CR476" s="199">
        <f>'Detailed Budget'!$AD$195</f>
        <v>18734176418</v>
      </c>
      <c r="CS476" s="275">
        <f t="shared" ref="CS476:CS489" si="587">BN476*CR476</f>
        <v>21886895.06570081</v>
      </c>
      <c r="CW476" s="278"/>
      <c r="DH476" s="140"/>
      <c r="DI476" s="616">
        <f t="shared" ref="DI476:DI489" si="588">AP476*DH476</f>
        <v>0</v>
      </c>
    </row>
    <row r="477" spans="1:113" outlineLevel="1">
      <c r="A477" s="214" t="s">
        <v>1067</v>
      </c>
      <c r="B477" s="215" t="s">
        <v>1068</v>
      </c>
      <c r="C477" s="216" t="s">
        <v>234</v>
      </c>
      <c r="D477" s="217" t="s">
        <v>234</v>
      </c>
      <c r="E477" s="216"/>
      <c r="F477" s="216"/>
      <c r="G477" s="216"/>
      <c r="H477" s="216" t="s">
        <v>234</v>
      </c>
      <c r="I477" s="217" t="s">
        <v>234</v>
      </c>
      <c r="J477" s="217"/>
      <c r="K477" s="216" t="s">
        <v>234</v>
      </c>
      <c r="L477" s="216"/>
      <c r="M477" s="217"/>
      <c r="N477" s="216"/>
      <c r="O477" s="217"/>
      <c r="P477" s="216"/>
      <c r="Q477" s="217"/>
      <c r="R477" s="217" t="s">
        <v>234</v>
      </c>
      <c r="S477" s="217"/>
      <c r="T477" s="217"/>
      <c r="U477" s="218">
        <f t="shared" si="578"/>
        <v>6</v>
      </c>
      <c r="V477" s="867" t="s">
        <v>238</v>
      </c>
      <c r="W477" s="219">
        <v>187141</v>
      </c>
      <c r="X477" s="220">
        <v>3.2</v>
      </c>
      <c r="Y477" s="221">
        <f t="shared" si="514"/>
        <v>1.032</v>
      </c>
      <c r="Z477" s="199">
        <v>19</v>
      </c>
      <c r="AA477" s="221">
        <f t="shared" si="515"/>
        <v>1.8193415940533015</v>
      </c>
      <c r="AB477" s="199">
        <f t="shared" si="551"/>
        <v>340473.4052527289</v>
      </c>
      <c r="AC477">
        <v>20.2</v>
      </c>
      <c r="AD477" s="199">
        <f t="shared" si="552"/>
        <v>68775.627861051238</v>
      </c>
      <c r="AE477" s="199">
        <f t="shared" si="534"/>
        <v>65336.846467998672</v>
      </c>
      <c r="AF477" s="199">
        <f t="shared" si="570"/>
        <v>65336.846467998672</v>
      </c>
      <c r="AG477" s="614">
        <f t="shared" si="569"/>
        <v>3.0208889465497702E-3</v>
      </c>
      <c r="AH477" s="199">
        <f t="shared" ref="AH477:AH489" si="589">AB477*0.05</f>
        <v>17023.670262636446</v>
      </c>
      <c r="AI477" s="252">
        <f t="shared" si="550"/>
        <v>1.3187979418665988E-3</v>
      </c>
      <c r="AJ477" s="199">
        <f t="shared" si="553"/>
        <v>85799.29812368768</v>
      </c>
      <c r="AK477" s="199">
        <f t="shared" si="572"/>
        <v>13618.936210109156</v>
      </c>
      <c r="AL477" s="199">
        <f t="shared" si="573"/>
        <v>13618.936210109156</v>
      </c>
      <c r="AM477" s="199">
        <f t="shared" si="554"/>
        <v>27237.872420218311</v>
      </c>
      <c r="AN477" s="645">
        <f t="shared" si="555"/>
        <v>1.3187979418665988E-3</v>
      </c>
      <c r="AO477" s="199">
        <v>10</v>
      </c>
      <c r="AP477" s="250"/>
      <c r="AQ477" s="199">
        <v>10</v>
      </c>
      <c r="AU477" s="199">
        <v>0</v>
      </c>
      <c r="AW477" s="250">
        <f t="shared" si="557"/>
        <v>0</v>
      </c>
      <c r="AX477" s="199">
        <v>1</v>
      </c>
      <c r="AY477" s="199">
        <f t="shared" si="579"/>
        <v>28683.627954135383</v>
      </c>
      <c r="AZ477" s="199">
        <f t="shared" si="558"/>
        <v>28683.627954135383</v>
      </c>
      <c r="BA477" s="252">
        <f t="shared" si="559"/>
        <v>2.2547192941935416E-3</v>
      </c>
      <c r="BB477" s="284">
        <v>1</v>
      </c>
      <c r="BC477" s="199">
        <f t="shared" si="580"/>
        <v>49518.452059956893</v>
      </c>
      <c r="BD477" s="270">
        <f t="shared" si="574"/>
        <v>4.459487866919111E-3</v>
      </c>
      <c r="BE477" s="199">
        <f t="shared" si="581"/>
        <v>211828.93381203781</v>
      </c>
      <c r="BF477" s="251">
        <f t="shared" si="575"/>
        <v>4.459487966017318E-3</v>
      </c>
      <c r="BG477" s="204">
        <f t="shared" si="513"/>
        <v>261347.38587199472</v>
      </c>
      <c r="BH477" s="636">
        <v>0</v>
      </c>
      <c r="BI477" s="199">
        <f t="shared" si="560"/>
        <v>104184.86200733503</v>
      </c>
      <c r="BJ477" s="199">
        <f t="shared" si="561"/>
        <v>208369.72401467006</v>
      </c>
      <c r="BK477" s="199">
        <f t="shared" si="568"/>
        <v>312554.58602200507</v>
      </c>
      <c r="BL477" s="251">
        <f t="shared" si="562"/>
        <v>1.3187979418665986E-3</v>
      </c>
      <c r="BM477" s="199">
        <f t="shared" si="582"/>
        <v>35248.306326950551</v>
      </c>
      <c r="BN477" s="251">
        <f t="shared" si="563"/>
        <v>1.5221314875152254E-3</v>
      </c>
      <c r="BT477" s="199">
        <f>'Detailed Budget'!$AD$12</f>
        <v>194045122715</v>
      </c>
      <c r="BU477" s="199">
        <f>'Detailed Budget'!$AD$24</f>
        <v>194045122715</v>
      </c>
      <c r="BV477" s="596">
        <f t="shared" si="583"/>
        <v>0</v>
      </c>
      <c r="BW477" s="278"/>
      <c r="BX477" s="275"/>
      <c r="BY477" s="275"/>
      <c r="CA477" s="199"/>
      <c r="CE477" s="199">
        <f>'Detailed Budget'!$AD$175</f>
        <v>4330586076.5988197</v>
      </c>
      <c r="CF477" s="275">
        <f t="shared" si="584"/>
        <v>19312196.065241273</v>
      </c>
      <c r="CG477" s="199">
        <f>'Detailed Budget'!$AD$176</f>
        <v>20662817754.37001</v>
      </c>
      <c r="CH477" s="275">
        <f t="shared" si="585"/>
        <v>92145587.119622052</v>
      </c>
      <c r="CI477" s="275">
        <f t="shared" si="549"/>
        <v>111457783.18486333</v>
      </c>
      <c r="CJ477" s="275">
        <f>'Detailed Budget'!$AD$178</f>
        <v>46025131033.061455</v>
      </c>
      <c r="CK477" s="275">
        <f t="shared" si="586"/>
        <v>139036809.60128015</v>
      </c>
      <c r="CL477" s="275">
        <f t="shared" si="571"/>
        <v>250494592.78614348</v>
      </c>
      <c r="CM477" s="278">
        <f>'Detailed Budget'!$AD$189</f>
        <v>77498869683.252869</v>
      </c>
      <c r="CN477" s="275">
        <f t="shared" si="565"/>
        <v>0</v>
      </c>
      <c r="CO477" s="140">
        <f>'Detailed Budget'!$AD$191</f>
        <v>2684962805.4134097</v>
      </c>
      <c r="CP477" s="616">
        <f t="shared" si="566"/>
        <v>0</v>
      </c>
      <c r="CQ477" s="616">
        <f t="shared" si="567"/>
        <v>0</v>
      </c>
      <c r="CR477" s="199">
        <f>'Detailed Budget'!$AD$195</f>
        <v>18734176418</v>
      </c>
      <c r="CS477" s="275">
        <f t="shared" si="587"/>
        <v>28515879.818502996</v>
      </c>
      <c r="CW477" s="278"/>
      <c r="DH477" s="140"/>
      <c r="DI477" s="616">
        <f t="shared" si="588"/>
        <v>0</v>
      </c>
    </row>
    <row r="478" spans="1:113" outlineLevel="1">
      <c r="A478" s="214" t="s">
        <v>1069</v>
      </c>
      <c r="B478" s="215" t="s">
        <v>1070</v>
      </c>
      <c r="C478" s="216" t="s">
        <v>234</v>
      </c>
      <c r="D478" s="217" t="s">
        <v>234</v>
      </c>
      <c r="E478" s="216"/>
      <c r="F478" s="216"/>
      <c r="G478" s="216"/>
      <c r="H478" s="216" t="s">
        <v>234</v>
      </c>
      <c r="I478" s="217" t="s">
        <v>234</v>
      </c>
      <c r="J478" s="217"/>
      <c r="K478" s="216" t="s">
        <v>234</v>
      </c>
      <c r="L478" s="216"/>
      <c r="M478" s="217"/>
      <c r="N478" s="216"/>
      <c r="O478" s="217"/>
      <c r="P478" s="216"/>
      <c r="Q478" s="217"/>
      <c r="R478" s="217" t="s">
        <v>234</v>
      </c>
      <c r="S478" s="217"/>
      <c r="T478" s="217"/>
      <c r="U478" s="218">
        <f t="shared" si="578"/>
        <v>6</v>
      </c>
      <c r="V478" s="867" t="s">
        <v>238</v>
      </c>
      <c r="W478" s="219">
        <v>184083</v>
      </c>
      <c r="X478" s="220">
        <v>3.2</v>
      </c>
      <c r="Y478" s="221">
        <f t="shared" si="514"/>
        <v>1.032</v>
      </c>
      <c r="Z478" s="199">
        <v>19</v>
      </c>
      <c r="AA478" s="221">
        <f t="shared" si="515"/>
        <v>1.8193415940533015</v>
      </c>
      <c r="AB478" s="199">
        <f t="shared" si="551"/>
        <v>334909.85865811392</v>
      </c>
      <c r="AC478">
        <v>20.2</v>
      </c>
      <c r="AD478" s="199">
        <f t="shared" si="552"/>
        <v>67651.79144893901</v>
      </c>
      <c r="AE478" s="199">
        <f t="shared" si="534"/>
        <v>64269.201876492058</v>
      </c>
      <c r="AF478" s="199">
        <f t="shared" si="570"/>
        <v>64269.201876492058</v>
      </c>
      <c r="AG478" s="614">
        <f t="shared" si="569"/>
        <v>2.9715257476860837E-3</v>
      </c>
      <c r="AH478" s="199">
        <f t="shared" si="589"/>
        <v>16745.492932905698</v>
      </c>
      <c r="AI478" s="252">
        <f t="shared" si="550"/>
        <v>1.297247965612181E-3</v>
      </c>
      <c r="AJ478" s="199">
        <f t="shared" si="553"/>
        <v>84397.284381844715</v>
      </c>
      <c r="AK478" s="199">
        <f t="shared" si="572"/>
        <v>13396.394346324558</v>
      </c>
      <c r="AL478" s="199">
        <f t="shared" si="573"/>
        <v>13396.394346324558</v>
      </c>
      <c r="AM478" s="199">
        <f t="shared" si="554"/>
        <v>26792.788692649116</v>
      </c>
      <c r="AN478" s="645">
        <f t="shared" si="555"/>
        <v>1.297247965612181E-3</v>
      </c>
      <c r="AO478" s="199">
        <v>10</v>
      </c>
      <c r="AP478" s="250"/>
      <c r="AQ478" s="199">
        <v>10</v>
      </c>
      <c r="AU478" s="199">
        <v>0</v>
      </c>
      <c r="AW478" s="250">
        <f t="shared" si="557"/>
        <v>0</v>
      </c>
      <c r="AX478" s="199">
        <v>1</v>
      </c>
      <c r="AY478" s="199">
        <f t="shared" si="579"/>
        <v>28214.919684521854</v>
      </c>
      <c r="AZ478" s="199">
        <f t="shared" si="558"/>
        <v>28214.919684521854</v>
      </c>
      <c r="BA478" s="252">
        <f t="shared" si="559"/>
        <v>2.2178757826079253E-3</v>
      </c>
      <c r="BB478" s="284">
        <v>1</v>
      </c>
      <c r="BC478" s="199">
        <f t="shared" si="580"/>
        <v>48709.289843236082</v>
      </c>
      <c r="BD478" s="270">
        <f t="shared" si="574"/>
        <v>4.3866170695148077E-3</v>
      </c>
      <c r="BE478" s="199">
        <f t="shared" si="581"/>
        <v>208367.51766273216</v>
      </c>
      <c r="BF478" s="251">
        <f t="shared" si="575"/>
        <v>4.3866171669936895E-3</v>
      </c>
      <c r="BG478" s="204">
        <f t="shared" si="513"/>
        <v>257076.80750596826</v>
      </c>
      <c r="BH478" s="636">
        <v>0</v>
      </c>
      <c r="BI478" s="199">
        <f t="shared" si="560"/>
        <v>102482.41674938286</v>
      </c>
      <c r="BJ478" s="199">
        <f t="shared" si="561"/>
        <v>204964.83349876571</v>
      </c>
      <c r="BK478" s="199">
        <f t="shared" si="568"/>
        <v>307447.25024814857</v>
      </c>
      <c r="BL478" s="251">
        <f t="shared" si="562"/>
        <v>1.2972479656121808E-3</v>
      </c>
      <c r="BM478" s="199">
        <f t="shared" si="582"/>
        <v>34672.327141481765</v>
      </c>
      <c r="BN478" s="251">
        <f t="shared" si="563"/>
        <v>1.4972589150227115E-3</v>
      </c>
      <c r="BT478" s="199">
        <f>'Detailed Budget'!$AD$12</f>
        <v>194045122715</v>
      </c>
      <c r="BU478" s="199">
        <f>'Detailed Budget'!$AD$24</f>
        <v>194045122715</v>
      </c>
      <c r="BV478" s="596">
        <f t="shared" si="583"/>
        <v>0</v>
      </c>
      <c r="BW478" s="278"/>
      <c r="BX478" s="275"/>
      <c r="BY478" s="275"/>
      <c r="CA478" s="199"/>
      <c r="CE478" s="199">
        <f>'Detailed Budget'!$AD$175</f>
        <v>4330586076.5988197</v>
      </c>
      <c r="CF478" s="275">
        <f t="shared" si="584"/>
        <v>18996622.804611545</v>
      </c>
      <c r="CG478" s="199">
        <f>'Detailed Budget'!$AD$176</f>
        <v>20662817754.37001</v>
      </c>
      <c r="CH478" s="275">
        <f t="shared" si="585"/>
        <v>90639871.079781488</v>
      </c>
      <c r="CI478" s="275">
        <f t="shared" si="549"/>
        <v>109636493.88439304</v>
      </c>
      <c r="CJ478" s="275">
        <f>'Detailed Budget'!$AD$178</f>
        <v>46025131033.061455</v>
      </c>
      <c r="CK478" s="275">
        <f t="shared" si="586"/>
        <v>136764861.90536791</v>
      </c>
      <c r="CL478" s="275">
        <f t="shared" si="571"/>
        <v>246401355.78976095</v>
      </c>
      <c r="CM478" s="278">
        <f>'Detailed Budget'!$AD$189</f>
        <v>77498869683.252869</v>
      </c>
      <c r="CN478" s="275">
        <f t="shared" si="565"/>
        <v>0</v>
      </c>
      <c r="CO478" s="140">
        <f>'Detailed Budget'!$AD$191</f>
        <v>2684962805.4134097</v>
      </c>
      <c r="CP478" s="616">
        <f t="shared" si="566"/>
        <v>0</v>
      </c>
      <c r="CQ478" s="616">
        <f t="shared" si="567"/>
        <v>0</v>
      </c>
      <c r="CR478" s="199">
        <f>'Detailed Budget'!$AD$195</f>
        <v>18734176418</v>
      </c>
      <c r="CS478" s="275">
        <f t="shared" si="587"/>
        <v>28049912.657458749</v>
      </c>
      <c r="CW478" s="278"/>
      <c r="DH478" s="140"/>
      <c r="DI478" s="616">
        <f t="shared" si="588"/>
        <v>0</v>
      </c>
    </row>
    <row r="479" spans="1:113" outlineLevel="1">
      <c r="A479" s="214" t="s">
        <v>1071</v>
      </c>
      <c r="B479" s="215" t="s">
        <v>1072</v>
      </c>
      <c r="C479" s="216" t="s">
        <v>234</v>
      </c>
      <c r="D479" s="217" t="s">
        <v>234</v>
      </c>
      <c r="E479" s="216"/>
      <c r="F479" s="216"/>
      <c r="G479" s="216"/>
      <c r="H479" s="216" t="s">
        <v>234</v>
      </c>
      <c r="I479" s="217" t="s">
        <v>234</v>
      </c>
      <c r="J479" s="217"/>
      <c r="K479" s="216" t="s">
        <v>234</v>
      </c>
      <c r="L479" s="216"/>
      <c r="M479" s="217"/>
      <c r="N479" s="216"/>
      <c r="O479" s="217"/>
      <c r="P479" s="216"/>
      <c r="Q479" s="217"/>
      <c r="R479" s="217" t="s">
        <v>234</v>
      </c>
      <c r="S479" s="217"/>
      <c r="T479" s="217"/>
      <c r="U479" s="218">
        <f t="shared" si="578"/>
        <v>6</v>
      </c>
      <c r="V479" s="867" t="s">
        <v>238</v>
      </c>
      <c r="W479" s="219">
        <v>216348</v>
      </c>
      <c r="X479" s="220">
        <v>3.2</v>
      </c>
      <c r="Y479" s="221">
        <f t="shared" si="514"/>
        <v>1.032</v>
      </c>
      <c r="Z479" s="199">
        <v>19</v>
      </c>
      <c r="AA479" s="221">
        <f t="shared" si="515"/>
        <v>1.8193415940533015</v>
      </c>
      <c r="AB479" s="199">
        <f t="shared" si="551"/>
        <v>393610.91519024369</v>
      </c>
      <c r="AC479">
        <v>20.2</v>
      </c>
      <c r="AD479" s="199">
        <f t="shared" si="552"/>
        <v>79509.404868429221</v>
      </c>
      <c r="AE479" s="199">
        <f t="shared" si="534"/>
        <v>75533.934625007751</v>
      </c>
      <c r="AF479" s="199">
        <f t="shared" si="570"/>
        <v>75533.934625007751</v>
      </c>
      <c r="AG479" s="614">
        <f t="shared" si="569"/>
        <v>3.4923575368740662E-3</v>
      </c>
      <c r="AH479" s="199">
        <f t="shared" si="589"/>
        <v>19680.545759512184</v>
      </c>
      <c r="AI479" s="252">
        <f t="shared" si="550"/>
        <v>1.5246220610499834E-3</v>
      </c>
      <c r="AJ479" s="199">
        <f t="shared" si="553"/>
        <v>99189.950627941405</v>
      </c>
      <c r="AK479" s="199">
        <f t="shared" si="572"/>
        <v>15744.436607609749</v>
      </c>
      <c r="AL479" s="199">
        <f t="shared" si="573"/>
        <v>15744.436607609749</v>
      </c>
      <c r="AM479" s="199">
        <f t="shared" si="554"/>
        <v>31488.873215219497</v>
      </c>
      <c r="AN479" s="645">
        <f t="shared" si="555"/>
        <v>1.5246220610499834E-3</v>
      </c>
      <c r="AO479" s="199">
        <v>10</v>
      </c>
      <c r="AP479" s="250"/>
      <c r="AQ479" s="199">
        <v>10</v>
      </c>
      <c r="AU479" s="199">
        <v>0</v>
      </c>
      <c r="AW479" s="250">
        <f t="shared" si="557"/>
        <v>0</v>
      </c>
      <c r="AX479" s="199">
        <v>1</v>
      </c>
      <c r="AY479" s="199">
        <f t="shared" si="579"/>
        <v>33160.267074672476</v>
      </c>
      <c r="AZ479" s="199">
        <f t="shared" si="558"/>
        <v>33160.267074672476</v>
      </c>
      <c r="BA479" s="252">
        <f t="shared" si="559"/>
        <v>2.6066121793737575E-3</v>
      </c>
      <c r="BB479" s="284">
        <v>1</v>
      </c>
      <c r="BC479" s="199">
        <f t="shared" si="580"/>
        <v>57246.77150526904</v>
      </c>
      <c r="BD479" s="270">
        <f t="shared" si="574"/>
        <v>5.1554778537691677E-3</v>
      </c>
      <c r="BE479" s="199">
        <f t="shared" si="581"/>
        <v>244888.96699476201</v>
      </c>
      <c r="BF479" s="251">
        <f t="shared" si="575"/>
        <v>5.155477968333582E-3</v>
      </c>
      <c r="BG479" s="204">
        <f t="shared" si="513"/>
        <v>302135.73850003106</v>
      </c>
      <c r="BH479" s="636">
        <v>0</v>
      </c>
      <c r="BI479" s="199">
        <f t="shared" si="560"/>
        <v>120444.94004821457</v>
      </c>
      <c r="BJ479" s="199">
        <f t="shared" si="561"/>
        <v>240889.88009642914</v>
      </c>
      <c r="BK479" s="199">
        <f t="shared" si="568"/>
        <v>361334.82014464372</v>
      </c>
      <c r="BL479" s="251">
        <f t="shared" si="562"/>
        <v>1.5246220610499834E-3</v>
      </c>
      <c r="BM479" s="199">
        <f t="shared" si="582"/>
        <v>40749.491438130062</v>
      </c>
      <c r="BN479" s="251">
        <f t="shared" si="563"/>
        <v>1.7596897690027517E-3</v>
      </c>
      <c r="BT479" s="199">
        <f>'Detailed Budget'!$AD$12</f>
        <v>194045122715</v>
      </c>
      <c r="BU479" s="199">
        <f>'Detailed Budget'!$AD$24</f>
        <v>194045122715</v>
      </c>
      <c r="BV479" s="596">
        <f t="shared" si="583"/>
        <v>0</v>
      </c>
      <c r="BW479" s="278"/>
      <c r="BX479" s="275"/>
      <c r="BY479" s="275"/>
      <c r="CA479" s="199"/>
      <c r="CE479" s="199">
        <f>'Detailed Budget'!$AD$175</f>
        <v>4330586076.5988197</v>
      </c>
      <c r="CF479" s="275">
        <f t="shared" si="584"/>
        <v>22326240.611746322</v>
      </c>
      <c r="CG479" s="199">
        <f>'Detailed Budget'!$AD$176</f>
        <v>20662817754.37001</v>
      </c>
      <c r="CH479" s="275">
        <f t="shared" si="585"/>
        <v>106526701.69634657</v>
      </c>
      <c r="CI479" s="275">
        <f t="shared" si="549"/>
        <v>128852942.30809289</v>
      </c>
      <c r="CJ479" s="275">
        <f>'Detailed Budget'!$AD$178</f>
        <v>46025131033.061455</v>
      </c>
      <c r="CK479" s="275">
        <f t="shared" si="586"/>
        <v>160736213.24892864</v>
      </c>
      <c r="CL479" s="275">
        <f t="shared" si="571"/>
        <v>289589155.5570215</v>
      </c>
      <c r="CM479" s="278">
        <f>'Detailed Budget'!$AD$189</f>
        <v>77498869683.252869</v>
      </c>
      <c r="CN479" s="275">
        <f t="shared" si="565"/>
        <v>0</v>
      </c>
      <c r="CO479" s="140">
        <f>'Detailed Budget'!$AD$191</f>
        <v>2684962805.4134097</v>
      </c>
      <c r="CP479" s="616">
        <f t="shared" si="566"/>
        <v>0</v>
      </c>
      <c r="CQ479" s="616">
        <f t="shared" si="567"/>
        <v>0</v>
      </c>
      <c r="CR479" s="199">
        <f>'Detailed Budget'!$AD$195</f>
        <v>18734176418</v>
      </c>
      <c r="CS479" s="275">
        <f t="shared" si="587"/>
        <v>32966338.57344722</v>
      </c>
      <c r="CW479" s="278"/>
      <c r="DH479" s="140"/>
      <c r="DI479" s="616">
        <f t="shared" si="588"/>
        <v>0</v>
      </c>
    </row>
    <row r="480" spans="1:113" outlineLevel="1">
      <c r="A480" s="214" t="s">
        <v>1073</v>
      </c>
      <c r="B480" s="215" t="s">
        <v>1074</v>
      </c>
      <c r="C480" s="216" t="s">
        <v>234</v>
      </c>
      <c r="D480" s="217" t="s">
        <v>234</v>
      </c>
      <c r="E480" s="216"/>
      <c r="F480" s="216"/>
      <c r="G480" s="216"/>
      <c r="H480" s="216" t="s">
        <v>234</v>
      </c>
      <c r="I480" s="217" t="s">
        <v>234</v>
      </c>
      <c r="J480" s="217"/>
      <c r="K480" s="216" t="s">
        <v>234</v>
      </c>
      <c r="L480" s="216"/>
      <c r="M480" s="217"/>
      <c r="N480" s="216"/>
      <c r="O480" s="217"/>
      <c r="P480" s="216"/>
      <c r="Q480" s="217"/>
      <c r="R480" s="217" t="s">
        <v>234</v>
      </c>
      <c r="S480" s="217"/>
      <c r="T480" s="217"/>
      <c r="U480" s="218">
        <f t="shared" si="578"/>
        <v>6</v>
      </c>
      <c r="V480" s="867" t="s">
        <v>238</v>
      </c>
      <c r="W480" s="219">
        <v>258644</v>
      </c>
      <c r="X480" s="220">
        <v>3.2</v>
      </c>
      <c r="Y480" s="221">
        <f t="shared" si="514"/>
        <v>1.032</v>
      </c>
      <c r="Z480" s="199">
        <v>19</v>
      </c>
      <c r="AA480" s="221">
        <f t="shared" si="515"/>
        <v>1.8193415940533015</v>
      </c>
      <c r="AB480" s="199">
        <f t="shared" si="551"/>
        <v>470561.78725232213</v>
      </c>
      <c r="AC480">
        <v>20.2</v>
      </c>
      <c r="AD480" s="199">
        <f t="shared" si="552"/>
        <v>95053.481024969078</v>
      </c>
      <c r="AE480" s="199">
        <f t="shared" si="534"/>
        <v>90300.806973720624</v>
      </c>
      <c r="AF480" s="199">
        <f t="shared" si="570"/>
        <v>90300.806973720624</v>
      </c>
      <c r="AG480" s="614">
        <f t="shared" si="569"/>
        <v>4.1751128864942416E-3</v>
      </c>
      <c r="AH480" s="199">
        <f t="shared" si="589"/>
        <v>23528.089362616109</v>
      </c>
      <c r="AI480" s="252">
        <f t="shared" si="550"/>
        <v>1.8226854343844729E-3</v>
      </c>
      <c r="AJ480" s="199">
        <f t="shared" si="553"/>
        <v>118581.57038758519</v>
      </c>
      <c r="AK480" s="199">
        <f t="shared" si="572"/>
        <v>18822.471490092885</v>
      </c>
      <c r="AL480" s="199">
        <f t="shared" si="573"/>
        <v>18822.471490092885</v>
      </c>
      <c r="AM480" s="199">
        <f t="shared" si="554"/>
        <v>37644.94298018577</v>
      </c>
      <c r="AN480" s="645">
        <f t="shared" si="555"/>
        <v>1.8226854343844727E-3</v>
      </c>
      <c r="AO480" s="199">
        <v>11</v>
      </c>
      <c r="AP480" s="250"/>
      <c r="AQ480" s="199">
        <v>11</v>
      </c>
      <c r="AU480" s="199">
        <v>0</v>
      </c>
      <c r="AW480" s="250">
        <f t="shared" si="557"/>
        <v>0</v>
      </c>
      <c r="AX480" s="199">
        <v>1</v>
      </c>
      <c r="AY480" s="199">
        <f t="shared" si="579"/>
        <v>39643.094076495225</v>
      </c>
      <c r="AZ480" s="199">
        <f t="shared" si="558"/>
        <v>39643.094076495225</v>
      </c>
      <c r="BA480" s="252">
        <f t="shared" si="559"/>
        <v>3.1162044508012379E-3</v>
      </c>
      <c r="BB480" s="284">
        <v>1</v>
      </c>
      <c r="BC480" s="199">
        <f t="shared" si="580"/>
        <v>68438.506337977728</v>
      </c>
      <c r="BD480" s="270">
        <f t="shared" si="574"/>
        <v>6.1633729639759671E-3</v>
      </c>
      <c r="BE480" s="199">
        <f t="shared" si="581"/>
        <v>292764.72155690478</v>
      </c>
      <c r="BF480" s="251">
        <f t="shared" si="575"/>
        <v>6.1633731009377076E-3</v>
      </c>
      <c r="BG480" s="204">
        <f t="shared" si="513"/>
        <v>361203.2278948825</v>
      </c>
      <c r="BH480" s="636">
        <v>0</v>
      </c>
      <c r="BI480" s="199">
        <f t="shared" si="560"/>
        <v>143991.90689921056</v>
      </c>
      <c r="BJ480" s="199">
        <f t="shared" si="561"/>
        <v>287983.81379842112</v>
      </c>
      <c r="BK480" s="199">
        <f t="shared" si="568"/>
        <v>431975.72069763171</v>
      </c>
      <c r="BL480" s="251">
        <f t="shared" si="562"/>
        <v>1.8226854343844727E-3</v>
      </c>
      <c r="BM480" s="199">
        <f t="shared" si="582"/>
        <v>48716.010610330173</v>
      </c>
      <c r="BN480" s="251">
        <f t="shared" si="563"/>
        <v>2.1037088423001265E-3</v>
      </c>
      <c r="BT480" s="199">
        <f>'Detailed Budget'!$AD$12</f>
        <v>194045122715</v>
      </c>
      <c r="BU480" s="199">
        <f>'Detailed Budget'!$AD$24</f>
        <v>194045122715</v>
      </c>
      <c r="BV480" s="596">
        <f t="shared" si="583"/>
        <v>0</v>
      </c>
      <c r="BW480" s="278"/>
      <c r="BX480" s="275"/>
      <c r="BY480" s="275"/>
      <c r="CA480" s="199"/>
      <c r="CE480" s="199">
        <f>'Detailed Budget'!$AD$175</f>
        <v>4330586076.5988197</v>
      </c>
      <c r="CF480" s="275">
        <f t="shared" si="584"/>
        <v>26691017.142679922</v>
      </c>
      <c r="CG480" s="199">
        <f>'Detailed Budget'!$AD$176</f>
        <v>20662817754.37001</v>
      </c>
      <c r="CH480" s="275">
        <f t="shared" si="585"/>
        <v>127352655.1368622</v>
      </c>
      <c r="CI480" s="275">
        <f t="shared" si="549"/>
        <v>154043672.27954212</v>
      </c>
      <c r="CJ480" s="275">
        <f>'Detailed Budget'!$AD$178</f>
        <v>46025131033.061455</v>
      </c>
      <c r="CK480" s="275">
        <f t="shared" si="586"/>
        <v>192160117.67872092</v>
      </c>
      <c r="CL480" s="275">
        <f t="shared" si="571"/>
        <v>346203789.95826304</v>
      </c>
      <c r="CM480" s="278">
        <f>'Detailed Budget'!$AD$189</f>
        <v>77498869683.252869</v>
      </c>
      <c r="CN480" s="275">
        <f t="shared" si="565"/>
        <v>0</v>
      </c>
      <c r="CO480" s="140">
        <f>'Detailed Budget'!$AD$191</f>
        <v>2684962805.4134097</v>
      </c>
      <c r="CP480" s="616">
        <f t="shared" si="566"/>
        <v>0</v>
      </c>
      <c r="CQ480" s="616">
        <f t="shared" si="567"/>
        <v>0</v>
      </c>
      <c r="CR480" s="199">
        <f>'Detailed Budget'!$AD$195</f>
        <v>18734176418</v>
      </c>
      <c r="CS480" s="275">
        <f t="shared" si="587"/>
        <v>39411252.58375711</v>
      </c>
      <c r="CW480" s="278"/>
      <c r="DH480" s="140"/>
      <c r="DI480" s="616">
        <f t="shared" si="588"/>
        <v>0</v>
      </c>
    </row>
    <row r="481" spans="1:113" outlineLevel="1">
      <c r="A481" s="214" t="s">
        <v>1075</v>
      </c>
      <c r="B481" s="215" t="s">
        <v>1076</v>
      </c>
      <c r="C481" s="216" t="s">
        <v>234</v>
      </c>
      <c r="D481" s="217" t="s">
        <v>234</v>
      </c>
      <c r="E481" s="216"/>
      <c r="F481" s="216"/>
      <c r="G481" s="216"/>
      <c r="H481" s="216" t="s">
        <v>234</v>
      </c>
      <c r="I481" s="217" t="s">
        <v>234</v>
      </c>
      <c r="J481" s="217"/>
      <c r="K481" s="216" t="s">
        <v>234</v>
      </c>
      <c r="L481" s="216"/>
      <c r="M481" s="217"/>
      <c r="N481" s="216"/>
      <c r="O481" s="217"/>
      <c r="P481" s="216"/>
      <c r="Q481" s="217"/>
      <c r="R481" s="217" t="s">
        <v>234</v>
      </c>
      <c r="S481" s="217"/>
      <c r="T481" s="217"/>
      <c r="U481" s="218">
        <f t="shared" si="578"/>
        <v>6</v>
      </c>
      <c r="V481" s="867" t="s">
        <v>238</v>
      </c>
      <c r="W481" s="219">
        <v>206721</v>
      </c>
      <c r="X481" s="220">
        <v>3.2</v>
      </c>
      <c r="Y481" s="221">
        <f t="shared" si="514"/>
        <v>1.032</v>
      </c>
      <c r="Z481" s="199">
        <v>19</v>
      </c>
      <c r="AA481" s="221">
        <f t="shared" si="515"/>
        <v>1.8193415940533015</v>
      </c>
      <c r="AB481" s="199">
        <f t="shared" si="551"/>
        <v>376096.11366429256</v>
      </c>
      <c r="AC481">
        <v>20.2</v>
      </c>
      <c r="AD481" s="199">
        <f t="shared" si="552"/>
        <v>75971.414960187103</v>
      </c>
      <c r="AE481" s="199">
        <f t="shared" si="534"/>
        <v>72172.844212177748</v>
      </c>
      <c r="AF481" s="199">
        <f t="shared" si="570"/>
        <v>72172.844212177748</v>
      </c>
      <c r="AG481" s="614">
        <f t="shared" si="569"/>
        <v>3.3369554716481966E-3</v>
      </c>
      <c r="AH481" s="199">
        <f t="shared" si="589"/>
        <v>18804.805683214629</v>
      </c>
      <c r="AI481" s="252">
        <f t="shared" si="550"/>
        <v>1.4567798042150314E-3</v>
      </c>
      <c r="AJ481" s="199">
        <f t="shared" si="553"/>
        <v>94776.220643401728</v>
      </c>
      <c r="AK481" s="199">
        <f t="shared" si="572"/>
        <v>15043.844546571703</v>
      </c>
      <c r="AL481" s="199">
        <f t="shared" si="573"/>
        <v>15043.844546571703</v>
      </c>
      <c r="AM481" s="199">
        <f t="shared" si="554"/>
        <v>30087.689093143406</v>
      </c>
      <c r="AN481" s="645">
        <f t="shared" si="555"/>
        <v>1.4567798042150314E-3</v>
      </c>
      <c r="AO481" s="199">
        <v>11</v>
      </c>
      <c r="AP481" s="250"/>
      <c r="AQ481" s="199">
        <v>11</v>
      </c>
      <c r="AU481" s="199">
        <v>0</v>
      </c>
      <c r="AW481" s="250">
        <f t="shared" si="557"/>
        <v>0</v>
      </c>
      <c r="AX481" s="199">
        <v>1</v>
      </c>
      <c r="AY481" s="199">
        <f t="shared" si="579"/>
        <v>31684.709680437856</v>
      </c>
      <c r="AZ481" s="199">
        <f t="shared" si="558"/>
        <v>31684.709680437856</v>
      </c>
      <c r="BA481" s="252">
        <f t="shared" si="559"/>
        <v>2.4906237928352588E-3</v>
      </c>
      <c r="BB481" s="284">
        <v>1</v>
      </c>
      <c r="BC481" s="199">
        <f t="shared" si="580"/>
        <v>54699.418771334713</v>
      </c>
      <c r="BD481" s="270">
        <f t="shared" si="574"/>
        <v>4.9260706704430651E-3</v>
      </c>
      <c r="BE481" s="199">
        <f t="shared" si="581"/>
        <v>233991.95807737627</v>
      </c>
      <c r="BF481" s="251">
        <f t="shared" si="575"/>
        <v>4.9260707799096198E-3</v>
      </c>
      <c r="BG481" s="204">
        <f t="shared" si="513"/>
        <v>288691.37684871099</v>
      </c>
      <c r="BH481" s="636">
        <v>0</v>
      </c>
      <c r="BI481" s="199">
        <f t="shared" si="560"/>
        <v>115085.41078127352</v>
      </c>
      <c r="BJ481" s="199">
        <f t="shared" si="561"/>
        <v>230170.82156254703</v>
      </c>
      <c r="BK481" s="199">
        <f t="shared" si="568"/>
        <v>345256.23234382056</v>
      </c>
      <c r="BL481" s="251">
        <f t="shared" si="562"/>
        <v>1.4567798042150314E-3</v>
      </c>
      <c r="BM481" s="199">
        <f t="shared" si="582"/>
        <v>38936.230608009711</v>
      </c>
      <c r="BN481" s="251">
        <f t="shared" si="563"/>
        <v>1.6813875272154949E-3</v>
      </c>
      <c r="BT481" s="199">
        <f>'Detailed Budget'!$AD$12</f>
        <v>194045122715</v>
      </c>
      <c r="BU481" s="199">
        <f>'Detailed Budget'!$AD$24</f>
        <v>194045122715</v>
      </c>
      <c r="BV481" s="596">
        <f t="shared" si="583"/>
        <v>0</v>
      </c>
      <c r="BW481" s="278"/>
      <c r="BX481" s="275"/>
      <c r="BY481" s="275"/>
      <c r="CA481" s="199"/>
      <c r="CE481" s="199">
        <f>'Detailed Budget'!$AD$175</f>
        <v>4330586076.5988197</v>
      </c>
      <c r="CF481" s="275">
        <f t="shared" si="584"/>
        <v>21332773.057762552</v>
      </c>
      <c r="CG481" s="199">
        <f>'Detailed Budget'!$AD$176</f>
        <v>20662817754.37001</v>
      </c>
      <c r="CH481" s="275">
        <f t="shared" si="585"/>
        <v>101786502.77039981</v>
      </c>
      <c r="CI481" s="275">
        <f t="shared" si="549"/>
        <v>123119275.82816236</v>
      </c>
      <c r="CJ481" s="275">
        <f>'Detailed Budget'!$AD$178</f>
        <v>46025131033.061455</v>
      </c>
      <c r="CK481" s="275">
        <f t="shared" si="586"/>
        <v>153583812.83409965</v>
      </c>
      <c r="CL481" s="275">
        <f t="shared" si="571"/>
        <v>276703088.66226202</v>
      </c>
      <c r="CM481" s="278">
        <f>'Detailed Budget'!$AD$189</f>
        <v>77498869683.252869</v>
      </c>
      <c r="CN481" s="275">
        <f t="shared" si="565"/>
        <v>0</v>
      </c>
      <c r="CO481" s="140">
        <f>'Detailed Budget'!$AD$191</f>
        <v>2684962805.4134097</v>
      </c>
      <c r="CP481" s="616">
        <f t="shared" si="566"/>
        <v>0</v>
      </c>
      <c r="CQ481" s="616">
        <f t="shared" si="567"/>
        <v>0</v>
      </c>
      <c r="CR481" s="199">
        <f>'Detailed Budget'!$AD$195</f>
        <v>18734176418</v>
      </c>
      <c r="CS481" s="275">
        <f t="shared" si="587"/>
        <v>31499410.561879858</v>
      </c>
      <c r="CW481" s="278"/>
      <c r="DH481" s="140"/>
      <c r="DI481" s="616">
        <f t="shared" si="588"/>
        <v>0</v>
      </c>
    </row>
    <row r="482" spans="1:113" outlineLevel="1">
      <c r="A482" s="214" t="s">
        <v>1077</v>
      </c>
      <c r="B482" s="215" t="s">
        <v>1078</v>
      </c>
      <c r="C482" s="216" t="s">
        <v>234</v>
      </c>
      <c r="D482" s="217" t="s">
        <v>234</v>
      </c>
      <c r="E482" s="216"/>
      <c r="F482" s="216"/>
      <c r="G482" s="216"/>
      <c r="H482" s="216" t="s">
        <v>234</v>
      </c>
      <c r="I482" s="217" t="s">
        <v>234</v>
      </c>
      <c r="J482" s="217"/>
      <c r="K482" s="216" t="s">
        <v>234</v>
      </c>
      <c r="L482" s="216"/>
      <c r="M482" s="217"/>
      <c r="N482" s="216"/>
      <c r="O482" s="217"/>
      <c r="P482" s="216"/>
      <c r="Q482" s="217"/>
      <c r="R482" s="217" t="s">
        <v>234</v>
      </c>
      <c r="S482" s="217"/>
      <c r="T482" s="217"/>
      <c r="U482" s="218">
        <f t="shared" si="578"/>
        <v>6</v>
      </c>
      <c r="V482" s="867" t="s">
        <v>238</v>
      </c>
      <c r="W482" s="219">
        <v>383712</v>
      </c>
      <c r="X482" s="220">
        <v>3.2</v>
      </c>
      <c r="Y482" s="221">
        <f t="shared" si="514"/>
        <v>1.032</v>
      </c>
      <c r="Z482" s="199">
        <v>19</v>
      </c>
      <c r="AA482" s="221">
        <f t="shared" si="515"/>
        <v>1.8193415940533015</v>
      </c>
      <c r="AB482" s="199">
        <f t="shared" si="551"/>
        <v>698103.20173738047</v>
      </c>
      <c r="AC482">
        <v>20.2</v>
      </c>
      <c r="AD482" s="199">
        <f t="shared" si="552"/>
        <v>141016.84675095085</v>
      </c>
      <c r="AE482" s="199">
        <f t="shared" si="534"/>
        <v>133966.00441340331</v>
      </c>
      <c r="AF482" s="199">
        <f t="shared" si="570"/>
        <v>133966.00441340331</v>
      </c>
      <c r="AG482" s="614">
        <f t="shared" si="569"/>
        <v>6.1939999222965867E-3</v>
      </c>
      <c r="AH482" s="199">
        <f t="shared" si="589"/>
        <v>34905.160086869022</v>
      </c>
      <c r="AI482" s="252">
        <f t="shared" si="550"/>
        <v>2.7040498654464624E-3</v>
      </c>
      <c r="AJ482" s="199">
        <f t="shared" si="553"/>
        <v>175922.00683781988</v>
      </c>
      <c r="AK482" s="199">
        <f t="shared" si="572"/>
        <v>27924.128069495218</v>
      </c>
      <c r="AL482" s="199">
        <f t="shared" si="573"/>
        <v>27924.128069495218</v>
      </c>
      <c r="AM482" s="199">
        <f t="shared" si="554"/>
        <v>55848.256138990437</v>
      </c>
      <c r="AN482" s="645">
        <f t="shared" si="555"/>
        <v>2.7040498654464624E-3</v>
      </c>
      <c r="AO482" s="199">
        <v>11</v>
      </c>
      <c r="AP482" s="250"/>
      <c r="AQ482" s="199">
        <v>11</v>
      </c>
      <c r="AU482" s="199">
        <v>0</v>
      </c>
      <c r="AW482" s="250">
        <f t="shared" si="557"/>
        <v>0</v>
      </c>
      <c r="AX482" s="199">
        <v>1</v>
      </c>
      <c r="AY482" s="199">
        <f t="shared" si="579"/>
        <v>58812.618557863832</v>
      </c>
      <c r="AZ482" s="199">
        <f t="shared" si="558"/>
        <v>58812.618557863832</v>
      </c>
      <c r="BA482" s="252">
        <f t="shared" si="559"/>
        <v>4.6230534720536507E-3</v>
      </c>
      <c r="BB482" s="284">
        <v>1</v>
      </c>
      <c r="BC482" s="199">
        <f t="shared" si="580"/>
        <v>101532.1296606846</v>
      </c>
      <c r="BD482" s="270">
        <f t="shared" si="574"/>
        <v>9.1436884936559378E-3</v>
      </c>
      <c r="BE482" s="199">
        <f t="shared" si="581"/>
        <v>434331.88799292862</v>
      </c>
      <c r="BF482" s="251">
        <f t="shared" si="575"/>
        <v>9.1436886968458923E-3</v>
      </c>
      <c r="BG482" s="204">
        <f t="shared" si="513"/>
        <v>535864.01765361323</v>
      </c>
      <c r="BH482" s="636">
        <v>0</v>
      </c>
      <c r="BI482" s="199">
        <f t="shared" si="560"/>
        <v>213619.57973163843</v>
      </c>
      <c r="BJ482" s="199">
        <f t="shared" si="561"/>
        <v>427239.15946327685</v>
      </c>
      <c r="BK482" s="199">
        <f t="shared" si="568"/>
        <v>640858.73919491528</v>
      </c>
      <c r="BL482" s="251">
        <f t="shared" si="562"/>
        <v>2.7040498654464624E-3</v>
      </c>
      <c r="BM482" s="199">
        <f t="shared" si="582"/>
        <v>72272.768219293735</v>
      </c>
      <c r="BN482" s="251">
        <f t="shared" si="563"/>
        <v>3.1209628960914074E-3</v>
      </c>
      <c r="BT482" s="199">
        <f>'Detailed Budget'!$AD$12</f>
        <v>194045122715</v>
      </c>
      <c r="BU482" s="199">
        <f>'Detailed Budget'!$AD$24</f>
        <v>194045122715</v>
      </c>
      <c r="BV482" s="596">
        <f t="shared" si="583"/>
        <v>0</v>
      </c>
      <c r="BW482" s="278"/>
      <c r="BX482" s="275"/>
      <c r="BY482" s="275"/>
      <c r="CA482" s="199"/>
      <c r="CE482" s="199">
        <f>'Detailed Budget'!$AD$175</f>
        <v>4330586076.5988197</v>
      </c>
      <c r="CF482" s="275">
        <f t="shared" si="584"/>
        <v>39597530.079383239</v>
      </c>
      <c r="CG482" s="199">
        <f>'Detailed Budget'!$AD$176</f>
        <v>20662817754.37001</v>
      </c>
      <c r="CH482" s="275">
        <f t="shared" si="585"/>
        <v>188934373.14561969</v>
      </c>
      <c r="CI482" s="275">
        <f t="shared" si="549"/>
        <v>228531903.22500294</v>
      </c>
      <c r="CJ482" s="275">
        <f>'Detailed Budget'!$AD$178</f>
        <v>46025131033.061455</v>
      </c>
      <c r="CK482" s="275">
        <f t="shared" si="586"/>
        <v>285079658.0424729</v>
      </c>
      <c r="CL482" s="275">
        <f t="shared" si="571"/>
        <v>513611561.26747584</v>
      </c>
      <c r="CM482" s="278">
        <f>'Detailed Budget'!$AD$189</f>
        <v>77498869683.252869</v>
      </c>
      <c r="CN482" s="275">
        <f t="shared" si="565"/>
        <v>0</v>
      </c>
      <c r="CO482" s="140">
        <f>'Detailed Budget'!$AD$191</f>
        <v>2684962805.4134097</v>
      </c>
      <c r="CP482" s="616">
        <f t="shared" si="566"/>
        <v>0</v>
      </c>
      <c r="CQ482" s="616">
        <f t="shared" si="567"/>
        <v>0</v>
      </c>
      <c r="CR482" s="199">
        <f>'Detailed Budget'!$AD$195</f>
        <v>18734176418</v>
      </c>
      <c r="CS482" s="275">
        <f t="shared" si="587"/>
        <v>58468669.489408627</v>
      </c>
      <c r="CW482" s="278"/>
      <c r="DH482" s="140"/>
      <c r="DI482" s="616">
        <f t="shared" si="588"/>
        <v>0</v>
      </c>
    </row>
    <row r="483" spans="1:113" outlineLevel="1">
      <c r="A483" s="214" t="s">
        <v>1079</v>
      </c>
      <c r="B483" s="215" t="s">
        <v>1080</v>
      </c>
      <c r="C483" s="216" t="s">
        <v>234</v>
      </c>
      <c r="D483" s="217" t="s">
        <v>234</v>
      </c>
      <c r="E483" s="216"/>
      <c r="F483" s="216"/>
      <c r="G483" s="216"/>
      <c r="H483" s="216" t="s">
        <v>234</v>
      </c>
      <c r="I483" s="217" t="s">
        <v>234</v>
      </c>
      <c r="J483" s="217"/>
      <c r="K483" s="216" t="s">
        <v>234</v>
      </c>
      <c r="L483" s="216"/>
      <c r="M483" s="217"/>
      <c r="N483" s="216"/>
      <c r="O483" s="217"/>
      <c r="P483" s="216"/>
      <c r="Q483" s="217"/>
      <c r="R483" s="217" t="s">
        <v>234</v>
      </c>
      <c r="S483" s="217"/>
      <c r="T483" s="217"/>
      <c r="U483" s="218">
        <f t="shared" si="578"/>
        <v>6</v>
      </c>
      <c r="V483" s="867" t="s">
        <v>238</v>
      </c>
      <c r="W483" s="219">
        <v>285363</v>
      </c>
      <c r="X483" s="220">
        <v>3.2</v>
      </c>
      <c r="Y483" s="221">
        <f t="shared" si="514"/>
        <v>1.032</v>
      </c>
      <c r="Z483" s="199">
        <v>19</v>
      </c>
      <c r="AA483" s="221">
        <f t="shared" si="515"/>
        <v>1.8193415940533015</v>
      </c>
      <c r="AB483" s="199">
        <f t="shared" si="551"/>
        <v>519172.77530383231</v>
      </c>
      <c r="AC483">
        <v>20.2</v>
      </c>
      <c r="AD483" s="199">
        <f t="shared" si="552"/>
        <v>104872.90061137412</v>
      </c>
      <c r="AE483" s="199">
        <f t="shared" si="534"/>
        <v>99629.255580805402</v>
      </c>
      <c r="AF483" s="199">
        <f t="shared" si="570"/>
        <v>99629.255580805402</v>
      </c>
      <c r="AG483" s="614">
        <f t="shared" si="569"/>
        <v>4.6064193974291153E-3</v>
      </c>
      <c r="AH483" s="199">
        <f t="shared" si="589"/>
        <v>25958.638765191616</v>
      </c>
      <c r="AI483" s="252">
        <f t="shared" si="550"/>
        <v>2.010976413959946E-3</v>
      </c>
      <c r="AJ483" s="199">
        <f t="shared" si="553"/>
        <v>130831.53937656574</v>
      </c>
      <c r="AK483" s="199">
        <f t="shared" si="572"/>
        <v>20766.911012153294</v>
      </c>
      <c r="AL483" s="199">
        <f t="shared" si="573"/>
        <v>20766.911012153294</v>
      </c>
      <c r="AM483" s="199">
        <f t="shared" si="554"/>
        <v>41533.822024306588</v>
      </c>
      <c r="AN483" s="645">
        <f t="shared" si="555"/>
        <v>2.0109764139599464E-3</v>
      </c>
      <c r="AO483" s="199">
        <v>11</v>
      </c>
      <c r="AP483" s="250"/>
      <c r="AQ483" s="199">
        <v>11</v>
      </c>
      <c r="AU483" s="199">
        <v>0</v>
      </c>
      <c r="AW483" s="250">
        <f t="shared" si="557"/>
        <v>0</v>
      </c>
      <c r="AX483" s="199">
        <v>1</v>
      </c>
      <c r="AY483" s="199">
        <f t="shared" si="579"/>
        <v>43738.39043221921</v>
      </c>
      <c r="AZ483" s="199">
        <f t="shared" si="558"/>
        <v>43738.39043221921</v>
      </c>
      <c r="BA483" s="252">
        <f t="shared" si="559"/>
        <v>3.4381213200151309E-3</v>
      </c>
      <c r="BB483" s="284">
        <v>1</v>
      </c>
      <c r="BC483" s="199">
        <f t="shared" si="580"/>
        <v>75508.488440189365</v>
      </c>
      <c r="BD483" s="270">
        <f t="shared" si="574"/>
        <v>6.8000750031668002E-3</v>
      </c>
      <c r="BE483" s="199">
        <f t="shared" si="581"/>
        <v>323008.53388303227</v>
      </c>
      <c r="BF483" s="251">
        <f t="shared" si="575"/>
        <v>6.8000751542772559E-3</v>
      </c>
      <c r="BG483" s="204">
        <f t="shared" si="513"/>
        <v>398517.02232322167</v>
      </c>
      <c r="BH483" s="636">
        <v>0</v>
      </c>
      <c r="BI483" s="199">
        <f t="shared" si="560"/>
        <v>158866.86924297269</v>
      </c>
      <c r="BJ483" s="199">
        <f t="shared" si="561"/>
        <v>317733.73848594539</v>
      </c>
      <c r="BK483" s="199">
        <f t="shared" si="568"/>
        <v>476600.60772891808</v>
      </c>
      <c r="BL483" s="251">
        <f t="shared" si="562"/>
        <v>2.010976413959946E-3</v>
      </c>
      <c r="BM483" s="199">
        <f t="shared" si="582"/>
        <v>53748.57694667438</v>
      </c>
      <c r="BN483" s="251">
        <f t="shared" si="563"/>
        <v>2.3210307077113366E-3</v>
      </c>
      <c r="BT483" s="199">
        <f>'Detailed Budget'!$AD$12</f>
        <v>194045122715</v>
      </c>
      <c r="BU483" s="199">
        <f>'Detailed Budget'!$AD$24</f>
        <v>194045122715</v>
      </c>
      <c r="BV483" s="596">
        <f t="shared" si="583"/>
        <v>0</v>
      </c>
      <c r="BW483" s="278"/>
      <c r="BX483" s="275"/>
      <c r="BY483" s="275"/>
      <c r="CA483" s="199"/>
      <c r="CE483" s="199">
        <f>'Detailed Budget'!$AD$175</f>
        <v>4330586076.5988197</v>
      </c>
      <c r="CF483" s="275">
        <f t="shared" si="584"/>
        <v>29448310.12854182</v>
      </c>
      <c r="CG483" s="199">
        <f>'Detailed Budget'!$AD$176</f>
        <v>20662817754.37001</v>
      </c>
      <c r="CH483" s="275">
        <f t="shared" si="585"/>
        <v>140508713.62885046</v>
      </c>
      <c r="CI483" s="275">
        <f t="shared" si="549"/>
        <v>169957023.75739229</v>
      </c>
      <c r="CJ483" s="275">
        <f>'Detailed Budget'!$AD$178</f>
        <v>46025131033.061455</v>
      </c>
      <c r="CK483" s="275">
        <f t="shared" si="586"/>
        <v>212011056.35991102</v>
      </c>
      <c r="CL483" s="275">
        <f t="shared" si="571"/>
        <v>381968080.11730331</v>
      </c>
      <c r="CM483" s="278">
        <f>'Detailed Budget'!$AD$189</f>
        <v>77498869683.252869</v>
      </c>
      <c r="CN483" s="275">
        <f t="shared" si="565"/>
        <v>0</v>
      </c>
      <c r="CO483" s="140">
        <f>'Detailed Budget'!$AD$191</f>
        <v>2684962805.4134097</v>
      </c>
      <c r="CP483" s="616">
        <f t="shared" si="566"/>
        <v>0</v>
      </c>
      <c r="CQ483" s="616">
        <f t="shared" si="567"/>
        <v>0</v>
      </c>
      <c r="CR483" s="199">
        <f>'Detailed Budget'!$AD$195</f>
        <v>18734176418</v>
      </c>
      <c r="CS483" s="275">
        <f t="shared" si="587"/>
        <v>43482598.749859571</v>
      </c>
      <c r="CW483" s="278"/>
      <c r="DH483" s="140"/>
      <c r="DI483" s="616">
        <f t="shared" si="588"/>
        <v>0</v>
      </c>
    </row>
    <row r="484" spans="1:113" outlineLevel="1">
      <c r="A484" s="214" t="s">
        <v>1081</v>
      </c>
      <c r="B484" s="215" t="s">
        <v>1082</v>
      </c>
      <c r="C484" s="216" t="s">
        <v>234</v>
      </c>
      <c r="D484" s="217" t="s">
        <v>234</v>
      </c>
      <c r="E484" s="216"/>
      <c r="F484" s="216"/>
      <c r="G484" s="216"/>
      <c r="H484" s="216" t="s">
        <v>234</v>
      </c>
      <c r="I484" s="217" t="s">
        <v>234</v>
      </c>
      <c r="J484" s="217"/>
      <c r="K484" s="216" t="s">
        <v>234</v>
      </c>
      <c r="L484" s="216"/>
      <c r="M484" s="217"/>
      <c r="N484" s="216"/>
      <c r="O484" s="217"/>
      <c r="P484" s="216"/>
      <c r="Q484" s="217"/>
      <c r="R484" s="217" t="s">
        <v>234</v>
      </c>
      <c r="S484" s="217"/>
      <c r="T484" s="217"/>
      <c r="U484" s="218">
        <f t="shared" si="578"/>
        <v>6</v>
      </c>
      <c r="V484" s="867" t="s">
        <v>238</v>
      </c>
      <c r="W484" s="219">
        <v>207563</v>
      </c>
      <c r="X484" s="220">
        <v>3.2</v>
      </c>
      <c r="Y484" s="221">
        <f t="shared" si="514"/>
        <v>1.032</v>
      </c>
      <c r="Z484" s="199">
        <v>19</v>
      </c>
      <c r="AA484" s="221">
        <f t="shared" si="515"/>
        <v>1.8193415940533015</v>
      </c>
      <c r="AB484" s="199">
        <f t="shared" si="551"/>
        <v>377627.99928648543</v>
      </c>
      <c r="AC484">
        <v>20.2</v>
      </c>
      <c r="AD484" s="199">
        <f t="shared" si="552"/>
        <v>76280.855855870046</v>
      </c>
      <c r="AE484" s="199">
        <f t="shared" si="534"/>
        <v>72466.813063076537</v>
      </c>
      <c r="AF484" s="199">
        <f t="shared" si="570"/>
        <v>72466.813063076537</v>
      </c>
      <c r="AG484" s="614">
        <f t="shared" si="569"/>
        <v>3.35054730076632E-3</v>
      </c>
      <c r="AH484" s="199">
        <f t="shared" si="589"/>
        <v>18881.399964324271</v>
      </c>
      <c r="AI484" s="252">
        <f t="shared" si="550"/>
        <v>1.4627134471209241E-3</v>
      </c>
      <c r="AJ484" s="199">
        <f t="shared" si="553"/>
        <v>95162.255820194317</v>
      </c>
      <c r="AK484" s="199">
        <f t="shared" si="572"/>
        <v>15105.119971459417</v>
      </c>
      <c r="AL484" s="199">
        <f t="shared" si="573"/>
        <v>15105.119971459417</v>
      </c>
      <c r="AM484" s="199">
        <f t="shared" si="554"/>
        <v>30210.239942918834</v>
      </c>
      <c r="AN484" s="645">
        <f t="shared" si="555"/>
        <v>1.4627134471209241E-3</v>
      </c>
      <c r="AO484" s="199">
        <v>10</v>
      </c>
      <c r="AP484" s="250"/>
      <c r="AQ484" s="199">
        <v>10</v>
      </c>
      <c r="AU484" s="199">
        <v>0</v>
      </c>
      <c r="AW484" s="250">
        <f t="shared" si="557"/>
        <v>0</v>
      </c>
      <c r="AX484" s="199">
        <v>1</v>
      </c>
      <c r="AY484" s="199">
        <f t="shared" si="579"/>
        <v>31813.765391037785</v>
      </c>
      <c r="AZ484" s="199">
        <f t="shared" si="558"/>
        <v>31813.765391037785</v>
      </c>
      <c r="BA484" s="252">
        <f t="shared" si="559"/>
        <v>2.500768409171128E-3</v>
      </c>
      <c r="BB484" s="284">
        <v>1</v>
      </c>
      <c r="BC484" s="199">
        <f t="shared" si="580"/>
        <v>54922.216216226429</v>
      </c>
      <c r="BD484" s="270">
        <f t="shared" si="574"/>
        <v>4.9461351607682511E-3</v>
      </c>
      <c r="BE484" s="199">
        <f t="shared" si="581"/>
        <v>234945.03603607975</v>
      </c>
      <c r="BF484" s="251">
        <f t="shared" si="575"/>
        <v>4.9461352706806766E-3</v>
      </c>
      <c r="BG484" s="204">
        <f t="shared" si="513"/>
        <v>289867.25225230621</v>
      </c>
      <c r="BH484" s="636">
        <v>0</v>
      </c>
      <c r="BI484" s="199">
        <f t="shared" si="560"/>
        <v>115554.16778166455</v>
      </c>
      <c r="BJ484" s="199">
        <f t="shared" si="561"/>
        <v>231108.33556332911</v>
      </c>
      <c r="BK484" s="199">
        <f t="shared" si="568"/>
        <v>346662.50334499369</v>
      </c>
      <c r="BL484" s="251">
        <f t="shared" si="562"/>
        <v>1.4627134471209245E-3</v>
      </c>
      <c r="BM484" s="199">
        <f t="shared" si="582"/>
        <v>39094.822653191113</v>
      </c>
      <c r="BN484" s="251">
        <f t="shared" si="563"/>
        <v>1.6882360249390713E-3</v>
      </c>
      <c r="BT484" s="199">
        <f>'Detailed Budget'!$AD$12</f>
        <v>194045122715</v>
      </c>
      <c r="BU484" s="199">
        <f>'Detailed Budget'!$AD$24</f>
        <v>194045122715</v>
      </c>
      <c r="BV484" s="596">
        <f t="shared" si="583"/>
        <v>0</v>
      </c>
      <c r="BW484" s="278"/>
      <c r="BX484" s="275"/>
      <c r="BY484" s="275"/>
      <c r="CA484" s="199"/>
      <c r="CE484" s="199">
        <f>'Detailed Budget'!$AD$175</f>
        <v>4330586076.5988197</v>
      </c>
      <c r="CF484" s="275">
        <f t="shared" si="584"/>
        <v>21419664.060198855</v>
      </c>
      <c r="CG484" s="199">
        <f>'Detailed Budget'!$AD$176</f>
        <v>20662817754.37001</v>
      </c>
      <c r="CH484" s="275">
        <f t="shared" si="585"/>
        <v>102201091.6865364</v>
      </c>
      <c r="CI484" s="275">
        <f t="shared" si="549"/>
        <v>123620755.74673526</v>
      </c>
      <c r="CJ484" s="275">
        <f>'Detailed Budget'!$AD$178</f>
        <v>46025131033.061455</v>
      </c>
      <c r="CK484" s="275">
        <f t="shared" si="586"/>
        <v>154209378.55024025</v>
      </c>
      <c r="CL484" s="275">
        <f t="shared" si="571"/>
        <v>277830134.29697549</v>
      </c>
      <c r="CM484" s="278">
        <f>'Detailed Budget'!$AD$189</f>
        <v>77498869683.252869</v>
      </c>
      <c r="CN484" s="275">
        <f t="shared" si="565"/>
        <v>0</v>
      </c>
      <c r="CO484" s="140">
        <f>'Detailed Budget'!$AD$191</f>
        <v>2684962805.4134097</v>
      </c>
      <c r="CP484" s="616">
        <f t="shared" si="566"/>
        <v>0</v>
      </c>
      <c r="CQ484" s="616">
        <f t="shared" si="567"/>
        <v>0</v>
      </c>
      <c r="CR484" s="199">
        <f>'Detailed Budget'!$AD$195</f>
        <v>18734176418</v>
      </c>
      <c r="CS484" s="275">
        <f t="shared" si="587"/>
        <v>31627711.526431609</v>
      </c>
      <c r="CW484" s="278"/>
      <c r="DH484" s="140"/>
      <c r="DI484" s="616">
        <f t="shared" si="588"/>
        <v>0</v>
      </c>
    </row>
    <row r="485" spans="1:113" outlineLevel="1">
      <c r="A485" s="214" t="s">
        <v>1083</v>
      </c>
      <c r="B485" s="215" t="s">
        <v>1084</v>
      </c>
      <c r="C485" s="216" t="s">
        <v>234</v>
      </c>
      <c r="D485" s="217" t="s">
        <v>234</v>
      </c>
      <c r="E485" s="216"/>
      <c r="F485" s="216"/>
      <c r="G485" s="216"/>
      <c r="H485" s="216" t="s">
        <v>234</v>
      </c>
      <c r="I485" s="217" t="s">
        <v>234</v>
      </c>
      <c r="J485" s="217"/>
      <c r="K485" s="216" t="s">
        <v>234</v>
      </c>
      <c r="L485" s="216"/>
      <c r="M485" s="217"/>
      <c r="N485" s="216"/>
      <c r="O485" s="217"/>
      <c r="P485" s="216"/>
      <c r="Q485" s="217"/>
      <c r="R485" s="217" t="s">
        <v>234</v>
      </c>
      <c r="S485" s="217"/>
      <c r="T485" s="217"/>
      <c r="U485" s="218">
        <f t="shared" si="578"/>
        <v>6</v>
      </c>
      <c r="V485" s="867" t="s">
        <v>238</v>
      </c>
      <c r="W485" s="219">
        <v>293141</v>
      </c>
      <c r="X485" s="220">
        <v>3.2</v>
      </c>
      <c r="Y485" s="221">
        <f t="shared" si="514"/>
        <v>1.032</v>
      </c>
      <c r="Z485" s="199">
        <v>19</v>
      </c>
      <c r="AA485" s="221">
        <f t="shared" si="515"/>
        <v>1.8193415940533015</v>
      </c>
      <c r="AB485" s="199">
        <f t="shared" si="551"/>
        <v>533323.61422237882</v>
      </c>
      <c r="AC485">
        <v>20.2</v>
      </c>
      <c r="AD485" s="199">
        <f t="shared" si="552"/>
        <v>107731.37007292052</v>
      </c>
      <c r="AE485" s="199">
        <f t="shared" si="534"/>
        <v>102344.80156927448</v>
      </c>
      <c r="AF485" s="199">
        <f t="shared" si="570"/>
        <v>102344.80156927448</v>
      </c>
      <c r="AG485" s="614">
        <f t="shared" si="569"/>
        <v>4.73197432246566E-3</v>
      </c>
      <c r="AH485" s="199">
        <f t="shared" si="589"/>
        <v>26666.180711118941</v>
      </c>
      <c r="AI485" s="252">
        <f t="shared" si="550"/>
        <v>2.0657886164801762E-3</v>
      </c>
      <c r="AJ485" s="199">
        <f t="shared" si="553"/>
        <v>134397.55078403946</v>
      </c>
      <c r="AK485" s="199">
        <f t="shared" si="572"/>
        <v>21332.944568895153</v>
      </c>
      <c r="AL485" s="199">
        <f t="shared" si="573"/>
        <v>21332.944568895153</v>
      </c>
      <c r="AM485" s="199">
        <f t="shared" si="554"/>
        <v>42665.889137790306</v>
      </c>
      <c r="AN485" s="645">
        <f t="shared" si="555"/>
        <v>2.0657886164801762E-3</v>
      </c>
      <c r="AO485" s="199">
        <v>10</v>
      </c>
      <c r="AP485" s="250"/>
      <c r="AQ485" s="199">
        <v>10</v>
      </c>
      <c r="AU485" s="199">
        <v>0</v>
      </c>
      <c r="AW485" s="250">
        <f t="shared" si="557"/>
        <v>0</v>
      </c>
      <c r="AX485" s="199">
        <v>1</v>
      </c>
      <c r="AY485" s="199">
        <f t="shared" si="579"/>
        <v>44930.54639070647</v>
      </c>
      <c r="AZ485" s="199">
        <f t="shared" si="558"/>
        <v>44930.54639070647</v>
      </c>
      <c r="BA485" s="252">
        <f t="shared" si="559"/>
        <v>3.5318325146236739E-3</v>
      </c>
      <c r="BB485" s="284">
        <v>1</v>
      </c>
      <c r="BC485" s="199">
        <f t="shared" si="580"/>
        <v>77566.586452502772</v>
      </c>
      <c r="BD485" s="270">
        <f t="shared" si="574"/>
        <v>6.9854213282847417E-3</v>
      </c>
      <c r="BE485" s="199">
        <f t="shared" si="581"/>
        <v>331812.61982459517</v>
      </c>
      <c r="BF485" s="251">
        <f t="shared" si="575"/>
        <v>6.985421483513941E-3</v>
      </c>
      <c r="BG485" s="204">
        <f t="shared" si="513"/>
        <v>409379.20627709792</v>
      </c>
      <c r="BH485" s="636">
        <v>0</v>
      </c>
      <c r="BI485" s="199">
        <f t="shared" si="560"/>
        <v>163197.0259520479</v>
      </c>
      <c r="BJ485" s="199">
        <f t="shared" si="561"/>
        <v>326394.0519040958</v>
      </c>
      <c r="BK485" s="199">
        <f t="shared" si="568"/>
        <v>489591.0778561437</v>
      </c>
      <c r="BL485" s="251">
        <f t="shared" si="562"/>
        <v>2.0657886164801758E-3</v>
      </c>
      <c r="BM485" s="199">
        <f t="shared" si="582"/>
        <v>55213.575672827494</v>
      </c>
      <c r="BN485" s="251">
        <f t="shared" si="563"/>
        <v>2.3842939087730672E-3</v>
      </c>
      <c r="BT485" s="199">
        <f>'Detailed Budget'!$AD$12</f>
        <v>194045122715</v>
      </c>
      <c r="BU485" s="199">
        <f>'Detailed Budget'!$AD$24</f>
        <v>194045122715</v>
      </c>
      <c r="BV485" s="596">
        <f t="shared" si="583"/>
        <v>0</v>
      </c>
      <c r="BW485" s="278"/>
      <c r="BX485" s="275"/>
      <c r="BY485" s="275"/>
      <c r="CA485" s="199"/>
      <c r="CE485" s="199">
        <f>'Detailed Budget'!$AD$175</f>
        <v>4330586076.5988197</v>
      </c>
      <c r="CF485" s="275">
        <f t="shared" si="584"/>
        <v>30250968.343446337</v>
      </c>
      <c r="CG485" s="199">
        <f>'Detailed Budget'!$AD$176</f>
        <v>20662817754.37001</v>
      </c>
      <c r="CH485" s="275">
        <f t="shared" si="585"/>
        <v>144338491.05130956</v>
      </c>
      <c r="CI485" s="275">
        <f t="shared" si="549"/>
        <v>174589459.3947559</v>
      </c>
      <c r="CJ485" s="275">
        <f>'Detailed Budget'!$AD$178</f>
        <v>46025131033.061455</v>
      </c>
      <c r="CK485" s="275">
        <f t="shared" si="586"/>
        <v>217789738.23656419</v>
      </c>
      <c r="CL485" s="275">
        <f t="shared" si="571"/>
        <v>392379197.63132012</v>
      </c>
      <c r="CM485" s="278">
        <f>'Detailed Budget'!$AD$189</f>
        <v>77498869683.252869</v>
      </c>
      <c r="CN485" s="275">
        <f t="shared" si="565"/>
        <v>0</v>
      </c>
      <c r="CO485" s="140">
        <f>'Detailed Budget'!$AD$191</f>
        <v>2684962805.4134097</v>
      </c>
      <c r="CP485" s="616">
        <f t="shared" si="566"/>
        <v>0</v>
      </c>
      <c r="CQ485" s="616">
        <f t="shared" si="567"/>
        <v>0</v>
      </c>
      <c r="CR485" s="199">
        <f>'Detailed Budget'!$AD$195</f>
        <v>18734176418</v>
      </c>
      <c r="CS485" s="275">
        <f t="shared" si="587"/>
        <v>44667782.719317436</v>
      </c>
      <c r="CW485" s="278"/>
      <c r="DH485" s="140"/>
      <c r="DI485" s="616">
        <f t="shared" si="588"/>
        <v>0</v>
      </c>
    </row>
    <row r="486" spans="1:113" outlineLevel="1">
      <c r="A486" s="214" t="s">
        <v>1085</v>
      </c>
      <c r="B486" s="215" t="s">
        <v>1086</v>
      </c>
      <c r="C486" s="216" t="s">
        <v>234</v>
      </c>
      <c r="D486" s="217" t="s">
        <v>234</v>
      </c>
      <c r="E486" s="216"/>
      <c r="F486" s="216"/>
      <c r="G486" s="216"/>
      <c r="H486" s="216" t="s">
        <v>234</v>
      </c>
      <c r="I486" s="217" t="s">
        <v>234</v>
      </c>
      <c r="J486" s="217"/>
      <c r="K486" s="216" t="s">
        <v>234</v>
      </c>
      <c r="L486" s="216"/>
      <c r="M486" s="217"/>
      <c r="N486" s="216"/>
      <c r="O486" s="217"/>
      <c r="P486" s="216"/>
      <c r="Q486" s="217"/>
      <c r="R486" s="217" t="s">
        <v>234</v>
      </c>
      <c r="S486" s="217"/>
      <c r="T486" s="217"/>
      <c r="U486" s="218">
        <f t="shared" si="578"/>
        <v>6</v>
      </c>
      <c r="V486" s="867" t="s">
        <v>238</v>
      </c>
      <c r="W486" s="219">
        <v>135964</v>
      </c>
      <c r="X486" s="220">
        <v>3.2</v>
      </c>
      <c r="Y486" s="221">
        <f t="shared" si="514"/>
        <v>1.032</v>
      </c>
      <c r="Z486" s="199">
        <v>19</v>
      </c>
      <c r="AA486" s="221">
        <f t="shared" si="515"/>
        <v>1.8193415940533015</v>
      </c>
      <c r="AB486" s="199">
        <f t="shared" si="551"/>
        <v>247364.96049386309</v>
      </c>
      <c r="AC486">
        <v>20.2</v>
      </c>
      <c r="AD486" s="199">
        <f t="shared" si="552"/>
        <v>49967.722019760346</v>
      </c>
      <c r="AE486" s="199">
        <f t="shared" si="534"/>
        <v>47469.335918772325</v>
      </c>
      <c r="AF486" s="199">
        <f t="shared" si="570"/>
        <v>47469.335918772325</v>
      </c>
      <c r="AG486" s="614">
        <f t="shared" si="569"/>
        <v>2.194773698594605E-3</v>
      </c>
      <c r="AH486" s="199">
        <f t="shared" si="589"/>
        <v>12368.248024693155</v>
      </c>
      <c r="AI486" s="252">
        <f t="shared" si="550"/>
        <v>9.5814943474679666E-4</v>
      </c>
      <c r="AJ486" s="199">
        <f t="shared" si="553"/>
        <v>62335.970044453497</v>
      </c>
      <c r="AK486" s="199">
        <f t="shared" si="572"/>
        <v>9894.598419754524</v>
      </c>
      <c r="AL486" s="199">
        <f t="shared" si="573"/>
        <v>9894.598419754524</v>
      </c>
      <c r="AM486" s="199">
        <f t="shared" si="554"/>
        <v>19789.196839509048</v>
      </c>
      <c r="AN486" s="645">
        <f t="shared" si="555"/>
        <v>9.5814943474679655E-4</v>
      </c>
      <c r="AO486" s="199">
        <v>10</v>
      </c>
      <c r="AP486" s="250"/>
      <c r="AQ486" s="199">
        <v>10</v>
      </c>
      <c r="AU486" s="199">
        <v>0</v>
      </c>
      <c r="AW486" s="250">
        <f t="shared" si="557"/>
        <v>0</v>
      </c>
      <c r="AX486" s="199">
        <v>1</v>
      </c>
      <c r="AY486" s="199">
        <f t="shared" si="579"/>
        <v>20839.585078395772</v>
      </c>
      <c r="AZ486" s="199">
        <f t="shared" si="558"/>
        <v>20839.585078395772</v>
      </c>
      <c r="BA486" s="252">
        <f t="shared" si="559"/>
        <v>1.638126621722288E-3</v>
      </c>
      <c r="BB486" s="284">
        <v>1</v>
      </c>
      <c r="BC486" s="199">
        <f t="shared" si="580"/>
        <v>35976.75985422745</v>
      </c>
      <c r="BD486" s="270">
        <f t="shared" si="574"/>
        <v>3.2399624258595927E-3</v>
      </c>
      <c r="BE486" s="199">
        <f t="shared" si="581"/>
        <v>153900.58382086188</v>
      </c>
      <c r="BF486" s="251">
        <f t="shared" si="575"/>
        <v>3.2399624978576512E-3</v>
      </c>
      <c r="BG486" s="204">
        <f t="shared" si="513"/>
        <v>189877.34367508933</v>
      </c>
      <c r="BH486" s="636">
        <v>0</v>
      </c>
      <c r="BI486" s="199">
        <f t="shared" si="560"/>
        <v>75693.677911122097</v>
      </c>
      <c r="BJ486" s="199">
        <f t="shared" si="561"/>
        <v>151387.35582224419</v>
      </c>
      <c r="BK486" s="199">
        <f t="shared" si="568"/>
        <v>227081.03373336629</v>
      </c>
      <c r="BL486" s="251">
        <f t="shared" si="562"/>
        <v>9.5814943474679644E-4</v>
      </c>
      <c r="BM486" s="199">
        <f t="shared" si="582"/>
        <v>25609.036616441641</v>
      </c>
      <c r="BN486" s="251">
        <f t="shared" si="563"/>
        <v>1.1058778438103895E-3</v>
      </c>
      <c r="BT486" s="199">
        <f>'Detailed Budget'!$AD$12</f>
        <v>194045122715</v>
      </c>
      <c r="BU486" s="199">
        <f>'Detailed Budget'!$AD$24</f>
        <v>194045122715</v>
      </c>
      <c r="BV486" s="596">
        <f t="shared" si="583"/>
        <v>0</v>
      </c>
      <c r="BW486" s="278"/>
      <c r="BX486" s="275"/>
      <c r="BY486" s="275"/>
      <c r="CA486" s="199"/>
      <c r="CE486" s="199">
        <f>'Detailed Budget'!$AD$175</f>
        <v>4330586076.5988197</v>
      </c>
      <c r="CF486" s="275">
        <f t="shared" si="584"/>
        <v>14030936.170130888</v>
      </c>
      <c r="CG486" s="199">
        <f>'Detailed Budget'!$AD$176</f>
        <v>20662817754.37001</v>
      </c>
      <c r="CH486" s="275">
        <f t="shared" si="585"/>
        <v>66946754.624226086</v>
      </c>
      <c r="CI486" s="275">
        <f t="shared" si="549"/>
        <v>80977690.794356972</v>
      </c>
      <c r="CJ486" s="275">
        <f>'Detailed Budget'!$AD$178</f>
        <v>46025131033.061455</v>
      </c>
      <c r="CK486" s="275">
        <f t="shared" si="586"/>
        <v>101014747.06573363</v>
      </c>
      <c r="CL486" s="275">
        <f t="shared" si="571"/>
        <v>181992437.86009061</v>
      </c>
      <c r="CM486" s="278">
        <f>'Detailed Budget'!$AD$189</f>
        <v>77498869683.252869</v>
      </c>
      <c r="CN486" s="275">
        <f t="shared" si="565"/>
        <v>0</v>
      </c>
      <c r="CO486" s="140">
        <f>'Detailed Budget'!$AD$191</f>
        <v>2684962805.4134097</v>
      </c>
      <c r="CP486" s="616">
        <f t="shared" si="566"/>
        <v>0</v>
      </c>
      <c r="CQ486" s="616">
        <f t="shared" si="567"/>
        <v>0</v>
      </c>
      <c r="CR486" s="199">
        <f>'Detailed Budget'!$AD$195</f>
        <v>18734176418</v>
      </c>
      <c r="CS486" s="275">
        <f t="shared" si="587"/>
        <v>20717710.622701287</v>
      </c>
      <c r="CW486" s="278"/>
      <c r="DH486" s="140"/>
      <c r="DI486" s="616">
        <f t="shared" si="588"/>
        <v>0</v>
      </c>
    </row>
    <row r="487" spans="1:113" outlineLevel="1">
      <c r="A487" s="214" t="s">
        <v>1087</v>
      </c>
      <c r="B487" s="215" t="s">
        <v>1088</v>
      </c>
      <c r="C487" s="216" t="s">
        <v>234</v>
      </c>
      <c r="D487" s="217" t="s">
        <v>234</v>
      </c>
      <c r="E487" s="216"/>
      <c r="F487" s="216"/>
      <c r="G487" s="216"/>
      <c r="H487" s="216" t="s">
        <v>234</v>
      </c>
      <c r="I487" s="217" t="s">
        <v>234</v>
      </c>
      <c r="J487" s="217"/>
      <c r="K487" s="216" t="s">
        <v>234</v>
      </c>
      <c r="L487" s="216"/>
      <c r="M487" s="217"/>
      <c r="N487" s="216"/>
      <c r="O487" s="217"/>
      <c r="P487" s="216"/>
      <c r="Q487" s="217"/>
      <c r="R487" s="217" t="s">
        <v>234</v>
      </c>
      <c r="S487" s="217"/>
      <c r="T487" s="217"/>
      <c r="U487" s="218">
        <f t="shared" si="578"/>
        <v>6</v>
      </c>
      <c r="V487" s="867" t="s">
        <v>238</v>
      </c>
      <c r="W487" s="219">
        <v>215650</v>
      </c>
      <c r="X487" s="220">
        <v>3.2</v>
      </c>
      <c r="Y487" s="221">
        <f t="shared" si="514"/>
        <v>1.032</v>
      </c>
      <c r="Z487" s="199">
        <v>19</v>
      </c>
      <c r="AA487" s="221">
        <f t="shared" si="515"/>
        <v>1.8193415940533015</v>
      </c>
      <c r="AB487" s="199">
        <f t="shared" si="551"/>
        <v>392341.0147575945</v>
      </c>
      <c r="AC487">
        <v>20.2</v>
      </c>
      <c r="AD487" s="199">
        <f t="shared" si="552"/>
        <v>79252.884981034091</v>
      </c>
      <c r="AE487" s="199">
        <f t="shared" si="534"/>
        <v>75290.240731982383</v>
      </c>
      <c r="AF487" s="199">
        <f t="shared" si="570"/>
        <v>75290.240731982383</v>
      </c>
      <c r="AG487" s="614">
        <f t="shared" si="569"/>
        <v>3.4810902010968098E-3</v>
      </c>
      <c r="AH487" s="199">
        <f t="shared" si="589"/>
        <v>19617.050737879727</v>
      </c>
      <c r="AI487" s="252">
        <f t="shared" si="550"/>
        <v>1.5197031979284714E-3</v>
      </c>
      <c r="AJ487" s="199">
        <f t="shared" si="553"/>
        <v>98869.935718913825</v>
      </c>
      <c r="AK487" s="199">
        <f t="shared" si="572"/>
        <v>15693.640590303781</v>
      </c>
      <c r="AL487" s="199">
        <f t="shared" si="573"/>
        <v>15693.640590303781</v>
      </c>
      <c r="AM487" s="199">
        <f t="shared" si="554"/>
        <v>31387.281180607562</v>
      </c>
      <c r="AN487" s="645">
        <f t="shared" si="555"/>
        <v>1.5197031979284714E-3</v>
      </c>
      <c r="AO487" s="199">
        <v>11</v>
      </c>
      <c r="AP487" s="250"/>
      <c r="AQ487" s="199">
        <v>11</v>
      </c>
      <c r="AU487" s="199">
        <v>0</v>
      </c>
      <c r="AW487" s="250">
        <f t="shared" si="557"/>
        <v>0</v>
      </c>
      <c r="AX487" s="199">
        <v>1</v>
      </c>
      <c r="AY487" s="199">
        <f t="shared" si="579"/>
        <v>33053.282649495814</v>
      </c>
      <c r="AZ487" s="199">
        <f t="shared" si="558"/>
        <v>33053.282649495814</v>
      </c>
      <c r="BA487" s="252">
        <f t="shared" si="559"/>
        <v>2.5982025092996046E-3</v>
      </c>
      <c r="BB487" s="284">
        <v>1</v>
      </c>
      <c r="BC487" s="199">
        <f t="shared" si="580"/>
        <v>57062.077186344541</v>
      </c>
      <c r="BD487" s="270">
        <f t="shared" si="574"/>
        <v>5.1388448202216849E-3</v>
      </c>
      <c r="BE487" s="199">
        <f t="shared" si="581"/>
        <v>244098.88574158499</v>
      </c>
      <c r="BF487" s="251">
        <f t="shared" si="575"/>
        <v>5.1388449344164817E-3</v>
      </c>
      <c r="BG487" s="204">
        <f t="shared" si="513"/>
        <v>301160.96292792953</v>
      </c>
      <c r="BH487" s="636">
        <v>0</v>
      </c>
      <c r="BI487" s="199">
        <f t="shared" si="560"/>
        <v>120056.35051582393</v>
      </c>
      <c r="BJ487" s="199">
        <f t="shared" si="561"/>
        <v>240112.70103164786</v>
      </c>
      <c r="BK487" s="199">
        <f t="shared" si="568"/>
        <v>360169.05154747178</v>
      </c>
      <c r="BL487" s="251">
        <f t="shared" si="562"/>
        <v>1.5197031979284716E-3</v>
      </c>
      <c r="BM487" s="199">
        <f t="shared" si="582"/>
        <v>40618.022023003447</v>
      </c>
      <c r="BN487" s="251">
        <f t="shared" si="563"/>
        <v>1.7540125107948468E-3</v>
      </c>
      <c r="BT487" s="199">
        <f>'Detailed Budget'!$AD$12</f>
        <v>194045122715</v>
      </c>
      <c r="BU487" s="199">
        <f>'Detailed Budget'!$AD$24</f>
        <v>194045122715</v>
      </c>
      <c r="BV487" s="596">
        <f t="shared" si="583"/>
        <v>0</v>
      </c>
      <c r="BW487" s="278"/>
      <c r="BX487" s="275"/>
      <c r="BY487" s="275"/>
      <c r="CA487" s="199"/>
      <c r="CE487" s="199">
        <f>'Detailed Budget'!$AD$175</f>
        <v>4330586076.5988197</v>
      </c>
      <c r="CF487" s="275">
        <f t="shared" si="584"/>
        <v>22254209.828253992</v>
      </c>
      <c r="CG487" s="199">
        <f>'Detailed Budget'!$AD$176</f>
        <v>20662817754.37001</v>
      </c>
      <c r="CH487" s="275">
        <f t="shared" si="585"/>
        <v>106183016.34781528</v>
      </c>
      <c r="CI487" s="275">
        <f t="shared" si="549"/>
        <v>128437226.17606926</v>
      </c>
      <c r="CJ487" s="275">
        <f>'Detailed Budget'!$AD$178</f>
        <v>46025131033.061455</v>
      </c>
      <c r="CK487" s="275">
        <f t="shared" si="586"/>
        <v>160217632.64338693</v>
      </c>
      <c r="CL487" s="275">
        <f t="shared" si="571"/>
        <v>288654858.81945622</v>
      </c>
      <c r="CM487" s="278">
        <f>'Detailed Budget'!$AD$189</f>
        <v>77498869683.252869</v>
      </c>
      <c r="CN487" s="275">
        <f t="shared" si="565"/>
        <v>0</v>
      </c>
      <c r="CO487" s="140">
        <f>'Detailed Budget'!$AD$191</f>
        <v>2684962805.4134097</v>
      </c>
      <c r="CP487" s="616">
        <f t="shared" si="566"/>
        <v>0</v>
      </c>
      <c r="CQ487" s="616">
        <f t="shared" si="567"/>
        <v>0</v>
      </c>
      <c r="CR487" s="199">
        <f>'Detailed Budget'!$AD$195</f>
        <v>18734176418</v>
      </c>
      <c r="CS487" s="275">
        <f t="shared" si="587"/>
        <v>32859979.816609789</v>
      </c>
      <c r="CW487" s="278"/>
      <c r="DH487" s="140"/>
      <c r="DI487" s="616">
        <f t="shared" si="588"/>
        <v>0</v>
      </c>
    </row>
    <row r="488" spans="1:113" outlineLevel="1">
      <c r="A488" s="214" t="s">
        <v>1089</v>
      </c>
      <c r="B488" s="215" t="s">
        <v>1090</v>
      </c>
      <c r="C488" s="216" t="s">
        <v>234</v>
      </c>
      <c r="D488" s="217" t="s">
        <v>234</v>
      </c>
      <c r="E488" s="216"/>
      <c r="F488" s="216"/>
      <c r="G488" s="216"/>
      <c r="H488" s="216" t="s">
        <v>234</v>
      </c>
      <c r="I488" s="217" t="s">
        <v>234</v>
      </c>
      <c r="J488" s="217"/>
      <c r="K488" s="216" t="s">
        <v>234</v>
      </c>
      <c r="L488" s="216"/>
      <c r="M488" s="217"/>
      <c r="N488" s="216"/>
      <c r="O488" s="217"/>
      <c r="P488" s="216"/>
      <c r="Q488" s="217"/>
      <c r="R488" s="217" t="s">
        <v>234</v>
      </c>
      <c r="S488" s="217"/>
      <c r="T488" s="217"/>
      <c r="U488" s="218">
        <f t="shared" si="578"/>
        <v>6</v>
      </c>
      <c r="V488" s="867" t="s">
        <v>238</v>
      </c>
      <c r="W488" s="219">
        <v>266929</v>
      </c>
      <c r="X488" s="220">
        <v>3.2</v>
      </c>
      <c r="Y488" s="221">
        <f t="shared" si="514"/>
        <v>1.032</v>
      </c>
      <c r="Z488" s="199">
        <v>19</v>
      </c>
      <c r="AA488" s="221">
        <f t="shared" si="515"/>
        <v>1.8193415940533015</v>
      </c>
      <c r="AB488" s="199">
        <f t="shared" si="551"/>
        <v>485635.03235905373</v>
      </c>
      <c r="AC488">
        <v>20.2</v>
      </c>
      <c r="AD488" s="199">
        <f t="shared" si="552"/>
        <v>98098.276536528865</v>
      </c>
      <c r="AE488" s="199">
        <f t="shared" si="534"/>
        <v>93193.362709702415</v>
      </c>
      <c r="AF488" s="199">
        <f t="shared" si="570"/>
        <v>93193.362709702415</v>
      </c>
      <c r="AG488" s="614">
        <f t="shared" si="569"/>
        <v>4.3088519651684224E-3</v>
      </c>
      <c r="AH488" s="199">
        <f t="shared" si="589"/>
        <v>24281.751617952687</v>
      </c>
      <c r="AI488" s="252">
        <f t="shared" si="550"/>
        <v>1.8810705073955434E-3</v>
      </c>
      <c r="AJ488" s="199">
        <f t="shared" si="553"/>
        <v>122380.02815448155</v>
      </c>
      <c r="AK488" s="199">
        <f t="shared" si="572"/>
        <v>19425.401294362149</v>
      </c>
      <c r="AL488" s="199">
        <f t="shared" si="573"/>
        <v>19425.401294362149</v>
      </c>
      <c r="AM488" s="199">
        <f t="shared" si="554"/>
        <v>38850.802588724298</v>
      </c>
      <c r="AN488" s="645">
        <f t="shared" si="555"/>
        <v>1.8810705073955434E-3</v>
      </c>
      <c r="AO488" s="199">
        <v>11</v>
      </c>
      <c r="AP488" s="250"/>
      <c r="AQ488" s="199">
        <v>11</v>
      </c>
      <c r="AU488" s="199">
        <v>0</v>
      </c>
      <c r="AW488" s="250">
        <f t="shared" si="557"/>
        <v>0</v>
      </c>
      <c r="AX488" s="199">
        <v>1</v>
      </c>
      <c r="AY488" s="199">
        <f t="shared" si="579"/>
        <v>40912.959352410231</v>
      </c>
      <c r="AZ488" s="199">
        <f t="shared" si="558"/>
        <v>40912.959352410231</v>
      </c>
      <c r="BA488" s="252">
        <f t="shared" si="559"/>
        <v>3.2160241020395735E-3</v>
      </c>
      <c r="BB488" s="284">
        <v>1</v>
      </c>
      <c r="BC488" s="199">
        <f t="shared" si="580"/>
        <v>70630.759106300786</v>
      </c>
      <c r="BD488" s="270">
        <f t="shared" si="574"/>
        <v>6.3608008764987449E-3</v>
      </c>
      <c r="BE488" s="199">
        <f t="shared" si="581"/>
        <v>302142.69173250889</v>
      </c>
      <c r="BF488" s="251">
        <f t="shared" si="575"/>
        <v>6.3608010178477026E-3</v>
      </c>
      <c r="BG488" s="204">
        <f t="shared" ref="BG488:BG489" si="590">BC488+BE488</f>
        <v>372773.45083880966</v>
      </c>
      <c r="BH488" s="636">
        <v>0</v>
      </c>
      <c r="BI488" s="199">
        <f t="shared" si="560"/>
        <v>148604.31990187045</v>
      </c>
      <c r="BJ488" s="199">
        <f t="shared" si="561"/>
        <v>297208.63980374089</v>
      </c>
      <c r="BK488" s="199">
        <f t="shared" si="568"/>
        <v>445812.95970561134</v>
      </c>
      <c r="BL488" s="251">
        <f t="shared" si="562"/>
        <v>1.8810705073955434E-3</v>
      </c>
      <c r="BM488" s="199">
        <f t="shared" si="582"/>
        <v>50276.503596467817</v>
      </c>
      <c r="BN488" s="251">
        <f t="shared" si="563"/>
        <v>2.1710957824899492E-3</v>
      </c>
      <c r="BT488" s="199">
        <f>'Detailed Budget'!$AD$12</f>
        <v>194045122715</v>
      </c>
      <c r="BU488" s="199">
        <f>'Detailed Budget'!$AD$24</f>
        <v>194045122715</v>
      </c>
      <c r="BV488" s="596">
        <f t="shared" si="583"/>
        <v>0</v>
      </c>
      <c r="BW488" s="278"/>
      <c r="BX488" s="275"/>
      <c r="BY488" s="275"/>
      <c r="CA488" s="199"/>
      <c r="CE488" s="199">
        <f>'Detailed Budget'!$AD$175</f>
        <v>4330586076.5988197</v>
      </c>
      <c r="CF488" s="275">
        <f t="shared" si="584"/>
        <v>27545995.711783033</v>
      </c>
      <c r="CG488" s="199">
        <f>'Detailed Budget'!$AD$176</f>
        <v>20662817754.37001</v>
      </c>
      <c r="CH488" s="275">
        <f t="shared" si="585"/>
        <v>131432072.20359834</v>
      </c>
      <c r="CI488" s="275">
        <f t="shared" si="549"/>
        <v>158978067.91538137</v>
      </c>
      <c r="CJ488" s="275">
        <f>'Detailed Budget'!$AD$178</f>
        <v>46025131033.061455</v>
      </c>
      <c r="CK488" s="275">
        <f t="shared" si="586"/>
        <v>198315476.29894099</v>
      </c>
      <c r="CL488" s="275">
        <f t="shared" si="571"/>
        <v>357293544.21432233</v>
      </c>
      <c r="CM488" s="278">
        <f>'Detailed Budget'!$AD$189</f>
        <v>77498869683.252869</v>
      </c>
      <c r="CN488" s="275">
        <f t="shared" si="565"/>
        <v>0</v>
      </c>
      <c r="CO488" s="140">
        <f>'Detailed Budget'!$AD$191</f>
        <v>2684962805.4134097</v>
      </c>
      <c r="CP488" s="616">
        <f t="shared" si="566"/>
        <v>0</v>
      </c>
      <c r="CQ488" s="616">
        <f t="shared" si="567"/>
        <v>0</v>
      </c>
      <c r="CR488" s="199">
        <f>'Detailed Budget'!$AD$195</f>
        <v>18734176418</v>
      </c>
      <c r="CS488" s="275">
        <f t="shared" si="587"/>
        <v>40673691.409542464</v>
      </c>
      <c r="CW488" s="278"/>
      <c r="DH488" s="140"/>
      <c r="DI488" s="616">
        <f t="shared" si="588"/>
        <v>0</v>
      </c>
    </row>
    <row r="489" spans="1:113" outlineLevel="1">
      <c r="A489" s="214" t="s">
        <v>1091</v>
      </c>
      <c r="B489" s="215" t="s">
        <v>1092</v>
      </c>
      <c r="C489" s="216" t="s">
        <v>234</v>
      </c>
      <c r="D489" s="217" t="s">
        <v>234</v>
      </c>
      <c r="E489" s="216"/>
      <c r="F489" s="216"/>
      <c r="G489" s="216"/>
      <c r="H489" s="216" t="s">
        <v>234</v>
      </c>
      <c r="I489" s="217" t="s">
        <v>234</v>
      </c>
      <c r="J489" s="217"/>
      <c r="K489" s="216" t="s">
        <v>234</v>
      </c>
      <c r="L489" s="216"/>
      <c r="M489" s="217"/>
      <c r="N489" s="216"/>
      <c r="O489" s="217"/>
      <c r="P489" s="216"/>
      <c r="Q489" s="217"/>
      <c r="R489" s="217" t="s">
        <v>234</v>
      </c>
      <c r="S489" s="217"/>
      <c r="T489" s="217"/>
      <c r="U489" s="218">
        <f t="shared" si="578"/>
        <v>6</v>
      </c>
      <c r="V489" s="867" t="s">
        <v>238</v>
      </c>
      <c r="W489" s="219">
        <v>293977</v>
      </c>
      <c r="X489" s="220">
        <v>3.2</v>
      </c>
      <c r="Y489" s="221">
        <f t="shared" ref="Y489" si="591">1+X489/100</f>
        <v>1.032</v>
      </c>
      <c r="Z489" s="199">
        <v>19</v>
      </c>
      <c r="AA489" s="221">
        <f t="shared" ref="AA489" si="592">POWER(Y489,Z489)</f>
        <v>1.8193415940533015</v>
      </c>
      <c r="AB489" s="199">
        <f t="shared" ref="AB489" si="593">W489*AA489</f>
        <v>534844.58379500743</v>
      </c>
      <c r="AC489">
        <v>20.2</v>
      </c>
      <c r="AD489" s="199">
        <f t="shared" ref="AD489" si="594">AB489*AC489/100</f>
        <v>108038.6059265915</v>
      </c>
      <c r="AE489" s="199">
        <f t="shared" si="534"/>
        <v>102636.67563026192</v>
      </c>
      <c r="AF489" s="199">
        <f t="shared" si="570"/>
        <v>102636.67563026192</v>
      </c>
      <c r="AG489" s="614">
        <f t="shared" si="569"/>
        <v>4.7454692976945821E-3</v>
      </c>
      <c r="AH489" s="199">
        <f t="shared" si="589"/>
        <v>26742.229189750375</v>
      </c>
      <c r="AI489" s="252">
        <f t="shared" si="550"/>
        <v>2.0716799768950534E-3</v>
      </c>
      <c r="AJ489" s="199">
        <f t="shared" si="553"/>
        <v>134780.83511634188</v>
      </c>
      <c r="AK489" s="199">
        <f t="shared" si="572"/>
        <v>21393.783351800299</v>
      </c>
      <c r="AL489" s="199">
        <f t="shared" si="573"/>
        <v>21393.783351800299</v>
      </c>
      <c r="AM489" s="199">
        <f t="shared" si="554"/>
        <v>42787.566703600598</v>
      </c>
      <c r="AN489" s="645">
        <f t="shared" si="555"/>
        <v>2.0716799768950534E-3</v>
      </c>
      <c r="AO489" s="199">
        <v>11</v>
      </c>
      <c r="AP489" s="250"/>
      <c r="AQ489" s="199">
        <v>11</v>
      </c>
      <c r="AU489" s="199">
        <v>0</v>
      </c>
      <c r="AW489" s="250">
        <f t="shared" si="557"/>
        <v>0</v>
      </c>
      <c r="AX489" s="199">
        <v>1</v>
      </c>
      <c r="AY489" s="199">
        <f t="shared" si="579"/>
        <v>45058.682464413774</v>
      </c>
      <c r="AZ489" s="199">
        <f t="shared" si="558"/>
        <v>45058.682464413774</v>
      </c>
      <c r="BA489" s="252">
        <f t="shared" si="559"/>
        <v>3.5419048415319724E-3</v>
      </c>
      <c r="BB489" s="284">
        <v>1</v>
      </c>
      <c r="BC489" s="199">
        <f t="shared" si="580"/>
        <v>77787.796267145881</v>
      </c>
      <c r="BD489" s="270">
        <f t="shared" si="574"/>
        <v>7.0053428412441927E-3</v>
      </c>
      <c r="BE489" s="199">
        <f t="shared" si="581"/>
        <v>332758.90625390183</v>
      </c>
      <c r="BF489" s="251">
        <f t="shared" si="575"/>
        <v>7.0053429969160856E-3</v>
      </c>
      <c r="BG489" s="204">
        <f t="shared" si="590"/>
        <v>410546.70252104773</v>
      </c>
      <c r="BH489" s="636">
        <v>0</v>
      </c>
      <c r="BI489" s="199">
        <f t="shared" si="560"/>
        <v>163662.44264127227</v>
      </c>
      <c r="BJ489" s="199">
        <f t="shared" si="561"/>
        <v>327324.88528254454</v>
      </c>
      <c r="BK489" s="199">
        <f t="shared" si="568"/>
        <v>490987.3279238168</v>
      </c>
      <c r="BL489" s="251">
        <f t="shared" si="562"/>
        <v>2.071679976895053E-3</v>
      </c>
      <c r="BM489" s="199">
        <f t="shared" si="582"/>
        <v>55371.037608423292</v>
      </c>
      <c r="BN489" s="251">
        <f t="shared" si="563"/>
        <v>2.3910936048501582E-3</v>
      </c>
      <c r="BT489" s="199">
        <f>'Detailed Budget'!$AD$12</f>
        <v>194045122715</v>
      </c>
      <c r="BU489" s="199">
        <f>'Detailed Budget'!$AD$24</f>
        <v>194045122715</v>
      </c>
      <c r="BV489" s="596">
        <f t="shared" si="583"/>
        <v>0</v>
      </c>
      <c r="BW489" s="278"/>
      <c r="BX489" s="275"/>
      <c r="BY489" s="275"/>
      <c r="CA489" s="199"/>
      <c r="CE489" s="199">
        <f>'Detailed Budget'!$AD$175</f>
        <v>4330586076.5988197</v>
      </c>
      <c r="CF489" s="275">
        <f t="shared" si="584"/>
        <v>30337240.170093317</v>
      </c>
      <c r="CG489" s="199">
        <f>'Detailed Budget'!$AD$176</f>
        <v>20662817754.37001</v>
      </c>
      <c r="CH489" s="275">
        <f t="shared" si="585"/>
        <v>144750125.65212932</v>
      </c>
      <c r="CI489" s="275">
        <f t="shared" si="549"/>
        <v>175087365.82222265</v>
      </c>
      <c r="CJ489" s="275">
        <f>'Detailed Budget'!$AD$178</f>
        <v>46025131033.061455</v>
      </c>
      <c r="CK489" s="275">
        <f t="shared" si="586"/>
        <v>218410846.23976326</v>
      </c>
      <c r="CL489" s="275">
        <f t="shared" si="571"/>
        <v>393498212.06198591</v>
      </c>
      <c r="CM489" s="278">
        <f>'Detailed Budget'!$AD$189</f>
        <v>77498869683.252869</v>
      </c>
      <c r="CN489" s="275">
        <f t="shared" si="565"/>
        <v>0</v>
      </c>
      <c r="CO489" s="140">
        <f>'Detailed Budget'!$AD$191</f>
        <v>2684962805.4134097</v>
      </c>
      <c r="CP489" s="616">
        <f t="shared" si="566"/>
        <v>0</v>
      </c>
      <c r="CQ489" s="616">
        <f t="shared" si="567"/>
        <v>0</v>
      </c>
      <c r="CR489" s="199">
        <f>'Detailed Budget'!$AD$195</f>
        <v>18734176418</v>
      </c>
      <c r="CS489" s="275">
        <f t="shared" si="587"/>
        <v>44795169.425214447</v>
      </c>
      <c r="CW489" s="278"/>
      <c r="DH489" s="140"/>
      <c r="DI489" s="616">
        <f t="shared" si="588"/>
        <v>0</v>
      </c>
    </row>
    <row r="490" spans="1:113">
      <c r="A490" s="224"/>
      <c r="B490" s="225"/>
      <c r="C490" s="226"/>
      <c r="D490" s="226"/>
      <c r="E490" s="226"/>
      <c r="F490" s="226"/>
      <c r="G490" s="226"/>
      <c r="H490" s="226"/>
      <c r="I490" s="226"/>
      <c r="J490" s="226"/>
      <c r="K490" s="226"/>
      <c r="L490" s="226"/>
      <c r="M490" s="226"/>
      <c r="N490" s="226"/>
      <c r="O490" s="226"/>
      <c r="P490" s="226"/>
      <c r="Q490" s="226"/>
      <c r="R490" s="226"/>
      <c r="S490" s="226"/>
      <c r="T490" s="226"/>
      <c r="U490" s="227"/>
      <c r="V490" s="867"/>
      <c r="X490" s="220"/>
      <c r="Y490" s="221"/>
      <c r="Z490" s="199"/>
      <c r="AA490" s="221"/>
      <c r="AG490" s="614">
        <f t="shared" si="569"/>
        <v>0</v>
      </c>
      <c r="AJ490" s="199"/>
      <c r="AK490" s="199">
        <f t="shared" si="572"/>
        <v>0</v>
      </c>
      <c r="AL490" s="199">
        <f t="shared" si="573"/>
        <v>0</v>
      </c>
      <c r="AM490" s="199">
        <f t="shared" si="554"/>
        <v>0</v>
      </c>
      <c r="AN490" s="645">
        <f t="shared" si="555"/>
        <v>0</v>
      </c>
      <c r="AP490" s="250"/>
      <c r="AW490" s="250">
        <f t="shared" si="557"/>
        <v>0</v>
      </c>
      <c r="AX490" s="199"/>
      <c r="BA490" s="252">
        <f t="shared" si="559"/>
        <v>0</v>
      </c>
      <c r="BB490" s="284"/>
      <c r="BD490" s="270">
        <f t="shared" si="574"/>
        <v>0</v>
      </c>
      <c r="BF490" s="251">
        <f t="shared" si="575"/>
        <v>0</v>
      </c>
      <c r="BI490" s="199">
        <f t="shared" si="560"/>
        <v>0</v>
      </c>
      <c r="BJ490" s="199">
        <f t="shared" si="561"/>
        <v>0</v>
      </c>
      <c r="BK490" s="199">
        <f t="shared" si="568"/>
        <v>0</v>
      </c>
      <c r="BL490" s="251">
        <f t="shared" si="562"/>
        <v>0</v>
      </c>
      <c r="BN490" s="251">
        <f t="shared" si="563"/>
        <v>0</v>
      </c>
      <c r="BT490" s="199">
        <f>'Detailed Budget'!$AD$12</f>
        <v>194045122715</v>
      </c>
      <c r="BU490" s="199">
        <f>'Detailed Budget'!$AD$24</f>
        <v>194045122715</v>
      </c>
      <c r="BV490" s="596">
        <f t="shared" si="583"/>
        <v>0</v>
      </c>
      <c r="BW490" s="278"/>
      <c r="BX490" s="275"/>
      <c r="BY490" s="275"/>
      <c r="CA490" s="199"/>
      <c r="CE490" s="199">
        <f>'Detailed Budget'!$AD$175</f>
        <v>4330586076.5988197</v>
      </c>
      <c r="CF490" s="275">
        <f t="shared" si="584"/>
        <v>0</v>
      </c>
      <c r="CG490" s="199">
        <f>'Detailed Budget'!$AD$176</f>
        <v>20662817754.37001</v>
      </c>
      <c r="CH490" s="275">
        <f t="shared" si="585"/>
        <v>0</v>
      </c>
      <c r="CI490" s="275">
        <f t="shared" si="549"/>
        <v>0</v>
      </c>
      <c r="CJ490" s="275">
        <f>'Detailed Budget'!$AD$178</f>
        <v>46025131033.061455</v>
      </c>
      <c r="CK490" s="275">
        <f t="shared" si="586"/>
        <v>0</v>
      </c>
      <c r="CL490" s="275">
        <f t="shared" si="571"/>
        <v>0</v>
      </c>
      <c r="CM490" s="278">
        <f>'Detailed Budget'!$AD$189</f>
        <v>77498869683.252869</v>
      </c>
      <c r="CN490" s="275">
        <f t="shared" si="565"/>
        <v>0</v>
      </c>
      <c r="CO490" s="140">
        <f>'Detailed Budget'!$AD$191</f>
        <v>2684962805.4134097</v>
      </c>
      <c r="CP490" s="616">
        <f t="shared" si="566"/>
        <v>0</v>
      </c>
      <c r="CQ490" s="616">
        <f t="shared" si="567"/>
        <v>0</v>
      </c>
      <c r="CR490" s="199"/>
      <c r="CS490" s="275"/>
      <c r="CW490" s="278"/>
      <c r="DH490" s="140"/>
      <c r="DI490" s="616"/>
    </row>
    <row r="491" spans="1:113" s="4" customFormat="1">
      <c r="A491" s="201">
        <v>4</v>
      </c>
      <c r="B491" s="202" t="s">
        <v>2359</v>
      </c>
      <c r="C491" s="200">
        <f t="shared" ref="C491:T491" si="595">C572+C552+C536+C512+C492</f>
        <v>95</v>
      </c>
      <c r="D491" s="200">
        <f t="shared" si="595"/>
        <v>0</v>
      </c>
      <c r="E491" s="200">
        <f t="shared" si="595"/>
        <v>0</v>
      </c>
      <c r="F491" s="200">
        <f t="shared" si="595"/>
        <v>0</v>
      </c>
      <c r="G491" s="200">
        <f t="shared" si="595"/>
        <v>74</v>
      </c>
      <c r="H491" s="200">
        <f t="shared" si="595"/>
        <v>95</v>
      </c>
      <c r="I491" s="200">
        <f t="shared" si="595"/>
        <v>95</v>
      </c>
      <c r="J491" s="200">
        <f t="shared" si="595"/>
        <v>0</v>
      </c>
      <c r="K491" s="200">
        <f t="shared" si="595"/>
        <v>15</v>
      </c>
      <c r="L491" s="200">
        <f t="shared" si="595"/>
        <v>0</v>
      </c>
      <c r="M491" s="200">
        <f t="shared" si="595"/>
        <v>72</v>
      </c>
      <c r="N491" s="200">
        <f t="shared" si="595"/>
        <v>8</v>
      </c>
      <c r="O491" s="200">
        <f t="shared" si="595"/>
        <v>0</v>
      </c>
      <c r="P491" s="200">
        <f t="shared" si="595"/>
        <v>0</v>
      </c>
      <c r="Q491" s="200">
        <f t="shared" si="595"/>
        <v>13</v>
      </c>
      <c r="R491" s="200">
        <f t="shared" si="595"/>
        <v>82</v>
      </c>
      <c r="S491" s="200">
        <f t="shared" si="595"/>
        <v>0</v>
      </c>
      <c r="T491" s="200">
        <f t="shared" si="595"/>
        <v>0</v>
      </c>
      <c r="U491" s="203">
        <f>SUM(C491:T491)</f>
        <v>549</v>
      </c>
      <c r="V491" s="865"/>
      <c r="W491" s="204">
        <f>W492+W512+W536+W552+W572</f>
        <v>16395555</v>
      </c>
      <c r="X491" s="205">
        <f>AVERAGE(X492,X512,X536,X552,X572)</f>
        <v>2.9159999999999999</v>
      </c>
      <c r="Y491" s="221"/>
      <c r="Z491" s="199"/>
      <c r="AA491" s="221"/>
      <c r="AB491" s="204">
        <f>AB492+AB512+AB536+AB552+AB572</f>
        <v>28397271.903196994</v>
      </c>
      <c r="AC491" s="228">
        <v>12</v>
      </c>
      <c r="AD491" s="204">
        <f>AD492+AD512+AD536+AD552+AD572</f>
        <v>3410917.1973759178</v>
      </c>
      <c r="AE491" s="204">
        <f t="shared" si="534"/>
        <v>3240371.3375071217</v>
      </c>
      <c r="AF491" s="204">
        <f>AF492+AF512+AF536+AF552+AF572</f>
        <v>0</v>
      </c>
      <c r="AG491" s="614">
        <f t="shared" si="569"/>
        <v>0.14982054514961043</v>
      </c>
      <c r="AH491" s="204">
        <f>AH492+AH512+AH536+AH552+AH572</f>
        <v>1419863.5951598499</v>
      </c>
      <c r="AI491" s="252">
        <f t="shared" si="550"/>
        <v>0.10999468141355581</v>
      </c>
      <c r="AJ491" s="204">
        <f>AJ492+AJ512+AJ536+AJ552+AJ572</f>
        <v>4830780.7925357679</v>
      </c>
      <c r="AK491" s="199">
        <f t="shared" si="572"/>
        <v>1135890.8761278798</v>
      </c>
      <c r="AL491" s="199">
        <f t="shared" si="573"/>
        <v>1135890.8761278798</v>
      </c>
      <c r="AM491" s="199">
        <f t="shared" si="554"/>
        <v>2271781.7522557597</v>
      </c>
      <c r="AN491" s="645">
        <f t="shared" si="555"/>
        <v>0.10999468141355581</v>
      </c>
      <c r="AO491" s="204">
        <f t="shared" ref="AO491:AQ491" si="596">AO492+AO512+AO536+AO552+AO572</f>
        <v>1245</v>
      </c>
      <c r="AP491" s="250">
        <f t="shared" si="556"/>
        <v>0.14146119759118281</v>
      </c>
      <c r="AQ491" s="204">
        <f t="shared" si="596"/>
        <v>1245</v>
      </c>
      <c r="AR491" s="204"/>
      <c r="AS491" s="204"/>
      <c r="AT491" s="204"/>
      <c r="AU491" s="199"/>
      <c r="AV491" s="199"/>
      <c r="AW491" s="250">
        <f t="shared" si="557"/>
        <v>0</v>
      </c>
      <c r="AX491" s="199"/>
      <c r="AY491" s="204">
        <f>AY492+AY512+AY536+AY552+AY572</f>
        <v>1500400.9652267878</v>
      </c>
      <c r="AZ491" s="204">
        <f>AZ492+AZ512+AZ536+AZ552+AZ572</f>
        <v>1500400.9133410845</v>
      </c>
      <c r="BA491" s="252">
        <f t="shared" si="559"/>
        <v>0.11794124835760265</v>
      </c>
      <c r="BB491" s="284"/>
      <c r="BC491" s="199"/>
      <c r="BD491" s="270">
        <f t="shared" si="574"/>
        <v>0</v>
      </c>
      <c r="BE491" s="199"/>
      <c r="BF491" s="251">
        <f t="shared" si="575"/>
        <v>0</v>
      </c>
      <c r="BH491"/>
      <c r="BI491" s="199">
        <f t="shared" si="560"/>
        <v>8689565.2023782805</v>
      </c>
      <c r="BJ491" s="199">
        <f t="shared" si="561"/>
        <v>17379130.404756561</v>
      </c>
      <c r="BK491" s="199">
        <f t="shared" si="568"/>
        <v>26068695.607134841</v>
      </c>
      <c r="BL491" s="251">
        <f t="shared" si="562"/>
        <v>0.1099946814135558</v>
      </c>
      <c r="BM491" s="204">
        <f t="shared" ref="BM491" si="597">BM492+BM512+BM536+BM552+BM572</f>
        <v>2475718</v>
      </c>
      <c r="BN491" s="251">
        <f t="shared" si="563"/>
        <v>0.1069092025884647</v>
      </c>
      <c r="BT491" s="204">
        <f>'Detailed Budget'!$AD$12</f>
        <v>194045122715</v>
      </c>
      <c r="BU491" s="204">
        <f>'Detailed Budget'!$AD$24</f>
        <v>194045122715</v>
      </c>
      <c r="BV491" s="596">
        <f t="shared" si="583"/>
        <v>0</v>
      </c>
      <c r="BW491" s="278"/>
      <c r="BX491" s="616">
        <f t="shared" si="526"/>
        <v>0</v>
      </c>
      <c r="BY491" s="616">
        <f t="shared" si="527"/>
        <v>0</v>
      </c>
      <c r="CA491" s="204">
        <f>'Detailed Budget'!$AD$96</f>
        <v>71050111380.677719</v>
      </c>
      <c r="CB491" s="616">
        <f t="shared" si="564"/>
        <v>8379738832.1838417</v>
      </c>
      <c r="CE491" s="204">
        <f>'Detailed Budget'!$AD$175</f>
        <v>4330586076.5988197</v>
      </c>
      <c r="CF491" s="616">
        <f t="shared" ref="CF491" si="598">CF492+CF512+CF536+CF552+CF572</f>
        <v>0</v>
      </c>
      <c r="CG491" s="275">
        <f>'Detailed Budget'!$AD$176</f>
        <v>20662817754.37001</v>
      </c>
      <c r="CH491" s="616">
        <f t="shared" ref="CH491:CI491" si="599">CH492+CH512+CH536+CH552+CH572</f>
        <v>0</v>
      </c>
      <c r="CI491" s="616">
        <f t="shared" si="599"/>
        <v>0</v>
      </c>
      <c r="CJ491" s="275">
        <f>'Detailed Budget'!$AD$178</f>
        <v>46025131033.061455</v>
      </c>
      <c r="CK491" s="616">
        <f t="shared" ref="CK491" si="600">CK492+CK512+CK536+CK552+CK572</f>
        <v>0</v>
      </c>
      <c r="CL491" s="616">
        <f t="shared" ref="CL491" si="601">CL492+CL512+CL536+CL552+CL572</f>
        <v>0</v>
      </c>
      <c r="CM491" s="278">
        <f>'Detailed Budget'!$AD$189</f>
        <v>77498869683.252869</v>
      </c>
      <c r="CN491" s="275">
        <f t="shared" si="565"/>
        <v>0</v>
      </c>
      <c r="CO491" s="140">
        <f>'Detailed Budget'!$AD$191</f>
        <v>2684962805.4134097</v>
      </c>
      <c r="CP491" s="616">
        <f t="shared" si="566"/>
        <v>0</v>
      </c>
      <c r="CQ491" s="616">
        <f t="shared" si="567"/>
        <v>0</v>
      </c>
      <c r="CR491" s="204">
        <f>'Detailed Budget'!$AD$195</f>
        <v>18734176418</v>
      </c>
      <c r="CS491" s="275">
        <f>BN491*CR491</f>
        <v>2002855862</v>
      </c>
      <c r="CW491" s="278"/>
      <c r="DH491" s="140">
        <f>'Detailed Budget'!$AD$163</f>
        <v>4928560000</v>
      </c>
      <c r="DI491" s="616">
        <f>AP491*DH491</f>
        <v>697199999.99999988</v>
      </c>
    </row>
    <row r="492" spans="1:113" s="213" customFormat="1" collapsed="1">
      <c r="A492" s="206">
        <v>4.0999999999999996</v>
      </c>
      <c r="B492" s="207" t="s">
        <v>1093</v>
      </c>
      <c r="C492" s="208">
        <f t="shared" ref="C492:T492" si="602">COUNTA(C494:C510)</f>
        <v>17</v>
      </c>
      <c r="D492" s="208">
        <f t="shared" si="602"/>
        <v>0</v>
      </c>
      <c r="E492" s="208">
        <f t="shared" si="602"/>
        <v>0</v>
      </c>
      <c r="F492" s="208">
        <f t="shared" si="602"/>
        <v>0</v>
      </c>
      <c r="G492" s="208">
        <f t="shared" si="602"/>
        <v>17</v>
      </c>
      <c r="H492" s="208">
        <f t="shared" si="602"/>
        <v>17</v>
      </c>
      <c r="I492" s="208">
        <f t="shared" si="602"/>
        <v>17</v>
      </c>
      <c r="J492" s="208">
        <f t="shared" si="602"/>
        <v>0</v>
      </c>
      <c r="K492" s="208">
        <f t="shared" si="602"/>
        <v>0</v>
      </c>
      <c r="L492" s="208">
        <f t="shared" si="602"/>
        <v>0</v>
      </c>
      <c r="M492" s="208">
        <f t="shared" si="602"/>
        <v>17</v>
      </c>
      <c r="N492" s="208">
        <f t="shared" si="602"/>
        <v>0</v>
      </c>
      <c r="O492" s="208">
        <f t="shared" si="602"/>
        <v>0</v>
      </c>
      <c r="P492" s="208">
        <f t="shared" si="602"/>
        <v>0</v>
      </c>
      <c r="Q492" s="208">
        <f t="shared" si="602"/>
        <v>2</v>
      </c>
      <c r="R492" s="208">
        <f t="shared" si="602"/>
        <v>15</v>
      </c>
      <c r="S492" s="208">
        <f t="shared" si="602"/>
        <v>0</v>
      </c>
      <c r="T492" s="208">
        <f t="shared" si="602"/>
        <v>0</v>
      </c>
      <c r="U492" s="209">
        <f>SUM(C492:T492)</f>
        <v>102</v>
      </c>
      <c r="V492" s="866"/>
      <c r="W492" s="210">
        <f>SUM(W494:W510)</f>
        <v>2845380</v>
      </c>
      <c r="X492" s="211">
        <v>2.77</v>
      </c>
      <c r="Y492" s="212">
        <f>1+X492/100</f>
        <v>1.0277000000000001</v>
      </c>
      <c r="Z492" s="210">
        <v>19</v>
      </c>
      <c r="AA492" s="212">
        <f>POWER(Y492,Z492)</f>
        <v>1.6805861263966091</v>
      </c>
      <c r="AB492" s="210">
        <f t="shared" ref="AB492:AB526" si="603">W492*AA492</f>
        <v>4781906.1523263836</v>
      </c>
      <c r="AC492" s="213">
        <v>11.4</v>
      </c>
      <c r="AD492" s="210">
        <f t="shared" ref="AD492:AD526" si="604">AB492*AC492/100</f>
        <v>545137.30136520776</v>
      </c>
      <c r="AE492" s="210">
        <f t="shared" si="534"/>
        <v>517880.43629694736</v>
      </c>
      <c r="AF492" s="210">
        <f>SUM(AF494:AF510)</f>
        <v>0</v>
      </c>
      <c r="AG492" s="614">
        <f t="shared" si="569"/>
        <v>2.394451783665557E-2</v>
      </c>
      <c r="AH492" s="210">
        <f>SUM(AH494:AH510)</f>
        <v>239095.30761631916</v>
      </c>
      <c r="AI492" s="252">
        <f t="shared" si="550"/>
        <v>1.8522351216260571E-2</v>
      </c>
      <c r="AJ492" s="210">
        <f>SUM(AJ494:AJ510)</f>
        <v>784232.60898152692</v>
      </c>
      <c r="AK492" s="199">
        <f t="shared" si="572"/>
        <v>191276.24609305535</v>
      </c>
      <c r="AL492" s="199">
        <f t="shared" si="573"/>
        <v>191276.24609305535</v>
      </c>
      <c r="AM492" s="199">
        <f t="shared" si="554"/>
        <v>382552.4921861107</v>
      </c>
      <c r="AN492" s="645">
        <f t="shared" si="555"/>
        <v>1.8522351216260571E-2</v>
      </c>
      <c r="AO492" s="210">
        <f>SUM(AO494:AO510)</f>
        <v>184</v>
      </c>
      <c r="AP492" s="250">
        <f t="shared" si="556"/>
        <v>2.0906715146006137E-2</v>
      </c>
      <c r="AQ492" s="210">
        <f>SUM(AQ494:AQ510)</f>
        <v>184</v>
      </c>
      <c r="AR492" s="210"/>
      <c r="AS492" s="210"/>
      <c r="AT492" s="210"/>
      <c r="AU492" s="199"/>
      <c r="AV492" s="199"/>
      <c r="AW492" s="250">
        <f t="shared" si="557"/>
        <v>0</v>
      </c>
      <c r="AX492" s="199"/>
      <c r="AY492" s="210">
        <v>252788</v>
      </c>
      <c r="AZ492" s="210">
        <f>SUM(AZ494:AZ510)</f>
        <v>252787.87395993571</v>
      </c>
      <c r="BA492" s="252">
        <f t="shared" si="559"/>
        <v>1.9870767312523973E-2</v>
      </c>
      <c r="BB492" s="284"/>
      <c r="BC492" s="199"/>
      <c r="BD492" s="270">
        <f t="shared" si="574"/>
        <v>0</v>
      </c>
      <c r="BE492" s="199"/>
      <c r="BF492" s="251">
        <f t="shared" si="575"/>
        <v>0</v>
      </c>
      <c r="BH492"/>
      <c r="BI492" s="199">
        <f t="shared" si="560"/>
        <v>1463263.2826118732</v>
      </c>
      <c r="BJ492" s="199">
        <f t="shared" si="561"/>
        <v>2926526.5652237465</v>
      </c>
      <c r="BK492" s="199">
        <f t="shared" si="568"/>
        <v>4389789.8478356199</v>
      </c>
      <c r="BL492" s="251">
        <f t="shared" si="562"/>
        <v>1.8522351216260571E-2</v>
      </c>
      <c r="BM492" s="210">
        <v>430420</v>
      </c>
      <c r="BN492" s="251">
        <f t="shared" si="563"/>
        <v>1.8586874182813622E-2</v>
      </c>
      <c r="BT492" s="210">
        <f>'Detailed Budget'!$AD$12</f>
        <v>194045122715</v>
      </c>
      <c r="BU492" s="210">
        <f>'Detailed Budget'!$AD$24</f>
        <v>194045122715</v>
      </c>
      <c r="BV492" s="596">
        <f t="shared" si="583"/>
        <v>0</v>
      </c>
      <c r="BW492" s="278"/>
      <c r="BX492" s="613">
        <f t="shared" si="526"/>
        <v>0</v>
      </c>
      <c r="BY492" s="613">
        <f t="shared" si="527"/>
        <v>0</v>
      </c>
      <c r="CA492" s="210">
        <f>'Detailed Budget'!$AD$96</f>
        <v>71050111380.677719</v>
      </c>
      <c r="CB492" s="613">
        <f t="shared" si="564"/>
        <v>1411820230.7743583</v>
      </c>
      <c r="CE492" s="210">
        <f>'Detailed Budget'!$AD$175</f>
        <v>4330586076.5988197</v>
      </c>
      <c r="CF492" s="613">
        <f>SUM(CF494:CF510)</f>
        <v>0</v>
      </c>
      <c r="CG492" s="632">
        <f>'Detailed Budget'!$AD$176</f>
        <v>20662817754.37001</v>
      </c>
      <c r="CH492" s="613">
        <f>SUM(CH494:CH510)</f>
        <v>0</v>
      </c>
      <c r="CI492" s="613">
        <f>SUM(CI494:CI510)</f>
        <v>0</v>
      </c>
      <c r="CJ492" s="275">
        <f>'Detailed Budget'!$AD$178</f>
        <v>46025131033.061455</v>
      </c>
      <c r="CK492" s="613">
        <f t="shared" ref="CK492:CL492" si="605">SUM(CK494:CK510)</f>
        <v>0</v>
      </c>
      <c r="CL492" s="613">
        <f t="shared" si="605"/>
        <v>0</v>
      </c>
      <c r="CM492" s="278">
        <f>'Detailed Budget'!$AD$189</f>
        <v>77498869683.252869</v>
      </c>
      <c r="CN492" s="275">
        <f t="shared" si="565"/>
        <v>0</v>
      </c>
      <c r="CO492" s="140">
        <f>'Detailed Budget'!$AD$191</f>
        <v>2684962805.4134097</v>
      </c>
      <c r="CP492" s="616">
        <f t="shared" si="566"/>
        <v>0</v>
      </c>
      <c r="CQ492" s="616">
        <f t="shared" si="567"/>
        <v>0</v>
      </c>
      <c r="CR492" s="210">
        <f>'Detailed Budget'!$AD$195</f>
        <v>18734176418</v>
      </c>
      <c r="CS492" s="275">
        <f>BN492*CR492</f>
        <v>348209780</v>
      </c>
      <c r="CW492" s="278"/>
      <c r="DH492" s="140">
        <f>'Detailed Budget'!$AD$163</f>
        <v>4928560000</v>
      </c>
      <c r="DI492" s="616">
        <f>AP492*DH492</f>
        <v>103040000</v>
      </c>
    </row>
    <row r="493" spans="1:113" s="213" customFormat="1">
      <c r="A493" s="214" t="s">
        <v>2339</v>
      </c>
      <c r="B493" s="215" t="s">
        <v>2318</v>
      </c>
      <c r="C493" s="208"/>
      <c r="D493" s="208"/>
      <c r="E493" s="208"/>
      <c r="F493" s="208"/>
      <c r="G493" s="208"/>
      <c r="H493" s="208"/>
      <c r="I493" s="208"/>
      <c r="J493" s="208"/>
      <c r="K493" s="208"/>
      <c r="L493" s="208"/>
      <c r="M493" s="208"/>
      <c r="N493" s="208"/>
      <c r="O493" s="208"/>
      <c r="P493" s="208"/>
      <c r="Q493" s="208"/>
      <c r="R493" s="208"/>
      <c r="S493" s="208"/>
      <c r="T493" s="208"/>
      <c r="U493" s="209"/>
      <c r="V493" s="866"/>
      <c r="W493" s="210"/>
      <c r="X493" s="211"/>
      <c r="Y493" s="212"/>
      <c r="Z493" s="210"/>
      <c r="AA493" s="212"/>
      <c r="AB493" s="210"/>
      <c r="AD493" s="210"/>
      <c r="AE493" s="199"/>
      <c r="AF493" s="199"/>
      <c r="AG493" s="614">
        <f t="shared" si="569"/>
        <v>0</v>
      </c>
      <c r="AH493" s="210"/>
      <c r="AI493" s="252"/>
      <c r="AJ493" s="199"/>
      <c r="AK493" s="199">
        <f t="shared" si="572"/>
        <v>0</v>
      </c>
      <c r="AL493" s="199">
        <f t="shared" si="573"/>
        <v>0</v>
      </c>
      <c r="AM493" s="199">
        <f t="shared" si="554"/>
        <v>0</v>
      </c>
      <c r="AN493" s="645">
        <f t="shared" si="555"/>
        <v>0</v>
      </c>
      <c r="AO493" s="210"/>
      <c r="AP493" s="250"/>
      <c r="AQ493" s="210"/>
      <c r="AR493" s="210"/>
      <c r="AS493" s="210"/>
      <c r="AT493" s="210"/>
      <c r="AU493" s="199"/>
      <c r="AV493" s="199"/>
      <c r="AW493" s="250">
        <f t="shared" si="557"/>
        <v>0</v>
      </c>
      <c r="AX493" s="199"/>
      <c r="AY493" s="210"/>
      <c r="AZ493" s="199"/>
      <c r="BA493" s="252">
        <f t="shared" si="559"/>
        <v>0</v>
      </c>
      <c r="BB493" s="284"/>
      <c r="BC493" s="199"/>
      <c r="BD493" s="270">
        <f t="shared" si="574"/>
        <v>0</v>
      </c>
      <c r="BE493" s="199"/>
      <c r="BF493" s="251">
        <f t="shared" si="575"/>
        <v>0</v>
      </c>
      <c r="BH493"/>
      <c r="BI493" s="199">
        <f t="shared" si="560"/>
        <v>0</v>
      </c>
      <c r="BJ493" s="199">
        <f t="shared" si="561"/>
        <v>0</v>
      </c>
      <c r="BK493" s="199">
        <f t="shared" si="568"/>
        <v>0</v>
      </c>
      <c r="BL493" s="251">
        <f t="shared" si="562"/>
        <v>0</v>
      </c>
      <c r="BM493" s="210"/>
      <c r="BN493" s="251">
        <f t="shared" si="563"/>
        <v>0</v>
      </c>
      <c r="BT493" s="210"/>
      <c r="BU493" s="210">
        <f>'Detailed Budget'!$AD$24</f>
        <v>194045122715</v>
      </c>
      <c r="BV493" s="596"/>
      <c r="BW493" s="278"/>
      <c r="BX493" s="275"/>
      <c r="BY493" s="275"/>
      <c r="CA493" s="210">
        <f>'Detailed Budget'!$AD$96</f>
        <v>71050111380.677719</v>
      </c>
      <c r="CB493" s="275"/>
      <c r="CE493" s="210"/>
      <c r="CF493" s="275"/>
      <c r="CG493" s="240"/>
      <c r="CH493" s="275"/>
      <c r="CI493" s="275"/>
      <c r="CJ493" s="275"/>
      <c r="CK493" s="275"/>
      <c r="CL493" s="275"/>
      <c r="CM493" s="278">
        <f>'Detailed Budget'!$AD$189</f>
        <v>77498869683.252869</v>
      </c>
      <c r="CN493" s="275">
        <f t="shared" si="565"/>
        <v>0</v>
      </c>
      <c r="CO493" s="140">
        <f>'Detailed Budget'!$AD$191</f>
        <v>2684962805.4134097</v>
      </c>
      <c r="CP493" s="616">
        <f t="shared" si="566"/>
        <v>0</v>
      </c>
      <c r="CQ493" s="616">
        <f t="shared" si="567"/>
        <v>0</v>
      </c>
      <c r="CR493" s="210"/>
      <c r="CS493" s="275"/>
      <c r="CW493" s="278"/>
      <c r="DH493" s="140"/>
      <c r="DI493" s="616"/>
    </row>
    <row r="494" spans="1:113" outlineLevel="1">
      <c r="A494" s="214" t="s">
        <v>1094</v>
      </c>
      <c r="B494" s="215" t="s">
        <v>1095</v>
      </c>
      <c r="C494" s="216" t="s">
        <v>234</v>
      </c>
      <c r="D494" s="217"/>
      <c r="E494" s="216"/>
      <c r="F494" s="216"/>
      <c r="G494" s="216" t="s">
        <v>234</v>
      </c>
      <c r="H494" s="216" t="s">
        <v>234</v>
      </c>
      <c r="I494" s="217" t="s">
        <v>234</v>
      </c>
      <c r="J494" s="217"/>
      <c r="K494" s="216"/>
      <c r="L494" s="216"/>
      <c r="M494" s="216" t="s">
        <v>234</v>
      </c>
      <c r="N494" s="216"/>
      <c r="O494" s="217"/>
      <c r="P494" s="216"/>
      <c r="Q494" s="217" t="s">
        <v>234</v>
      </c>
      <c r="R494" s="217"/>
      <c r="S494" s="217"/>
      <c r="T494" s="217"/>
      <c r="U494" s="218">
        <f t="shared" ref="U494:U510" si="606">COUNTA(C494:T494)</f>
        <v>6</v>
      </c>
      <c r="V494" s="867" t="s">
        <v>1096</v>
      </c>
      <c r="W494" s="219">
        <v>106844</v>
      </c>
      <c r="X494" s="220">
        <v>2.77</v>
      </c>
      <c r="Y494" s="221">
        <f>1+X494/100</f>
        <v>1.0277000000000001</v>
      </c>
      <c r="Z494" s="199">
        <v>19</v>
      </c>
      <c r="AA494" s="221">
        <f>POWER(Y494,Z494)</f>
        <v>1.6805861263966091</v>
      </c>
      <c r="AB494" s="199">
        <f t="shared" si="603"/>
        <v>179560.5440887193</v>
      </c>
      <c r="AC494">
        <v>11.4</v>
      </c>
      <c r="AD494" s="199">
        <f t="shared" si="604"/>
        <v>20469.902026113999</v>
      </c>
      <c r="AE494" s="199">
        <f t="shared" si="534"/>
        <v>19446.4069248083</v>
      </c>
      <c r="AF494" s="199">
        <f t="shared" si="570"/>
        <v>0</v>
      </c>
      <c r="AG494" s="614">
        <f t="shared" si="569"/>
        <v>8.9911648487710878E-4</v>
      </c>
      <c r="AH494" s="199">
        <f>AB494*0.05</f>
        <v>8978.0272044359644</v>
      </c>
      <c r="AI494" s="252">
        <f t="shared" si="550"/>
        <v>6.9551416448774661E-4</v>
      </c>
      <c r="AJ494" s="199">
        <f t="shared" si="553"/>
        <v>29447.929230549962</v>
      </c>
      <c r="AK494" s="199">
        <f t="shared" si="572"/>
        <v>7182.4217635487721</v>
      </c>
      <c r="AL494" s="199">
        <f t="shared" si="573"/>
        <v>7182.4217635487721</v>
      </c>
      <c r="AM494" s="199">
        <f t="shared" si="554"/>
        <v>14364.843527097544</v>
      </c>
      <c r="AN494" s="645">
        <f t="shared" si="555"/>
        <v>6.9551416448774661E-4</v>
      </c>
      <c r="AO494" s="199">
        <v>12</v>
      </c>
      <c r="AP494" s="250">
        <f t="shared" si="556"/>
        <v>1.3634814225656176E-3</v>
      </c>
      <c r="AQ494" s="199">
        <v>12</v>
      </c>
      <c r="AU494" s="199">
        <v>0</v>
      </c>
      <c r="AW494" s="250">
        <f t="shared" si="557"/>
        <v>0</v>
      </c>
      <c r="AX494" s="199">
        <v>1</v>
      </c>
      <c r="AY494" s="199">
        <f t="shared" ref="AY494:AY510" si="607">AJ494/784233*252788</f>
        <v>9492.1829792067711</v>
      </c>
      <c r="AZ494" s="199">
        <f t="shared" si="558"/>
        <v>9492.1829792067711</v>
      </c>
      <c r="BA494" s="252">
        <f t="shared" si="559"/>
        <v>7.4614717989840039E-4</v>
      </c>
      <c r="BB494" s="284">
        <v>0</v>
      </c>
      <c r="BC494" s="199">
        <f t="shared" ref="BC494:BC510" si="608">AD494*BB494*0.18*4</f>
        <v>0</v>
      </c>
      <c r="BD494" s="270">
        <f t="shared" si="574"/>
        <v>0</v>
      </c>
      <c r="BE494" s="199">
        <f t="shared" ref="BE494:BE510" si="609">AD494*BB494*0.77*4</f>
        <v>0</v>
      </c>
      <c r="BF494" s="251">
        <f t="shared" si="575"/>
        <v>0</v>
      </c>
      <c r="BG494" s="204">
        <f t="shared" ref="BG494:BG510" si="610">BC494+BE494</f>
        <v>0</v>
      </c>
      <c r="BH494" s="636">
        <v>1</v>
      </c>
      <c r="BI494" s="199">
        <f t="shared" si="560"/>
        <v>54945.526491148106</v>
      </c>
      <c r="BJ494" s="199">
        <f t="shared" si="561"/>
        <v>109891.05298229621</v>
      </c>
      <c r="BK494" s="199">
        <f t="shared" si="568"/>
        <v>164836.57947344432</v>
      </c>
      <c r="BL494" s="251">
        <f t="shared" si="562"/>
        <v>6.9551416448774661E-4</v>
      </c>
      <c r="BM494" s="199">
        <f t="shared" ref="BM494:BM510" si="611">AH494/239095*430420</f>
        <v>16162.288920024792</v>
      </c>
      <c r="BN494" s="251">
        <f t="shared" si="563"/>
        <v>6.9793789940705234E-4</v>
      </c>
      <c r="BT494" s="199">
        <f>'Detailed Budget'!$AD$12</f>
        <v>194045122715</v>
      </c>
      <c r="BU494" s="199">
        <f>'Detailed Budget'!$AD$24</f>
        <v>194045122715</v>
      </c>
      <c r="BV494" s="596">
        <f t="shared" ref="BV494:BV510" si="612">AV494/34743979</f>
        <v>0</v>
      </c>
      <c r="BW494" s="278"/>
      <c r="BX494" s="275">
        <f t="shared" si="526"/>
        <v>0</v>
      </c>
      <c r="BY494" s="275">
        <f t="shared" si="527"/>
        <v>0</v>
      </c>
      <c r="CA494" s="199">
        <f>'Detailed Budget'!$AD$96</f>
        <v>71050111380.677719</v>
      </c>
      <c r="CB494" s="275">
        <f t="shared" si="564"/>
        <v>53013840.238159925</v>
      </c>
      <c r="CE494" s="199">
        <f>'Detailed Budget'!$AD$175</f>
        <v>4330586076.5988197</v>
      </c>
      <c r="CF494" s="275">
        <f t="shared" ref="CF494:CF510" si="613">BB494*BD494*CE494</f>
        <v>0</v>
      </c>
      <c r="CG494" s="199">
        <f>'Detailed Budget'!$AD$176</f>
        <v>20662817754.37001</v>
      </c>
      <c r="CH494" s="275">
        <f t="shared" ref="CH494:CH510" si="614">BB494*BF494*CG494</f>
        <v>0</v>
      </c>
      <c r="CI494" s="275">
        <f t="shared" si="549"/>
        <v>0</v>
      </c>
      <c r="CJ494" s="275">
        <f>'Detailed Budget'!$AD$178</f>
        <v>46025131033.061455</v>
      </c>
      <c r="CK494" s="275">
        <f t="shared" ref="CK494:CK510" si="615">BB494*AG494*CJ494</f>
        <v>0</v>
      </c>
      <c r="CL494" s="275">
        <f t="shared" si="571"/>
        <v>0</v>
      </c>
      <c r="CM494" s="278">
        <f>'Detailed Budget'!$AD$189</f>
        <v>77498869683.252869</v>
      </c>
      <c r="CN494" s="275">
        <f t="shared" si="565"/>
        <v>53901561.596492372</v>
      </c>
      <c r="CO494" s="140">
        <f>'Detailed Budget'!$AD$191</f>
        <v>2684962805.4134097</v>
      </c>
      <c r="CP494" s="616">
        <f t="shared" si="566"/>
        <v>1867429.6622877838</v>
      </c>
      <c r="CQ494" s="616">
        <f t="shared" si="567"/>
        <v>55768991.258780159</v>
      </c>
      <c r="CR494" s="199">
        <f>'Detailed Budget'!$AD$195</f>
        <v>18734176418</v>
      </c>
      <c r="CS494" s="275">
        <f t="shared" ref="CS494:CS510" si="616">BN494*CR494</f>
        <v>13075291.736300057</v>
      </c>
      <c r="CW494" s="278"/>
      <c r="DH494" s="140">
        <f>'Detailed Budget'!$AD$163</f>
        <v>4928560000</v>
      </c>
      <c r="DI494" s="616">
        <f t="shared" ref="DI494:DI512" si="617">AP494*DH494</f>
        <v>6720000</v>
      </c>
    </row>
    <row r="495" spans="1:113" outlineLevel="1">
      <c r="A495" s="214" t="s">
        <v>1097</v>
      </c>
      <c r="B495" s="215" t="s">
        <v>1098</v>
      </c>
      <c r="C495" s="216" t="s">
        <v>234</v>
      </c>
      <c r="D495" s="217"/>
      <c r="E495" s="216"/>
      <c r="F495" s="216"/>
      <c r="G495" s="216" t="s">
        <v>234</v>
      </c>
      <c r="H495" s="216" t="s">
        <v>234</v>
      </c>
      <c r="I495" s="217" t="s">
        <v>234</v>
      </c>
      <c r="J495" s="217"/>
      <c r="K495" s="216"/>
      <c r="L495" s="216"/>
      <c r="M495" s="216" t="s">
        <v>234</v>
      </c>
      <c r="N495" s="216"/>
      <c r="O495" s="217"/>
      <c r="P495" s="216"/>
      <c r="Q495" s="217" t="s">
        <v>234</v>
      </c>
      <c r="R495" s="217"/>
      <c r="S495" s="217"/>
      <c r="T495" s="217"/>
      <c r="U495" s="218">
        <f t="shared" si="606"/>
        <v>6</v>
      </c>
      <c r="V495" s="867" t="s">
        <v>1096</v>
      </c>
      <c r="W495" s="219">
        <v>427421</v>
      </c>
      <c r="X495" s="220">
        <v>2.77</v>
      </c>
      <c r="Y495" s="221">
        <f>1+X495/100</f>
        <v>1.0277000000000001</v>
      </c>
      <c r="Z495" s="199">
        <v>19</v>
      </c>
      <c r="AA495" s="221">
        <f>POWER(Y495,Z495)</f>
        <v>1.6805861263966091</v>
      </c>
      <c r="AB495" s="199">
        <f t="shared" si="603"/>
        <v>718317.80273056508</v>
      </c>
      <c r="AC495">
        <v>11.4</v>
      </c>
      <c r="AD495" s="199">
        <f t="shared" si="604"/>
        <v>81888.229511284415</v>
      </c>
      <c r="AE495" s="199">
        <f t="shared" si="534"/>
        <v>77793.818035720193</v>
      </c>
      <c r="AF495" s="199">
        <f t="shared" si="570"/>
        <v>0</v>
      </c>
      <c r="AG495" s="614">
        <f t="shared" si="569"/>
        <v>3.5968446247113426E-3</v>
      </c>
      <c r="AH495" s="199">
        <f t="shared" ref="AH495:AH510" si="618">AB495*0.05</f>
        <v>35915.890136528258</v>
      </c>
      <c r="AI495" s="252">
        <f t="shared" si="550"/>
        <v>2.7823495909879564E-3</v>
      </c>
      <c r="AJ495" s="199">
        <f t="shared" si="553"/>
        <v>117804.11964781268</v>
      </c>
      <c r="AK495" s="199">
        <f t="shared" si="572"/>
        <v>28732.712109222604</v>
      </c>
      <c r="AL495" s="199">
        <f t="shared" si="573"/>
        <v>28732.712109222604</v>
      </c>
      <c r="AM495" s="199">
        <f t="shared" si="554"/>
        <v>57465.424218445209</v>
      </c>
      <c r="AN495" s="645">
        <f t="shared" si="555"/>
        <v>2.782349590987956E-3</v>
      </c>
      <c r="AO495" s="199">
        <v>12</v>
      </c>
      <c r="AP495" s="250">
        <f t="shared" si="556"/>
        <v>1.3634814225656176E-3</v>
      </c>
      <c r="AQ495" s="199">
        <v>12</v>
      </c>
      <c r="AU495" s="199">
        <v>0</v>
      </c>
      <c r="AW495" s="250">
        <f t="shared" si="557"/>
        <v>0</v>
      </c>
      <c r="AX495" s="199">
        <v>1</v>
      </c>
      <c r="AY495" s="199">
        <f t="shared" si="607"/>
        <v>37972.729785065494</v>
      </c>
      <c r="AZ495" s="199">
        <f t="shared" si="558"/>
        <v>37972.729785065494</v>
      </c>
      <c r="BA495" s="252">
        <f t="shared" si="559"/>
        <v>2.9849029779805531E-3</v>
      </c>
      <c r="BB495" s="284">
        <v>0</v>
      </c>
      <c r="BC495" s="199">
        <f t="shared" si="608"/>
        <v>0</v>
      </c>
      <c r="BD495" s="270">
        <f t="shared" si="574"/>
        <v>0</v>
      </c>
      <c r="BE495" s="199">
        <f t="shared" si="609"/>
        <v>0</v>
      </c>
      <c r="BF495" s="251">
        <f t="shared" si="575"/>
        <v>0</v>
      </c>
      <c r="BG495" s="204">
        <f t="shared" si="610"/>
        <v>0</v>
      </c>
      <c r="BH495" s="636">
        <v>1</v>
      </c>
      <c r="BI495" s="199">
        <f t="shared" si="560"/>
        <v>219805.24763555292</v>
      </c>
      <c r="BJ495" s="199">
        <f t="shared" si="561"/>
        <v>439610.49527110584</v>
      </c>
      <c r="BK495" s="199">
        <f t="shared" si="568"/>
        <v>659415.74290665879</v>
      </c>
      <c r="BL495" s="251">
        <f t="shared" si="562"/>
        <v>2.782349590987956E-3</v>
      </c>
      <c r="BM495" s="199">
        <f t="shared" si="611"/>
        <v>64655.96282885252</v>
      </c>
      <c r="BN495" s="251">
        <f t="shared" si="563"/>
        <v>2.7920455514812421E-3</v>
      </c>
      <c r="BT495" s="199">
        <f>'Detailed Budget'!$AD$12</f>
        <v>194045122715</v>
      </c>
      <c r="BU495" s="199">
        <f>'Detailed Budget'!$AD$24</f>
        <v>194045122715</v>
      </c>
      <c r="BV495" s="596">
        <f t="shared" si="612"/>
        <v>0</v>
      </c>
      <c r="BW495" s="278"/>
      <c r="BX495" s="275">
        <f t="shared" ref="BX495:BX564" si="619">BT495*BV495</f>
        <v>0</v>
      </c>
      <c r="BY495" s="275">
        <f t="shared" ref="BY495:BY564" si="620">BU495*BV495</f>
        <v>0</v>
      </c>
      <c r="CA495" s="199">
        <f>'Detailed Budget'!$AD$96</f>
        <v>71050111380.677719</v>
      </c>
      <c r="CB495" s="275">
        <f t="shared" si="564"/>
        <v>212077689.0460349</v>
      </c>
      <c r="CE495" s="199">
        <f>'Detailed Budget'!$AD$175</f>
        <v>4330586076.5988197</v>
      </c>
      <c r="CF495" s="275">
        <f t="shared" si="613"/>
        <v>0</v>
      </c>
      <c r="CG495" s="199">
        <f>'Detailed Budget'!$AD$176</f>
        <v>20662817754.37001</v>
      </c>
      <c r="CH495" s="275">
        <f t="shared" si="614"/>
        <v>0</v>
      </c>
      <c r="CI495" s="275">
        <f t="shared" si="549"/>
        <v>0</v>
      </c>
      <c r="CJ495" s="275">
        <f>'Detailed Budget'!$AD$178</f>
        <v>46025131033.061455</v>
      </c>
      <c r="CK495" s="275">
        <f t="shared" si="615"/>
        <v>0</v>
      </c>
      <c r="CL495" s="275">
        <f t="shared" si="571"/>
        <v>0</v>
      </c>
      <c r="CM495" s="278">
        <f>'Detailed Budget'!$AD$189</f>
        <v>77498869683.252869</v>
      </c>
      <c r="CN495" s="275">
        <f t="shared" si="565"/>
        <v>215628948.36522752</v>
      </c>
      <c r="CO495" s="140">
        <f>'Detailed Budget'!$AD$191</f>
        <v>2684962805.4134097</v>
      </c>
      <c r="CP495" s="616">
        <f t="shared" si="566"/>
        <v>7470505.1634598756</v>
      </c>
      <c r="CQ495" s="616">
        <f t="shared" si="567"/>
        <v>223099453.52868739</v>
      </c>
      <c r="CR495" s="199">
        <f>'Detailed Budget'!$AD$195</f>
        <v>18734176418</v>
      </c>
      <c r="CS495" s="275">
        <f t="shared" si="616"/>
        <v>52306673.92854169</v>
      </c>
      <c r="CW495" s="278"/>
      <c r="DH495" s="140">
        <f>'Detailed Budget'!$AD$163</f>
        <v>4928560000</v>
      </c>
      <c r="DI495" s="616">
        <f t="shared" si="617"/>
        <v>6720000</v>
      </c>
    </row>
    <row r="496" spans="1:113" outlineLevel="1">
      <c r="A496" s="214" t="s">
        <v>1099</v>
      </c>
      <c r="B496" s="215" t="s">
        <v>1100</v>
      </c>
      <c r="C496" s="216" t="s">
        <v>234</v>
      </c>
      <c r="D496" s="217"/>
      <c r="E496" s="216"/>
      <c r="F496" s="216"/>
      <c r="G496" s="216" t="s">
        <v>234</v>
      </c>
      <c r="H496" s="216" t="s">
        <v>234</v>
      </c>
      <c r="I496" s="217" t="s">
        <v>234</v>
      </c>
      <c r="J496" s="217"/>
      <c r="K496" s="216"/>
      <c r="L496" s="216"/>
      <c r="M496" s="216" t="s">
        <v>234</v>
      </c>
      <c r="N496" s="216"/>
      <c r="O496" s="217"/>
      <c r="P496" s="216"/>
      <c r="Q496" s="217"/>
      <c r="R496" s="217" t="s">
        <v>234</v>
      </c>
      <c r="S496" s="217"/>
      <c r="T496" s="217"/>
      <c r="U496" s="218">
        <f t="shared" si="606"/>
        <v>6</v>
      </c>
      <c r="V496" s="867" t="s">
        <v>235</v>
      </c>
      <c r="W496" s="219">
        <v>169339</v>
      </c>
      <c r="X496" s="220">
        <v>2.77</v>
      </c>
      <c r="Y496" s="221">
        <f>1+X496/100</f>
        <v>1.0277000000000001</v>
      </c>
      <c r="Z496" s="199">
        <v>19</v>
      </c>
      <c r="AA496" s="221">
        <f>POWER(Y496,Z496)</f>
        <v>1.6805861263966091</v>
      </c>
      <c r="AB496" s="199">
        <f t="shared" si="603"/>
        <v>284588.77405787539</v>
      </c>
      <c r="AC496">
        <v>11.4</v>
      </c>
      <c r="AD496" s="199">
        <f t="shared" si="604"/>
        <v>32443.120242597797</v>
      </c>
      <c r="AE496" s="199">
        <f t="shared" si="534"/>
        <v>30820.964230467907</v>
      </c>
      <c r="AF496" s="199">
        <f t="shared" si="570"/>
        <v>0</v>
      </c>
      <c r="AG496" s="614">
        <f t="shared" si="569"/>
        <v>1.4250260794485862E-3</v>
      </c>
      <c r="AH496" s="199">
        <f t="shared" si="618"/>
        <v>14229.438702893771</v>
      </c>
      <c r="AI496" s="252">
        <f t="shared" si="550"/>
        <v>1.1023330566076761E-3</v>
      </c>
      <c r="AJ496" s="199">
        <f t="shared" si="553"/>
        <v>46672.558945491568</v>
      </c>
      <c r="AK496" s="199">
        <f t="shared" si="572"/>
        <v>11383.550962315016</v>
      </c>
      <c r="AL496" s="199">
        <f t="shared" si="573"/>
        <v>11383.550962315016</v>
      </c>
      <c r="AM496" s="199">
        <f t="shared" si="554"/>
        <v>22767.101924630031</v>
      </c>
      <c r="AN496" s="645">
        <f t="shared" si="555"/>
        <v>1.1023330566076758E-3</v>
      </c>
      <c r="AO496" s="199">
        <v>11</v>
      </c>
      <c r="AP496" s="250">
        <f t="shared" si="556"/>
        <v>1.2498579706851495E-3</v>
      </c>
      <c r="AQ496" s="199">
        <v>11</v>
      </c>
      <c r="AU496" s="199">
        <v>0</v>
      </c>
      <c r="AW496" s="250">
        <f t="shared" si="557"/>
        <v>0</v>
      </c>
      <c r="AX496" s="199">
        <v>1</v>
      </c>
      <c r="AY496" s="199">
        <f t="shared" si="607"/>
        <v>15044.333547189321</v>
      </c>
      <c r="AZ496" s="199">
        <f t="shared" si="558"/>
        <v>15044.333547189321</v>
      </c>
      <c r="BA496" s="252">
        <f t="shared" si="559"/>
        <v>1.1825822441766992E-3</v>
      </c>
      <c r="BB496" s="284">
        <v>0</v>
      </c>
      <c r="BC496" s="199">
        <f t="shared" si="608"/>
        <v>0</v>
      </c>
      <c r="BD496" s="270">
        <f t="shared" si="574"/>
        <v>0</v>
      </c>
      <c r="BE496" s="199">
        <f t="shared" si="609"/>
        <v>0</v>
      </c>
      <c r="BF496" s="251">
        <f t="shared" si="575"/>
        <v>0</v>
      </c>
      <c r="BG496" s="204">
        <f t="shared" si="610"/>
        <v>0</v>
      </c>
      <c r="BH496" s="636">
        <v>1</v>
      </c>
      <c r="BI496" s="199">
        <f t="shared" si="560"/>
        <v>87084.164861709869</v>
      </c>
      <c r="BJ496" s="199">
        <f t="shared" si="561"/>
        <v>174168.32972341974</v>
      </c>
      <c r="BK496" s="199">
        <f t="shared" si="568"/>
        <v>261252.49458512961</v>
      </c>
      <c r="BL496" s="251">
        <f t="shared" si="562"/>
        <v>1.1023330566076758E-3</v>
      </c>
      <c r="BM496" s="199">
        <f t="shared" si="611"/>
        <v>25615.905838681432</v>
      </c>
      <c r="BN496" s="251">
        <f t="shared" si="563"/>
        <v>1.1061744781896117E-3</v>
      </c>
      <c r="BT496" s="199">
        <f>'Detailed Budget'!$AD$12</f>
        <v>194045122715</v>
      </c>
      <c r="BU496" s="199">
        <f>'Detailed Budget'!$AD$24</f>
        <v>194045122715</v>
      </c>
      <c r="BV496" s="596">
        <f t="shared" si="612"/>
        <v>0</v>
      </c>
      <c r="BW496" s="278"/>
      <c r="BX496" s="275">
        <f t="shared" si="619"/>
        <v>0</v>
      </c>
      <c r="BY496" s="275">
        <f t="shared" si="620"/>
        <v>0</v>
      </c>
      <c r="CA496" s="199">
        <f>'Detailed Budget'!$AD$96</f>
        <v>71050111380.677719</v>
      </c>
      <c r="CB496" s="275">
        <f t="shared" si="564"/>
        <v>84022600.165566295</v>
      </c>
      <c r="CE496" s="199">
        <f>'Detailed Budget'!$AD$175</f>
        <v>4330586076.5988197</v>
      </c>
      <c r="CF496" s="275">
        <f t="shared" si="613"/>
        <v>0</v>
      </c>
      <c r="CG496" s="199">
        <f>'Detailed Budget'!$AD$176</f>
        <v>20662817754.37001</v>
      </c>
      <c r="CH496" s="275">
        <f t="shared" si="614"/>
        <v>0</v>
      </c>
      <c r="CI496" s="275">
        <f t="shared" si="549"/>
        <v>0</v>
      </c>
      <c r="CJ496" s="275">
        <f>'Detailed Budget'!$AD$178</f>
        <v>46025131033.061455</v>
      </c>
      <c r="CK496" s="275">
        <f t="shared" si="615"/>
        <v>0</v>
      </c>
      <c r="CL496" s="275">
        <f t="shared" si="571"/>
        <v>0</v>
      </c>
      <c r="CM496" s="278">
        <f>'Detailed Budget'!$AD$189</f>
        <v>77498869683.252869</v>
      </c>
      <c r="CN496" s="275">
        <f t="shared" si="565"/>
        <v>85429565.90158008</v>
      </c>
      <c r="CO496" s="140">
        <f>'Detailed Budget'!$AD$191</f>
        <v>2684962805.4134097</v>
      </c>
      <c r="CP496" s="616">
        <f t="shared" si="566"/>
        <v>2959723.2561692842</v>
      </c>
      <c r="CQ496" s="616">
        <f t="shared" si="567"/>
        <v>88389289.15774937</v>
      </c>
      <c r="CR496" s="199">
        <f>'Detailed Budget'!$AD$195</f>
        <v>18734176418</v>
      </c>
      <c r="CS496" s="275">
        <f t="shared" si="616"/>
        <v>20723267.82349328</v>
      </c>
      <c r="CW496" s="278"/>
      <c r="DH496" s="140">
        <f>'Detailed Budget'!$AD$163</f>
        <v>4928560000</v>
      </c>
      <c r="DI496" s="616">
        <f t="shared" si="617"/>
        <v>6160000</v>
      </c>
    </row>
    <row r="497" spans="1:113" outlineLevel="1">
      <c r="A497" s="214" t="s">
        <v>1101</v>
      </c>
      <c r="B497" s="215" t="s">
        <v>1102</v>
      </c>
      <c r="C497" s="216" t="s">
        <v>234</v>
      </c>
      <c r="D497" s="217"/>
      <c r="E497" s="216"/>
      <c r="F497" s="216"/>
      <c r="G497" s="216" t="s">
        <v>234</v>
      </c>
      <c r="H497" s="216" t="s">
        <v>234</v>
      </c>
      <c r="I497" s="217" t="s">
        <v>234</v>
      </c>
      <c r="J497" s="217"/>
      <c r="K497" s="216"/>
      <c r="L497" s="216"/>
      <c r="M497" s="216" t="s">
        <v>234</v>
      </c>
      <c r="N497" s="216"/>
      <c r="O497" s="217"/>
      <c r="P497" s="216"/>
      <c r="Q497" s="217"/>
      <c r="R497" s="217" t="s">
        <v>234</v>
      </c>
      <c r="S497" s="217"/>
      <c r="T497" s="217"/>
      <c r="U497" s="218">
        <f t="shared" si="606"/>
        <v>6</v>
      </c>
      <c r="V497" s="867" t="s">
        <v>235</v>
      </c>
      <c r="W497" s="219">
        <v>192621</v>
      </c>
      <c r="X497" s="220">
        <v>2.77</v>
      </c>
      <c r="Y497" s="221">
        <f t="shared" ref="Y497:Y566" si="621">1+X497/100</f>
        <v>1.0277000000000001</v>
      </c>
      <c r="Z497" s="199">
        <v>19</v>
      </c>
      <c r="AA497" s="221">
        <f t="shared" ref="AA497:AA566" si="622">POWER(Y497,Z497)</f>
        <v>1.6805861263966091</v>
      </c>
      <c r="AB497" s="199">
        <f t="shared" si="603"/>
        <v>323716.18025264126</v>
      </c>
      <c r="AC497">
        <v>11.4</v>
      </c>
      <c r="AD497" s="199">
        <f t="shared" si="604"/>
        <v>36903.644548801101</v>
      </c>
      <c r="AE497" s="199">
        <f t="shared" ref="AE497:AE566" si="623">AD497*0.95</f>
        <v>35058.462321361047</v>
      </c>
      <c r="AF497" s="199">
        <f t="shared" si="570"/>
        <v>0</v>
      </c>
      <c r="AG497" s="614">
        <f t="shared" si="569"/>
        <v>1.6209493882062968E-3</v>
      </c>
      <c r="AH497" s="199">
        <f t="shared" si="618"/>
        <v>16185.809012632064</v>
      </c>
      <c r="AI497" s="252">
        <f t="shared" si="550"/>
        <v>1.2538901003125516E-3</v>
      </c>
      <c r="AJ497" s="199">
        <f t="shared" si="553"/>
        <v>53089.453561433169</v>
      </c>
      <c r="AK497" s="199">
        <f t="shared" si="572"/>
        <v>12948.647210105652</v>
      </c>
      <c r="AL497" s="199">
        <f t="shared" si="573"/>
        <v>12948.647210105652</v>
      </c>
      <c r="AM497" s="199">
        <f t="shared" si="554"/>
        <v>25897.294420211303</v>
      </c>
      <c r="AN497" s="645">
        <f t="shared" si="555"/>
        <v>1.2538901003125516E-3</v>
      </c>
      <c r="AO497" s="199">
        <v>13</v>
      </c>
      <c r="AP497" s="250">
        <f t="shared" si="556"/>
        <v>1.4771048744460858E-3</v>
      </c>
      <c r="AQ497" s="199">
        <v>13</v>
      </c>
      <c r="AU497" s="199">
        <v>0</v>
      </c>
      <c r="AW497" s="250">
        <f t="shared" si="557"/>
        <v>0</v>
      </c>
      <c r="AX497" s="199">
        <v>1</v>
      </c>
      <c r="AY497" s="199">
        <f t="shared" si="607"/>
        <v>17112.741732224436</v>
      </c>
      <c r="AZ497" s="199">
        <f t="shared" si="558"/>
        <v>17112.741732224436</v>
      </c>
      <c r="BA497" s="252">
        <f t="shared" si="559"/>
        <v>1.3451725500656078E-3</v>
      </c>
      <c r="BB497" s="284">
        <v>0</v>
      </c>
      <c r="BC497" s="199">
        <f t="shared" si="608"/>
        <v>0</v>
      </c>
      <c r="BD497" s="270">
        <f t="shared" si="574"/>
        <v>0</v>
      </c>
      <c r="BE497" s="199">
        <f t="shared" si="609"/>
        <v>0</v>
      </c>
      <c r="BF497" s="251">
        <f t="shared" si="575"/>
        <v>0</v>
      </c>
      <c r="BG497" s="204">
        <f t="shared" si="610"/>
        <v>0</v>
      </c>
      <c r="BH497" s="636">
        <v>1</v>
      </c>
      <c r="BI497" s="199">
        <f t="shared" si="560"/>
        <v>99057.151157308239</v>
      </c>
      <c r="BJ497" s="199">
        <f t="shared" si="561"/>
        <v>198114.30231461648</v>
      </c>
      <c r="BK497" s="199">
        <f t="shared" si="568"/>
        <v>297171.4534719247</v>
      </c>
      <c r="BL497" s="251">
        <f t="shared" si="562"/>
        <v>1.2538901003125516E-3</v>
      </c>
      <c r="BM497" s="199">
        <f t="shared" si="611"/>
        <v>29137.773333683654</v>
      </c>
      <c r="BN497" s="251">
        <f t="shared" si="563"/>
        <v>1.2582596694403604E-3</v>
      </c>
      <c r="BT497" s="199">
        <f>'Detailed Budget'!$AD$12</f>
        <v>194045122715</v>
      </c>
      <c r="BU497" s="199">
        <f>'Detailed Budget'!$AD$24</f>
        <v>194045122715</v>
      </c>
      <c r="BV497" s="596">
        <f t="shared" si="612"/>
        <v>0</v>
      </c>
      <c r="BW497" s="278"/>
      <c r="BX497" s="275">
        <f t="shared" si="619"/>
        <v>0</v>
      </c>
      <c r="BY497" s="275">
        <f t="shared" si="620"/>
        <v>0</v>
      </c>
      <c r="CA497" s="199">
        <f>'Detailed Budget'!$AD$96</f>
        <v>71050111380.677719</v>
      </c>
      <c r="CB497" s="275">
        <f t="shared" si="564"/>
        <v>95574659.508391708</v>
      </c>
      <c r="CE497" s="199">
        <f>'Detailed Budget'!$AD$175</f>
        <v>4330586076.5988197</v>
      </c>
      <c r="CF497" s="275">
        <f t="shared" si="613"/>
        <v>0</v>
      </c>
      <c r="CG497" s="199">
        <f>'Detailed Budget'!$AD$176</f>
        <v>20662817754.37001</v>
      </c>
      <c r="CH497" s="275">
        <f t="shared" si="614"/>
        <v>0</v>
      </c>
      <c r="CI497" s="275">
        <f t="shared" si="549"/>
        <v>0</v>
      </c>
      <c r="CJ497" s="275">
        <f>'Detailed Budget'!$AD$178</f>
        <v>46025131033.061455</v>
      </c>
      <c r="CK497" s="275">
        <f t="shared" si="615"/>
        <v>0</v>
      </c>
      <c r="CL497" s="275">
        <f t="shared" si="571"/>
        <v>0</v>
      </c>
      <c r="CM497" s="278">
        <f>'Detailed Budget'!$AD$189</f>
        <v>77498869683.252869</v>
      </c>
      <c r="CN497" s="275">
        <f t="shared" si="565"/>
        <v>97175065.481243297</v>
      </c>
      <c r="CO497" s="140">
        <f>'Detailed Budget'!$AD$191</f>
        <v>2684962805.4134097</v>
      </c>
      <c r="CP497" s="616">
        <f t="shared" si="566"/>
        <v>3366648.2814152902</v>
      </c>
      <c r="CQ497" s="616">
        <f t="shared" si="567"/>
        <v>100541713.76265858</v>
      </c>
      <c r="CR497" s="199">
        <f>'Detailed Budget'!$AD$195</f>
        <v>18734176418</v>
      </c>
      <c r="CS497" s="275">
        <f t="shared" si="616"/>
        <v>23572458.626950074</v>
      </c>
      <c r="CW497" s="278"/>
      <c r="DH497" s="140">
        <f>'Detailed Budget'!$AD$163</f>
        <v>4928560000</v>
      </c>
      <c r="DI497" s="616">
        <f t="shared" si="617"/>
        <v>7280000.0000000009</v>
      </c>
    </row>
    <row r="498" spans="1:113" outlineLevel="1">
      <c r="A498" s="214" t="s">
        <v>1103</v>
      </c>
      <c r="B498" s="215" t="s">
        <v>1104</v>
      </c>
      <c r="C498" s="216" t="s">
        <v>234</v>
      </c>
      <c r="D498" s="217"/>
      <c r="E498" s="216"/>
      <c r="F498" s="216"/>
      <c r="G498" s="216" t="s">
        <v>234</v>
      </c>
      <c r="H498" s="216" t="s">
        <v>234</v>
      </c>
      <c r="I498" s="217" t="s">
        <v>234</v>
      </c>
      <c r="J498" s="217"/>
      <c r="K498" s="216"/>
      <c r="L498" s="216"/>
      <c r="M498" s="216" t="s">
        <v>234</v>
      </c>
      <c r="N498" s="216"/>
      <c r="O498" s="217"/>
      <c r="P498" s="216"/>
      <c r="Q498" s="217"/>
      <c r="R498" s="217" t="s">
        <v>234</v>
      </c>
      <c r="S498" s="217"/>
      <c r="T498" s="217"/>
      <c r="U498" s="218">
        <f t="shared" si="606"/>
        <v>6</v>
      </c>
      <c r="V498" s="867" t="s">
        <v>235</v>
      </c>
      <c r="W498" s="219">
        <v>137897</v>
      </c>
      <c r="X498" s="220">
        <v>2.77</v>
      </c>
      <c r="Y498" s="221">
        <f t="shared" si="621"/>
        <v>1.0277000000000001</v>
      </c>
      <c r="Z498" s="199">
        <v>19</v>
      </c>
      <c r="AA498" s="221">
        <f t="shared" si="622"/>
        <v>1.6805861263966091</v>
      </c>
      <c r="AB498" s="199">
        <f t="shared" si="603"/>
        <v>231747.78507171321</v>
      </c>
      <c r="AC498">
        <v>11.4</v>
      </c>
      <c r="AD498" s="199">
        <f t="shared" si="604"/>
        <v>26419.247498175308</v>
      </c>
      <c r="AE498" s="199">
        <f t="shared" si="623"/>
        <v>25098.285123266542</v>
      </c>
      <c r="AF498" s="199">
        <f t="shared" si="570"/>
        <v>0</v>
      </c>
      <c r="AG498" s="614">
        <f t="shared" si="569"/>
        <v>1.1604345205636132E-3</v>
      </c>
      <c r="AH498" s="199">
        <f t="shared" si="618"/>
        <v>11587.389253585661</v>
      </c>
      <c r="AI498" s="252">
        <f t="shared" si="550"/>
        <v>8.976574888656996E-4</v>
      </c>
      <c r="AJ498" s="199">
        <f t="shared" si="553"/>
        <v>38006.636751760969</v>
      </c>
      <c r="AK498" s="199">
        <f t="shared" si="572"/>
        <v>9269.911402868529</v>
      </c>
      <c r="AL498" s="199">
        <f t="shared" si="573"/>
        <v>9269.911402868529</v>
      </c>
      <c r="AM498" s="199">
        <f t="shared" si="554"/>
        <v>18539.822805737058</v>
      </c>
      <c r="AN498" s="645">
        <f t="shared" si="555"/>
        <v>8.976574888656996E-4</v>
      </c>
      <c r="AO498" s="199">
        <v>10</v>
      </c>
      <c r="AP498" s="250">
        <f t="shared" si="556"/>
        <v>1.1362345188046814E-3</v>
      </c>
      <c r="AQ498" s="199">
        <v>10</v>
      </c>
      <c r="AU498" s="199">
        <v>0</v>
      </c>
      <c r="AW498" s="250">
        <f t="shared" si="557"/>
        <v>0</v>
      </c>
      <c r="AX498" s="199">
        <v>1</v>
      </c>
      <c r="AY498" s="199">
        <f t="shared" si="607"/>
        <v>12250.978588256488</v>
      </c>
      <c r="AZ498" s="199">
        <f t="shared" si="558"/>
        <v>12250.978588256488</v>
      </c>
      <c r="BA498" s="252">
        <f t="shared" si="559"/>
        <v>9.630064174539491E-4</v>
      </c>
      <c r="BB498" s="284">
        <v>0</v>
      </c>
      <c r="BC498" s="199">
        <f t="shared" si="608"/>
        <v>0</v>
      </c>
      <c r="BD498" s="270">
        <f t="shared" si="574"/>
        <v>0</v>
      </c>
      <c r="BE498" s="199">
        <f t="shared" si="609"/>
        <v>0</v>
      </c>
      <c r="BF498" s="251">
        <f t="shared" si="575"/>
        <v>0</v>
      </c>
      <c r="BG498" s="204">
        <f t="shared" si="610"/>
        <v>0</v>
      </c>
      <c r="BH498" s="636">
        <v>1</v>
      </c>
      <c r="BI498" s="199">
        <f t="shared" si="560"/>
        <v>70914.822231944243</v>
      </c>
      <c r="BJ498" s="199">
        <f t="shared" si="561"/>
        <v>141829.64446388849</v>
      </c>
      <c r="BK498" s="199">
        <f t="shared" si="568"/>
        <v>212744.46669583273</v>
      </c>
      <c r="BL498" s="251">
        <f t="shared" si="562"/>
        <v>8.976574888656995E-4</v>
      </c>
      <c r="BM498" s="199">
        <f t="shared" si="611"/>
        <v>20859.675369741486</v>
      </c>
      <c r="BN498" s="251">
        <f t="shared" si="563"/>
        <v>9.0078565492245077E-4</v>
      </c>
      <c r="BT498" s="199">
        <f>'Detailed Budget'!$AD$12</f>
        <v>194045122715</v>
      </c>
      <c r="BU498" s="199">
        <f>'Detailed Budget'!$AD$24</f>
        <v>194045122715</v>
      </c>
      <c r="BV498" s="596">
        <f t="shared" si="612"/>
        <v>0</v>
      </c>
      <c r="BW498" s="278"/>
      <c r="BX498" s="275">
        <f t="shared" si="619"/>
        <v>0</v>
      </c>
      <c r="BY498" s="275">
        <f t="shared" si="620"/>
        <v>0</v>
      </c>
      <c r="CA498" s="199">
        <f>'Detailed Budget'!$AD$96</f>
        <v>71050111380.677719</v>
      </c>
      <c r="CB498" s="275">
        <f t="shared" si="564"/>
        <v>68421713.220410511</v>
      </c>
      <c r="CE498" s="199">
        <f>'Detailed Budget'!$AD$175</f>
        <v>4330586076.5988197</v>
      </c>
      <c r="CF498" s="275">
        <f t="shared" si="613"/>
        <v>0</v>
      </c>
      <c r="CG498" s="199">
        <f>'Detailed Budget'!$AD$176</f>
        <v>20662817754.37001</v>
      </c>
      <c r="CH498" s="275">
        <f t="shared" si="614"/>
        <v>0</v>
      </c>
      <c r="CI498" s="275">
        <f t="shared" si="549"/>
        <v>0</v>
      </c>
      <c r="CJ498" s="275">
        <f>'Detailed Budget'!$AD$178</f>
        <v>46025131033.061455</v>
      </c>
      <c r="CK498" s="275">
        <f t="shared" si="615"/>
        <v>0</v>
      </c>
      <c r="CL498" s="275">
        <f t="shared" si="571"/>
        <v>0</v>
      </c>
      <c r="CM498" s="278">
        <f>'Detailed Budget'!$AD$189</f>
        <v>77498869683.252869</v>
      </c>
      <c r="CN498" s="275">
        <f t="shared" si="565"/>
        <v>69567440.749798864</v>
      </c>
      <c r="CO498" s="140">
        <f>'Detailed Budget'!$AD$191</f>
        <v>2684962805.4134097</v>
      </c>
      <c r="CP498" s="616">
        <f t="shared" si="566"/>
        <v>2410176.9696052056</v>
      </c>
      <c r="CQ498" s="616">
        <f t="shared" si="567"/>
        <v>71977617.719404072</v>
      </c>
      <c r="CR498" s="199">
        <f>'Detailed Budget'!$AD$195</f>
        <v>18734176418</v>
      </c>
      <c r="CS498" s="275">
        <f t="shared" si="616"/>
        <v>16875477.374120861</v>
      </c>
      <c r="CW498" s="278"/>
      <c r="DH498" s="140">
        <f>'Detailed Budget'!$AD$163</f>
        <v>4928560000</v>
      </c>
      <c r="DI498" s="616">
        <f t="shared" si="617"/>
        <v>5600000</v>
      </c>
    </row>
    <row r="499" spans="1:113" outlineLevel="1">
      <c r="A499" s="214" t="s">
        <v>1105</v>
      </c>
      <c r="B499" s="215" t="s">
        <v>1106</v>
      </c>
      <c r="C499" s="216" t="s">
        <v>234</v>
      </c>
      <c r="D499" s="217"/>
      <c r="E499" s="216"/>
      <c r="F499" s="216"/>
      <c r="G499" s="216" t="s">
        <v>234</v>
      </c>
      <c r="H499" s="216" t="s">
        <v>234</v>
      </c>
      <c r="I499" s="217" t="s">
        <v>234</v>
      </c>
      <c r="J499" s="217"/>
      <c r="K499" s="216"/>
      <c r="L499" s="216"/>
      <c r="M499" s="216" t="s">
        <v>234</v>
      </c>
      <c r="N499" s="216"/>
      <c r="O499" s="217"/>
      <c r="P499" s="216"/>
      <c r="Q499" s="217"/>
      <c r="R499" s="217" t="s">
        <v>234</v>
      </c>
      <c r="S499" s="217"/>
      <c r="T499" s="217"/>
      <c r="U499" s="218">
        <f t="shared" si="606"/>
        <v>6</v>
      </c>
      <c r="V499" s="867" t="s">
        <v>235</v>
      </c>
      <c r="W499" s="219">
        <v>154083</v>
      </c>
      <c r="X499" s="220">
        <v>2.77</v>
      </c>
      <c r="Y499" s="221">
        <f t="shared" si="621"/>
        <v>1.0277000000000001</v>
      </c>
      <c r="Z499" s="199">
        <v>19</v>
      </c>
      <c r="AA499" s="221">
        <f t="shared" si="622"/>
        <v>1.6805861263966091</v>
      </c>
      <c r="AB499" s="199">
        <f t="shared" si="603"/>
        <v>258949.75211356871</v>
      </c>
      <c r="AC499">
        <v>11.4</v>
      </c>
      <c r="AD499" s="199">
        <f t="shared" si="604"/>
        <v>29520.271740946835</v>
      </c>
      <c r="AE499" s="199">
        <f t="shared" si="623"/>
        <v>28044.258153899493</v>
      </c>
      <c r="AF499" s="199">
        <f t="shared" si="570"/>
        <v>0</v>
      </c>
      <c r="AG499" s="614">
        <f t="shared" si="569"/>
        <v>1.2966433804361458E-3</v>
      </c>
      <c r="AH499" s="199">
        <f t="shared" si="618"/>
        <v>12947.487605678436</v>
      </c>
      <c r="AI499" s="252">
        <f t="shared" si="550"/>
        <v>1.0030222474520373E-3</v>
      </c>
      <c r="AJ499" s="199">
        <f t="shared" si="553"/>
        <v>42467.759346625273</v>
      </c>
      <c r="AK499" s="199">
        <f t="shared" si="572"/>
        <v>10357.990084542749</v>
      </c>
      <c r="AL499" s="199">
        <f t="shared" si="573"/>
        <v>10357.990084542749</v>
      </c>
      <c r="AM499" s="199">
        <f t="shared" si="554"/>
        <v>20715.980169085498</v>
      </c>
      <c r="AN499" s="645">
        <f t="shared" si="555"/>
        <v>1.0030222474520373E-3</v>
      </c>
      <c r="AO499" s="199">
        <v>10</v>
      </c>
      <c r="AP499" s="250">
        <f t="shared" si="556"/>
        <v>1.1362345188046814E-3</v>
      </c>
      <c r="AQ499" s="199">
        <v>10</v>
      </c>
      <c r="AU499" s="199">
        <v>0</v>
      </c>
      <c r="AW499" s="250">
        <f t="shared" si="557"/>
        <v>0</v>
      </c>
      <c r="AX499" s="199">
        <v>1</v>
      </c>
      <c r="AY499" s="199">
        <f t="shared" si="607"/>
        <v>13688.967372853105</v>
      </c>
      <c r="AZ499" s="199">
        <f t="shared" si="558"/>
        <v>13688.967372853105</v>
      </c>
      <c r="BA499" s="252">
        <f t="shared" si="559"/>
        <v>1.076041667480488E-3</v>
      </c>
      <c r="BB499" s="284">
        <v>0</v>
      </c>
      <c r="BC499" s="199">
        <f t="shared" si="608"/>
        <v>0</v>
      </c>
      <c r="BD499" s="270">
        <f t="shared" si="574"/>
        <v>0</v>
      </c>
      <c r="BE499" s="199">
        <f t="shared" si="609"/>
        <v>0</v>
      </c>
      <c r="BF499" s="251">
        <f t="shared" si="575"/>
        <v>0</v>
      </c>
      <c r="BG499" s="204">
        <f t="shared" si="610"/>
        <v>0</v>
      </c>
      <c r="BH499" s="636">
        <v>1</v>
      </c>
      <c r="BI499" s="199">
        <f t="shared" si="560"/>
        <v>79238.62414675203</v>
      </c>
      <c r="BJ499" s="199">
        <f t="shared" si="561"/>
        <v>158477.24829350406</v>
      </c>
      <c r="BK499" s="199">
        <f t="shared" si="568"/>
        <v>237715.87244025609</v>
      </c>
      <c r="BL499" s="251">
        <f t="shared" si="562"/>
        <v>1.0030222474520373E-3</v>
      </c>
      <c r="BM499" s="199">
        <f t="shared" si="611"/>
        <v>23308.131141329231</v>
      </c>
      <c r="BN499" s="251">
        <f t="shared" si="563"/>
        <v>1.0065175897040252E-3</v>
      </c>
      <c r="BT499" s="199">
        <f>'Detailed Budget'!$AD$12</f>
        <v>194045122715</v>
      </c>
      <c r="BU499" s="199">
        <f>'Detailed Budget'!$AD$24</f>
        <v>194045122715</v>
      </c>
      <c r="BV499" s="596">
        <f t="shared" si="612"/>
        <v>0</v>
      </c>
      <c r="BW499" s="278"/>
      <c r="BX499" s="275">
        <f t="shared" si="619"/>
        <v>0</v>
      </c>
      <c r="BY499" s="275">
        <f t="shared" si="620"/>
        <v>0</v>
      </c>
      <c r="CA499" s="199">
        <f>'Detailed Budget'!$AD$96</f>
        <v>71050111380.677719</v>
      </c>
      <c r="CB499" s="275">
        <f t="shared" si="564"/>
        <v>76452880.324738845</v>
      </c>
      <c r="CE499" s="199">
        <f>'Detailed Budget'!$AD$175</f>
        <v>4330586076.5988197</v>
      </c>
      <c r="CF499" s="275">
        <f t="shared" si="613"/>
        <v>0</v>
      </c>
      <c r="CG499" s="199">
        <f>'Detailed Budget'!$AD$176</f>
        <v>20662817754.37001</v>
      </c>
      <c r="CH499" s="275">
        <f t="shared" si="614"/>
        <v>0</v>
      </c>
      <c r="CI499" s="275">
        <f t="shared" si="549"/>
        <v>0</v>
      </c>
      <c r="CJ499" s="275">
        <f>'Detailed Budget'!$AD$178</f>
        <v>46025131033.061455</v>
      </c>
      <c r="CK499" s="275">
        <f t="shared" si="615"/>
        <v>0</v>
      </c>
      <c r="CL499" s="275">
        <f t="shared" si="571"/>
        <v>0</v>
      </c>
      <c r="CM499" s="278">
        <f>'Detailed Budget'!$AD$189</f>
        <v>77498869683.252869</v>
      </c>
      <c r="CN499" s="275">
        <f t="shared" si="565"/>
        <v>77733090.444688842</v>
      </c>
      <c r="CO499" s="140">
        <f>'Detailed Budget'!$AD$191</f>
        <v>2684962805.4134097</v>
      </c>
      <c r="CP499" s="616">
        <f t="shared" si="566"/>
        <v>2693077.4274108852</v>
      </c>
      <c r="CQ499" s="616">
        <f t="shared" si="567"/>
        <v>80426167.872099727</v>
      </c>
      <c r="CR499" s="199">
        <f>'Detailed Budget'!$AD$195</f>
        <v>18734176418</v>
      </c>
      <c r="CS499" s="275">
        <f t="shared" si="616"/>
        <v>18856278.093335349</v>
      </c>
      <c r="CW499" s="278"/>
      <c r="DH499" s="140">
        <f>'Detailed Budget'!$AD$163</f>
        <v>4928560000</v>
      </c>
      <c r="DI499" s="616">
        <f t="shared" si="617"/>
        <v>5600000</v>
      </c>
    </row>
    <row r="500" spans="1:113" outlineLevel="1">
      <c r="A500" s="214" t="s">
        <v>1107</v>
      </c>
      <c r="B500" s="215" t="s">
        <v>1108</v>
      </c>
      <c r="C500" s="216" t="s">
        <v>234</v>
      </c>
      <c r="D500" s="217"/>
      <c r="E500" s="216"/>
      <c r="F500" s="216"/>
      <c r="G500" s="216" t="s">
        <v>234</v>
      </c>
      <c r="H500" s="216" t="s">
        <v>234</v>
      </c>
      <c r="I500" s="217" t="s">
        <v>234</v>
      </c>
      <c r="J500" s="217"/>
      <c r="K500" s="216"/>
      <c r="L500" s="216"/>
      <c r="M500" s="216" t="s">
        <v>234</v>
      </c>
      <c r="N500" s="216"/>
      <c r="O500" s="217"/>
      <c r="P500" s="216"/>
      <c r="Q500" s="217"/>
      <c r="R500" s="217" t="s">
        <v>234</v>
      </c>
      <c r="S500" s="217"/>
      <c r="T500" s="217"/>
      <c r="U500" s="218">
        <f t="shared" si="606"/>
        <v>6</v>
      </c>
      <c r="V500" s="867" t="s">
        <v>235</v>
      </c>
      <c r="W500" s="219">
        <v>136650</v>
      </c>
      <c r="X500" s="220">
        <v>2.77</v>
      </c>
      <c r="Y500" s="221">
        <f t="shared" si="621"/>
        <v>1.0277000000000001</v>
      </c>
      <c r="Z500" s="199">
        <v>19</v>
      </c>
      <c r="AA500" s="221">
        <f t="shared" si="622"/>
        <v>1.6805861263966091</v>
      </c>
      <c r="AB500" s="199">
        <f t="shared" si="603"/>
        <v>229652.09417209664</v>
      </c>
      <c r="AC500">
        <v>11.4</v>
      </c>
      <c r="AD500" s="199">
        <f t="shared" si="604"/>
        <v>26180.338735619021</v>
      </c>
      <c r="AE500" s="199">
        <f t="shared" si="623"/>
        <v>24871.321798838067</v>
      </c>
      <c r="AF500" s="199">
        <f t="shared" si="570"/>
        <v>0</v>
      </c>
      <c r="AG500" s="614">
        <f t="shared" si="569"/>
        <v>1.1499407328297044E-3</v>
      </c>
      <c r="AH500" s="199">
        <f t="shared" si="618"/>
        <v>11482.604708604833</v>
      </c>
      <c r="AI500" s="252">
        <f t="shared" si="550"/>
        <v>8.8953998893012795E-4</v>
      </c>
      <c r="AJ500" s="199">
        <f t="shared" si="553"/>
        <v>37662.943444223856</v>
      </c>
      <c r="AK500" s="199">
        <f t="shared" si="572"/>
        <v>9186.0837668838649</v>
      </c>
      <c r="AL500" s="199">
        <f t="shared" si="573"/>
        <v>9186.0837668838649</v>
      </c>
      <c r="AM500" s="199">
        <f t="shared" si="554"/>
        <v>18372.16753376773</v>
      </c>
      <c r="AN500" s="645">
        <f t="shared" si="555"/>
        <v>8.8953998893012774E-4</v>
      </c>
      <c r="AO500" s="199">
        <v>10</v>
      </c>
      <c r="AP500" s="250">
        <f t="shared" si="556"/>
        <v>1.1362345188046814E-3</v>
      </c>
      <c r="AQ500" s="199">
        <v>10</v>
      </c>
      <c r="AU500" s="199">
        <v>0</v>
      </c>
      <c r="AW500" s="250">
        <f t="shared" si="557"/>
        <v>0</v>
      </c>
      <c r="AX500" s="199">
        <v>1</v>
      </c>
      <c r="AY500" s="199">
        <f t="shared" si="607"/>
        <v>12140.193217294427</v>
      </c>
      <c r="AZ500" s="199">
        <f t="shared" si="558"/>
        <v>12140.193217294427</v>
      </c>
      <c r="BA500" s="252">
        <f t="shared" si="559"/>
        <v>9.5429796837554241E-4</v>
      </c>
      <c r="BB500" s="284">
        <v>0</v>
      </c>
      <c r="BC500" s="199">
        <f t="shared" si="608"/>
        <v>0</v>
      </c>
      <c r="BD500" s="270">
        <f t="shared" si="574"/>
        <v>0</v>
      </c>
      <c r="BE500" s="199">
        <f t="shared" si="609"/>
        <v>0</v>
      </c>
      <c r="BF500" s="251">
        <f t="shared" si="575"/>
        <v>0</v>
      </c>
      <c r="BG500" s="204">
        <f t="shared" si="610"/>
        <v>0</v>
      </c>
      <c r="BH500" s="636">
        <v>1</v>
      </c>
      <c r="BI500" s="199">
        <f t="shared" si="560"/>
        <v>70273.540816661567</v>
      </c>
      <c r="BJ500" s="199">
        <f t="shared" si="561"/>
        <v>140547.08163332313</v>
      </c>
      <c r="BK500" s="199">
        <f t="shared" si="568"/>
        <v>210820.62244998472</v>
      </c>
      <c r="BL500" s="251">
        <f t="shared" si="562"/>
        <v>8.8953998893012785E-4</v>
      </c>
      <c r="BM500" s="199">
        <f t="shared" si="611"/>
        <v>20671.041714288011</v>
      </c>
      <c r="BN500" s="251">
        <f t="shared" si="563"/>
        <v>8.9263986703955038E-4</v>
      </c>
      <c r="BT500" s="199">
        <f>'Detailed Budget'!$AD$12</f>
        <v>194045122715</v>
      </c>
      <c r="BU500" s="199">
        <f>'Detailed Budget'!$AD$24</f>
        <v>194045122715</v>
      </c>
      <c r="BV500" s="596">
        <f t="shared" si="612"/>
        <v>0</v>
      </c>
      <c r="BW500" s="278"/>
      <c r="BX500" s="275">
        <f t="shared" si="619"/>
        <v>0</v>
      </c>
      <c r="BY500" s="275">
        <f t="shared" si="620"/>
        <v>0</v>
      </c>
      <c r="CA500" s="199">
        <f>'Detailed Budget'!$AD$96</f>
        <v>71050111380.677719</v>
      </c>
      <c r="CB500" s="275">
        <f t="shared" si="564"/>
        <v>67802976.943436757</v>
      </c>
      <c r="CE500" s="199">
        <f>'Detailed Budget'!$AD$175</f>
        <v>4330586076.5988197</v>
      </c>
      <c r="CF500" s="275">
        <f t="shared" si="613"/>
        <v>0</v>
      </c>
      <c r="CG500" s="199">
        <f>'Detailed Budget'!$AD$176</f>
        <v>20662817754.37001</v>
      </c>
      <c r="CH500" s="275">
        <f t="shared" si="614"/>
        <v>0</v>
      </c>
      <c r="CI500" s="275">
        <f t="shared" si="549"/>
        <v>0</v>
      </c>
      <c r="CJ500" s="275">
        <f>'Detailed Budget'!$AD$178</f>
        <v>46025131033.061455</v>
      </c>
      <c r="CK500" s="275">
        <f t="shared" si="615"/>
        <v>0</v>
      </c>
      <c r="CL500" s="275">
        <f t="shared" si="571"/>
        <v>0</v>
      </c>
      <c r="CM500" s="278">
        <f>'Detailed Budget'!$AD$189</f>
        <v>77498869683.252869</v>
      </c>
      <c r="CN500" s="275">
        <f t="shared" si="565"/>
        <v>68938343.680138171</v>
      </c>
      <c r="CO500" s="140">
        <f>'Detailed Budget'!$AD$191</f>
        <v>2684962805.4134097</v>
      </c>
      <c r="CP500" s="616">
        <f t="shared" si="566"/>
        <v>2388381.784205249</v>
      </c>
      <c r="CQ500" s="616">
        <f t="shared" si="567"/>
        <v>71326725.464343414</v>
      </c>
      <c r="CR500" s="199">
        <f>'Detailed Budget'!$AD$195</f>
        <v>18734176418</v>
      </c>
      <c r="CS500" s="275">
        <f t="shared" si="616"/>
        <v>16722872.746859001</v>
      </c>
      <c r="CW500" s="278"/>
      <c r="DH500" s="140">
        <f>'Detailed Budget'!$AD$163</f>
        <v>4928560000</v>
      </c>
      <c r="DI500" s="616">
        <f t="shared" si="617"/>
        <v>5600000</v>
      </c>
    </row>
    <row r="501" spans="1:113" outlineLevel="1">
      <c r="A501" s="214" t="s">
        <v>1109</v>
      </c>
      <c r="B501" s="215" t="s">
        <v>1110</v>
      </c>
      <c r="C501" s="216" t="s">
        <v>234</v>
      </c>
      <c r="D501" s="217"/>
      <c r="E501" s="216"/>
      <c r="F501" s="216"/>
      <c r="G501" s="216" t="s">
        <v>234</v>
      </c>
      <c r="H501" s="216" t="s">
        <v>234</v>
      </c>
      <c r="I501" s="217" t="s">
        <v>234</v>
      </c>
      <c r="J501" s="217"/>
      <c r="K501" s="216"/>
      <c r="L501" s="216"/>
      <c r="M501" s="216" t="s">
        <v>234</v>
      </c>
      <c r="N501" s="216"/>
      <c r="O501" s="217"/>
      <c r="P501" s="216"/>
      <c r="Q501" s="217"/>
      <c r="R501" s="217" t="s">
        <v>234</v>
      </c>
      <c r="S501" s="217"/>
      <c r="T501" s="217"/>
      <c r="U501" s="218">
        <f t="shared" si="606"/>
        <v>6</v>
      </c>
      <c r="V501" s="867" t="s">
        <v>235</v>
      </c>
      <c r="W501" s="219">
        <v>115794</v>
      </c>
      <c r="X501" s="220">
        <v>2.77</v>
      </c>
      <c r="Y501" s="221">
        <f t="shared" si="621"/>
        <v>1.0277000000000001</v>
      </c>
      <c r="Z501" s="199">
        <v>19</v>
      </c>
      <c r="AA501" s="221">
        <f t="shared" si="622"/>
        <v>1.6805861263966091</v>
      </c>
      <c r="AB501" s="199">
        <f t="shared" si="603"/>
        <v>194601.78991996896</v>
      </c>
      <c r="AC501">
        <v>11.4</v>
      </c>
      <c r="AD501" s="199">
        <f t="shared" si="604"/>
        <v>22184.60405087646</v>
      </c>
      <c r="AE501" s="199">
        <f t="shared" si="623"/>
        <v>21075.373848332634</v>
      </c>
      <c r="AF501" s="199">
        <f t="shared" si="570"/>
        <v>0</v>
      </c>
      <c r="AG501" s="614">
        <f t="shared" si="569"/>
        <v>9.7443276412208376E-4</v>
      </c>
      <c r="AH501" s="199">
        <f t="shared" si="618"/>
        <v>9730.0894959984489</v>
      </c>
      <c r="AI501" s="252">
        <f t="shared" si="550"/>
        <v>7.5377529072941996E-4</v>
      </c>
      <c r="AJ501" s="199">
        <f t="shared" si="553"/>
        <v>31914.693546874907</v>
      </c>
      <c r="AK501" s="199">
        <f t="shared" si="572"/>
        <v>7784.071596798758</v>
      </c>
      <c r="AL501" s="199">
        <f t="shared" si="573"/>
        <v>7784.071596798758</v>
      </c>
      <c r="AM501" s="199">
        <f t="shared" si="554"/>
        <v>15568.143193597516</v>
      </c>
      <c r="AN501" s="645">
        <f t="shared" si="555"/>
        <v>7.5377529072941985E-4</v>
      </c>
      <c r="AO501" s="199">
        <v>10</v>
      </c>
      <c r="AP501" s="250">
        <f t="shared" si="556"/>
        <v>1.1362345188046814E-3</v>
      </c>
      <c r="AQ501" s="199">
        <v>10</v>
      </c>
      <c r="AU501" s="199">
        <v>0</v>
      </c>
      <c r="AW501" s="250">
        <f t="shared" si="557"/>
        <v>0</v>
      </c>
      <c r="AX501" s="199">
        <v>1</v>
      </c>
      <c r="AY501" s="199">
        <f t="shared" si="607"/>
        <v>10287.314551067622</v>
      </c>
      <c r="AZ501" s="199">
        <f t="shared" si="558"/>
        <v>10287.314551067622</v>
      </c>
      <c r="BA501" s="252">
        <f t="shared" si="559"/>
        <v>8.0864968130316529E-4</v>
      </c>
      <c r="BB501" s="284">
        <v>0</v>
      </c>
      <c r="BC501" s="199">
        <f t="shared" si="608"/>
        <v>0</v>
      </c>
      <c r="BD501" s="270">
        <f t="shared" si="574"/>
        <v>0</v>
      </c>
      <c r="BE501" s="199">
        <f t="shared" si="609"/>
        <v>0</v>
      </c>
      <c r="BF501" s="251">
        <f t="shared" si="575"/>
        <v>0</v>
      </c>
      <c r="BG501" s="204">
        <f t="shared" si="610"/>
        <v>0</v>
      </c>
      <c r="BH501" s="636">
        <v>1</v>
      </c>
      <c r="BI501" s="199">
        <f t="shared" si="560"/>
        <v>59548.147715510495</v>
      </c>
      <c r="BJ501" s="199">
        <f t="shared" si="561"/>
        <v>119096.29543102099</v>
      </c>
      <c r="BK501" s="199">
        <f t="shared" si="568"/>
        <v>178644.44314653147</v>
      </c>
      <c r="BL501" s="251">
        <f t="shared" si="562"/>
        <v>7.5377529072941974E-4</v>
      </c>
      <c r="BM501" s="199">
        <f t="shared" si="611"/>
        <v>17516.155172076589</v>
      </c>
      <c r="BN501" s="251">
        <f t="shared" si="563"/>
        <v>7.5640205462113204E-4</v>
      </c>
      <c r="BT501" s="199">
        <f>'Detailed Budget'!$AD$12</f>
        <v>194045122715</v>
      </c>
      <c r="BU501" s="199">
        <f>'Detailed Budget'!$AD$24</f>
        <v>194045122715</v>
      </c>
      <c r="BV501" s="596">
        <f t="shared" si="612"/>
        <v>0</v>
      </c>
      <c r="BW501" s="278"/>
      <c r="BX501" s="275">
        <f t="shared" si="619"/>
        <v>0</v>
      </c>
      <c r="BY501" s="275">
        <f t="shared" si="620"/>
        <v>0</v>
      </c>
      <c r="CA501" s="199">
        <f>'Detailed Budget'!$AD$96</f>
        <v>71050111380.677719</v>
      </c>
      <c r="CB501" s="275">
        <f t="shared" si="564"/>
        <v>57454649.924539432</v>
      </c>
      <c r="CE501" s="199">
        <f>'Detailed Budget'!$AD$175</f>
        <v>4330586076.5988197</v>
      </c>
      <c r="CF501" s="275">
        <f t="shared" si="613"/>
        <v>0</v>
      </c>
      <c r="CG501" s="199">
        <f>'Detailed Budget'!$AD$176</f>
        <v>20662817754.37001</v>
      </c>
      <c r="CH501" s="275">
        <f t="shared" si="614"/>
        <v>0</v>
      </c>
      <c r="CI501" s="275">
        <f t="shared" si="549"/>
        <v>0</v>
      </c>
      <c r="CJ501" s="275">
        <f>'Detailed Budget'!$AD$178</f>
        <v>46025131033.061455</v>
      </c>
      <c r="CK501" s="275">
        <f t="shared" si="615"/>
        <v>0</v>
      </c>
      <c r="CL501" s="275">
        <f t="shared" si="571"/>
        <v>0</v>
      </c>
      <c r="CM501" s="278">
        <f>'Detailed Budget'!$AD$189</f>
        <v>77498869683.252869</v>
      </c>
      <c r="CN501" s="275">
        <f t="shared" si="565"/>
        <v>58416733.026695348</v>
      </c>
      <c r="CO501" s="140">
        <f>'Detailed Budget'!$AD$191</f>
        <v>2684962805.4134097</v>
      </c>
      <c r="CP501" s="616">
        <f t="shared" si="566"/>
        <v>2023858.6192481716</v>
      </c>
      <c r="CQ501" s="616">
        <f t="shared" si="567"/>
        <v>60440591.645943522</v>
      </c>
      <c r="CR501" s="199">
        <f>'Detailed Budget'!$AD$195</f>
        <v>18734176418</v>
      </c>
      <c r="CS501" s="275">
        <f t="shared" si="616"/>
        <v>14170569.534209959</v>
      </c>
      <c r="CW501" s="278"/>
      <c r="DH501" s="140">
        <f>'Detailed Budget'!$AD$163</f>
        <v>4928560000</v>
      </c>
      <c r="DI501" s="616">
        <f t="shared" si="617"/>
        <v>5600000</v>
      </c>
    </row>
    <row r="502" spans="1:113" outlineLevel="1">
      <c r="A502" s="214" t="s">
        <v>1111</v>
      </c>
      <c r="B502" s="215" t="s">
        <v>1112</v>
      </c>
      <c r="C502" s="216" t="s">
        <v>234</v>
      </c>
      <c r="D502" s="217"/>
      <c r="E502" s="216"/>
      <c r="F502" s="216"/>
      <c r="G502" s="216" t="s">
        <v>234</v>
      </c>
      <c r="H502" s="216" t="s">
        <v>234</v>
      </c>
      <c r="I502" s="217" t="s">
        <v>234</v>
      </c>
      <c r="J502" s="217"/>
      <c r="K502" s="216"/>
      <c r="L502" s="216"/>
      <c r="M502" s="216" t="s">
        <v>234</v>
      </c>
      <c r="N502" s="216"/>
      <c r="O502" s="217"/>
      <c r="P502" s="216"/>
      <c r="Q502" s="217"/>
      <c r="R502" s="217" t="s">
        <v>234</v>
      </c>
      <c r="S502" s="217"/>
      <c r="T502" s="217"/>
      <c r="U502" s="218">
        <f t="shared" si="606"/>
        <v>6</v>
      </c>
      <c r="V502" s="867" t="s">
        <v>235</v>
      </c>
      <c r="W502" s="219">
        <v>181894</v>
      </c>
      <c r="X502" s="220">
        <v>2.77</v>
      </c>
      <c r="Y502" s="221">
        <f t="shared" si="621"/>
        <v>1.0277000000000001</v>
      </c>
      <c r="Z502" s="199">
        <v>19</v>
      </c>
      <c r="AA502" s="221">
        <f t="shared" si="622"/>
        <v>1.6805861263966091</v>
      </c>
      <c r="AB502" s="199">
        <f t="shared" si="603"/>
        <v>305688.53287478484</v>
      </c>
      <c r="AC502">
        <v>11.4</v>
      </c>
      <c r="AD502" s="199">
        <f t="shared" si="604"/>
        <v>34848.492747725475</v>
      </c>
      <c r="AE502" s="199">
        <f t="shared" si="623"/>
        <v>33106.068110339198</v>
      </c>
      <c r="AF502" s="199">
        <f t="shared" si="570"/>
        <v>0</v>
      </c>
      <c r="AG502" s="614">
        <f t="shared" si="569"/>
        <v>1.5306792510598334E-3</v>
      </c>
      <c r="AH502" s="199">
        <f t="shared" si="618"/>
        <v>15284.426643739243</v>
      </c>
      <c r="AI502" s="252">
        <f t="shared" si="550"/>
        <v>1.1840613739221126E-3</v>
      </c>
      <c r="AJ502" s="199">
        <f t="shared" si="553"/>
        <v>50132.919391464719</v>
      </c>
      <c r="AK502" s="199">
        <f t="shared" si="572"/>
        <v>12227.541314991395</v>
      </c>
      <c r="AL502" s="199">
        <f t="shared" si="573"/>
        <v>12227.541314991395</v>
      </c>
      <c r="AM502" s="199">
        <f t="shared" si="554"/>
        <v>24455.08262998279</v>
      </c>
      <c r="AN502" s="645">
        <f t="shared" si="555"/>
        <v>1.1840613739221126E-3</v>
      </c>
      <c r="AO502" s="199">
        <v>11</v>
      </c>
      <c r="AP502" s="250">
        <f t="shared" si="556"/>
        <v>1.2498579706851495E-3</v>
      </c>
      <c r="AQ502" s="199">
        <v>11</v>
      </c>
      <c r="AU502" s="199">
        <v>0</v>
      </c>
      <c r="AW502" s="250">
        <f t="shared" si="557"/>
        <v>0</v>
      </c>
      <c r="AX502" s="199">
        <v>1</v>
      </c>
      <c r="AY502" s="199">
        <f t="shared" si="607"/>
        <v>16159.738785704738</v>
      </c>
      <c r="AZ502" s="199">
        <f t="shared" si="558"/>
        <v>16159.738785704738</v>
      </c>
      <c r="BA502" s="252">
        <f t="shared" si="559"/>
        <v>1.2702603341361207E-3</v>
      </c>
      <c r="BB502" s="284">
        <v>0</v>
      </c>
      <c r="BC502" s="199">
        <f t="shared" si="608"/>
        <v>0</v>
      </c>
      <c r="BD502" s="270">
        <f t="shared" si="574"/>
        <v>0</v>
      </c>
      <c r="BE502" s="199">
        <f t="shared" si="609"/>
        <v>0</v>
      </c>
      <c r="BF502" s="251">
        <f t="shared" si="575"/>
        <v>0</v>
      </c>
      <c r="BG502" s="204">
        <f t="shared" si="610"/>
        <v>0</v>
      </c>
      <c r="BH502" s="636">
        <v>1</v>
      </c>
      <c r="BI502" s="199">
        <f t="shared" si="560"/>
        <v>93540.691059684177</v>
      </c>
      <c r="BJ502" s="199">
        <f t="shared" si="561"/>
        <v>187081.38211936835</v>
      </c>
      <c r="BK502" s="199">
        <f t="shared" si="568"/>
        <v>280622.07317905256</v>
      </c>
      <c r="BL502" s="251">
        <f t="shared" si="562"/>
        <v>1.1840613739221128E-3</v>
      </c>
      <c r="BM502" s="199">
        <f t="shared" si="611"/>
        <v>27515.100340861354</v>
      </c>
      <c r="BN502" s="251">
        <f t="shared" si="563"/>
        <v>1.1881876031854519E-3</v>
      </c>
      <c r="BT502" s="199">
        <f>'Detailed Budget'!$AD$12</f>
        <v>194045122715</v>
      </c>
      <c r="BU502" s="199">
        <f>'Detailed Budget'!$AD$24</f>
        <v>194045122715</v>
      </c>
      <c r="BV502" s="596">
        <f t="shared" si="612"/>
        <v>0</v>
      </c>
      <c r="BW502" s="278"/>
      <c r="BX502" s="275">
        <f t="shared" si="619"/>
        <v>0</v>
      </c>
      <c r="BY502" s="275">
        <f t="shared" si="620"/>
        <v>0</v>
      </c>
      <c r="CA502" s="199">
        <f>'Detailed Budget'!$AD$96</f>
        <v>71050111380.677719</v>
      </c>
      <c r="CB502" s="275">
        <f t="shared" si="564"/>
        <v>90252138.222828269</v>
      </c>
      <c r="CE502" s="199">
        <f>'Detailed Budget'!$AD$175</f>
        <v>4330586076.5988197</v>
      </c>
      <c r="CF502" s="275">
        <f t="shared" si="613"/>
        <v>0</v>
      </c>
      <c r="CG502" s="199">
        <f>'Detailed Budget'!$AD$176</f>
        <v>20662817754.37001</v>
      </c>
      <c r="CH502" s="275">
        <f t="shared" si="614"/>
        <v>0</v>
      </c>
      <c r="CI502" s="275">
        <f t="shared" si="549"/>
        <v>0</v>
      </c>
      <c r="CJ502" s="275">
        <f>'Detailed Budget'!$AD$178</f>
        <v>46025131033.061455</v>
      </c>
      <c r="CK502" s="275">
        <f t="shared" si="615"/>
        <v>0</v>
      </c>
      <c r="CL502" s="275">
        <f t="shared" si="571"/>
        <v>0</v>
      </c>
      <c r="CM502" s="278">
        <f>'Detailed Budget'!$AD$189</f>
        <v>77498869683.252869</v>
      </c>
      <c r="CN502" s="275">
        <f t="shared" si="565"/>
        <v>91763418.114563167</v>
      </c>
      <c r="CO502" s="140">
        <f>'Detailed Budget'!$AD$191</f>
        <v>2684962805.4134097</v>
      </c>
      <c r="CP502" s="616">
        <f t="shared" si="566"/>
        <v>3179160.7483075717</v>
      </c>
      <c r="CQ502" s="616">
        <f t="shared" si="567"/>
        <v>94942578.862870738</v>
      </c>
      <c r="CR502" s="199">
        <f>'Detailed Budget'!$AD$195</f>
        <v>18734176418</v>
      </c>
      <c r="CS502" s="275">
        <f t="shared" si="616"/>
        <v>22259716.175756834</v>
      </c>
      <c r="CW502" s="278"/>
      <c r="DH502" s="140">
        <f>'Detailed Budget'!$AD$163</f>
        <v>4928560000</v>
      </c>
      <c r="DI502" s="616">
        <f t="shared" si="617"/>
        <v>6160000</v>
      </c>
    </row>
    <row r="503" spans="1:113" outlineLevel="1">
      <c r="A503" s="214" t="s">
        <v>1113</v>
      </c>
      <c r="B503" s="215" t="s">
        <v>1114</v>
      </c>
      <c r="C503" s="216" t="s">
        <v>234</v>
      </c>
      <c r="D503" s="217"/>
      <c r="E503" s="216"/>
      <c r="F503" s="216"/>
      <c r="G503" s="216" t="s">
        <v>234</v>
      </c>
      <c r="H503" s="216" t="s">
        <v>234</v>
      </c>
      <c r="I503" s="217" t="s">
        <v>234</v>
      </c>
      <c r="J503" s="217"/>
      <c r="K503" s="216"/>
      <c r="L503" s="216"/>
      <c r="M503" s="216" t="s">
        <v>234</v>
      </c>
      <c r="N503" s="216"/>
      <c r="O503" s="217"/>
      <c r="P503" s="216"/>
      <c r="Q503" s="217"/>
      <c r="R503" s="217" t="s">
        <v>234</v>
      </c>
      <c r="S503" s="217"/>
      <c r="T503" s="217"/>
      <c r="U503" s="218">
        <f t="shared" si="606"/>
        <v>6</v>
      </c>
      <c r="V503" s="867" t="s">
        <v>235</v>
      </c>
      <c r="W503" s="219">
        <v>245987</v>
      </c>
      <c r="X503" s="220">
        <v>2.77</v>
      </c>
      <c r="Y503" s="221">
        <f t="shared" si="621"/>
        <v>1.0277000000000001</v>
      </c>
      <c r="Z503" s="199">
        <v>19</v>
      </c>
      <c r="AA503" s="221">
        <f t="shared" si="622"/>
        <v>1.6805861263966091</v>
      </c>
      <c r="AB503" s="199">
        <f t="shared" si="603"/>
        <v>413402.33947392268</v>
      </c>
      <c r="AC503">
        <v>11.4</v>
      </c>
      <c r="AD503" s="199">
        <f t="shared" si="604"/>
        <v>47127.866700027182</v>
      </c>
      <c r="AE503" s="199">
        <f t="shared" si="623"/>
        <v>44771.47336502582</v>
      </c>
      <c r="AF503" s="199">
        <f t="shared" si="570"/>
        <v>0</v>
      </c>
      <c r="AG503" s="614">
        <f t="shared" si="569"/>
        <v>2.070036377947899E-3</v>
      </c>
      <c r="AH503" s="199">
        <f t="shared" si="618"/>
        <v>20670.116973696135</v>
      </c>
      <c r="AI503" s="252">
        <f t="shared" si="550"/>
        <v>1.6012826436659741E-3</v>
      </c>
      <c r="AJ503" s="199">
        <f t="shared" si="553"/>
        <v>67797.983673723313</v>
      </c>
      <c r="AK503" s="199">
        <f t="shared" si="572"/>
        <v>16536.093578956908</v>
      </c>
      <c r="AL503" s="199">
        <f t="shared" si="573"/>
        <v>16536.093578956908</v>
      </c>
      <c r="AM503" s="199">
        <f t="shared" si="554"/>
        <v>33072.187157913817</v>
      </c>
      <c r="AN503" s="645">
        <f t="shared" si="555"/>
        <v>1.6012826436659741E-3</v>
      </c>
      <c r="AO503" s="199">
        <v>11</v>
      </c>
      <c r="AP503" s="250">
        <f t="shared" si="556"/>
        <v>1.2498579706851495E-3</v>
      </c>
      <c r="AQ503" s="199">
        <v>11</v>
      </c>
      <c r="AU503" s="199">
        <v>0</v>
      </c>
      <c r="AW503" s="250">
        <f t="shared" si="557"/>
        <v>0</v>
      </c>
      <c r="AX503" s="199">
        <v>1</v>
      </c>
      <c r="AY503" s="199">
        <f t="shared" si="607"/>
        <v>21853.858096908916</v>
      </c>
      <c r="AZ503" s="199">
        <f t="shared" si="558"/>
        <v>21853.858096908916</v>
      </c>
      <c r="BA503" s="252">
        <f t="shared" si="559"/>
        <v>1.7178550629110465E-3</v>
      </c>
      <c r="BB503" s="284">
        <v>0</v>
      </c>
      <c r="BC503" s="199">
        <f t="shared" si="608"/>
        <v>0</v>
      </c>
      <c r="BD503" s="270">
        <f t="shared" si="574"/>
        <v>0</v>
      </c>
      <c r="BE503" s="199">
        <f t="shared" si="609"/>
        <v>0</v>
      </c>
      <c r="BF503" s="251">
        <f t="shared" si="575"/>
        <v>0</v>
      </c>
      <c r="BG503" s="204">
        <f t="shared" si="610"/>
        <v>0</v>
      </c>
      <c r="BH503" s="636">
        <v>1</v>
      </c>
      <c r="BI503" s="199">
        <f t="shared" si="560"/>
        <v>126501.11587902035</v>
      </c>
      <c r="BJ503" s="199">
        <f t="shared" si="561"/>
        <v>253002.2317580407</v>
      </c>
      <c r="BK503" s="199">
        <f t="shared" si="568"/>
        <v>379503.34763706103</v>
      </c>
      <c r="BL503" s="251">
        <f t="shared" si="562"/>
        <v>1.6012826436659741E-3</v>
      </c>
      <c r="BM503" s="199">
        <f t="shared" si="611"/>
        <v>37210.446675247455</v>
      </c>
      <c r="BN503" s="251">
        <f t="shared" si="563"/>
        <v>1.6068628099045583E-3</v>
      </c>
      <c r="BT503" s="199">
        <f>'Detailed Budget'!$AD$12</f>
        <v>194045122715</v>
      </c>
      <c r="BU503" s="199">
        <f>'Detailed Budget'!$AD$24</f>
        <v>194045122715</v>
      </c>
      <c r="BV503" s="596">
        <f t="shared" si="612"/>
        <v>0</v>
      </c>
      <c r="BW503" s="278"/>
      <c r="BX503" s="275">
        <f t="shared" si="619"/>
        <v>0</v>
      </c>
      <c r="BY503" s="275">
        <f t="shared" si="620"/>
        <v>0</v>
      </c>
      <c r="CA503" s="199">
        <f>'Detailed Budget'!$AD$96</f>
        <v>71050111380.677719</v>
      </c>
      <c r="CB503" s="275">
        <f t="shared" si="564"/>
        <v>122053793.55569099</v>
      </c>
      <c r="CE503" s="199">
        <f>'Detailed Budget'!$AD$175</f>
        <v>4330586076.5988197</v>
      </c>
      <c r="CF503" s="275">
        <f t="shared" si="613"/>
        <v>0</v>
      </c>
      <c r="CG503" s="199">
        <f>'Detailed Budget'!$AD$176</f>
        <v>20662817754.37001</v>
      </c>
      <c r="CH503" s="275">
        <f t="shared" si="614"/>
        <v>0</v>
      </c>
      <c r="CI503" s="275">
        <f t="shared" si="549"/>
        <v>0</v>
      </c>
      <c r="CJ503" s="275">
        <f>'Detailed Budget'!$AD$178</f>
        <v>46025131033.061455</v>
      </c>
      <c r="CK503" s="275">
        <f t="shared" si="615"/>
        <v>0</v>
      </c>
      <c r="CL503" s="275">
        <f t="shared" si="571"/>
        <v>0</v>
      </c>
      <c r="CM503" s="278">
        <f>'Detailed Budget'!$AD$189</f>
        <v>77498869683.252869</v>
      </c>
      <c r="CN503" s="275">
        <f t="shared" si="565"/>
        <v>124097594.92752397</v>
      </c>
      <c r="CO503" s="140">
        <f>'Detailed Budget'!$AD$191</f>
        <v>2684962805.4134097</v>
      </c>
      <c r="CP503" s="616">
        <f t="shared" si="566"/>
        <v>4299384.3391971951</v>
      </c>
      <c r="CQ503" s="616">
        <f t="shared" si="567"/>
        <v>128396979.26672116</v>
      </c>
      <c r="CR503" s="199">
        <f>'Detailed Budget'!$AD$195</f>
        <v>18734176418</v>
      </c>
      <c r="CS503" s="275">
        <f t="shared" si="616"/>
        <v>30103251.360275194</v>
      </c>
      <c r="CW503" s="278"/>
      <c r="DH503" s="140">
        <f>'Detailed Budget'!$AD$163</f>
        <v>4928560000</v>
      </c>
      <c r="DI503" s="616">
        <f t="shared" si="617"/>
        <v>6160000</v>
      </c>
    </row>
    <row r="504" spans="1:113" outlineLevel="1">
      <c r="A504" s="214" t="s">
        <v>1115</v>
      </c>
      <c r="B504" s="215" t="s">
        <v>1116</v>
      </c>
      <c r="C504" s="216" t="s">
        <v>234</v>
      </c>
      <c r="D504" s="217"/>
      <c r="E504" s="216"/>
      <c r="F504" s="216"/>
      <c r="G504" s="216" t="s">
        <v>234</v>
      </c>
      <c r="H504" s="216" t="s">
        <v>234</v>
      </c>
      <c r="I504" s="217" t="s">
        <v>234</v>
      </c>
      <c r="J504" s="217"/>
      <c r="K504" s="216"/>
      <c r="L504" s="216"/>
      <c r="M504" s="216" t="s">
        <v>234</v>
      </c>
      <c r="N504" s="216"/>
      <c r="O504" s="217"/>
      <c r="P504" s="216"/>
      <c r="Q504" s="217"/>
      <c r="R504" s="217" t="s">
        <v>234</v>
      </c>
      <c r="S504" s="217"/>
      <c r="T504" s="217"/>
      <c r="U504" s="218">
        <f t="shared" si="606"/>
        <v>6</v>
      </c>
      <c r="V504" s="867" t="s">
        <v>235</v>
      </c>
      <c r="W504" s="219">
        <v>220662</v>
      </c>
      <c r="X504" s="220">
        <v>2.77</v>
      </c>
      <c r="Y504" s="221">
        <f t="shared" si="621"/>
        <v>1.0277000000000001</v>
      </c>
      <c r="Z504" s="199">
        <v>19</v>
      </c>
      <c r="AA504" s="221">
        <f t="shared" si="622"/>
        <v>1.6805861263966091</v>
      </c>
      <c r="AB504" s="199">
        <f t="shared" si="603"/>
        <v>370841.49582292855</v>
      </c>
      <c r="AC504">
        <v>11.4</v>
      </c>
      <c r="AD504" s="199">
        <f t="shared" si="604"/>
        <v>42275.930523813862</v>
      </c>
      <c r="AE504" s="199">
        <f t="shared" si="623"/>
        <v>40162.133997623168</v>
      </c>
      <c r="AF504" s="199">
        <f t="shared" si="570"/>
        <v>0</v>
      </c>
      <c r="AG504" s="614">
        <f t="shared" si="569"/>
        <v>1.8569207609781795E-3</v>
      </c>
      <c r="AH504" s="199">
        <f t="shared" si="618"/>
        <v>18542.074791146428</v>
      </c>
      <c r="AI504" s="252">
        <f t="shared" si="550"/>
        <v>1.4364264400826921E-3</v>
      </c>
      <c r="AJ504" s="199">
        <f t="shared" si="553"/>
        <v>60818.00531496029</v>
      </c>
      <c r="AK504" s="199">
        <f t="shared" si="572"/>
        <v>14833.659832917143</v>
      </c>
      <c r="AL504" s="199">
        <f t="shared" si="573"/>
        <v>14833.659832917143</v>
      </c>
      <c r="AM504" s="199">
        <f t="shared" si="554"/>
        <v>29667.319665834286</v>
      </c>
      <c r="AN504" s="645">
        <f t="shared" si="555"/>
        <v>1.4364264400826921E-3</v>
      </c>
      <c r="AO504" s="199">
        <v>10</v>
      </c>
      <c r="AP504" s="250">
        <f t="shared" si="556"/>
        <v>1.1362345188046814E-3</v>
      </c>
      <c r="AQ504" s="199">
        <v>10</v>
      </c>
      <c r="AU504" s="199">
        <v>0</v>
      </c>
      <c r="AW504" s="250">
        <f t="shared" si="557"/>
        <v>0</v>
      </c>
      <c r="AX504" s="199">
        <v>1</v>
      </c>
      <c r="AY504" s="199">
        <f t="shared" si="607"/>
        <v>19603.946693850146</v>
      </c>
      <c r="AZ504" s="199">
        <f t="shared" si="558"/>
        <v>19603.946693850146</v>
      </c>
      <c r="BA504" s="252">
        <f t="shared" si="559"/>
        <v>1.5409974262545474E-3</v>
      </c>
      <c r="BB504" s="284">
        <v>0</v>
      </c>
      <c r="BC504" s="199">
        <f t="shared" si="608"/>
        <v>0</v>
      </c>
      <c r="BD504" s="270">
        <f t="shared" si="574"/>
        <v>0</v>
      </c>
      <c r="BE504" s="199">
        <f t="shared" si="609"/>
        <v>0</v>
      </c>
      <c r="BF504" s="251">
        <f t="shared" si="575"/>
        <v>0</v>
      </c>
      <c r="BG504" s="204">
        <f t="shared" si="610"/>
        <v>0</v>
      </c>
      <c r="BH504" s="636">
        <v>1</v>
      </c>
      <c r="BI504" s="199">
        <f t="shared" si="560"/>
        <v>113477.49772181615</v>
      </c>
      <c r="BJ504" s="199">
        <f t="shared" si="561"/>
        <v>226954.9954436323</v>
      </c>
      <c r="BK504" s="199">
        <f t="shared" si="568"/>
        <v>340432.49316544842</v>
      </c>
      <c r="BL504" s="251">
        <f t="shared" si="562"/>
        <v>1.4364264400826921E-3</v>
      </c>
      <c r="BM504" s="199">
        <f t="shared" si="611"/>
        <v>33379.534626843917</v>
      </c>
      <c r="BN504" s="251">
        <f t="shared" si="563"/>
        <v>1.4414321137261711E-3</v>
      </c>
      <c r="BT504" s="199">
        <f>'Detailed Budget'!$AD$12</f>
        <v>194045122715</v>
      </c>
      <c r="BU504" s="199">
        <f>'Detailed Budget'!$AD$24</f>
        <v>194045122715</v>
      </c>
      <c r="BV504" s="596">
        <f t="shared" si="612"/>
        <v>0</v>
      </c>
      <c r="BW504" s="278"/>
      <c r="BX504" s="275">
        <f t="shared" si="619"/>
        <v>0</v>
      </c>
      <c r="BY504" s="275">
        <f t="shared" si="620"/>
        <v>0</v>
      </c>
      <c r="CA504" s="199">
        <f>'Detailed Budget'!$AD$96</f>
        <v>71050111380.677719</v>
      </c>
      <c r="CB504" s="275">
        <f t="shared" si="564"/>
        <v>109488038.77272329</v>
      </c>
      <c r="CE504" s="199">
        <f>'Detailed Budget'!$AD$175</f>
        <v>4330586076.5988197</v>
      </c>
      <c r="CF504" s="275">
        <f t="shared" si="613"/>
        <v>0</v>
      </c>
      <c r="CG504" s="199">
        <f>'Detailed Budget'!$AD$176</f>
        <v>20662817754.37001</v>
      </c>
      <c r="CH504" s="275">
        <f t="shared" si="614"/>
        <v>0</v>
      </c>
      <c r="CI504" s="275">
        <f t="shared" si="549"/>
        <v>0</v>
      </c>
      <c r="CJ504" s="275">
        <f>'Detailed Budget'!$AD$178</f>
        <v>46025131033.061455</v>
      </c>
      <c r="CK504" s="275">
        <f t="shared" si="615"/>
        <v>0</v>
      </c>
      <c r="CL504" s="275">
        <f t="shared" si="571"/>
        <v>0</v>
      </c>
      <c r="CM504" s="278">
        <f>'Detailed Budget'!$AD$189</f>
        <v>77498869683.252869</v>
      </c>
      <c r="CN504" s="275">
        <f t="shared" si="565"/>
        <v>111321425.48954739</v>
      </c>
      <c r="CO504" s="140">
        <f>'Detailed Budget'!$AD$191</f>
        <v>2684962805.4134097</v>
      </c>
      <c r="CP504" s="616">
        <f t="shared" si="566"/>
        <v>3856751.5643344219</v>
      </c>
      <c r="CQ504" s="616">
        <f t="shared" si="567"/>
        <v>115178177.05388181</v>
      </c>
      <c r="CR504" s="199">
        <f>'Detailed Budget'!$AD$195</f>
        <v>18734176418</v>
      </c>
      <c r="CS504" s="275">
        <f t="shared" si="616"/>
        <v>27004043.513116729</v>
      </c>
      <c r="CW504" s="278"/>
      <c r="DH504" s="140">
        <f>'Detailed Budget'!$AD$163</f>
        <v>4928560000</v>
      </c>
      <c r="DI504" s="616">
        <f t="shared" si="617"/>
        <v>5600000</v>
      </c>
    </row>
    <row r="505" spans="1:113" outlineLevel="1">
      <c r="A505" s="214" t="s">
        <v>1117</v>
      </c>
      <c r="B505" s="215" t="s">
        <v>1118</v>
      </c>
      <c r="C505" s="216" t="s">
        <v>234</v>
      </c>
      <c r="D505" s="217"/>
      <c r="E505" s="216"/>
      <c r="F505" s="216"/>
      <c r="G505" s="216" t="s">
        <v>234</v>
      </c>
      <c r="H505" s="216" t="s">
        <v>234</v>
      </c>
      <c r="I505" s="217" t="s">
        <v>234</v>
      </c>
      <c r="J505" s="217"/>
      <c r="K505" s="216"/>
      <c r="L505" s="216"/>
      <c r="M505" s="216" t="s">
        <v>234</v>
      </c>
      <c r="N505" s="216"/>
      <c r="O505" s="217"/>
      <c r="P505" s="216"/>
      <c r="Q505" s="217"/>
      <c r="R505" s="217" t="s">
        <v>234</v>
      </c>
      <c r="S505" s="217"/>
      <c r="T505" s="217"/>
      <c r="U505" s="218">
        <f t="shared" si="606"/>
        <v>6</v>
      </c>
      <c r="V505" s="867" t="s">
        <v>235</v>
      </c>
      <c r="W505" s="219">
        <v>85371</v>
      </c>
      <c r="X505" s="220">
        <v>2.77</v>
      </c>
      <c r="Y505" s="221">
        <f t="shared" si="621"/>
        <v>1.0277000000000001</v>
      </c>
      <c r="Z505" s="199">
        <v>19</v>
      </c>
      <c r="AA505" s="221">
        <f t="shared" si="622"/>
        <v>1.6805861263966091</v>
      </c>
      <c r="AB505" s="199">
        <f t="shared" si="603"/>
        <v>143473.3181966049</v>
      </c>
      <c r="AC505">
        <v>11.4</v>
      </c>
      <c r="AD505" s="199">
        <f t="shared" si="604"/>
        <v>16355.958274412958</v>
      </c>
      <c r="AE505" s="199">
        <f t="shared" si="623"/>
        <v>15538.160360692309</v>
      </c>
      <c r="AF505" s="199">
        <f t="shared" si="570"/>
        <v>0</v>
      </c>
      <c r="AG505" s="614">
        <f t="shared" si="569"/>
        <v>7.184163212762873E-4</v>
      </c>
      <c r="AH505" s="199">
        <f t="shared" si="618"/>
        <v>7173.6659098302453</v>
      </c>
      <c r="AI505" s="252">
        <f t="shared" si="550"/>
        <v>5.5573302886903725E-4</v>
      </c>
      <c r="AJ505" s="199">
        <f t="shared" si="553"/>
        <v>23529.624184243203</v>
      </c>
      <c r="AK505" s="199">
        <f t="shared" si="572"/>
        <v>5738.9327278641958</v>
      </c>
      <c r="AL505" s="199">
        <f t="shared" si="573"/>
        <v>5738.9327278641958</v>
      </c>
      <c r="AM505" s="199">
        <f t="shared" si="554"/>
        <v>11477.865455728392</v>
      </c>
      <c r="AN505" s="645">
        <f t="shared" si="555"/>
        <v>5.5573302886903714E-4</v>
      </c>
      <c r="AO505" s="199">
        <v>10</v>
      </c>
      <c r="AP505" s="250">
        <f t="shared" si="556"/>
        <v>1.1362345188046814E-3</v>
      </c>
      <c r="AQ505" s="199">
        <v>10</v>
      </c>
      <c r="AU505" s="199">
        <v>0</v>
      </c>
      <c r="AW505" s="250">
        <f t="shared" si="557"/>
        <v>0</v>
      </c>
      <c r="AX505" s="199">
        <v>1</v>
      </c>
      <c r="AY505" s="199">
        <f t="shared" si="607"/>
        <v>7584.4890973555957</v>
      </c>
      <c r="AZ505" s="199">
        <f t="shared" si="558"/>
        <v>7584.4890973555957</v>
      </c>
      <c r="BA505" s="252">
        <f t="shared" si="559"/>
        <v>5.9619006116493523E-4</v>
      </c>
      <c r="BB505" s="284">
        <v>0</v>
      </c>
      <c r="BC505" s="199">
        <f t="shared" si="608"/>
        <v>0</v>
      </c>
      <c r="BD505" s="270">
        <f t="shared" si="574"/>
        <v>0</v>
      </c>
      <c r="BE505" s="199">
        <f t="shared" si="609"/>
        <v>0</v>
      </c>
      <c r="BF505" s="251">
        <f t="shared" si="575"/>
        <v>0</v>
      </c>
      <c r="BG505" s="204">
        <f t="shared" si="610"/>
        <v>0</v>
      </c>
      <c r="BH505" s="636">
        <v>1</v>
      </c>
      <c r="BI505" s="199">
        <f t="shared" si="560"/>
        <v>43902.835368161104</v>
      </c>
      <c r="BJ505" s="199">
        <f t="shared" si="561"/>
        <v>87805.670736322209</v>
      </c>
      <c r="BK505" s="199">
        <f t="shared" si="568"/>
        <v>131708.50610448333</v>
      </c>
      <c r="BL505" s="251">
        <f t="shared" si="562"/>
        <v>5.5573302886903736E-4</v>
      </c>
      <c r="BM505" s="199">
        <f t="shared" si="611"/>
        <v>12914.068804906561</v>
      </c>
      <c r="BN505" s="251">
        <f t="shared" si="563"/>
        <v>5.576696530481775E-4</v>
      </c>
      <c r="BT505" s="199">
        <f>'Detailed Budget'!$AD$12</f>
        <v>194045122715</v>
      </c>
      <c r="BU505" s="199">
        <f>'Detailed Budget'!$AD$24</f>
        <v>194045122715</v>
      </c>
      <c r="BV505" s="596">
        <f t="shared" si="612"/>
        <v>0</v>
      </c>
      <c r="BW505" s="278"/>
      <c r="BX505" s="275">
        <f t="shared" si="619"/>
        <v>0</v>
      </c>
      <c r="BY505" s="275">
        <f t="shared" si="620"/>
        <v>0</v>
      </c>
      <c r="CA505" s="199">
        <f>'Detailed Budget'!$AD$96</f>
        <v>71050111380.677719</v>
      </c>
      <c r="CB505" s="275">
        <f t="shared" si="564"/>
        <v>42359370.249821708</v>
      </c>
      <c r="CE505" s="199">
        <f>'Detailed Budget'!$AD$175</f>
        <v>4330586076.5988197</v>
      </c>
      <c r="CF505" s="275">
        <f t="shared" si="613"/>
        <v>0</v>
      </c>
      <c r="CG505" s="199">
        <f>'Detailed Budget'!$AD$176</f>
        <v>20662817754.37001</v>
      </c>
      <c r="CH505" s="275">
        <f t="shared" si="614"/>
        <v>0</v>
      </c>
      <c r="CI505" s="275">
        <f t="shared" si="549"/>
        <v>0</v>
      </c>
      <c r="CJ505" s="275">
        <f>'Detailed Budget'!$AD$178</f>
        <v>46025131033.061455</v>
      </c>
      <c r="CK505" s="275">
        <f t="shared" si="615"/>
        <v>0</v>
      </c>
      <c r="CL505" s="275">
        <f t="shared" si="571"/>
        <v>0</v>
      </c>
      <c r="CM505" s="278">
        <f>'Detailed Budget'!$AD$189</f>
        <v>77498869683.252869</v>
      </c>
      <c r="CN505" s="275">
        <f t="shared" si="565"/>
        <v>43068681.583000928</v>
      </c>
      <c r="CO505" s="140">
        <f>'Detailed Budget'!$AD$191</f>
        <v>2684962805.4134097</v>
      </c>
      <c r="CP505" s="616">
        <f t="shared" si="566"/>
        <v>1492122.5122531014</v>
      </c>
      <c r="CQ505" s="616">
        <f t="shared" si="567"/>
        <v>44560804.095254026</v>
      </c>
      <c r="CR505" s="199">
        <f>'Detailed Budget'!$AD$195</f>
        <v>18734176418</v>
      </c>
      <c r="CS505" s="275">
        <f t="shared" si="616"/>
        <v>10447481.663169408</v>
      </c>
      <c r="CW505" s="278"/>
      <c r="DH505" s="140">
        <f>'Detailed Budget'!$AD$163</f>
        <v>4928560000</v>
      </c>
      <c r="DI505" s="616">
        <f t="shared" si="617"/>
        <v>5600000</v>
      </c>
    </row>
    <row r="506" spans="1:113" outlineLevel="1">
      <c r="A506" s="214" t="s">
        <v>1119</v>
      </c>
      <c r="B506" s="215" t="s">
        <v>1120</v>
      </c>
      <c r="C506" s="216" t="s">
        <v>234</v>
      </c>
      <c r="D506" s="217"/>
      <c r="E506" s="216"/>
      <c r="F506" s="216"/>
      <c r="G506" s="216" t="s">
        <v>234</v>
      </c>
      <c r="H506" s="216" t="s">
        <v>234</v>
      </c>
      <c r="I506" s="217" t="s">
        <v>234</v>
      </c>
      <c r="J506" s="217"/>
      <c r="K506" s="216"/>
      <c r="L506" s="216"/>
      <c r="M506" s="216" t="s">
        <v>234</v>
      </c>
      <c r="N506" s="216"/>
      <c r="O506" s="217"/>
      <c r="P506" s="216"/>
      <c r="Q506" s="217"/>
      <c r="R506" s="217" t="s">
        <v>234</v>
      </c>
      <c r="S506" s="217"/>
      <c r="T506" s="217"/>
      <c r="U506" s="218">
        <f t="shared" si="606"/>
        <v>6</v>
      </c>
      <c r="V506" s="867" t="s">
        <v>235</v>
      </c>
      <c r="W506" s="219">
        <v>58139</v>
      </c>
      <c r="X506" s="220">
        <v>2.77</v>
      </c>
      <c r="Y506" s="221">
        <f t="shared" si="621"/>
        <v>1.0277000000000001</v>
      </c>
      <c r="Z506" s="199">
        <v>19</v>
      </c>
      <c r="AA506" s="221">
        <f t="shared" si="622"/>
        <v>1.6805861263966091</v>
      </c>
      <c r="AB506" s="199">
        <f t="shared" si="603"/>
        <v>97707.596802572458</v>
      </c>
      <c r="AC506">
        <v>11.4</v>
      </c>
      <c r="AD506" s="199">
        <f t="shared" si="604"/>
        <v>11138.666035493261</v>
      </c>
      <c r="AE506" s="199">
        <f t="shared" si="623"/>
        <v>10581.732733718598</v>
      </c>
      <c r="AF506" s="199">
        <f t="shared" si="570"/>
        <v>0</v>
      </c>
      <c r="AG506" s="614">
        <f t="shared" si="569"/>
        <v>4.8925286693001229E-4</v>
      </c>
      <c r="AH506" s="199">
        <f t="shared" si="618"/>
        <v>4885.3798401286231</v>
      </c>
      <c r="AI506" s="252">
        <f t="shared" si="550"/>
        <v>3.7846297414130043E-4</v>
      </c>
      <c r="AJ506" s="199">
        <f t="shared" si="553"/>
        <v>16024.045875621883</v>
      </c>
      <c r="AK506" s="199">
        <f t="shared" si="572"/>
        <v>3908.3038721028984</v>
      </c>
      <c r="AL506" s="199">
        <f t="shared" si="573"/>
        <v>3908.3038721028984</v>
      </c>
      <c r="AM506" s="199">
        <f t="shared" si="554"/>
        <v>7816.6077442057967</v>
      </c>
      <c r="AN506" s="645">
        <f t="shared" si="555"/>
        <v>3.7846297414130043E-4</v>
      </c>
      <c r="AO506" s="199">
        <v>10</v>
      </c>
      <c r="AP506" s="250">
        <f t="shared" si="556"/>
        <v>1.1362345188046814E-3</v>
      </c>
      <c r="AQ506" s="199">
        <v>10</v>
      </c>
      <c r="AU506" s="199">
        <v>0</v>
      </c>
      <c r="AW506" s="250">
        <f t="shared" si="557"/>
        <v>0</v>
      </c>
      <c r="AX506" s="199">
        <v>1</v>
      </c>
      <c r="AY506" s="199">
        <f t="shared" si="607"/>
        <v>5165.156922504797</v>
      </c>
      <c r="AZ506" s="199">
        <f t="shared" si="558"/>
        <v>5165.156922504797</v>
      </c>
      <c r="BA506" s="252">
        <f t="shared" si="559"/>
        <v>4.0601485242140978E-4</v>
      </c>
      <c r="BB506" s="284">
        <v>0</v>
      </c>
      <c r="BC506" s="199">
        <f t="shared" si="608"/>
        <v>0</v>
      </c>
      <c r="BD506" s="270">
        <f t="shared" si="574"/>
        <v>0</v>
      </c>
      <c r="BE506" s="199">
        <f t="shared" si="609"/>
        <v>0</v>
      </c>
      <c r="BF506" s="251">
        <f t="shared" si="575"/>
        <v>0</v>
      </c>
      <c r="BG506" s="204">
        <f t="shared" si="610"/>
        <v>0</v>
      </c>
      <c r="BH506" s="636">
        <v>1</v>
      </c>
      <c r="BI506" s="199">
        <f t="shared" si="560"/>
        <v>29898.52462158717</v>
      </c>
      <c r="BJ506" s="199">
        <f t="shared" si="561"/>
        <v>59797.049243174341</v>
      </c>
      <c r="BK506" s="199">
        <f t="shared" si="568"/>
        <v>89695.573864761507</v>
      </c>
      <c r="BL506" s="251">
        <f t="shared" si="562"/>
        <v>3.7846297414130038E-4</v>
      </c>
      <c r="BM506" s="199">
        <f t="shared" si="611"/>
        <v>8794.6849193339967</v>
      </c>
      <c r="BN506" s="251">
        <f t="shared" si="563"/>
        <v>3.7978184580909197E-4</v>
      </c>
      <c r="BT506" s="199">
        <f>'Detailed Budget'!$AD$12</f>
        <v>194045122715</v>
      </c>
      <c r="BU506" s="199">
        <f>'Detailed Budget'!$AD$24</f>
        <v>194045122715</v>
      </c>
      <c r="BV506" s="596">
        <f t="shared" si="612"/>
        <v>0</v>
      </c>
      <c r="BW506" s="278"/>
      <c r="BX506" s="275">
        <f t="shared" si="619"/>
        <v>0</v>
      </c>
      <c r="BY506" s="275">
        <f t="shared" si="620"/>
        <v>0</v>
      </c>
      <c r="CA506" s="199">
        <f>'Detailed Budget'!$AD$96</f>
        <v>71050111380.677719</v>
      </c>
      <c r="CB506" s="275">
        <f t="shared" si="564"/>
        <v>28847400.486750592</v>
      </c>
      <c r="CE506" s="199">
        <f>'Detailed Budget'!$AD$175</f>
        <v>4330586076.5988197</v>
      </c>
      <c r="CF506" s="275">
        <f t="shared" si="613"/>
        <v>0</v>
      </c>
      <c r="CG506" s="199">
        <f>'Detailed Budget'!$AD$176</f>
        <v>20662817754.37001</v>
      </c>
      <c r="CH506" s="275">
        <f t="shared" si="614"/>
        <v>0</v>
      </c>
      <c r="CI506" s="275">
        <f t="shared" si="549"/>
        <v>0</v>
      </c>
      <c r="CJ506" s="275">
        <f>'Detailed Budget'!$AD$178</f>
        <v>46025131033.061455</v>
      </c>
      <c r="CK506" s="275">
        <f t="shared" si="615"/>
        <v>0</v>
      </c>
      <c r="CL506" s="275">
        <f t="shared" si="571"/>
        <v>0</v>
      </c>
      <c r="CM506" s="278">
        <f>'Detailed Budget'!$AD$189</f>
        <v>77498869683.252869</v>
      </c>
      <c r="CN506" s="275">
        <f t="shared" si="565"/>
        <v>29330452.712912939</v>
      </c>
      <c r="CO506" s="140">
        <f>'Detailed Budget'!$AD$191</f>
        <v>2684962805.4134097</v>
      </c>
      <c r="CP506" s="616">
        <f t="shared" si="566"/>
        <v>1016159.0087955288</v>
      </c>
      <c r="CQ506" s="616">
        <f t="shared" si="567"/>
        <v>30346611.721708469</v>
      </c>
      <c r="CR506" s="199">
        <f>'Detailed Budget'!$AD$195</f>
        <v>18734176418</v>
      </c>
      <c r="CS506" s="275">
        <f t="shared" si="616"/>
        <v>7114900.0997412028</v>
      </c>
      <c r="CW506" s="278"/>
      <c r="DH506" s="140">
        <f>'Detailed Budget'!$AD$163</f>
        <v>4928560000</v>
      </c>
      <c r="DI506" s="616">
        <f t="shared" si="617"/>
        <v>5600000</v>
      </c>
    </row>
    <row r="507" spans="1:113" outlineLevel="1">
      <c r="A507" s="214" t="s">
        <v>1121</v>
      </c>
      <c r="B507" s="215" t="s">
        <v>1122</v>
      </c>
      <c r="C507" s="216" t="s">
        <v>234</v>
      </c>
      <c r="D507" s="217"/>
      <c r="E507" s="216"/>
      <c r="F507" s="216"/>
      <c r="G507" s="216" t="s">
        <v>234</v>
      </c>
      <c r="H507" s="216" t="s">
        <v>234</v>
      </c>
      <c r="I507" s="217" t="s">
        <v>234</v>
      </c>
      <c r="J507" s="217"/>
      <c r="K507" s="216"/>
      <c r="L507" s="216"/>
      <c r="M507" s="216" t="s">
        <v>234</v>
      </c>
      <c r="N507" s="216"/>
      <c r="O507" s="217"/>
      <c r="P507" s="216"/>
      <c r="Q507" s="217"/>
      <c r="R507" s="217" t="s">
        <v>234</v>
      </c>
      <c r="S507" s="217"/>
      <c r="T507" s="217"/>
      <c r="U507" s="218">
        <f t="shared" si="606"/>
        <v>6</v>
      </c>
      <c r="V507" s="867" t="s">
        <v>235</v>
      </c>
      <c r="W507" s="219">
        <v>87367</v>
      </c>
      <c r="X507" s="220">
        <v>2.77</v>
      </c>
      <c r="Y507" s="221">
        <f t="shared" si="621"/>
        <v>1.0277000000000001</v>
      </c>
      <c r="Z507" s="199">
        <v>19</v>
      </c>
      <c r="AA507" s="221">
        <f t="shared" si="622"/>
        <v>1.6805861263966091</v>
      </c>
      <c r="AB507" s="199">
        <f t="shared" si="603"/>
        <v>146827.76810489254</v>
      </c>
      <c r="AC507">
        <v>11.4</v>
      </c>
      <c r="AD507" s="199">
        <f t="shared" si="604"/>
        <v>16738.365563957748</v>
      </c>
      <c r="AE507" s="199">
        <f t="shared" si="623"/>
        <v>15901.447285759859</v>
      </c>
      <c r="AF507" s="199">
        <f t="shared" si="570"/>
        <v>0</v>
      </c>
      <c r="AG507" s="614">
        <f t="shared" si="569"/>
        <v>7.3521311383192638E-4</v>
      </c>
      <c r="AH507" s="199">
        <f t="shared" si="618"/>
        <v>7341.3884052446274</v>
      </c>
      <c r="AI507" s="252">
        <f t="shared" si="550"/>
        <v>5.68726236464387E-4</v>
      </c>
      <c r="AJ507" s="199">
        <f t="shared" si="553"/>
        <v>24079.753969202375</v>
      </c>
      <c r="AK507" s="199">
        <f t="shared" si="572"/>
        <v>5873.1107241957016</v>
      </c>
      <c r="AL507" s="199">
        <f t="shared" si="573"/>
        <v>5873.1107241957016</v>
      </c>
      <c r="AM507" s="199">
        <f t="shared" si="554"/>
        <v>11746.221448391403</v>
      </c>
      <c r="AN507" s="645">
        <f t="shared" si="555"/>
        <v>5.6872623646438689E-4</v>
      </c>
      <c r="AO507" s="199">
        <v>10</v>
      </c>
      <c r="AP507" s="250">
        <f t="shared" si="556"/>
        <v>1.1362345188046814E-3</v>
      </c>
      <c r="AQ507" s="199">
        <v>10</v>
      </c>
      <c r="AU507" s="199">
        <v>0</v>
      </c>
      <c r="AW507" s="250">
        <f t="shared" si="557"/>
        <v>0</v>
      </c>
      <c r="AX507" s="199">
        <v>1</v>
      </c>
      <c r="AY507" s="199">
        <f t="shared" si="607"/>
        <v>7761.8167641080272</v>
      </c>
      <c r="AZ507" s="199">
        <f t="shared" si="558"/>
        <v>7761.8167641080272</v>
      </c>
      <c r="BA507" s="252">
        <f t="shared" si="559"/>
        <v>6.101291665061544E-4</v>
      </c>
      <c r="BB507" s="284">
        <v>0</v>
      </c>
      <c r="BC507" s="199">
        <f t="shared" si="608"/>
        <v>0</v>
      </c>
      <c r="BD507" s="270">
        <f t="shared" si="574"/>
        <v>0</v>
      </c>
      <c r="BE507" s="199">
        <f t="shared" si="609"/>
        <v>0</v>
      </c>
      <c r="BF507" s="251">
        <f t="shared" si="575"/>
        <v>0</v>
      </c>
      <c r="BG507" s="204">
        <f t="shared" si="610"/>
        <v>0</v>
      </c>
      <c r="BH507" s="636">
        <v>1</v>
      </c>
      <c r="BI507" s="199">
        <f t="shared" si="560"/>
        <v>44929.297040097117</v>
      </c>
      <c r="BJ507" s="199">
        <f t="shared" si="561"/>
        <v>89858.594080194234</v>
      </c>
      <c r="BK507" s="199">
        <f t="shared" si="568"/>
        <v>134787.89112029134</v>
      </c>
      <c r="BL507" s="251">
        <f t="shared" si="562"/>
        <v>5.6872623646438689E-4</v>
      </c>
      <c r="BM507" s="199">
        <f t="shared" si="611"/>
        <v>13216.003669609956</v>
      </c>
      <c r="BN507" s="251">
        <f t="shared" si="563"/>
        <v>5.7070813950709399E-4</v>
      </c>
      <c r="BT507" s="199">
        <f>'Detailed Budget'!$AD$12</f>
        <v>194045122715</v>
      </c>
      <c r="BU507" s="199">
        <f>'Detailed Budget'!$AD$24</f>
        <v>194045122715</v>
      </c>
      <c r="BV507" s="596">
        <f t="shared" si="612"/>
        <v>0</v>
      </c>
      <c r="BW507" s="278"/>
      <c r="BX507" s="275">
        <f t="shared" si="619"/>
        <v>0</v>
      </c>
      <c r="BY507" s="275">
        <f t="shared" si="620"/>
        <v>0</v>
      </c>
      <c r="CA507" s="199">
        <f>'Detailed Budget'!$AD$96</f>
        <v>71050111380.677719</v>
      </c>
      <c r="CB507" s="275">
        <f t="shared" si="564"/>
        <v>43349745.236862332</v>
      </c>
      <c r="CE507" s="199">
        <f>'Detailed Budget'!$AD$175</f>
        <v>4330586076.5988197</v>
      </c>
      <c r="CF507" s="275">
        <f t="shared" si="613"/>
        <v>0</v>
      </c>
      <c r="CG507" s="199">
        <f>'Detailed Budget'!$AD$176</f>
        <v>20662817754.37001</v>
      </c>
      <c r="CH507" s="275">
        <f t="shared" si="614"/>
        <v>0</v>
      </c>
      <c r="CI507" s="275">
        <f t="shared" si="549"/>
        <v>0</v>
      </c>
      <c r="CJ507" s="275">
        <f>'Detailed Budget'!$AD$178</f>
        <v>46025131033.061455</v>
      </c>
      <c r="CK507" s="275">
        <f t="shared" si="615"/>
        <v>0</v>
      </c>
      <c r="CL507" s="275">
        <f t="shared" si="571"/>
        <v>0</v>
      </c>
      <c r="CM507" s="278">
        <f>'Detailed Budget'!$AD$189</f>
        <v>77498869683.252869</v>
      </c>
      <c r="CN507" s="275">
        <f t="shared" si="565"/>
        <v>44075640.485200375</v>
      </c>
      <c r="CO507" s="140">
        <f>'Detailed Budget'!$AD$191</f>
        <v>2684962805.4134097</v>
      </c>
      <c r="CP507" s="616">
        <f t="shared" si="566"/>
        <v>1527008.7913696305</v>
      </c>
      <c r="CQ507" s="616">
        <f t="shared" si="567"/>
        <v>45602649.276570007</v>
      </c>
      <c r="CR507" s="199">
        <f>'Detailed Budget'!$AD$195</f>
        <v>18734176418</v>
      </c>
      <c r="CS507" s="275">
        <f t="shared" si="616"/>
        <v>10691746.968714455</v>
      </c>
      <c r="CW507" s="278"/>
      <c r="DH507" s="140">
        <f>'Detailed Budget'!$AD$163</f>
        <v>4928560000</v>
      </c>
      <c r="DI507" s="616">
        <f t="shared" si="617"/>
        <v>5600000</v>
      </c>
    </row>
    <row r="508" spans="1:113" outlineLevel="1">
      <c r="A508" s="214" t="s">
        <v>1127</v>
      </c>
      <c r="B508" s="215" t="s">
        <v>1124</v>
      </c>
      <c r="C508" s="216" t="s">
        <v>234</v>
      </c>
      <c r="D508" s="217"/>
      <c r="E508" s="216"/>
      <c r="F508" s="216"/>
      <c r="G508" s="216" t="s">
        <v>234</v>
      </c>
      <c r="H508" s="216" t="s">
        <v>234</v>
      </c>
      <c r="I508" s="217" t="s">
        <v>234</v>
      </c>
      <c r="J508" s="217"/>
      <c r="K508" s="216"/>
      <c r="L508" s="216"/>
      <c r="M508" s="216" t="s">
        <v>234</v>
      </c>
      <c r="N508" s="216"/>
      <c r="O508" s="217"/>
      <c r="P508" s="216"/>
      <c r="Q508" s="217"/>
      <c r="R508" s="217" t="s">
        <v>234</v>
      </c>
      <c r="S508" s="217"/>
      <c r="T508" s="217"/>
      <c r="U508" s="218">
        <f t="shared" si="606"/>
        <v>6</v>
      </c>
      <c r="V508" s="867" t="s">
        <v>235</v>
      </c>
      <c r="W508" s="219">
        <v>223134</v>
      </c>
      <c r="X508" s="220">
        <v>2.77</v>
      </c>
      <c r="Y508" s="221">
        <f t="shared" si="621"/>
        <v>1.0277000000000001</v>
      </c>
      <c r="Z508" s="199">
        <v>19</v>
      </c>
      <c r="AA508" s="221">
        <f t="shared" si="622"/>
        <v>1.6805861263966091</v>
      </c>
      <c r="AB508" s="199">
        <f t="shared" si="603"/>
        <v>374995.90472738096</v>
      </c>
      <c r="AC508">
        <v>11.4</v>
      </c>
      <c r="AD508" s="199">
        <f t="shared" si="604"/>
        <v>42749.533138921426</v>
      </c>
      <c r="AE508" s="199">
        <f t="shared" si="623"/>
        <v>40612.056481975356</v>
      </c>
      <c r="AF508" s="199">
        <f t="shared" si="570"/>
        <v>0</v>
      </c>
      <c r="AG508" s="614">
        <f t="shared" si="569"/>
        <v>1.8777232014579085E-3</v>
      </c>
      <c r="AH508" s="199">
        <f t="shared" si="618"/>
        <v>18749.795236369049</v>
      </c>
      <c r="AI508" s="252">
        <f t="shared" si="550"/>
        <v>1.4525182282468727E-3</v>
      </c>
      <c r="AJ508" s="199">
        <f t="shared" si="553"/>
        <v>61499.328375290475</v>
      </c>
      <c r="AK508" s="199">
        <f t="shared" si="572"/>
        <v>14999.836189095238</v>
      </c>
      <c r="AL508" s="199">
        <f t="shared" si="573"/>
        <v>14999.836189095238</v>
      </c>
      <c r="AM508" s="199">
        <f t="shared" si="554"/>
        <v>29999.672378190477</v>
      </c>
      <c r="AN508" s="645">
        <f t="shared" si="555"/>
        <v>1.4525182282468724E-3</v>
      </c>
      <c r="AO508" s="199">
        <v>12</v>
      </c>
      <c r="AP508" s="250">
        <f t="shared" si="556"/>
        <v>1.3634814225656176E-3</v>
      </c>
      <c r="AQ508" s="199">
        <v>12</v>
      </c>
      <c r="AU508" s="199">
        <v>0</v>
      </c>
      <c r="AW508" s="250">
        <f t="shared" si="557"/>
        <v>0</v>
      </c>
      <c r="AX508" s="199">
        <v>1</v>
      </c>
      <c r="AY508" s="199">
        <f t="shared" si="607"/>
        <v>19823.562922413275</v>
      </c>
      <c r="AZ508" s="199">
        <f t="shared" si="558"/>
        <v>19823.562922413275</v>
      </c>
      <c r="BA508" s="252">
        <f t="shared" si="559"/>
        <v>1.5582606869777404E-3</v>
      </c>
      <c r="BB508" s="284">
        <v>0</v>
      </c>
      <c r="BC508" s="199">
        <f t="shared" si="608"/>
        <v>0</v>
      </c>
      <c r="BD508" s="270">
        <f t="shared" si="574"/>
        <v>0</v>
      </c>
      <c r="BE508" s="199">
        <f t="shared" si="609"/>
        <v>0</v>
      </c>
      <c r="BF508" s="251">
        <f t="shared" si="575"/>
        <v>0</v>
      </c>
      <c r="BG508" s="204">
        <f t="shared" si="610"/>
        <v>0</v>
      </c>
      <c r="BH508" s="636">
        <v>1</v>
      </c>
      <c r="BI508" s="199">
        <f t="shared" si="560"/>
        <v>114748.74684657855</v>
      </c>
      <c r="BJ508" s="199">
        <f t="shared" si="561"/>
        <v>229497.4936931571</v>
      </c>
      <c r="BK508" s="199">
        <f t="shared" si="568"/>
        <v>344246.24053973565</v>
      </c>
      <c r="BL508" s="251">
        <f t="shared" si="562"/>
        <v>1.4525182282468722E-3</v>
      </c>
      <c r="BM508" s="199">
        <f t="shared" si="611"/>
        <v>33753.473998360343</v>
      </c>
      <c r="BN508" s="251">
        <f t="shared" si="563"/>
        <v>1.4575799787193782E-3</v>
      </c>
      <c r="BT508" s="199">
        <f>'Detailed Budget'!$AD$12</f>
        <v>194045122715</v>
      </c>
      <c r="BU508" s="199">
        <f>'Detailed Budget'!$AD$24</f>
        <v>194045122715</v>
      </c>
      <c r="BV508" s="596">
        <f t="shared" si="612"/>
        <v>0</v>
      </c>
      <c r="BW508" s="278"/>
      <c r="BX508" s="275">
        <f t="shared" si="619"/>
        <v>0</v>
      </c>
      <c r="BY508" s="275">
        <f t="shared" si="620"/>
        <v>0</v>
      </c>
      <c r="CA508" s="199">
        <f>'Detailed Budget'!$AD$96</f>
        <v>71050111380.677719</v>
      </c>
      <c r="CB508" s="275">
        <f t="shared" si="564"/>
        <v>110714595.36989984</v>
      </c>
      <c r="CE508" s="199">
        <f>'Detailed Budget'!$AD$175</f>
        <v>4330586076.5988197</v>
      </c>
      <c r="CF508" s="275">
        <f t="shared" si="613"/>
        <v>0</v>
      </c>
      <c r="CG508" s="199">
        <f>'Detailed Budget'!$AD$176</f>
        <v>20662817754.37001</v>
      </c>
      <c r="CH508" s="275">
        <f t="shared" si="614"/>
        <v>0</v>
      </c>
      <c r="CI508" s="275">
        <f t="shared" si="549"/>
        <v>0</v>
      </c>
      <c r="CJ508" s="275">
        <f>'Detailed Budget'!$AD$178</f>
        <v>46025131033.061455</v>
      </c>
      <c r="CK508" s="275">
        <f t="shared" si="615"/>
        <v>0</v>
      </c>
      <c r="CL508" s="275">
        <f t="shared" si="571"/>
        <v>0</v>
      </c>
      <c r="CM508" s="278">
        <f>'Detailed Budget'!$AD$189</f>
        <v>77498869683.252869</v>
      </c>
      <c r="CN508" s="275">
        <f t="shared" si="565"/>
        <v>112568520.8834537</v>
      </c>
      <c r="CO508" s="140">
        <f>'Detailed Budget'!$AD$191</f>
        <v>2684962805.4134097</v>
      </c>
      <c r="CP508" s="616">
        <f t="shared" si="566"/>
        <v>3899957.4170278381</v>
      </c>
      <c r="CQ508" s="616">
        <f t="shared" si="567"/>
        <v>116468478.30048153</v>
      </c>
      <c r="CR508" s="199">
        <f>'Detailed Budget'!$AD$195</f>
        <v>18734176418</v>
      </c>
      <c r="CS508" s="275">
        <f t="shared" si="616"/>
        <v>27306560.464673515</v>
      </c>
      <c r="CW508" s="278"/>
      <c r="DH508" s="140">
        <f>'Detailed Budget'!$AD$163</f>
        <v>4928560000</v>
      </c>
      <c r="DI508" s="616">
        <f t="shared" si="617"/>
        <v>6720000</v>
      </c>
    </row>
    <row r="509" spans="1:113" outlineLevel="1">
      <c r="A509" s="214" t="s">
        <v>1123</v>
      </c>
      <c r="B509" s="215" t="s">
        <v>1126</v>
      </c>
      <c r="C509" s="216" t="s">
        <v>234</v>
      </c>
      <c r="D509" s="217"/>
      <c r="E509" s="216"/>
      <c r="F509" s="216"/>
      <c r="G509" s="216" t="s">
        <v>234</v>
      </c>
      <c r="H509" s="216" t="s">
        <v>234</v>
      </c>
      <c r="I509" s="217" t="s">
        <v>234</v>
      </c>
      <c r="J509" s="217"/>
      <c r="K509" s="216"/>
      <c r="L509" s="216"/>
      <c r="M509" s="216" t="s">
        <v>234</v>
      </c>
      <c r="N509" s="216"/>
      <c r="O509" s="217"/>
      <c r="P509" s="216"/>
      <c r="Q509" s="217"/>
      <c r="R509" s="217" t="s">
        <v>234</v>
      </c>
      <c r="S509" s="217"/>
      <c r="T509" s="217"/>
      <c r="U509" s="218">
        <f t="shared" si="606"/>
        <v>6</v>
      </c>
      <c r="V509" s="867" t="s">
        <v>235</v>
      </c>
      <c r="W509" s="219">
        <v>139058</v>
      </c>
      <c r="X509" s="220">
        <v>2.77</v>
      </c>
      <c r="Y509" s="221">
        <f t="shared" si="621"/>
        <v>1.0277000000000001</v>
      </c>
      <c r="Z509" s="199">
        <v>19</v>
      </c>
      <c r="AA509" s="221">
        <f t="shared" si="622"/>
        <v>1.6805861263966091</v>
      </c>
      <c r="AB509" s="199">
        <f t="shared" si="603"/>
        <v>233698.94556445966</v>
      </c>
      <c r="AC509">
        <v>11.4</v>
      </c>
      <c r="AD509" s="199">
        <f t="shared" si="604"/>
        <v>26641.679794348405</v>
      </c>
      <c r="AE509" s="199">
        <f t="shared" si="623"/>
        <v>25309.595804630982</v>
      </c>
      <c r="AF509" s="199">
        <f t="shared" si="570"/>
        <v>0</v>
      </c>
      <c r="AG509" s="614">
        <f t="shared" si="569"/>
        <v>1.1702045987986315E-3</v>
      </c>
      <c r="AH509" s="199">
        <f t="shared" si="618"/>
        <v>11684.947278222984</v>
      </c>
      <c r="AI509" s="252">
        <f t="shared" si="550"/>
        <v>9.052151612195077E-4</v>
      </c>
      <c r="AJ509" s="199">
        <f t="shared" si="553"/>
        <v>38326.627072571391</v>
      </c>
      <c r="AK509" s="199">
        <f t="shared" si="572"/>
        <v>9347.9578225783862</v>
      </c>
      <c r="AL509" s="199">
        <f t="shared" si="573"/>
        <v>9347.9578225783862</v>
      </c>
      <c r="AM509" s="199">
        <f t="shared" si="554"/>
        <v>18695.915645156772</v>
      </c>
      <c r="AN509" s="645">
        <f t="shared" si="555"/>
        <v>9.0521516121950759E-4</v>
      </c>
      <c r="AO509" s="199">
        <v>10</v>
      </c>
      <c r="AP509" s="250">
        <f t="shared" si="556"/>
        <v>1.1362345188046814E-3</v>
      </c>
      <c r="AQ509" s="199">
        <v>10</v>
      </c>
      <c r="AU509" s="199">
        <v>0</v>
      </c>
      <c r="AW509" s="250">
        <f t="shared" si="557"/>
        <v>0</v>
      </c>
      <c r="AX509" s="199">
        <v>1</v>
      </c>
      <c r="AY509" s="199">
        <f t="shared" si="607"/>
        <v>12354.123588807377</v>
      </c>
      <c r="AZ509" s="199">
        <f t="shared" si="558"/>
        <v>12354.123588807377</v>
      </c>
      <c r="BA509" s="252">
        <f t="shared" si="559"/>
        <v>9.7111428383729343E-4</v>
      </c>
      <c r="BB509" s="284">
        <v>0</v>
      </c>
      <c r="BC509" s="199">
        <f t="shared" si="608"/>
        <v>0</v>
      </c>
      <c r="BD509" s="270">
        <f t="shared" si="574"/>
        <v>0</v>
      </c>
      <c r="BE509" s="199">
        <f t="shared" si="609"/>
        <v>0</v>
      </c>
      <c r="BF509" s="251">
        <f t="shared" si="575"/>
        <v>0</v>
      </c>
      <c r="BG509" s="204">
        <f t="shared" si="610"/>
        <v>0</v>
      </c>
      <c r="BH509" s="636">
        <v>1</v>
      </c>
      <c r="BI509" s="199">
        <f t="shared" si="560"/>
        <v>71511.877342724649</v>
      </c>
      <c r="BJ509" s="199">
        <f t="shared" si="561"/>
        <v>143023.7546854493</v>
      </c>
      <c r="BK509" s="199">
        <f t="shared" si="568"/>
        <v>214535.63202817395</v>
      </c>
      <c r="BL509" s="251">
        <f t="shared" si="562"/>
        <v>9.0521516121950748E-4</v>
      </c>
      <c r="BM509" s="199">
        <f t="shared" si="611"/>
        <v>21035.299807577478</v>
      </c>
      <c r="BN509" s="251">
        <f t="shared" si="563"/>
        <v>9.0836966433066818E-4</v>
      </c>
      <c r="BT509" s="199">
        <f>'Detailed Budget'!$AD$12</f>
        <v>194045122715</v>
      </c>
      <c r="BU509" s="199">
        <f>'Detailed Budget'!$AD$24</f>
        <v>194045122715</v>
      </c>
      <c r="BV509" s="596">
        <f t="shared" si="612"/>
        <v>0</v>
      </c>
      <c r="BW509" s="278"/>
      <c r="BX509" s="275">
        <f t="shared" si="619"/>
        <v>0</v>
      </c>
      <c r="BY509" s="275">
        <f t="shared" si="620"/>
        <v>0</v>
      </c>
      <c r="CA509" s="199">
        <f>'Detailed Budget'!$AD$96</f>
        <v>71050111380.677719</v>
      </c>
      <c r="CB509" s="275">
        <f t="shared" si="564"/>
        <v>68997778.030006781</v>
      </c>
      <c r="CE509" s="199">
        <f>'Detailed Budget'!$AD$175</f>
        <v>4330586076.5988197</v>
      </c>
      <c r="CF509" s="275">
        <f t="shared" si="613"/>
        <v>0</v>
      </c>
      <c r="CG509" s="199">
        <f>'Detailed Budget'!$AD$176</f>
        <v>20662817754.37001</v>
      </c>
      <c r="CH509" s="275">
        <f t="shared" si="614"/>
        <v>0</v>
      </c>
      <c r="CI509" s="275">
        <f t="shared" si="549"/>
        <v>0</v>
      </c>
      <c r="CJ509" s="275">
        <f>'Detailed Budget'!$AD$178</f>
        <v>46025131033.061455</v>
      </c>
      <c r="CK509" s="275">
        <f t="shared" si="615"/>
        <v>0</v>
      </c>
      <c r="CL509" s="275">
        <f t="shared" si="571"/>
        <v>0</v>
      </c>
      <c r="CM509" s="278">
        <f>'Detailed Budget'!$AD$189</f>
        <v>77498869683.252869</v>
      </c>
      <c r="CN509" s="275">
        <f t="shared" si="565"/>
        <v>70153151.814655349</v>
      </c>
      <c r="CO509" s="140">
        <f>'Detailed Budget'!$AD$191</f>
        <v>2684962805.4134097</v>
      </c>
      <c r="CP509" s="616">
        <f t="shared" si="566"/>
        <v>2430469.0387706812</v>
      </c>
      <c r="CQ509" s="616">
        <f t="shared" si="567"/>
        <v>72583620.853426024</v>
      </c>
      <c r="CR509" s="199">
        <f>'Detailed Budget'!$AD$195</f>
        <v>18734176418</v>
      </c>
      <c r="CS509" s="275">
        <f t="shared" si="616"/>
        <v>17017557.54433018</v>
      </c>
      <c r="CW509" s="278"/>
      <c r="DH509" s="140">
        <f>'Detailed Budget'!$AD$163</f>
        <v>4928560000</v>
      </c>
      <c r="DI509" s="616">
        <f t="shared" si="617"/>
        <v>5600000</v>
      </c>
    </row>
    <row r="510" spans="1:113" outlineLevel="1">
      <c r="A510" s="214" t="s">
        <v>1125</v>
      </c>
      <c r="B510" s="215" t="s">
        <v>1128</v>
      </c>
      <c r="C510" s="216" t="s">
        <v>234</v>
      </c>
      <c r="D510" s="217"/>
      <c r="E510" s="216"/>
      <c r="F510" s="216"/>
      <c r="G510" s="216" t="s">
        <v>234</v>
      </c>
      <c r="H510" s="216" t="s">
        <v>234</v>
      </c>
      <c r="I510" s="217" t="s">
        <v>234</v>
      </c>
      <c r="J510" s="217"/>
      <c r="K510" s="216"/>
      <c r="L510" s="216"/>
      <c r="M510" s="216" t="s">
        <v>234</v>
      </c>
      <c r="N510" s="216"/>
      <c r="O510" s="217"/>
      <c r="P510" s="216"/>
      <c r="Q510" s="217"/>
      <c r="R510" s="217" t="s">
        <v>234</v>
      </c>
      <c r="S510" s="217"/>
      <c r="T510" s="217"/>
      <c r="U510" s="218">
        <f t="shared" si="606"/>
        <v>6</v>
      </c>
      <c r="V510" s="867" t="s">
        <v>235</v>
      </c>
      <c r="W510" s="219">
        <v>163119</v>
      </c>
      <c r="X510" s="220">
        <v>2.77</v>
      </c>
      <c r="Y510" s="221">
        <f t="shared" si="621"/>
        <v>1.0277000000000001</v>
      </c>
      <c r="Z510" s="199">
        <v>19</v>
      </c>
      <c r="AA510" s="221">
        <f t="shared" si="622"/>
        <v>1.6805861263966091</v>
      </c>
      <c r="AB510" s="199">
        <f t="shared" si="603"/>
        <v>274135.52835168847</v>
      </c>
      <c r="AC510">
        <v>11.4</v>
      </c>
      <c r="AD510" s="199">
        <f t="shared" si="604"/>
        <v>31251.450232092488</v>
      </c>
      <c r="AE510" s="199">
        <f t="shared" si="623"/>
        <v>29688.877720487861</v>
      </c>
      <c r="AF510" s="199">
        <f t="shared" si="570"/>
        <v>0</v>
      </c>
      <c r="AG510" s="614">
        <f t="shared" si="569"/>
        <v>1.372683369180011E-3</v>
      </c>
      <c r="AH510" s="199">
        <f t="shared" si="618"/>
        <v>13706.776417584424</v>
      </c>
      <c r="AI510" s="252">
        <f t="shared" si="550"/>
        <v>1.061843201275474E-3</v>
      </c>
      <c r="AJ510" s="199">
        <f t="shared" si="553"/>
        <v>44958.226649676915</v>
      </c>
      <c r="AK510" s="199">
        <f t="shared" si="572"/>
        <v>10965.421134067539</v>
      </c>
      <c r="AL510" s="199">
        <f t="shared" si="573"/>
        <v>10965.421134067539</v>
      </c>
      <c r="AM510" s="199">
        <f t="shared" si="554"/>
        <v>21930.842268135078</v>
      </c>
      <c r="AN510" s="645">
        <f t="shared" si="555"/>
        <v>1.061843201275474E-3</v>
      </c>
      <c r="AO510" s="199">
        <v>12</v>
      </c>
      <c r="AP510" s="250">
        <f t="shared" si="556"/>
        <v>1.3634814225656176E-3</v>
      </c>
      <c r="AQ510" s="199">
        <v>12</v>
      </c>
      <c r="AU510" s="199">
        <v>0</v>
      </c>
      <c r="AW510" s="250">
        <f t="shared" si="557"/>
        <v>0</v>
      </c>
      <c r="AX510" s="199">
        <v>1</v>
      </c>
      <c r="AY510" s="199">
        <f t="shared" si="607"/>
        <v>14491.739315125133</v>
      </c>
      <c r="AZ510" s="199">
        <f t="shared" si="558"/>
        <v>14491.739315125133</v>
      </c>
      <c r="BA510" s="252">
        <f t="shared" si="559"/>
        <v>1.1391447515803153E-3</v>
      </c>
      <c r="BB510" s="284">
        <v>0</v>
      </c>
      <c r="BC510" s="199">
        <f t="shared" si="608"/>
        <v>0</v>
      </c>
      <c r="BD510" s="270">
        <f t="shared" si="574"/>
        <v>0</v>
      </c>
      <c r="BE510" s="199">
        <f t="shared" si="609"/>
        <v>0</v>
      </c>
      <c r="BF510" s="251">
        <f t="shared" si="575"/>
        <v>0</v>
      </c>
      <c r="BG510" s="204">
        <f t="shared" si="610"/>
        <v>0</v>
      </c>
      <c r="BH510" s="636">
        <v>1</v>
      </c>
      <c r="BI510" s="199">
        <f t="shared" si="560"/>
        <v>83885.47167561666</v>
      </c>
      <c r="BJ510" s="199">
        <f t="shared" si="561"/>
        <v>167770.94335123332</v>
      </c>
      <c r="BK510" s="199">
        <f t="shared" si="568"/>
        <v>251656.41502684998</v>
      </c>
      <c r="BL510" s="251">
        <f t="shared" si="562"/>
        <v>1.0618432012754738E-3</v>
      </c>
      <c r="BM510" s="199">
        <f t="shared" si="611"/>
        <v>24675.006610998505</v>
      </c>
      <c r="BN510" s="251">
        <f t="shared" si="563"/>
        <v>1.0655435233927874E-3</v>
      </c>
      <c r="BT510" s="199">
        <f>'Detailed Budget'!$AD$12</f>
        <v>194045122715</v>
      </c>
      <c r="BU510" s="199">
        <f>'Detailed Budget'!$AD$24</f>
        <v>194045122715</v>
      </c>
      <c r="BV510" s="596">
        <f t="shared" si="612"/>
        <v>0</v>
      </c>
      <c r="BW510" s="278"/>
      <c r="BX510" s="275">
        <f t="shared" si="619"/>
        <v>0</v>
      </c>
      <c r="BY510" s="275">
        <f t="shared" si="620"/>
        <v>0</v>
      </c>
      <c r="CA510" s="199">
        <f>'Detailed Budget'!$AD$96</f>
        <v>71050111380.677719</v>
      </c>
      <c r="CB510" s="275">
        <f t="shared" si="564"/>
        <v>80936361.478495851</v>
      </c>
      <c r="CE510" s="199">
        <f>'Detailed Budget'!$AD$175</f>
        <v>4330586076.5988197</v>
      </c>
      <c r="CF510" s="275">
        <f t="shared" si="613"/>
        <v>0</v>
      </c>
      <c r="CG510" s="199">
        <f>'Detailed Budget'!$AD$176</f>
        <v>20662817754.37001</v>
      </c>
      <c r="CH510" s="275">
        <f t="shared" si="614"/>
        <v>0</v>
      </c>
      <c r="CI510" s="275">
        <f t="shared" si="549"/>
        <v>0</v>
      </c>
      <c r="CJ510" s="275">
        <f>'Detailed Budget'!$AD$178</f>
        <v>46025131033.061455</v>
      </c>
      <c r="CK510" s="275">
        <f t="shared" si="615"/>
        <v>0</v>
      </c>
      <c r="CL510" s="275">
        <f t="shared" si="571"/>
        <v>0</v>
      </c>
      <c r="CM510" s="278">
        <f>'Detailed Budget'!$AD$189</f>
        <v>77498869683.252869</v>
      </c>
      <c r="CN510" s="275">
        <f t="shared" si="565"/>
        <v>82291647.879695982</v>
      </c>
      <c r="CO510" s="140">
        <f>'Detailed Budget'!$AD$191</f>
        <v>2684962805.4134097</v>
      </c>
      <c r="CP510" s="616">
        <f t="shared" si="566"/>
        <v>2851009.5006057522</v>
      </c>
      <c r="CQ510" s="616">
        <f t="shared" si="567"/>
        <v>85142657.380301729</v>
      </c>
      <c r="CR510" s="199">
        <f>'Detailed Budget'!$AD$195</f>
        <v>18734176418</v>
      </c>
      <c r="CS510" s="275">
        <f t="shared" si="616"/>
        <v>19962080.34829779</v>
      </c>
      <c r="CW510" s="278"/>
      <c r="DH510" s="140">
        <f>'Detailed Budget'!$AD$163</f>
        <v>4928560000</v>
      </c>
      <c r="DI510" s="616">
        <f t="shared" si="617"/>
        <v>6720000</v>
      </c>
    </row>
    <row r="511" spans="1:113" outlineLevel="1">
      <c r="A511" s="214"/>
      <c r="B511" s="215"/>
      <c r="C511" s="216"/>
      <c r="D511" s="217"/>
      <c r="E511" s="216"/>
      <c r="F511" s="216"/>
      <c r="G511" s="216"/>
      <c r="H511" s="216"/>
      <c r="I511" s="217"/>
      <c r="J511" s="217"/>
      <c r="K511" s="216"/>
      <c r="L511" s="216"/>
      <c r="M511" s="216"/>
      <c r="N511" s="216"/>
      <c r="O511" s="217"/>
      <c r="P511" s="216"/>
      <c r="Q511" s="217"/>
      <c r="R511" s="217"/>
      <c r="S511" s="217"/>
      <c r="T511" s="217"/>
      <c r="U511" s="218"/>
      <c r="V511" s="867"/>
      <c r="W511" s="219"/>
      <c r="X511" s="220"/>
      <c r="Y511" s="221"/>
      <c r="Z511" s="199"/>
      <c r="AA511" s="221"/>
      <c r="AF511" s="199">
        <f t="shared" si="570"/>
        <v>0</v>
      </c>
      <c r="AG511" s="614">
        <f t="shared" si="569"/>
        <v>0</v>
      </c>
      <c r="AJ511" s="199"/>
      <c r="AK511" s="199">
        <f t="shared" si="572"/>
        <v>0</v>
      </c>
      <c r="AL511" s="199">
        <f t="shared" si="573"/>
        <v>0</v>
      </c>
      <c r="AM511" s="199">
        <f t="shared" si="554"/>
        <v>0</v>
      </c>
      <c r="AN511" s="645">
        <f t="shared" si="555"/>
        <v>0</v>
      </c>
      <c r="AP511" s="250">
        <f t="shared" si="556"/>
        <v>0</v>
      </c>
      <c r="AW511" s="250">
        <f t="shared" si="557"/>
        <v>0</v>
      </c>
      <c r="AX511" s="199"/>
      <c r="BA511" s="252">
        <f t="shared" si="559"/>
        <v>0</v>
      </c>
      <c r="BB511" s="284"/>
      <c r="BD511" s="270"/>
      <c r="BF511" s="251"/>
      <c r="BG511" s="204"/>
      <c r="BH511" s="636"/>
      <c r="BI511" s="199">
        <f t="shared" si="560"/>
        <v>0</v>
      </c>
      <c r="BJ511" s="199">
        <f t="shared" si="561"/>
        <v>0</v>
      </c>
      <c r="BK511" s="199">
        <f t="shared" si="568"/>
        <v>0</v>
      </c>
      <c r="BL511" s="251">
        <f t="shared" si="562"/>
        <v>0</v>
      </c>
      <c r="BN511" s="251">
        <f t="shared" si="563"/>
        <v>0</v>
      </c>
      <c r="BT511" s="199"/>
      <c r="BU511" s="199"/>
      <c r="BV511" s="596"/>
      <c r="BW511" s="278"/>
      <c r="BX511" s="275"/>
      <c r="BY511" s="275"/>
      <c r="CA511" s="199">
        <f>'Detailed Budget'!$AD$96</f>
        <v>71050111380.677719</v>
      </c>
      <c r="CB511" s="275">
        <f t="shared" si="564"/>
        <v>0</v>
      </c>
      <c r="CE511" s="199"/>
      <c r="CF511" s="275"/>
      <c r="CG511" s="199"/>
      <c r="CH511" s="275"/>
      <c r="CI511" s="275"/>
      <c r="CJ511" s="275"/>
      <c r="CK511" s="275"/>
      <c r="CL511" s="275"/>
      <c r="CM511" s="278">
        <f>'Detailed Budget'!$AD$189</f>
        <v>77498869683.252869</v>
      </c>
      <c r="CN511" s="275">
        <f t="shared" si="565"/>
        <v>0</v>
      </c>
      <c r="CO511" s="140">
        <f>'Detailed Budget'!$AD$191</f>
        <v>2684962805.4134097</v>
      </c>
      <c r="CP511" s="616">
        <f t="shared" si="566"/>
        <v>0</v>
      </c>
      <c r="CQ511" s="616">
        <f t="shared" si="567"/>
        <v>0</v>
      </c>
      <c r="CR511" s="199"/>
      <c r="CS511" s="275"/>
      <c r="CW511" s="278"/>
      <c r="DH511" s="140">
        <f>'Detailed Budget'!$AD$163</f>
        <v>4928560000</v>
      </c>
      <c r="DI511" s="616">
        <f t="shared" si="617"/>
        <v>0</v>
      </c>
    </row>
    <row r="512" spans="1:113" s="213" customFormat="1">
      <c r="A512" s="206">
        <v>4.2</v>
      </c>
      <c r="B512" s="207" t="s">
        <v>1129</v>
      </c>
      <c r="C512" s="208">
        <f>COUNTA(C514:C534)</f>
        <v>21</v>
      </c>
      <c r="D512" s="208">
        <f t="shared" ref="D512:T512" si="624">COUNTA(D514:D534)</f>
        <v>0</v>
      </c>
      <c r="E512" s="208">
        <f t="shared" si="624"/>
        <v>0</v>
      </c>
      <c r="F512" s="208">
        <f t="shared" si="624"/>
        <v>0</v>
      </c>
      <c r="G512" s="208">
        <f t="shared" si="624"/>
        <v>0</v>
      </c>
      <c r="H512" s="208">
        <f t="shared" si="624"/>
        <v>21</v>
      </c>
      <c r="I512" s="208">
        <f t="shared" si="624"/>
        <v>21</v>
      </c>
      <c r="J512" s="208">
        <f t="shared" si="624"/>
        <v>0</v>
      </c>
      <c r="K512" s="208">
        <f t="shared" si="624"/>
        <v>0</v>
      </c>
      <c r="L512" s="208">
        <f t="shared" si="624"/>
        <v>0</v>
      </c>
      <c r="M512" s="208">
        <f t="shared" si="624"/>
        <v>13</v>
      </c>
      <c r="N512" s="208">
        <f t="shared" si="624"/>
        <v>8</v>
      </c>
      <c r="O512" s="208">
        <f t="shared" si="624"/>
        <v>0</v>
      </c>
      <c r="P512" s="208">
        <f t="shared" si="624"/>
        <v>0</v>
      </c>
      <c r="Q512" s="208">
        <f t="shared" si="624"/>
        <v>4</v>
      </c>
      <c r="R512" s="208">
        <f t="shared" si="624"/>
        <v>17</v>
      </c>
      <c r="S512" s="208">
        <f t="shared" si="624"/>
        <v>0</v>
      </c>
      <c r="T512" s="208">
        <f t="shared" si="624"/>
        <v>0</v>
      </c>
      <c r="U512" s="209">
        <f>SUM(C512:T512)</f>
        <v>105</v>
      </c>
      <c r="V512" s="865"/>
      <c r="W512" s="210">
        <f>SUM(W514:W534)</f>
        <v>4177828</v>
      </c>
      <c r="X512" s="211">
        <v>2.8</v>
      </c>
      <c r="Y512" s="212">
        <f t="shared" si="621"/>
        <v>1.028</v>
      </c>
      <c r="Z512" s="210">
        <v>19</v>
      </c>
      <c r="AA512" s="212">
        <f t="shared" si="622"/>
        <v>1.6899318009047619</v>
      </c>
      <c r="AB512" s="210">
        <f t="shared" si="603"/>
        <v>7060244.3959103394</v>
      </c>
      <c r="AC512" s="213">
        <v>11.3</v>
      </c>
      <c r="AD512" s="210">
        <f t="shared" si="604"/>
        <v>797807.61673786829</v>
      </c>
      <c r="AE512" s="210">
        <f t="shared" si="623"/>
        <v>757917.23590097483</v>
      </c>
      <c r="AF512" s="210">
        <f>SUM(AF514:AF534)</f>
        <v>0</v>
      </c>
      <c r="AG512" s="614">
        <f t="shared" si="569"/>
        <v>3.5042765669050534E-2</v>
      </c>
      <c r="AH512" s="210">
        <f>SUM(AH514:AH534)</f>
        <v>353012.21979551698</v>
      </c>
      <c r="AI512" s="252">
        <f t="shared" si="550"/>
        <v>2.734732180180207E-2</v>
      </c>
      <c r="AJ512" s="210">
        <f>SUM(AJ514:AJ534)</f>
        <v>1150819.8365333856</v>
      </c>
      <c r="AK512" s="199">
        <f t="shared" si="572"/>
        <v>282409.77583641361</v>
      </c>
      <c r="AL512" s="199">
        <f t="shared" si="573"/>
        <v>282409.77583641361</v>
      </c>
      <c r="AM512" s="199">
        <f t="shared" si="554"/>
        <v>564819.55167282722</v>
      </c>
      <c r="AN512" s="645">
        <f t="shared" si="555"/>
        <v>2.7347321801802073E-2</v>
      </c>
      <c r="AO512" s="210">
        <f>SUM(AO514:AO534)</f>
        <v>326</v>
      </c>
      <c r="AP512" s="250">
        <f t="shared" si="556"/>
        <v>3.7041245313032607E-2</v>
      </c>
      <c r="AQ512" s="210">
        <f>SUM(AQ514:AQ534)</f>
        <v>326</v>
      </c>
      <c r="AR512" s="204"/>
      <c r="AS512" s="204"/>
      <c r="AT512" s="204"/>
      <c r="AU512" s="199"/>
      <c r="AV512" s="199"/>
      <c r="AW512" s="250">
        <f t="shared" si="557"/>
        <v>0</v>
      </c>
      <c r="AX512" s="199"/>
      <c r="AY512" s="210">
        <v>372885</v>
      </c>
      <c r="AZ512" s="210">
        <f>SUM(AZ514:AZ534)</f>
        <v>372884.94703407254</v>
      </c>
      <c r="BA512" s="252">
        <f t="shared" si="559"/>
        <v>2.9311176603475896E-2</v>
      </c>
      <c r="BB512" s="284"/>
      <c r="BC512" s="199"/>
      <c r="BD512" s="270">
        <f t="shared" si="574"/>
        <v>0</v>
      </c>
      <c r="BE512" s="199"/>
      <c r="BF512" s="251">
        <f t="shared" si="575"/>
        <v>0</v>
      </c>
      <c r="BH512"/>
      <c r="BI512" s="199">
        <f t="shared" si="560"/>
        <v>2160434.7851485638</v>
      </c>
      <c r="BJ512" s="199">
        <f t="shared" si="561"/>
        <v>4320869.5702971276</v>
      </c>
      <c r="BK512" s="199">
        <f t="shared" si="568"/>
        <v>6481304.3554456914</v>
      </c>
      <c r="BL512" s="251">
        <f t="shared" si="562"/>
        <v>2.734732180180207E-2</v>
      </c>
      <c r="BM512" s="210">
        <v>630100</v>
      </c>
      <c r="BN512" s="251">
        <f t="shared" si="563"/>
        <v>2.7209677576764239E-2</v>
      </c>
      <c r="BT512" s="210">
        <f>'Detailed Budget'!$AD$12</f>
        <v>194045122715</v>
      </c>
      <c r="BU512" s="210">
        <f>'Detailed Budget'!$AD$24</f>
        <v>194045122715</v>
      </c>
      <c r="BV512" s="596">
        <f>AV512/34743979</f>
        <v>0</v>
      </c>
      <c r="BW512" s="278"/>
      <c r="BX512" s="275">
        <f t="shared" si="619"/>
        <v>0</v>
      </c>
      <c r="BY512" s="275">
        <f t="shared" si="620"/>
        <v>0</v>
      </c>
      <c r="CA512" s="210">
        <f>'Detailed Budget'!$AD$96</f>
        <v>71050111380.677719</v>
      </c>
      <c r="CB512" s="613">
        <f t="shared" si="564"/>
        <v>2082562362.3756771</v>
      </c>
      <c r="CE512" s="210">
        <f>'Detailed Budget'!$AD$175</f>
        <v>4330586076.5988197</v>
      </c>
      <c r="CF512" s="210">
        <f>SUM(CF514:CF534)</f>
        <v>0</v>
      </c>
      <c r="CG512" s="240">
        <f>'Detailed Budget'!$AD$176</f>
        <v>20662817754.37001</v>
      </c>
      <c r="CH512" s="210">
        <f>SUM(CH514:CH534)</f>
        <v>0</v>
      </c>
      <c r="CI512" s="210">
        <f>SUM(CI514:CI534)</f>
        <v>0</v>
      </c>
      <c r="CJ512" s="275">
        <f>'Detailed Budget'!$AD$178</f>
        <v>46025131033.061455</v>
      </c>
      <c r="CK512" s="210">
        <f t="shared" ref="CK512:CL512" si="625">SUM(CK514:CK534)</f>
        <v>0</v>
      </c>
      <c r="CL512" s="210">
        <f t="shared" si="625"/>
        <v>0</v>
      </c>
      <c r="CM512" s="278">
        <f>'Detailed Budget'!$AD$189</f>
        <v>77498869683.252869</v>
      </c>
      <c r="CN512" s="275">
        <f t="shared" si="565"/>
        <v>0</v>
      </c>
      <c r="CO512" s="140">
        <f>'Detailed Budget'!$AD$191</f>
        <v>2684962805.4134097</v>
      </c>
      <c r="CP512" s="616">
        <f t="shared" si="566"/>
        <v>0</v>
      </c>
      <c r="CQ512" s="616">
        <f t="shared" si="567"/>
        <v>0</v>
      </c>
      <c r="CR512" s="210">
        <f>'Detailed Budget'!$AD$195</f>
        <v>18734176418</v>
      </c>
      <c r="CS512" s="275">
        <f>BN512*CR512</f>
        <v>509750900</v>
      </c>
      <c r="CW512" s="278"/>
      <c r="DH512" s="140">
        <f>'Detailed Budget'!$AD$163</f>
        <v>4928560000</v>
      </c>
      <c r="DI512" s="616">
        <f t="shared" si="617"/>
        <v>182560000</v>
      </c>
    </row>
    <row r="513" spans="1:113" s="213" customFormat="1">
      <c r="A513" s="214" t="s">
        <v>2340</v>
      </c>
      <c r="B513" s="215" t="s">
        <v>2318</v>
      </c>
      <c r="C513" s="208"/>
      <c r="D513" s="208"/>
      <c r="E513" s="208"/>
      <c r="F513" s="208"/>
      <c r="G513" s="208"/>
      <c r="H513" s="208"/>
      <c r="I513" s="208"/>
      <c r="J513" s="208"/>
      <c r="K513" s="208"/>
      <c r="L513" s="208"/>
      <c r="M513" s="208"/>
      <c r="N513" s="208"/>
      <c r="O513" s="208"/>
      <c r="P513" s="208"/>
      <c r="Q513" s="208"/>
      <c r="R513" s="208"/>
      <c r="S513" s="208"/>
      <c r="T513" s="208"/>
      <c r="U513" s="209"/>
      <c r="V513" s="865"/>
      <c r="W513" s="210"/>
      <c r="X513" s="211"/>
      <c r="Y513" s="212"/>
      <c r="Z513" s="210"/>
      <c r="AA513" s="212"/>
      <c r="AB513" s="210"/>
      <c r="AD513" s="210"/>
      <c r="AE513" s="199"/>
      <c r="AF513" s="199"/>
      <c r="AG513" s="614">
        <f t="shared" si="569"/>
        <v>0</v>
      </c>
      <c r="AH513" s="204"/>
      <c r="AI513" s="252"/>
      <c r="AJ513" s="199"/>
      <c r="AK513" s="199">
        <f t="shared" si="572"/>
        <v>0</v>
      </c>
      <c r="AL513" s="199">
        <f t="shared" si="573"/>
        <v>0</v>
      </c>
      <c r="AM513" s="199">
        <f t="shared" si="554"/>
        <v>0</v>
      </c>
      <c r="AN513" s="645">
        <f t="shared" si="555"/>
        <v>0</v>
      </c>
      <c r="AO513" s="210"/>
      <c r="AP513" s="250"/>
      <c r="AQ513" s="210"/>
      <c r="AR513" s="204"/>
      <c r="AS513" s="204"/>
      <c r="AT513" s="204"/>
      <c r="AU513" s="199"/>
      <c r="AV513" s="199"/>
      <c r="AW513" s="250">
        <f t="shared" si="557"/>
        <v>0</v>
      </c>
      <c r="AX513" s="199"/>
      <c r="AY513" s="210"/>
      <c r="AZ513" s="199"/>
      <c r="BA513" s="252">
        <f t="shared" si="559"/>
        <v>0</v>
      </c>
      <c r="BB513" s="284"/>
      <c r="BC513" s="199"/>
      <c r="BD513" s="270">
        <f t="shared" si="574"/>
        <v>0</v>
      </c>
      <c r="BE513" s="199"/>
      <c r="BF513" s="251">
        <f t="shared" si="575"/>
        <v>0</v>
      </c>
      <c r="BH513"/>
      <c r="BI513" s="199">
        <f t="shared" si="560"/>
        <v>0</v>
      </c>
      <c r="BJ513" s="199">
        <f t="shared" si="561"/>
        <v>0</v>
      </c>
      <c r="BK513" s="199">
        <f t="shared" si="568"/>
        <v>0</v>
      </c>
      <c r="BL513" s="251">
        <f t="shared" si="562"/>
        <v>0</v>
      </c>
      <c r="BM513" s="210"/>
      <c r="BN513" s="251">
        <f t="shared" si="563"/>
        <v>0</v>
      </c>
      <c r="BT513" s="210"/>
      <c r="BU513" s="210">
        <f>'Detailed Budget'!$AD$24</f>
        <v>194045122715</v>
      </c>
      <c r="BV513" s="596"/>
      <c r="BW513" s="278"/>
      <c r="BX513" s="275"/>
      <c r="BY513" s="275"/>
      <c r="CA513" s="210">
        <f>'Detailed Budget'!$AD$96</f>
        <v>71050111380.677719</v>
      </c>
      <c r="CB513" s="275"/>
      <c r="CE513" s="210"/>
      <c r="CF513" s="275"/>
      <c r="CG513" s="240"/>
      <c r="CH513" s="275"/>
      <c r="CI513" s="275"/>
      <c r="CJ513" s="275"/>
      <c r="CK513" s="275"/>
      <c r="CL513" s="275"/>
      <c r="CM513" s="278">
        <f>'Detailed Budget'!$AD$189</f>
        <v>77498869683.252869</v>
      </c>
      <c r="CN513" s="275">
        <f t="shared" si="565"/>
        <v>0</v>
      </c>
      <c r="CO513" s="140">
        <f>'Detailed Budget'!$AD$191</f>
        <v>2684962805.4134097</v>
      </c>
      <c r="CP513" s="616">
        <f t="shared" si="566"/>
        <v>0</v>
      </c>
      <c r="CQ513" s="616">
        <f t="shared" si="567"/>
        <v>0</v>
      </c>
      <c r="CR513" s="210"/>
      <c r="CS513" s="275"/>
      <c r="CW513" s="278"/>
      <c r="DH513" s="140"/>
      <c r="DI513" s="616"/>
    </row>
    <row r="514" spans="1:113" outlineLevel="1">
      <c r="A514" s="214" t="s">
        <v>1130</v>
      </c>
      <c r="B514" s="215" t="s">
        <v>1131</v>
      </c>
      <c r="C514" s="216" t="s">
        <v>234</v>
      </c>
      <c r="D514" s="217"/>
      <c r="E514" s="216"/>
      <c r="F514" s="216"/>
      <c r="G514" s="216"/>
      <c r="H514" s="216" t="s">
        <v>234</v>
      </c>
      <c r="I514" s="217" t="s">
        <v>234</v>
      </c>
      <c r="J514" s="217"/>
      <c r="K514" s="216"/>
      <c r="L514" s="216"/>
      <c r="M514" s="217" t="s">
        <v>234</v>
      </c>
      <c r="N514" s="216"/>
      <c r="O514" s="217"/>
      <c r="P514" s="216"/>
      <c r="Q514" s="217"/>
      <c r="R514" s="217" t="s">
        <v>234</v>
      </c>
      <c r="S514" s="217"/>
      <c r="T514" s="217"/>
      <c r="U514" s="218">
        <f t="shared" ref="U514:U534" si="626">COUNTA(C514:T514)</f>
        <v>5</v>
      </c>
      <c r="V514" s="867" t="s">
        <v>487</v>
      </c>
      <c r="W514" s="219">
        <v>369972</v>
      </c>
      <c r="X514" s="220">
        <v>2.8</v>
      </c>
      <c r="Y514" s="221">
        <f t="shared" si="621"/>
        <v>1.028</v>
      </c>
      <c r="Z514" s="199">
        <v>19</v>
      </c>
      <c r="AA514" s="221">
        <f t="shared" si="622"/>
        <v>1.6899318009047619</v>
      </c>
      <c r="AB514" s="199">
        <f t="shared" si="603"/>
        <v>625227.44824433653</v>
      </c>
      <c r="AC514">
        <v>11.3</v>
      </c>
      <c r="AD514" s="199">
        <f t="shared" si="604"/>
        <v>70650.701651610027</v>
      </c>
      <c r="AE514" s="199">
        <f t="shared" si="623"/>
        <v>67118.166569029519</v>
      </c>
      <c r="AF514" s="199">
        <f t="shared" si="570"/>
        <v>0</v>
      </c>
      <c r="AG514" s="614">
        <f t="shared" si="569"/>
        <v>3.1032493678796649E-3</v>
      </c>
      <c r="AH514" s="199">
        <f>AB514*0.05</f>
        <v>31261.372412216828</v>
      </c>
      <c r="AI514" s="252">
        <f t="shared" si="550"/>
        <v>2.4217711551687421E-3</v>
      </c>
      <c r="AJ514" s="199">
        <f t="shared" si="553"/>
        <v>101912.07406382685</v>
      </c>
      <c r="AK514" s="199">
        <f t="shared" si="572"/>
        <v>25009.097929773463</v>
      </c>
      <c r="AL514" s="199">
        <f t="shared" si="573"/>
        <v>25009.097929773463</v>
      </c>
      <c r="AM514" s="199">
        <f t="shared" si="554"/>
        <v>50018.195859546926</v>
      </c>
      <c r="AN514" s="645">
        <f t="shared" si="555"/>
        <v>2.4217711551687421E-3</v>
      </c>
      <c r="AO514" s="199">
        <v>20</v>
      </c>
      <c r="AP514" s="250">
        <f t="shared" si="556"/>
        <v>2.2724690376093627E-3</v>
      </c>
      <c r="AQ514" s="199">
        <v>20</v>
      </c>
      <c r="AU514" s="199">
        <v>0</v>
      </c>
      <c r="AW514" s="250">
        <f t="shared" si="557"/>
        <v>0</v>
      </c>
      <c r="AX514" s="199">
        <v>1</v>
      </c>
      <c r="AY514" s="199">
        <f t="shared" ref="AY514:AY534" si="627">AJ514/1150820*372885</f>
        <v>33021.222899576016</v>
      </c>
      <c r="AZ514" s="199">
        <f t="shared" si="558"/>
        <v>33021.222899576016</v>
      </c>
      <c r="BA514" s="252">
        <f t="shared" si="559"/>
        <v>2.5956824049102028E-3</v>
      </c>
      <c r="BB514" s="284">
        <v>0</v>
      </c>
      <c r="BC514" s="199">
        <f t="shared" ref="BC514:BC534" si="628">AD514*BB514*0.18*4</f>
        <v>0</v>
      </c>
      <c r="BD514" s="270">
        <f t="shared" si="574"/>
        <v>0</v>
      </c>
      <c r="BE514" s="199">
        <f t="shared" ref="BE514:BE534" si="629">AD514*BB514*0.77*4</f>
        <v>0</v>
      </c>
      <c r="BF514" s="251">
        <f t="shared" si="575"/>
        <v>0</v>
      </c>
      <c r="BG514" s="204">
        <f t="shared" ref="BG514:BG534" si="630">BC514+BE514</f>
        <v>0</v>
      </c>
      <c r="BH514" s="636">
        <v>0</v>
      </c>
      <c r="BI514" s="199">
        <f t="shared" si="560"/>
        <v>191319.599162767</v>
      </c>
      <c r="BJ514" s="199">
        <f t="shared" si="561"/>
        <v>382639.198325534</v>
      </c>
      <c r="BK514" s="199">
        <f t="shared" si="568"/>
        <v>573958.79748830106</v>
      </c>
      <c r="BL514" s="251">
        <f t="shared" si="562"/>
        <v>2.4217711551687425E-3</v>
      </c>
      <c r="BM514" s="199">
        <f t="shared" ref="BM514:BM534" si="631">AH514/353012*630100</f>
        <v>55799.210103163132</v>
      </c>
      <c r="BN514" s="251">
        <f t="shared" si="563"/>
        <v>2.409583424766219E-3</v>
      </c>
      <c r="BT514" s="199">
        <f>'Detailed Budget'!$AD$12</f>
        <v>194045122715</v>
      </c>
      <c r="BU514" s="199">
        <f>'Detailed Budget'!$AD$24</f>
        <v>194045122715</v>
      </c>
      <c r="BV514" s="596">
        <f t="shared" ref="BV514:BV534" si="632">AV514/34743979</f>
        <v>0</v>
      </c>
      <c r="BW514" s="278"/>
      <c r="BX514" s="275">
        <f t="shared" si="619"/>
        <v>0</v>
      </c>
      <c r="BY514" s="275">
        <f t="shared" si="620"/>
        <v>0</v>
      </c>
      <c r="CA514" s="199">
        <f>'Detailed Budget'!$AD$96</f>
        <v>71050111380.677719</v>
      </c>
      <c r="CB514" s="275">
        <f t="shared" si="564"/>
        <v>184423523.97773531</v>
      </c>
      <c r="CE514" s="199">
        <f>'Detailed Budget'!$AD$175</f>
        <v>4330586076.5988197</v>
      </c>
      <c r="CF514" s="275">
        <f t="shared" ref="CF514:CF534" si="633">BB514*BD514*CE514</f>
        <v>0</v>
      </c>
      <c r="CG514" s="199">
        <f>'Detailed Budget'!$AD$176</f>
        <v>20662817754.37001</v>
      </c>
      <c r="CH514" s="275">
        <f t="shared" ref="CH514:CH534" si="634">BB514*BF514*CG514</f>
        <v>0</v>
      </c>
      <c r="CI514" s="275">
        <f t="shared" si="549"/>
        <v>0</v>
      </c>
      <c r="CJ514" s="275">
        <f>'Detailed Budget'!$AD$178</f>
        <v>46025131033.061455</v>
      </c>
      <c r="CK514" s="275">
        <f t="shared" ref="CK514:CK534" si="635">BB514*AG514*CJ514</f>
        <v>0</v>
      </c>
      <c r="CL514" s="275">
        <f t="shared" si="571"/>
        <v>0</v>
      </c>
      <c r="CM514" s="278">
        <f>'Detailed Budget'!$AD$189</f>
        <v>77498869683.252869</v>
      </c>
      <c r="CN514" s="275">
        <f t="shared" si="565"/>
        <v>0</v>
      </c>
      <c r="CO514" s="140">
        <f>'Detailed Budget'!$AD$191</f>
        <v>2684962805.4134097</v>
      </c>
      <c r="CP514" s="616">
        <f t="shared" si="566"/>
        <v>0</v>
      </c>
      <c r="CQ514" s="616">
        <f t="shared" si="567"/>
        <v>0</v>
      </c>
      <c r="CR514" s="199">
        <f>'Detailed Budget'!$AD$195</f>
        <v>18734176418</v>
      </c>
      <c r="CS514" s="275">
        <f t="shared" ref="CS514:CS534" si="636">BN514*CR514</f>
        <v>45141560.973458976</v>
      </c>
      <c r="CW514" s="278"/>
      <c r="DH514" s="140">
        <f>'Detailed Budget'!$AD$163</f>
        <v>4928560000</v>
      </c>
      <c r="DI514" s="616">
        <f t="shared" ref="DI514:DI536" si="637">AP514*DH514</f>
        <v>11200000</v>
      </c>
    </row>
    <row r="515" spans="1:113" outlineLevel="1">
      <c r="A515" s="214" t="s">
        <v>1132</v>
      </c>
      <c r="B515" s="215" t="s">
        <v>1133</v>
      </c>
      <c r="C515" s="216" t="s">
        <v>234</v>
      </c>
      <c r="D515" s="217"/>
      <c r="E515" s="216"/>
      <c r="F515" s="216"/>
      <c r="G515" s="216"/>
      <c r="H515" s="216" t="s">
        <v>234</v>
      </c>
      <c r="I515" s="217" t="s">
        <v>234</v>
      </c>
      <c r="J515" s="217"/>
      <c r="K515" s="216"/>
      <c r="L515" s="216"/>
      <c r="M515" s="217" t="s">
        <v>234</v>
      </c>
      <c r="N515" s="216"/>
      <c r="O515" s="217"/>
      <c r="P515" s="216"/>
      <c r="Q515" s="217"/>
      <c r="R515" s="217" t="s">
        <v>234</v>
      </c>
      <c r="S515" s="217"/>
      <c r="T515" s="217"/>
      <c r="U515" s="218">
        <f t="shared" si="626"/>
        <v>5</v>
      </c>
      <c r="V515" s="867" t="s">
        <v>487</v>
      </c>
      <c r="W515" s="219">
        <v>152149</v>
      </c>
      <c r="X515" s="220">
        <v>2.8</v>
      </c>
      <c r="Y515" s="221">
        <f t="shared" si="621"/>
        <v>1.028</v>
      </c>
      <c r="Z515" s="199">
        <v>19</v>
      </c>
      <c r="AA515" s="221">
        <f t="shared" si="622"/>
        <v>1.6899318009047619</v>
      </c>
      <c r="AB515" s="199">
        <f t="shared" si="603"/>
        <v>257121.43357585862</v>
      </c>
      <c r="AC515">
        <v>11.3</v>
      </c>
      <c r="AD515" s="199">
        <f t="shared" si="604"/>
        <v>29054.721994072028</v>
      </c>
      <c r="AE515" s="199">
        <f t="shared" si="623"/>
        <v>27601.985894368427</v>
      </c>
      <c r="AF515" s="199">
        <f t="shared" si="570"/>
        <v>0</v>
      </c>
      <c r="AG515" s="614">
        <f t="shared" si="569"/>
        <v>1.276194652767029E-3</v>
      </c>
      <c r="AH515" s="199">
        <f t="shared" ref="AH515:AH534" si="638">AB515*0.05</f>
        <v>12856.071678792932</v>
      </c>
      <c r="AI515" s="252">
        <f t="shared" si="550"/>
        <v>9.9594039410487553E-4</v>
      </c>
      <c r="AJ515" s="199">
        <f t="shared" si="553"/>
        <v>41910.793672864958</v>
      </c>
      <c r="AK515" s="199">
        <f t="shared" si="572"/>
        <v>10284.857343034346</v>
      </c>
      <c r="AL515" s="199">
        <f t="shared" si="573"/>
        <v>10284.857343034346</v>
      </c>
      <c r="AM515" s="199">
        <f t="shared" si="554"/>
        <v>20569.714686068692</v>
      </c>
      <c r="AN515" s="645">
        <f t="shared" si="555"/>
        <v>9.9594039410487553E-4</v>
      </c>
      <c r="AO515" s="199">
        <v>15</v>
      </c>
      <c r="AP515" s="250">
        <f t="shared" si="556"/>
        <v>1.7043517782070218E-3</v>
      </c>
      <c r="AQ515" s="199">
        <v>15</v>
      </c>
      <c r="AU515" s="199">
        <v>0</v>
      </c>
      <c r="AW515" s="250">
        <f t="shared" si="557"/>
        <v>0</v>
      </c>
      <c r="AX515" s="199">
        <v>1</v>
      </c>
      <c r="AY515" s="199">
        <f t="shared" si="627"/>
        <v>13579.800749644817</v>
      </c>
      <c r="AZ515" s="199">
        <f t="shared" si="558"/>
        <v>13579.800749644817</v>
      </c>
      <c r="BA515" s="252">
        <f t="shared" si="559"/>
        <v>1.0674604624800865E-3</v>
      </c>
      <c r="BB515" s="284">
        <v>0</v>
      </c>
      <c r="BC515" s="199">
        <f t="shared" si="628"/>
        <v>0</v>
      </c>
      <c r="BD515" s="270">
        <f t="shared" si="574"/>
        <v>0</v>
      </c>
      <c r="BE515" s="199">
        <f t="shared" si="629"/>
        <v>0</v>
      </c>
      <c r="BF515" s="251">
        <f t="shared" si="575"/>
        <v>0</v>
      </c>
      <c r="BG515" s="204">
        <f t="shared" si="630"/>
        <v>0</v>
      </c>
      <c r="BH515" s="636">
        <v>0</v>
      </c>
      <c r="BI515" s="199">
        <f t="shared" si="560"/>
        <v>78679.15867421274</v>
      </c>
      <c r="BJ515" s="199">
        <f t="shared" si="561"/>
        <v>157358.31734842548</v>
      </c>
      <c r="BK515" s="199">
        <f t="shared" si="568"/>
        <v>236037.47602263821</v>
      </c>
      <c r="BL515" s="251">
        <f t="shared" si="562"/>
        <v>9.9594039410487532E-4</v>
      </c>
      <c r="BM515" s="199">
        <f t="shared" si="631"/>
        <v>22947.125777048448</v>
      </c>
      <c r="BN515" s="251">
        <f t="shared" si="563"/>
        <v>9.9092825536731288E-4</v>
      </c>
      <c r="BT515" s="199">
        <f>'Detailed Budget'!$AD$12</f>
        <v>194045122715</v>
      </c>
      <c r="BU515" s="199">
        <f>'Detailed Budget'!$AD$24</f>
        <v>194045122715</v>
      </c>
      <c r="BV515" s="596">
        <f t="shared" si="632"/>
        <v>0</v>
      </c>
      <c r="BW515" s="278"/>
      <c r="BX515" s="275">
        <f t="shared" si="619"/>
        <v>0</v>
      </c>
      <c r="BY515" s="275">
        <f t="shared" si="620"/>
        <v>0</v>
      </c>
      <c r="CA515" s="199">
        <f>'Detailed Budget'!$AD$96</f>
        <v>71050111380.677719</v>
      </c>
      <c r="CB515" s="275">
        <f t="shared" si="564"/>
        <v>75843184.753679886</v>
      </c>
      <c r="CE515" s="199">
        <f>'Detailed Budget'!$AD$175</f>
        <v>4330586076.5988197</v>
      </c>
      <c r="CF515" s="275">
        <f t="shared" si="633"/>
        <v>0</v>
      </c>
      <c r="CG515" s="199">
        <f>'Detailed Budget'!$AD$176</f>
        <v>20662817754.37001</v>
      </c>
      <c r="CH515" s="275">
        <f t="shared" si="634"/>
        <v>0</v>
      </c>
      <c r="CI515" s="275">
        <f t="shared" si="549"/>
        <v>0</v>
      </c>
      <c r="CJ515" s="275">
        <f>'Detailed Budget'!$AD$178</f>
        <v>46025131033.061455</v>
      </c>
      <c r="CK515" s="275">
        <f t="shared" si="635"/>
        <v>0</v>
      </c>
      <c r="CL515" s="275">
        <f t="shared" si="571"/>
        <v>0</v>
      </c>
      <c r="CM515" s="278">
        <f>'Detailed Budget'!$AD$189</f>
        <v>77498869683.252869</v>
      </c>
      <c r="CN515" s="275">
        <f t="shared" si="565"/>
        <v>0</v>
      </c>
      <c r="CO515" s="140">
        <f>'Detailed Budget'!$AD$191</f>
        <v>2684962805.4134097</v>
      </c>
      <c r="CP515" s="616">
        <f t="shared" si="566"/>
        <v>0</v>
      </c>
      <c r="CQ515" s="616">
        <f t="shared" si="567"/>
        <v>0</v>
      </c>
      <c r="CR515" s="199">
        <f>'Detailed Budget'!$AD$195</f>
        <v>18734176418</v>
      </c>
      <c r="CS515" s="275">
        <f t="shared" si="636"/>
        <v>18564224.753632195</v>
      </c>
      <c r="CW515" s="278"/>
      <c r="DH515" s="140">
        <f>'Detailed Budget'!$AD$163</f>
        <v>4928560000</v>
      </c>
      <c r="DI515" s="616">
        <f t="shared" si="637"/>
        <v>8400000</v>
      </c>
    </row>
    <row r="516" spans="1:113" outlineLevel="1">
      <c r="A516" s="214" t="s">
        <v>1134</v>
      </c>
      <c r="B516" s="215" t="s">
        <v>1135</v>
      </c>
      <c r="C516" s="216" t="s">
        <v>234</v>
      </c>
      <c r="D516" s="217"/>
      <c r="E516" s="216"/>
      <c r="F516" s="216"/>
      <c r="G516" s="216"/>
      <c r="H516" s="216" t="s">
        <v>234</v>
      </c>
      <c r="I516" s="217" t="s">
        <v>234</v>
      </c>
      <c r="J516" s="217"/>
      <c r="K516" s="216"/>
      <c r="L516" s="216"/>
      <c r="M516" s="217" t="s">
        <v>234</v>
      </c>
      <c r="N516" s="216"/>
      <c r="O516" s="217"/>
      <c r="P516" s="216"/>
      <c r="Q516" s="217"/>
      <c r="R516" s="217" t="s">
        <v>234</v>
      </c>
      <c r="S516" s="217"/>
      <c r="T516" s="217"/>
      <c r="U516" s="218">
        <f t="shared" si="626"/>
        <v>5</v>
      </c>
      <c r="V516" s="867" t="s">
        <v>487</v>
      </c>
      <c r="W516" s="219">
        <v>167303</v>
      </c>
      <c r="X516" s="220">
        <v>2.8</v>
      </c>
      <c r="Y516" s="221">
        <f t="shared" si="621"/>
        <v>1.028</v>
      </c>
      <c r="Z516" s="199">
        <v>19</v>
      </c>
      <c r="AA516" s="221">
        <f t="shared" si="622"/>
        <v>1.6899318009047619</v>
      </c>
      <c r="AB516" s="199">
        <f t="shared" si="603"/>
        <v>282730.66008676938</v>
      </c>
      <c r="AC516">
        <v>11.3</v>
      </c>
      <c r="AD516" s="199">
        <f t="shared" si="604"/>
        <v>31948.564589804941</v>
      </c>
      <c r="AE516" s="199">
        <f t="shared" si="623"/>
        <v>30351.136360314693</v>
      </c>
      <c r="AF516" s="199">
        <f t="shared" si="570"/>
        <v>0</v>
      </c>
      <c r="AG516" s="614">
        <f t="shared" si="569"/>
        <v>1.4033033013156986E-3</v>
      </c>
      <c r="AH516" s="199">
        <f t="shared" si="638"/>
        <v>14136.533004338469</v>
      </c>
      <c r="AI516" s="252">
        <f t="shared" si="550"/>
        <v>1.0951357929064795E-3</v>
      </c>
      <c r="AJ516" s="199">
        <f t="shared" si="553"/>
        <v>46085.097594143408</v>
      </c>
      <c r="AK516" s="199">
        <f t="shared" si="572"/>
        <v>11309.226403470775</v>
      </c>
      <c r="AL516" s="199">
        <f t="shared" si="573"/>
        <v>11309.226403470775</v>
      </c>
      <c r="AM516" s="199">
        <f t="shared" si="554"/>
        <v>22618.45280694155</v>
      </c>
      <c r="AN516" s="645">
        <f t="shared" si="555"/>
        <v>1.0951357929064795E-3</v>
      </c>
      <c r="AO516" s="199">
        <v>10</v>
      </c>
      <c r="AP516" s="250">
        <f t="shared" si="556"/>
        <v>1.1362345188046814E-3</v>
      </c>
      <c r="AQ516" s="199">
        <v>10</v>
      </c>
      <c r="AU516" s="199">
        <v>0</v>
      </c>
      <c r="AW516" s="250">
        <f t="shared" si="557"/>
        <v>0</v>
      </c>
      <c r="AX516" s="199">
        <v>1</v>
      </c>
      <c r="AY516" s="199">
        <f t="shared" si="627"/>
        <v>14932.345298476013</v>
      </c>
      <c r="AZ516" s="199">
        <f t="shared" si="558"/>
        <v>14932.345298476013</v>
      </c>
      <c r="BA516" s="252">
        <f t="shared" si="559"/>
        <v>1.1737792411011963E-3</v>
      </c>
      <c r="BB516" s="284">
        <v>0</v>
      </c>
      <c r="BC516" s="199">
        <f t="shared" si="628"/>
        <v>0</v>
      </c>
      <c r="BD516" s="270">
        <f t="shared" si="574"/>
        <v>0</v>
      </c>
      <c r="BE516" s="199">
        <f t="shared" si="629"/>
        <v>0</v>
      </c>
      <c r="BF516" s="251">
        <f t="shared" si="575"/>
        <v>0</v>
      </c>
      <c r="BG516" s="204">
        <f t="shared" si="630"/>
        <v>0</v>
      </c>
      <c r="BH516" s="636">
        <v>0</v>
      </c>
      <c r="BI516" s="199">
        <f t="shared" si="560"/>
        <v>86515.581986551435</v>
      </c>
      <c r="BJ516" s="199">
        <f t="shared" si="561"/>
        <v>173031.16397310287</v>
      </c>
      <c r="BK516" s="199">
        <f t="shared" si="568"/>
        <v>259546.7459596543</v>
      </c>
      <c r="BL516" s="251">
        <f t="shared" si="562"/>
        <v>1.0951357929064797E-3</v>
      </c>
      <c r="BM516" s="199">
        <f t="shared" si="631"/>
        <v>25232.653411310857</v>
      </c>
      <c r="BN516" s="251">
        <f t="shared" si="563"/>
        <v>1.0896244464815247E-3</v>
      </c>
      <c r="BT516" s="199">
        <f>'Detailed Budget'!$AD$12</f>
        <v>194045122715</v>
      </c>
      <c r="BU516" s="199">
        <f>'Detailed Budget'!$AD$24</f>
        <v>194045122715</v>
      </c>
      <c r="BV516" s="596">
        <f t="shared" si="632"/>
        <v>0</v>
      </c>
      <c r="BW516" s="278"/>
      <c r="BX516" s="275">
        <f t="shared" si="619"/>
        <v>0</v>
      </c>
      <c r="BY516" s="275">
        <f t="shared" si="620"/>
        <v>0</v>
      </c>
      <c r="CA516" s="199">
        <f>'Detailed Budget'!$AD$96</f>
        <v>71050111380.677719</v>
      </c>
      <c r="CB516" s="275">
        <f t="shared" si="564"/>
        <v>83397145.816567361</v>
      </c>
      <c r="CE516" s="199">
        <f>'Detailed Budget'!$AD$175</f>
        <v>4330586076.5988197</v>
      </c>
      <c r="CF516" s="275">
        <f t="shared" si="633"/>
        <v>0</v>
      </c>
      <c r="CG516" s="199">
        <f>'Detailed Budget'!$AD$176</f>
        <v>20662817754.37001</v>
      </c>
      <c r="CH516" s="275">
        <f t="shared" si="634"/>
        <v>0</v>
      </c>
      <c r="CI516" s="275">
        <f t="shared" si="549"/>
        <v>0</v>
      </c>
      <c r="CJ516" s="275">
        <f>'Detailed Budget'!$AD$178</f>
        <v>46025131033.061455</v>
      </c>
      <c r="CK516" s="275">
        <f t="shared" si="635"/>
        <v>0</v>
      </c>
      <c r="CL516" s="275">
        <f t="shared" si="571"/>
        <v>0</v>
      </c>
      <c r="CM516" s="278">
        <f>'Detailed Budget'!$AD$189</f>
        <v>77498869683.252869</v>
      </c>
      <c r="CN516" s="275">
        <f t="shared" si="565"/>
        <v>0</v>
      </c>
      <c r="CO516" s="140">
        <f>'Detailed Budget'!$AD$191</f>
        <v>2684962805.4134097</v>
      </c>
      <c r="CP516" s="616">
        <f t="shared" si="566"/>
        <v>0</v>
      </c>
      <c r="CQ516" s="616">
        <f t="shared" si="567"/>
        <v>0</v>
      </c>
      <c r="CR516" s="199">
        <f>'Detailed Budget'!$AD$195</f>
        <v>18734176418</v>
      </c>
      <c r="CS516" s="275">
        <f t="shared" si="636"/>
        <v>20413216.609750483</v>
      </c>
      <c r="CW516" s="278"/>
      <c r="DH516" s="140">
        <f>'Detailed Budget'!$AD$163</f>
        <v>4928560000</v>
      </c>
      <c r="DI516" s="616">
        <f t="shared" si="637"/>
        <v>5600000</v>
      </c>
    </row>
    <row r="517" spans="1:113" outlineLevel="1">
      <c r="A517" s="214" t="s">
        <v>1136</v>
      </c>
      <c r="B517" s="215" t="s">
        <v>1137</v>
      </c>
      <c r="C517" s="216" t="s">
        <v>234</v>
      </c>
      <c r="D517" s="217"/>
      <c r="E517" s="216"/>
      <c r="F517" s="216"/>
      <c r="G517" s="216"/>
      <c r="H517" s="216" t="s">
        <v>234</v>
      </c>
      <c r="I517" s="217" t="s">
        <v>234</v>
      </c>
      <c r="J517" s="217"/>
      <c r="K517" s="216"/>
      <c r="L517" s="216"/>
      <c r="M517" s="217" t="s">
        <v>234</v>
      </c>
      <c r="N517" s="216"/>
      <c r="O517" s="217"/>
      <c r="P517" s="216"/>
      <c r="Q517" s="217"/>
      <c r="R517" s="217" t="s">
        <v>234</v>
      </c>
      <c r="S517" s="217"/>
      <c r="T517" s="217"/>
      <c r="U517" s="218">
        <f t="shared" si="626"/>
        <v>5</v>
      </c>
      <c r="V517" s="867" t="s">
        <v>487</v>
      </c>
      <c r="W517" s="219">
        <v>284215</v>
      </c>
      <c r="X517" s="220">
        <v>2.8</v>
      </c>
      <c r="Y517" s="221">
        <f t="shared" si="621"/>
        <v>1.028</v>
      </c>
      <c r="Z517" s="199">
        <v>19</v>
      </c>
      <c r="AA517" s="221">
        <f t="shared" si="622"/>
        <v>1.6899318009047619</v>
      </c>
      <c r="AB517" s="199">
        <f t="shared" si="603"/>
        <v>480303.96679414692</v>
      </c>
      <c r="AC517">
        <v>11.3</v>
      </c>
      <c r="AD517" s="199">
        <f t="shared" si="604"/>
        <v>54274.348247738599</v>
      </c>
      <c r="AE517" s="199">
        <f t="shared" si="623"/>
        <v>51560.630835351665</v>
      </c>
      <c r="AF517" s="199">
        <f t="shared" si="570"/>
        <v>0</v>
      </c>
      <c r="AG517" s="614">
        <f t="shared" si="569"/>
        <v>2.3839372144160071E-3</v>
      </c>
      <c r="AH517" s="199">
        <f t="shared" si="638"/>
        <v>24015.198339707349</v>
      </c>
      <c r="AI517" s="252">
        <f t="shared" si="550"/>
        <v>1.8604210287975419E-3</v>
      </c>
      <c r="AJ517" s="199">
        <f t="shared" si="553"/>
        <v>78289.546587445948</v>
      </c>
      <c r="AK517" s="199">
        <f t="shared" si="572"/>
        <v>19212.158671765876</v>
      </c>
      <c r="AL517" s="199">
        <f t="shared" si="573"/>
        <v>19212.158671765876</v>
      </c>
      <c r="AM517" s="199">
        <f t="shared" si="554"/>
        <v>38424.317343531751</v>
      </c>
      <c r="AN517" s="645">
        <f t="shared" si="555"/>
        <v>1.8604210287975415E-3</v>
      </c>
      <c r="AO517" s="199">
        <v>19</v>
      </c>
      <c r="AP517" s="250">
        <f t="shared" si="556"/>
        <v>2.1588455857288946E-3</v>
      </c>
      <c r="AQ517" s="199">
        <v>19</v>
      </c>
      <c r="AU517" s="199">
        <v>0</v>
      </c>
      <c r="AW517" s="250">
        <f t="shared" si="557"/>
        <v>0</v>
      </c>
      <c r="AX517" s="199">
        <v>1</v>
      </c>
      <c r="AY517" s="199">
        <f t="shared" si="627"/>
        <v>25367.127421542707</v>
      </c>
      <c r="AZ517" s="199">
        <f t="shared" si="558"/>
        <v>25367.127421542707</v>
      </c>
      <c r="BA517" s="252">
        <f t="shared" si="559"/>
        <v>1.9940208305265082E-3</v>
      </c>
      <c r="BB517" s="284">
        <v>0</v>
      </c>
      <c r="BC517" s="199">
        <f t="shared" si="628"/>
        <v>0</v>
      </c>
      <c r="BD517" s="270">
        <f t="shared" si="574"/>
        <v>0</v>
      </c>
      <c r="BE517" s="199">
        <f t="shared" si="629"/>
        <v>0</v>
      </c>
      <c r="BF517" s="251">
        <f t="shared" si="575"/>
        <v>0</v>
      </c>
      <c r="BG517" s="204">
        <f t="shared" si="630"/>
        <v>0</v>
      </c>
      <c r="BH517" s="636">
        <v>0</v>
      </c>
      <c r="BI517" s="199">
        <f t="shared" si="560"/>
        <v>146973.01383900893</v>
      </c>
      <c r="BJ517" s="199">
        <f t="shared" si="561"/>
        <v>293946.02767801785</v>
      </c>
      <c r="BK517" s="199">
        <f t="shared" si="568"/>
        <v>440919.04151702678</v>
      </c>
      <c r="BL517" s="251">
        <f t="shared" si="562"/>
        <v>1.8604210287975413E-3</v>
      </c>
      <c r="BM517" s="199">
        <f t="shared" si="631"/>
        <v>42865.331699346207</v>
      </c>
      <c r="BN517" s="251">
        <f t="shared" si="563"/>
        <v>1.8510583316303155E-3</v>
      </c>
      <c r="BT517" s="199">
        <f>'Detailed Budget'!$AD$12</f>
        <v>194045122715</v>
      </c>
      <c r="BU517" s="199">
        <f>'Detailed Budget'!$AD$24</f>
        <v>194045122715</v>
      </c>
      <c r="BV517" s="596">
        <f t="shared" si="632"/>
        <v>0</v>
      </c>
      <c r="BW517" s="278"/>
      <c r="BX517" s="275">
        <f t="shared" si="619"/>
        <v>0</v>
      </c>
      <c r="BY517" s="275">
        <f t="shared" si="620"/>
        <v>0</v>
      </c>
      <c r="CA517" s="199">
        <f>'Detailed Budget'!$AD$96</f>
        <v>71050111380.677719</v>
      </c>
      <c r="CB517" s="275">
        <f t="shared" si="564"/>
        <v>141675402.1042999</v>
      </c>
      <c r="CE517" s="199">
        <f>'Detailed Budget'!$AD$175</f>
        <v>4330586076.5988197</v>
      </c>
      <c r="CF517" s="275">
        <f t="shared" si="633"/>
        <v>0</v>
      </c>
      <c r="CG517" s="199">
        <f>'Detailed Budget'!$AD$176</f>
        <v>20662817754.37001</v>
      </c>
      <c r="CH517" s="275">
        <f t="shared" si="634"/>
        <v>0</v>
      </c>
      <c r="CI517" s="275">
        <f t="shared" si="549"/>
        <v>0</v>
      </c>
      <c r="CJ517" s="275">
        <f>'Detailed Budget'!$AD$178</f>
        <v>46025131033.061455</v>
      </c>
      <c r="CK517" s="275">
        <f t="shared" si="635"/>
        <v>0</v>
      </c>
      <c r="CL517" s="275">
        <f t="shared" si="571"/>
        <v>0</v>
      </c>
      <c r="CM517" s="278">
        <f>'Detailed Budget'!$AD$189</f>
        <v>77498869683.252869</v>
      </c>
      <c r="CN517" s="275">
        <f t="shared" si="565"/>
        <v>0</v>
      </c>
      <c r="CO517" s="140">
        <f>'Detailed Budget'!$AD$191</f>
        <v>2684962805.4134097</v>
      </c>
      <c r="CP517" s="616">
        <f t="shared" si="566"/>
        <v>0</v>
      </c>
      <c r="CQ517" s="616">
        <f t="shared" si="567"/>
        <v>0</v>
      </c>
      <c r="CR517" s="199">
        <f>'Detailed Budget'!$AD$195</f>
        <v>18734176418</v>
      </c>
      <c r="CS517" s="275">
        <f t="shared" si="636"/>
        <v>34678053.34477108</v>
      </c>
      <c r="CW517" s="278"/>
      <c r="DH517" s="140">
        <f>'Detailed Budget'!$AD$163</f>
        <v>4928560000</v>
      </c>
      <c r="DI517" s="616">
        <f t="shared" si="637"/>
        <v>10640000</v>
      </c>
    </row>
    <row r="518" spans="1:113" outlineLevel="1">
      <c r="A518" s="214" t="s">
        <v>1138</v>
      </c>
      <c r="B518" s="215" t="s">
        <v>1139</v>
      </c>
      <c r="C518" s="216" t="s">
        <v>234</v>
      </c>
      <c r="D518" s="217"/>
      <c r="E518" s="216"/>
      <c r="F518" s="216"/>
      <c r="G518" s="216"/>
      <c r="H518" s="216" t="s">
        <v>234</v>
      </c>
      <c r="I518" s="217" t="s">
        <v>234</v>
      </c>
      <c r="J518" s="217"/>
      <c r="K518" s="216"/>
      <c r="L518" s="216"/>
      <c r="M518" s="217" t="s">
        <v>234</v>
      </c>
      <c r="N518" s="216"/>
      <c r="O518" s="217"/>
      <c r="P518" s="216"/>
      <c r="Q518" s="217"/>
      <c r="R518" s="217" t="s">
        <v>234</v>
      </c>
      <c r="S518" s="217"/>
      <c r="T518" s="217"/>
      <c r="U518" s="218">
        <f t="shared" si="626"/>
        <v>5</v>
      </c>
      <c r="V518" s="867" t="s">
        <v>487</v>
      </c>
      <c r="W518" s="219">
        <v>112192</v>
      </c>
      <c r="X518" s="220">
        <v>2.8</v>
      </c>
      <c r="Y518" s="221">
        <f t="shared" si="621"/>
        <v>1.028</v>
      </c>
      <c r="Z518" s="199">
        <v>19</v>
      </c>
      <c r="AA518" s="221">
        <f t="shared" si="622"/>
        <v>1.6899318009047619</v>
      </c>
      <c r="AB518" s="199">
        <f t="shared" si="603"/>
        <v>189596.82860710705</v>
      </c>
      <c r="AC518">
        <v>11.3</v>
      </c>
      <c r="AD518" s="199">
        <f t="shared" si="604"/>
        <v>21424.441632603099</v>
      </c>
      <c r="AE518" s="199">
        <f t="shared" si="623"/>
        <v>20353.219550972943</v>
      </c>
      <c r="AF518" s="199">
        <f t="shared" si="570"/>
        <v>0</v>
      </c>
      <c r="AG518" s="614">
        <f t="shared" si="569"/>
        <v>9.4104351972894014E-4</v>
      </c>
      <c r="AH518" s="199">
        <f t="shared" si="638"/>
        <v>9479.8414303553527</v>
      </c>
      <c r="AI518" s="252">
        <f t="shared" ref="AI518:AI581" si="639">AH518/12908475</f>
        <v>7.3438895224690393E-4</v>
      </c>
      <c r="AJ518" s="199">
        <f t="shared" si="553"/>
        <v>30904.28306295845</v>
      </c>
      <c r="AK518" s="199">
        <f t="shared" si="572"/>
        <v>7583.8731442842818</v>
      </c>
      <c r="AL518" s="199">
        <f t="shared" si="573"/>
        <v>7583.8731442842818</v>
      </c>
      <c r="AM518" s="199">
        <f t="shared" si="554"/>
        <v>15167.746288568564</v>
      </c>
      <c r="AN518" s="645">
        <f t="shared" si="555"/>
        <v>7.3438895224690382E-4</v>
      </c>
      <c r="AO518" s="199">
        <v>14</v>
      </c>
      <c r="AP518" s="250">
        <f t="shared" si="556"/>
        <v>1.5907283263265539E-3</v>
      </c>
      <c r="AQ518" s="199">
        <v>14</v>
      </c>
      <c r="AU518" s="199">
        <v>0</v>
      </c>
      <c r="AW518" s="250">
        <f t="shared" si="557"/>
        <v>0</v>
      </c>
      <c r="AX518" s="199">
        <v>1</v>
      </c>
      <c r="AY518" s="199">
        <f t="shared" si="627"/>
        <v>10013.506534411343</v>
      </c>
      <c r="AZ518" s="199">
        <f t="shared" si="558"/>
        <v>10013.506534411343</v>
      </c>
      <c r="BA518" s="252">
        <f t="shared" si="559"/>
        <v>7.8712659436845362E-4</v>
      </c>
      <c r="BB518" s="284">
        <v>0</v>
      </c>
      <c r="BC518" s="199">
        <f t="shared" si="628"/>
        <v>0</v>
      </c>
      <c r="BD518" s="270">
        <f t="shared" si="574"/>
        <v>0</v>
      </c>
      <c r="BE518" s="199">
        <f t="shared" si="629"/>
        <v>0</v>
      </c>
      <c r="BF518" s="251">
        <f t="shared" si="575"/>
        <v>0</v>
      </c>
      <c r="BG518" s="204">
        <f t="shared" si="630"/>
        <v>0</v>
      </c>
      <c r="BH518" s="636">
        <v>0</v>
      </c>
      <c r="BI518" s="199">
        <f t="shared" si="560"/>
        <v>58016.629553774765</v>
      </c>
      <c r="BJ518" s="199">
        <f t="shared" si="561"/>
        <v>116033.25910754953</v>
      </c>
      <c r="BK518" s="199">
        <f t="shared" si="568"/>
        <v>174049.88866132428</v>
      </c>
      <c r="BL518" s="251">
        <f t="shared" si="562"/>
        <v>7.3438895224690393E-4</v>
      </c>
      <c r="BM518" s="199">
        <f t="shared" si="631"/>
        <v>16920.807466224684</v>
      </c>
      <c r="BN518" s="251">
        <f t="shared" si="563"/>
        <v>7.3069308918342912E-4</v>
      </c>
      <c r="BT518" s="199">
        <f>'Detailed Budget'!$AD$12</f>
        <v>194045122715</v>
      </c>
      <c r="BU518" s="199">
        <f>'Detailed Budget'!$AD$24</f>
        <v>194045122715</v>
      </c>
      <c r="BV518" s="596">
        <f t="shared" si="632"/>
        <v>0</v>
      </c>
      <c r="BW518" s="278"/>
      <c r="BX518" s="275">
        <f t="shared" si="619"/>
        <v>0</v>
      </c>
      <c r="BY518" s="275">
        <f t="shared" si="620"/>
        <v>0</v>
      </c>
      <c r="CA518" s="199">
        <f>'Detailed Budget'!$AD$96</f>
        <v>71050111380.677719</v>
      </c>
      <c r="CB518" s="275">
        <f t="shared" si="564"/>
        <v>55925432.200572163</v>
      </c>
      <c r="CE518" s="199">
        <f>'Detailed Budget'!$AD$175</f>
        <v>4330586076.5988197</v>
      </c>
      <c r="CF518" s="275">
        <f t="shared" si="633"/>
        <v>0</v>
      </c>
      <c r="CG518" s="199">
        <f>'Detailed Budget'!$AD$176</f>
        <v>20662817754.37001</v>
      </c>
      <c r="CH518" s="275">
        <f t="shared" si="634"/>
        <v>0</v>
      </c>
      <c r="CI518" s="275">
        <f t="shared" si="549"/>
        <v>0</v>
      </c>
      <c r="CJ518" s="275">
        <f>'Detailed Budget'!$AD$178</f>
        <v>46025131033.061455</v>
      </c>
      <c r="CK518" s="275">
        <f t="shared" si="635"/>
        <v>0</v>
      </c>
      <c r="CL518" s="275">
        <f t="shared" si="571"/>
        <v>0</v>
      </c>
      <c r="CM518" s="278">
        <f>'Detailed Budget'!$AD$189</f>
        <v>77498869683.252869</v>
      </c>
      <c r="CN518" s="275">
        <f t="shared" si="565"/>
        <v>0</v>
      </c>
      <c r="CO518" s="140">
        <f>'Detailed Budget'!$AD$191</f>
        <v>2684962805.4134097</v>
      </c>
      <c r="CP518" s="616">
        <f t="shared" si="566"/>
        <v>0</v>
      </c>
      <c r="CQ518" s="616">
        <f t="shared" si="567"/>
        <v>0</v>
      </c>
      <c r="CR518" s="199">
        <f>'Detailed Budget'!$AD$195</f>
        <v>18734176418</v>
      </c>
      <c r="CS518" s="275">
        <f t="shared" si="636"/>
        <v>13688933.240175769</v>
      </c>
      <c r="CW518" s="278"/>
      <c r="DH518" s="140">
        <f>'Detailed Budget'!$AD$163</f>
        <v>4928560000</v>
      </c>
      <c r="DI518" s="616">
        <f t="shared" si="637"/>
        <v>7840000.0000000009</v>
      </c>
    </row>
    <row r="519" spans="1:113" outlineLevel="1">
      <c r="A519" s="214" t="s">
        <v>1140</v>
      </c>
      <c r="B519" s="215" t="s">
        <v>1141</v>
      </c>
      <c r="C519" s="216" t="s">
        <v>234</v>
      </c>
      <c r="D519" s="217"/>
      <c r="E519" s="216"/>
      <c r="F519" s="216"/>
      <c r="G519" s="216"/>
      <c r="H519" s="216" t="s">
        <v>234</v>
      </c>
      <c r="I519" s="217" t="s">
        <v>234</v>
      </c>
      <c r="J519" s="217"/>
      <c r="K519" s="216"/>
      <c r="L519" s="216"/>
      <c r="M519" s="217" t="s">
        <v>234</v>
      </c>
      <c r="N519" s="216"/>
      <c r="O519" s="217"/>
      <c r="P519" s="216"/>
      <c r="Q519" s="217"/>
      <c r="R519" s="217" t="s">
        <v>234</v>
      </c>
      <c r="S519" s="217"/>
      <c r="T519" s="217"/>
      <c r="U519" s="218">
        <f t="shared" si="626"/>
        <v>5</v>
      </c>
      <c r="V519" s="867" t="s">
        <v>487</v>
      </c>
      <c r="W519" s="219">
        <v>189654</v>
      </c>
      <c r="X519" s="220">
        <v>2.8</v>
      </c>
      <c r="Y519" s="221">
        <f t="shared" si="621"/>
        <v>1.028</v>
      </c>
      <c r="Z519" s="199">
        <v>19</v>
      </c>
      <c r="AA519" s="221">
        <f t="shared" si="622"/>
        <v>1.6899318009047619</v>
      </c>
      <c r="AB519" s="199">
        <f t="shared" si="603"/>
        <v>320502.32576879172</v>
      </c>
      <c r="AC519">
        <v>11.3</v>
      </c>
      <c r="AD519" s="199">
        <f t="shared" si="604"/>
        <v>36216.762811873465</v>
      </c>
      <c r="AE519" s="199">
        <f t="shared" si="623"/>
        <v>34405.92467127979</v>
      </c>
      <c r="AF519" s="199">
        <f t="shared" si="570"/>
        <v>0</v>
      </c>
      <c r="AG519" s="614">
        <f t="shared" si="569"/>
        <v>1.5907789119604999E-3</v>
      </c>
      <c r="AH519" s="199">
        <f t="shared" si="638"/>
        <v>16025.116288439587</v>
      </c>
      <c r="AI519" s="252">
        <f t="shared" si="639"/>
        <v>1.2414414784426191E-3</v>
      </c>
      <c r="AJ519" s="199">
        <f t="shared" ref="AJ519:AJ582" si="640">AD519+AH519</f>
        <v>52241.879100313054</v>
      </c>
      <c r="AK519" s="199">
        <f t="shared" si="572"/>
        <v>12820.093030751668</v>
      </c>
      <c r="AL519" s="199">
        <f t="shared" si="573"/>
        <v>12820.093030751668</v>
      </c>
      <c r="AM519" s="199">
        <f t="shared" ref="AM519:AM582" si="641">AK519+AL519</f>
        <v>25640.186061503337</v>
      </c>
      <c r="AN519" s="645">
        <f t="shared" ref="AN519:AN582" si="642">AM519/20653560</f>
        <v>1.2414414784426189E-3</v>
      </c>
      <c r="AO519" s="199">
        <v>20</v>
      </c>
      <c r="AP519" s="250">
        <f t="shared" ref="AP519:AP572" si="643">AO519/8801</f>
        <v>2.2724690376093627E-3</v>
      </c>
      <c r="AQ519" s="199">
        <v>20</v>
      </c>
      <c r="AU519" s="199">
        <v>0</v>
      </c>
      <c r="AW519" s="250">
        <f t="shared" ref="AW519:AW582" si="644">AV519/34743979</f>
        <v>0</v>
      </c>
      <c r="AX519" s="199">
        <v>1</v>
      </c>
      <c r="AY519" s="199">
        <f t="shared" si="627"/>
        <v>16927.245866703943</v>
      </c>
      <c r="AZ519" s="199">
        <f t="shared" ref="AZ519:AZ582" si="645">AX519*AY519</f>
        <v>16927.245866703943</v>
      </c>
      <c r="BA519" s="252">
        <f t="shared" ref="BA519:BA582" si="646">AZ519/12721596</f>
        <v>1.3305913712952323E-3</v>
      </c>
      <c r="BB519" s="284">
        <v>0</v>
      </c>
      <c r="BC519" s="199">
        <f t="shared" si="628"/>
        <v>0</v>
      </c>
      <c r="BD519" s="270">
        <f t="shared" si="574"/>
        <v>0</v>
      </c>
      <c r="BE519" s="199">
        <f t="shared" si="629"/>
        <v>0</v>
      </c>
      <c r="BF519" s="251">
        <f t="shared" si="575"/>
        <v>0</v>
      </c>
      <c r="BG519" s="204">
        <f t="shared" si="630"/>
        <v>0</v>
      </c>
      <c r="BH519" s="636">
        <v>0</v>
      </c>
      <c r="BI519" s="199">
        <f t="shared" ref="BI519:BI582" si="647">AK519*0.85*0.75*12</f>
        <v>98073.711685250266</v>
      </c>
      <c r="BJ519" s="199">
        <f t="shared" ref="BJ519:BJ582" si="648">AL519*0.85*0.75*2*12</f>
        <v>196147.42337050053</v>
      </c>
      <c r="BK519" s="199">
        <f t="shared" si="568"/>
        <v>294221.13505575078</v>
      </c>
      <c r="BL519" s="251">
        <f t="shared" ref="BL519:BL582" si="649">BK519/236999601</f>
        <v>1.2414414784426189E-3</v>
      </c>
      <c r="BM519" s="199">
        <f t="shared" si="631"/>
        <v>28603.633228745151</v>
      </c>
      <c r="BN519" s="251">
        <f t="shared" ref="BN519:BN582" si="650">BM519/23157202</f>
        <v>1.2351938385624114E-3</v>
      </c>
      <c r="BT519" s="199">
        <f>'Detailed Budget'!$AD$12</f>
        <v>194045122715</v>
      </c>
      <c r="BU519" s="199">
        <f>'Detailed Budget'!$AD$24</f>
        <v>194045122715</v>
      </c>
      <c r="BV519" s="596">
        <f t="shared" si="632"/>
        <v>0</v>
      </c>
      <c r="BW519" s="278"/>
      <c r="BX519" s="275">
        <f t="shared" si="619"/>
        <v>0</v>
      </c>
      <c r="BY519" s="275">
        <f t="shared" si="620"/>
        <v>0</v>
      </c>
      <c r="CA519" s="199">
        <f>'Detailed Budget'!$AD$96</f>
        <v>71050111380.677719</v>
      </c>
      <c r="CB519" s="275">
        <f t="shared" ref="CB519:CB582" si="651">BA519*CA519</f>
        <v>94538665.13269496</v>
      </c>
      <c r="CE519" s="199">
        <f>'Detailed Budget'!$AD$175</f>
        <v>4330586076.5988197</v>
      </c>
      <c r="CF519" s="275">
        <f t="shared" si="633"/>
        <v>0</v>
      </c>
      <c r="CG519" s="199">
        <f>'Detailed Budget'!$AD$176</f>
        <v>20662817754.37001</v>
      </c>
      <c r="CH519" s="275">
        <f t="shared" si="634"/>
        <v>0</v>
      </c>
      <c r="CI519" s="275">
        <f t="shared" si="549"/>
        <v>0</v>
      </c>
      <c r="CJ519" s="275">
        <f>'Detailed Budget'!$AD$178</f>
        <v>46025131033.061455</v>
      </c>
      <c r="CK519" s="275">
        <f t="shared" si="635"/>
        <v>0</v>
      </c>
      <c r="CL519" s="275">
        <f t="shared" si="571"/>
        <v>0</v>
      </c>
      <c r="CM519" s="278">
        <f>'Detailed Budget'!$AD$189</f>
        <v>77498869683.252869</v>
      </c>
      <c r="CN519" s="275">
        <f t="shared" ref="CN519:CN582" si="652">BH519*BL519*CM519</f>
        <v>0</v>
      </c>
      <c r="CO519" s="140">
        <f>'Detailed Budget'!$AD$191</f>
        <v>2684962805.4134097</v>
      </c>
      <c r="CP519" s="616">
        <f t="shared" ref="CP519:CP582" si="653">BH519*AN519*CO519</f>
        <v>0</v>
      </c>
      <c r="CQ519" s="616">
        <f t="shared" ref="CQ519:CQ582" si="654">CN519+CP519</f>
        <v>0</v>
      </c>
      <c r="CR519" s="199">
        <f>'Detailed Budget'!$AD$195</f>
        <v>18734176418</v>
      </c>
      <c r="CS519" s="275">
        <f t="shared" si="636"/>
        <v>23140339.282054827</v>
      </c>
      <c r="CW519" s="278"/>
      <c r="DH519" s="140">
        <f>'Detailed Budget'!$AD$163</f>
        <v>4928560000</v>
      </c>
      <c r="DI519" s="616">
        <f t="shared" si="637"/>
        <v>11200000</v>
      </c>
    </row>
    <row r="520" spans="1:113" outlineLevel="1">
      <c r="A520" s="214" t="s">
        <v>1142</v>
      </c>
      <c r="B520" s="215" t="s">
        <v>1143</v>
      </c>
      <c r="C520" s="216" t="s">
        <v>234</v>
      </c>
      <c r="D520" s="217"/>
      <c r="E520" s="216"/>
      <c r="F520" s="216"/>
      <c r="G520" s="216"/>
      <c r="H520" s="216" t="s">
        <v>234</v>
      </c>
      <c r="I520" s="217" t="s">
        <v>234</v>
      </c>
      <c r="J520" s="217"/>
      <c r="K520" s="216"/>
      <c r="L520" s="216"/>
      <c r="M520" s="217" t="s">
        <v>234</v>
      </c>
      <c r="N520" s="216"/>
      <c r="O520" s="217"/>
      <c r="P520" s="216"/>
      <c r="Q520" s="217"/>
      <c r="R520" s="217" t="s">
        <v>234</v>
      </c>
      <c r="S520" s="217"/>
      <c r="T520" s="217"/>
      <c r="U520" s="218">
        <f t="shared" si="626"/>
        <v>5</v>
      </c>
      <c r="V520" s="867" t="s">
        <v>487</v>
      </c>
      <c r="W520" s="219">
        <v>158152</v>
      </c>
      <c r="X520" s="220">
        <v>2.8</v>
      </c>
      <c r="Y520" s="221">
        <f t="shared" si="621"/>
        <v>1.028</v>
      </c>
      <c r="Z520" s="199">
        <v>19</v>
      </c>
      <c r="AA520" s="221">
        <f t="shared" si="622"/>
        <v>1.6899318009047619</v>
      </c>
      <c r="AB520" s="199">
        <f t="shared" si="603"/>
        <v>267266.09417668992</v>
      </c>
      <c r="AC520">
        <v>11.3</v>
      </c>
      <c r="AD520" s="199">
        <f t="shared" si="604"/>
        <v>30201.068641965961</v>
      </c>
      <c r="AE520" s="199">
        <f t="shared" si="623"/>
        <v>28691.015209867663</v>
      </c>
      <c r="AF520" s="199">
        <f t="shared" si="570"/>
        <v>0</v>
      </c>
      <c r="AG520" s="614">
        <f t="shared" si="569"/>
        <v>1.3265465873874371E-3</v>
      </c>
      <c r="AH520" s="199">
        <f t="shared" si="638"/>
        <v>13363.304708834497</v>
      </c>
      <c r="AI520" s="252">
        <f t="shared" si="639"/>
        <v>1.0352349684090876E-3</v>
      </c>
      <c r="AJ520" s="199">
        <f t="shared" si="640"/>
        <v>43564.373350800459</v>
      </c>
      <c r="AK520" s="199">
        <f t="shared" si="572"/>
        <v>10690.643767067597</v>
      </c>
      <c r="AL520" s="199">
        <f t="shared" si="573"/>
        <v>10690.643767067597</v>
      </c>
      <c r="AM520" s="199">
        <f t="shared" si="641"/>
        <v>21381.287534135194</v>
      </c>
      <c r="AN520" s="645">
        <f t="shared" si="642"/>
        <v>1.0352349684090876E-3</v>
      </c>
      <c r="AO520" s="199">
        <v>11</v>
      </c>
      <c r="AP520" s="250">
        <f t="shared" si="643"/>
        <v>1.2498579706851495E-3</v>
      </c>
      <c r="AQ520" s="199">
        <v>11</v>
      </c>
      <c r="AU520" s="199">
        <v>0</v>
      </c>
      <c r="AW520" s="250">
        <f t="shared" si="644"/>
        <v>0</v>
      </c>
      <c r="AX520" s="199">
        <v>1</v>
      </c>
      <c r="AY520" s="199">
        <f t="shared" si="627"/>
        <v>14115.588325640178</v>
      </c>
      <c r="AZ520" s="199">
        <f t="shared" si="645"/>
        <v>14115.588325640178</v>
      </c>
      <c r="BA520" s="252">
        <f t="shared" si="646"/>
        <v>1.109576842845833E-3</v>
      </c>
      <c r="BB520" s="284">
        <v>0</v>
      </c>
      <c r="BC520" s="199">
        <f t="shared" si="628"/>
        <v>0</v>
      </c>
      <c r="BD520" s="270">
        <f t="shared" si="574"/>
        <v>0</v>
      </c>
      <c r="BE520" s="199">
        <f t="shared" si="629"/>
        <v>0</v>
      </c>
      <c r="BF520" s="251">
        <f t="shared" si="575"/>
        <v>0</v>
      </c>
      <c r="BG520" s="204">
        <f t="shared" si="630"/>
        <v>0</v>
      </c>
      <c r="BH520" s="636">
        <v>0</v>
      </c>
      <c r="BI520" s="199">
        <f t="shared" si="647"/>
        <v>81783.424818067113</v>
      </c>
      <c r="BJ520" s="199">
        <f t="shared" si="648"/>
        <v>163566.84963613423</v>
      </c>
      <c r="BK520" s="199">
        <f t="shared" ref="BK520:BK583" si="655">BI520+BJ520</f>
        <v>245350.27445420134</v>
      </c>
      <c r="BL520" s="251">
        <f t="shared" si="649"/>
        <v>1.0352349684090874E-3</v>
      </c>
      <c r="BM520" s="199">
        <f t="shared" si="631"/>
        <v>23852.498773516527</v>
      </c>
      <c r="BN520" s="251">
        <f t="shared" si="650"/>
        <v>1.030025077015631E-3</v>
      </c>
      <c r="BT520" s="199">
        <f>'Detailed Budget'!$AD$12</f>
        <v>194045122715</v>
      </c>
      <c r="BU520" s="199">
        <f>'Detailed Budget'!$AD$24</f>
        <v>194045122715</v>
      </c>
      <c r="BV520" s="596">
        <f t="shared" si="632"/>
        <v>0</v>
      </c>
      <c r="BW520" s="278"/>
      <c r="BX520" s="275">
        <f t="shared" si="619"/>
        <v>0</v>
      </c>
      <c r="BY520" s="275">
        <f t="shared" si="620"/>
        <v>0</v>
      </c>
      <c r="CA520" s="199">
        <f>'Detailed Budget'!$AD$96</f>
        <v>71050111380.677719</v>
      </c>
      <c r="CB520" s="275">
        <f t="shared" si="651"/>
        <v>78835558.26961717</v>
      </c>
      <c r="CE520" s="199">
        <f>'Detailed Budget'!$AD$175</f>
        <v>4330586076.5988197</v>
      </c>
      <c r="CF520" s="275">
        <f t="shared" si="633"/>
        <v>0</v>
      </c>
      <c r="CG520" s="199">
        <f>'Detailed Budget'!$AD$176</f>
        <v>20662817754.37001</v>
      </c>
      <c r="CH520" s="275">
        <f t="shared" si="634"/>
        <v>0</v>
      </c>
      <c r="CI520" s="275">
        <f t="shared" si="549"/>
        <v>0</v>
      </c>
      <c r="CJ520" s="275">
        <f>'Detailed Budget'!$AD$178</f>
        <v>46025131033.061455</v>
      </c>
      <c r="CK520" s="275">
        <f t="shared" si="635"/>
        <v>0</v>
      </c>
      <c r="CL520" s="275">
        <f t="shared" si="571"/>
        <v>0</v>
      </c>
      <c r="CM520" s="278">
        <f>'Detailed Budget'!$AD$189</f>
        <v>77498869683.252869</v>
      </c>
      <c r="CN520" s="275">
        <f t="shared" si="652"/>
        <v>0</v>
      </c>
      <c r="CO520" s="140">
        <f>'Detailed Budget'!$AD$191</f>
        <v>2684962805.4134097</v>
      </c>
      <c r="CP520" s="616">
        <f t="shared" si="653"/>
        <v>0</v>
      </c>
      <c r="CQ520" s="616">
        <f t="shared" si="654"/>
        <v>0</v>
      </c>
      <c r="CR520" s="199">
        <f>'Detailed Budget'!$AD$195</f>
        <v>18734176418</v>
      </c>
      <c r="CS520" s="275">
        <f t="shared" si="636"/>
        <v>19296671.507774867</v>
      </c>
      <c r="CW520" s="278"/>
      <c r="DH520" s="140">
        <f>'Detailed Budget'!$AD$163</f>
        <v>4928560000</v>
      </c>
      <c r="DI520" s="616">
        <f t="shared" si="637"/>
        <v>6160000</v>
      </c>
    </row>
    <row r="521" spans="1:113" outlineLevel="1">
      <c r="A521" s="214" t="s">
        <v>1144</v>
      </c>
      <c r="B521" s="215" t="s">
        <v>1145</v>
      </c>
      <c r="C521" s="216" t="s">
        <v>234</v>
      </c>
      <c r="D521" s="217"/>
      <c r="E521" s="216"/>
      <c r="F521" s="216"/>
      <c r="G521" s="216"/>
      <c r="H521" s="216" t="s">
        <v>234</v>
      </c>
      <c r="I521" s="217" t="s">
        <v>234</v>
      </c>
      <c r="J521" s="217"/>
      <c r="K521" s="216"/>
      <c r="L521" s="216"/>
      <c r="M521" s="217" t="s">
        <v>234</v>
      </c>
      <c r="N521" s="216"/>
      <c r="O521" s="217"/>
      <c r="P521" s="216"/>
      <c r="Q521" s="217"/>
      <c r="R521" s="217" t="s">
        <v>234</v>
      </c>
      <c r="S521" s="217"/>
      <c r="T521" s="217"/>
      <c r="U521" s="218">
        <f t="shared" si="626"/>
        <v>5</v>
      </c>
      <c r="V521" s="867" t="s">
        <v>487</v>
      </c>
      <c r="W521" s="219">
        <v>96517</v>
      </c>
      <c r="X521" s="220">
        <v>2.8</v>
      </c>
      <c r="Y521" s="221">
        <f t="shared" si="621"/>
        <v>1.028</v>
      </c>
      <c r="Z521" s="199">
        <v>19</v>
      </c>
      <c r="AA521" s="221">
        <f t="shared" si="622"/>
        <v>1.6899318009047619</v>
      </c>
      <c r="AB521" s="199">
        <f t="shared" si="603"/>
        <v>163107.14762792492</v>
      </c>
      <c r="AC521">
        <v>11.3</v>
      </c>
      <c r="AD521" s="199">
        <f t="shared" si="604"/>
        <v>18431.107681955516</v>
      </c>
      <c r="AE521" s="199">
        <f t="shared" si="623"/>
        <v>17509.552297857739</v>
      </c>
      <c r="AF521" s="199">
        <f t="shared" si="570"/>
        <v>0</v>
      </c>
      <c r="AG521" s="614">
        <f t="shared" ref="AG521:AG584" si="656">AE521/21628351</f>
        <v>8.0956482987804934E-4</v>
      </c>
      <c r="AH521" s="199">
        <f t="shared" si="638"/>
        <v>8155.3573813962466</v>
      </c>
      <c r="AI521" s="252">
        <f t="shared" si="639"/>
        <v>6.3178317976339158E-4</v>
      </c>
      <c r="AJ521" s="199">
        <f t="shared" si="640"/>
        <v>26586.465063351763</v>
      </c>
      <c r="AK521" s="199">
        <f t="shared" si="572"/>
        <v>6524.2859051169971</v>
      </c>
      <c r="AL521" s="199">
        <f t="shared" si="573"/>
        <v>6524.2859051169971</v>
      </c>
      <c r="AM521" s="199">
        <f t="shared" si="641"/>
        <v>13048.571810233994</v>
      </c>
      <c r="AN521" s="645">
        <f t="shared" si="642"/>
        <v>6.3178317976339158E-4</v>
      </c>
      <c r="AO521" s="199">
        <v>14</v>
      </c>
      <c r="AP521" s="250">
        <f t="shared" si="643"/>
        <v>1.5907283263265539E-3</v>
      </c>
      <c r="AQ521" s="199">
        <v>14</v>
      </c>
      <c r="AU521" s="199">
        <v>0</v>
      </c>
      <c r="AW521" s="250">
        <f t="shared" si="644"/>
        <v>0</v>
      </c>
      <c r="AX521" s="199">
        <v>1</v>
      </c>
      <c r="AY521" s="199">
        <f t="shared" si="627"/>
        <v>8614.4610148832326</v>
      </c>
      <c r="AZ521" s="199">
        <f t="shared" si="645"/>
        <v>8614.4610148832326</v>
      </c>
      <c r="BA521" s="252">
        <f t="shared" si="646"/>
        <v>6.7715253769127961E-4</v>
      </c>
      <c r="BB521" s="284">
        <v>0</v>
      </c>
      <c r="BC521" s="199">
        <f t="shared" si="628"/>
        <v>0</v>
      </c>
      <c r="BD521" s="270">
        <f t="shared" si="574"/>
        <v>0</v>
      </c>
      <c r="BE521" s="199">
        <f t="shared" si="629"/>
        <v>0</v>
      </c>
      <c r="BF521" s="251">
        <f t="shared" si="575"/>
        <v>0</v>
      </c>
      <c r="BG521" s="204">
        <f t="shared" si="630"/>
        <v>0</v>
      </c>
      <c r="BH521" s="636">
        <v>0</v>
      </c>
      <c r="BI521" s="199">
        <f t="shared" si="647"/>
        <v>49910.787174145029</v>
      </c>
      <c r="BJ521" s="199">
        <f t="shared" si="648"/>
        <v>99821.574348290058</v>
      </c>
      <c r="BK521" s="199">
        <f t="shared" si="655"/>
        <v>149732.36152243509</v>
      </c>
      <c r="BL521" s="251">
        <f t="shared" si="649"/>
        <v>6.3178317976339169E-4</v>
      </c>
      <c r="BM521" s="199">
        <f t="shared" si="631"/>
        <v>14556.70256540224</v>
      </c>
      <c r="BN521" s="251">
        <f t="shared" si="650"/>
        <v>6.2860368732812544E-4</v>
      </c>
      <c r="BT521" s="199">
        <f>'Detailed Budget'!$AD$12</f>
        <v>194045122715</v>
      </c>
      <c r="BU521" s="199">
        <f>'Detailed Budget'!$AD$24</f>
        <v>194045122715</v>
      </c>
      <c r="BV521" s="596">
        <f t="shared" si="632"/>
        <v>0</v>
      </c>
      <c r="BW521" s="278"/>
      <c r="BX521" s="275">
        <f t="shared" si="619"/>
        <v>0</v>
      </c>
      <c r="BY521" s="275">
        <f t="shared" si="620"/>
        <v>0</v>
      </c>
      <c r="CA521" s="199">
        <f>'Detailed Budget'!$AD$96</f>
        <v>71050111380.677719</v>
      </c>
      <c r="CB521" s="275">
        <f t="shared" si="651"/>
        <v>48111763.224673986</v>
      </c>
      <c r="CE521" s="199">
        <f>'Detailed Budget'!$AD$175</f>
        <v>4330586076.5988197</v>
      </c>
      <c r="CF521" s="275">
        <f t="shared" si="633"/>
        <v>0</v>
      </c>
      <c r="CG521" s="199">
        <f>'Detailed Budget'!$AD$176</f>
        <v>20662817754.37001</v>
      </c>
      <c r="CH521" s="275">
        <f t="shared" si="634"/>
        <v>0</v>
      </c>
      <c r="CI521" s="275">
        <f t="shared" ref="CI521:CI590" si="657">CF521+CH521</f>
        <v>0</v>
      </c>
      <c r="CJ521" s="275">
        <f>'Detailed Budget'!$AD$178</f>
        <v>46025131033.061455</v>
      </c>
      <c r="CK521" s="275">
        <f t="shared" si="635"/>
        <v>0</v>
      </c>
      <c r="CL521" s="275">
        <f t="shared" si="571"/>
        <v>0</v>
      </c>
      <c r="CM521" s="278">
        <f>'Detailed Budget'!$AD$189</f>
        <v>77498869683.252869</v>
      </c>
      <c r="CN521" s="275">
        <f t="shared" si="652"/>
        <v>0</v>
      </c>
      <c r="CO521" s="140">
        <f>'Detailed Budget'!$AD$191</f>
        <v>2684962805.4134097</v>
      </c>
      <c r="CP521" s="616">
        <f t="shared" si="653"/>
        <v>0</v>
      </c>
      <c r="CQ521" s="616">
        <f t="shared" si="654"/>
        <v>0</v>
      </c>
      <c r="CR521" s="199">
        <f>'Detailed Budget'!$AD$195</f>
        <v>18734176418</v>
      </c>
      <c r="CS521" s="275">
        <f t="shared" si="636"/>
        <v>11776372.375410413</v>
      </c>
      <c r="CW521" s="278"/>
      <c r="DH521" s="140">
        <f>'Detailed Budget'!$AD$163</f>
        <v>4928560000</v>
      </c>
      <c r="DI521" s="616">
        <f t="shared" si="637"/>
        <v>7840000.0000000009</v>
      </c>
    </row>
    <row r="522" spans="1:113" outlineLevel="1">
      <c r="A522" s="214" t="s">
        <v>1146</v>
      </c>
      <c r="B522" s="215" t="s">
        <v>1147</v>
      </c>
      <c r="C522" s="216" t="s">
        <v>234</v>
      </c>
      <c r="D522" s="217"/>
      <c r="E522" s="216"/>
      <c r="F522" s="216"/>
      <c r="G522" s="216"/>
      <c r="H522" s="216" t="s">
        <v>234</v>
      </c>
      <c r="I522" s="217" t="s">
        <v>234</v>
      </c>
      <c r="J522" s="217"/>
      <c r="K522" s="216"/>
      <c r="L522" s="216"/>
      <c r="M522" s="217"/>
      <c r="N522" s="216" t="s">
        <v>234</v>
      </c>
      <c r="O522" s="217"/>
      <c r="P522" s="216"/>
      <c r="Q522" s="217"/>
      <c r="R522" s="217" t="s">
        <v>234</v>
      </c>
      <c r="S522" s="217"/>
      <c r="T522" s="217"/>
      <c r="U522" s="218">
        <f t="shared" si="626"/>
        <v>5</v>
      </c>
      <c r="V522" s="867" t="s">
        <v>487</v>
      </c>
      <c r="W522" s="219">
        <v>158429</v>
      </c>
      <c r="X522" s="220">
        <v>2.8</v>
      </c>
      <c r="Y522" s="221">
        <f t="shared" si="621"/>
        <v>1.028</v>
      </c>
      <c r="Z522" s="199">
        <v>19</v>
      </c>
      <c r="AA522" s="221">
        <f t="shared" si="622"/>
        <v>1.6899318009047619</v>
      </c>
      <c r="AB522" s="199">
        <f t="shared" si="603"/>
        <v>267734.20528554055</v>
      </c>
      <c r="AC522">
        <v>11.3</v>
      </c>
      <c r="AD522" s="199">
        <f t="shared" si="604"/>
        <v>30253.965197266083</v>
      </c>
      <c r="AE522" s="199">
        <f t="shared" si="623"/>
        <v>28741.266937402779</v>
      </c>
      <c r="AF522" s="199">
        <f t="shared" si="570"/>
        <v>0</v>
      </c>
      <c r="AG522" s="614">
        <f t="shared" si="656"/>
        <v>1.3288700066594434E-3</v>
      </c>
      <c r="AH522" s="199">
        <f t="shared" si="638"/>
        <v>13386.710264277028</v>
      </c>
      <c r="AI522" s="252">
        <f t="shared" si="639"/>
        <v>1.0370481613263401E-3</v>
      </c>
      <c r="AJ522" s="199">
        <f t="shared" si="640"/>
        <v>43640.675461543113</v>
      </c>
      <c r="AK522" s="199">
        <f t="shared" si="572"/>
        <v>10709.368211421623</v>
      </c>
      <c r="AL522" s="199">
        <f t="shared" si="573"/>
        <v>10709.368211421623</v>
      </c>
      <c r="AM522" s="199">
        <f t="shared" si="641"/>
        <v>21418.736422843245</v>
      </c>
      <c r="AN522" s="645">
        <f t="shared" si="642"/>
        <v>1.0370481613263401E-3</v>
      </c>
      <c r="AO522" s="199">
        <v>12</v>
      </c>
      <c r="AP522" s="250">
        <f t="shared" si="643"/>
        <v>1.3634814225656176E-3</v>
      </c>
      <c r="AQ522" s="199">
        <v>12</v>
      </c>
      <c r="AU522" s="199">
        <v>0</v>
      </c>
      <c r="AW522" s="250">
        <f t="shared" si="644"/>
        <v>0</v>
      </c>
      <c r="AX522" s="199">
        <v>1</v>
      </c>
      <c r="AY522" s="199">
        <f t="shared" si="627"/>
        <v>14140.311490482878</v>
      </c>
      <c r="AZ522" s="199">
        <f t="shared" si="645"/>
        <v>14140.311490482878</v>
      </c>
      <c r="BA522" s="252">
        <f t="shared" si="646"/>
        <v>1.1115202440387887E-3</v>
      </c>
      <c r="BB522" s="284">
        <v>0</v>
      </c>
      <c r="BC522" s="199">
        <f t="shared" si="628"/>
        <v>0</v>
      </c>
      <c r="BD522" s="270">
        <f t="shared" si="574"/>
        <v>0</v>
      </c>
      <c r="BE522" s="199">
        <f t="shared" si="629"/>
        <v>0</v>
      </c>
      <c r="BF522" s="251">
        <f t="shared" si="575"/>
        <v>0</v>
      </c>
      <c r="BG522" s="204">
        <f t="shared" si="630"/>
        <v>0</v>
      </c>
      <c r="BH522" s="636">
        <v>0</v>
      </c>
      <c r="BI522" s="199">
        <f t="shared" si="647"/>
        <v>81926.666817375415</v>
      </c>
      <c r="BJ522" s="199">
        <f t="shared" si="648"/>
        <v>163853.33363475083</v>
      </c>
      <c r="BK522" s="199">
        <f t="shared" si="655"/>
        <v>245780.00045212626</v>
      </c>
      <c r="BL522" s="251">
        <f t="shared" si="649"/>
        <v>1.0370481613263401E-3</v>
      </c>
      <c r="BM522" s="199">
        <f t="shared" si="631"/>
        <v>23894.275938271094</v>
      </c>
      <c r="BN522" s="251">
        <f t="shared" si="650"/>
        <v>1.0318291449144458E-3</v>
      </c>
      <c r="BT522" s="199">
        <f>'Detailed Budget'!$AD$12</f>
        <v>194045122715</v>
      </c>
      <c r="BU522" s="199">
        <f>'Detailed Budget'!$AD$24</f>
        <v>194045122715</v>
      </c>
      <c r="BV522" s="596">
        <f t="shared" si="632"/>
        <v>0</v>
      </c>
      <c r="BW522" s="278"/>
      <c r="BX522" s="275">
        <f t="shared" si="619"/>
        <v>0</v>
      </c>
      <c r="BY522" s="275">
        <f t="shared" si="620"/>
        <v>0</v>
      </c>
      <c r="CA522" s="199">
        <f>'Detailed Budget'!$AD$96</f>
        <v>71050111380.677719</v>
      </c>
      <c r="CB522" s="275">
        <f t="shared" si="651"/>
        <v>78973637.140834019</v>
      </c>
      <c r="CE522" s="199">
        <f>'Detailed Budget'!$AD$175</f>
        <v>4330586076.5988197</v>
      </c>
      <c r="CF522" s="275">
        <f t="shared" si="633"/>
        <v>0</v>
      </c>
      <c r="CG522" s="199">
        <f>'Detailed Budget'!$AD$176</f>
        <v>20662817754.37001</v>
      </c>
      <c r="CH522" s="275">
        <f t="shared" si="634"/>
        <v>0</v>
      </c>
      <c r="CI522" s="275">
        <f t="shared" si="657"/>
        <v>0</v>
      </c>
      <c r="CJ522" s="275">
        <f>'Detailed Budget'!$AD$178</f>
        <v>46025131033.061455</v>
      </c>
      <c r="CK522" s="275">
        <f t="shared" si="635"/>
        <v>0</v>
      </c>
      <c r="CL522" s="275">
        <f t="shared" si="571"/>
        <v>0</v>
      </c>
      <c r="CM522" s="278">
        <f>'Detailed Budget'!$AD$189</f>
        <v>77498869683.252869</v>
      </c>
      <c r="CN522" s="275">
        <f t="shared" si="652"/>
        <v>0</v>
      </c>
      <c r="CO522" s="140">
        <f>'Detailed Budget'!$AD$191</f>
        <v>2684962805.4134097</v>
      </c>
      <c r="CP522" s="616">
        <f t="shared" si="653"/>
        <v>0</v>
      </c>
      <c r="CQ522" s="616">
        <f t="shared" si="654"/>
        <v>0</v>
      </c>
      <c r="CR522" s="199">
        <f>'Detailed Budget'!$AD$195</f>
        <v>18734176418</v>
      </c>
      <c r="CS522" s="275">
        <f t="shared" si="636"/>
        <v>19330469.234061316</v>
      </c>
      <c r="CW522" s="278"/>
      <c r="DH522" s="140">
        <f>'Detailed Budget'!$AD$163</f>
        <v>4928560000</v>
      </c>
      <c r="DI522" s="616">
        <f t="shared" si="637"/>
        <v>6720000</v>
      </c>
    </row>
    <row r="523" spans="1:113" outlineLevel="1">
      <c r="A523" s="214" t="s">
        <v>1148</v>
      </c>
      <c r="B523" s="215" t="s">
        <v>1149</v>
      </c>
      <c r="C523" s="216" t="s">
        <v>234</v>
      </c>
      <c r="D523" s="217"/>
      <c r="E523" s="216"/>
      <c r="F523" s="216"/>
      <c r="G523" s="216"/>
      <c r="H523" s="216" t="s">
        <v>234</v>
      </c>
      <c r="I523" s="217" t="s">
        <v>234</v>
      </c>
      <c r="J523" s="217"/>
      <c r="K523" s="216"/>
      <c r="L523" s="216"/>
      <c r="M523" s="217"/>
      <c r="N523" s="216" t="s">
        <v>234</v>
      </c>
      <c r="O523" s="217"/>
      <c r="P523" s="216"/>
      <c r="Q523" s="217" t="s">
        <v>234</v>
      </c>
      <c r="R523" s="217"/>
      <c r="S523" s="217"/>
      <c r="T523" s="217"/>
      <c r="U523" s="218">
        <f t="shared" si="626"/>
        <v>5</v>
      </c>
      <c r="V523" s="867" t="s">
        <v>1150</v>
      </c>
      <c r="W523" s="219">
        <v>431005</v>
      </c>
      <c r="X523" s="220">
        <v>2.8</v>
      </c>
      <c r="Y523" s="221">
        <f t="shared" si="621"/>
        <v>1.028</v>
      </c>
      <c r="Z523" s="199">
        <v>19</v>
      </c>
      <c r="AA523" s="221">
        <f t="shared" si="622"/>
        <v>1.6899318009047619</v>
      </c>
      <c r="AB523" s="199">
        <f t="shared" si="603"/>
        <v>728369.05584895692</v>
      </c>
      <c r="AC523">
        <v>11.3</v>
      </c>
      <c r="AD523" s="199">
        <f t="shared" si="604"/>
        <v>82305.703310932135</v>
      </c>
      <c r="AE523" s="199">
        <f t="shared" si="623"/>
        <v>78190.418145385527</v>
      </c>
      <c r="AF523" s="199">
        <f t="shared" si="570"/>
        <v>0</v>
      </c>
      <c r="AG523" s="614">
        <f t="shared" si="656"/>
        <v>3.6151816726751628E-3</v>
      </c>
      <c r="AH523" s="199">
        <f t="shared" si="638"/>
        <v>36418.452792447846</v>
      </c>
      <c r="AI523" s="252">
        <f t="shared" si="639"/>
        <v>2.8212823584852467E-3</v>
      </c>
      <c r="AJ523" s="199">
        <f t="shared" si="640"/>
        <v>118724.15610337998</v>
      </c>
      <c r="AK523" s="199">
        <f t="shared" si="572"/>
        <v>29134.762233958278</v>
      </c>
      <c r="AL523" s="199">
        <f t="shared" si="573"/>
        <v>29134.762233958278</v>
      </c>
      <c r="AM523" s="199">
        <f t="shared" si="641"/>
        <v>58269.524467916555</v>
      </c>
      <c r="AN523" s="645">
        <f t="shared" si="642"/>
        <v>2.8212823584852467E-3</v>
      </c>
      <c r="AO523" s="199">
        <v>12</v>
      </c>
      <c r="AP523" s="250">
        <f t="shared" si="643"/>
        <v>1.3634814225656176E-3</v>
      </c>
      <c r="AQ523" s="199">
        <v>12</v>
      </c>
      <c r="AU523" s="199">
        <v>0</v>
      </c>
      <c r="AW523" s="250">
        <f t="shared" si="644"/>
        <v>0</v>
      </c>
      <c r="AX523" s="199">
        <v>1</v>
      </c>
      <c r="AY523" s="199">
        <f t="shared" si="627"/>
        <v>38468.619722118878</v>
      </c>
      <c r="AZ523" s="199">
        <f t="shared" si="645"/>
        <v>38468.619722118878</v>
      </c>
      <c r="BA523" s="252">
        <f t="shared" si="646"/>
        <v>3.0238831450172506E-3</v>
      </c>
      <c r="BB523" s="284">
        <v>0</v>
      </c>
      <c r="BC523" s="199">
        <f t="shared" si="628"/>
        <v>0</v>
      </c>
      <c r="BD523" s="270">
        <f t="shared" si="574"/>
        <v>0</v>
      </c>
      <c r="BE523" s="199">
        <f t="shared" si="629"/>
        <v>0</v>
      </c>
      <c r="BF523" s="251">
        <f t="shared" si="575"/>
        <v>0</v>
      </c>
      <c r="BG523" s="204">
        <f t="shared" si="630"/>
        <v>0</v>
      </c>
      <c r="BH523" s="636">
        <v>0</v>
      </c>
      <c r="BI523" s="199">
        <f t="shared" si="647"/>
        <v>222880.93108978082</v>
      </c>
      <c r="BJ523" s="199">
        <f t="shared" si="648"/>
        <v>445761.86217956163</v>
      </c>
      <c r="BK523" s="199">
        <f t="shared" si="655"/>
        <v>668642.79326934251</v>
      </c>
      <c r="BL523" s="251">
        <f t="shared" si="649"/>
        <v>2.8212823584852472E-3</v>
      </c>
      <c r="BM523" s="199">
        <f t="shared" si="631"/>
        <v>65004.212617478697</v>
      </c>
      <c r="BN523" s="251">
        <f t="shared" si="650"/>
        <v>2.8070840603920412E-3</v>
      </c>
      <c r="BT523" s="199">
        <f>'Detailed Budget'!$AD$12</f>
        <v>194045122715</v>
      </c>
      <c r="BU523" s="199">
        <f>'Detailed Budget'!$AD$24</f>
        <v>194045122715</v>
      </c>
      <c r="BV523" s="596">
        <f t="shared" si="632"/>
        <v>0</v>
      </c>
      <c r="BW523" s="278"/>
      <c r="BX523" s="275">
        <f t="shared" si="619"/>
        <v>0</v>
      </c>
      <c r="BY523" s="275">
        <f t="shared" si="620"/>
        <v>0</v>
      </c>
      <c r="CA523" s="199">
        <f>'Detailed Budget'!$AD$96</f>
        <v>71050111380.677719</v>
      </c>
      <c r="CB523" s="275">
        <f t="shared" si="651"/>
        <v>214847234.25562969</v>
      </c>
      <c r="CE523" s="199">
        <f>'Detailed Budget'!$AD$175</f>
        <v>4330586076.5988197</v>
      </c>
      <c r="CF523" s="275">
        <f t="shared" si="633"/>
        <v>0</v>
      </c>
      <c r="CG523" s="199">
        <f>'Detailed Budget'!$AD$176</f>
        <v>20662817754.37001</v>
      </c>
      <c r="CH523" s="275">
        <f t="shared" si="634"/>
        <v>0</v>
      </c>
      <c r="CI523" s="275">
        <f t="shared" si="657"/>
        <v>0</v>
      </c>
      <c r="CJ523" s="275">
        <f>'Detailed Budget'!$AD$178</f>
        <v>46025131033.061455</v>
      </c>
      <c r="CK523" s="275">
        <f t="shared" si="635"/>
        <v>0</v>
      </c>
      <c r="CL523" s="275">
        <f t="shared" si="571"/>
        <v>0</v>
      </c>
      <c r="CM523" s="278">
        <f>'Detailed Budget'!$AD$189</f>
        <v>77498869683.252869</v>
      </c>
      <c r="CN523" s="275">
        <f t="shared" si="652"/>
        <v>0</v>
      </c>
      <c r="CO523" s="140">
        <f>'Detailed Budget'!$AD$191</f>
        <v>2684962805.4134097</v>
      </c>
      <c r="CP523" s="616">
        <f t="shared" si="653"/>
        <v>0</v>
      </c>
      <c r="CQ523" s="616">
        <f t="shared" si="654"/>
        <v>0</v>
      </c>
      <c r="CR523" s="199">
        <f>'Detailed Budget'!$AD$195</f>
        <v>18734176418</v>
      </c>
      <c r="CS523" s="275">
        <f t="shared" si="636"/>
        <v>52588408.007540271</v>
      </c>
      <c r="CW523" s="278"/>
      <c r="DH523" s="140">
        <f>'Detailed Budget'!$AD$163</f>
        <v>4928560000</v>
      </c>
      <c r="DI523" s="616">
        <f t="shared" si="637"/>
        <v>6720000</v>
      </c>
    </row>
    <row r="524" spans="1:113" outlineLevel="1">
      <c r="A524" s="214" t="s">
        <v>1151</v>
      </c>
      <c r="B524" s="215" t="s">
        <v>1152</v>
      </c>
      <c r="C524" s="216" t="s">
        <v>234</v>
      </c>
      <c r="D524" s="217"/>
      <c r="E524" s="216"/>
      <c r="F524" s="216"/>
      <c r="G524" s="216"/>
      <c r="H524" s="216" t="s">
        <v>234</v>
      </c>
      <c r="I524" s="217" t="s">
        <v>234</v>
      </c>
      <c r="J524" s="217"/>
      <c r="K524" s="216"/>
      <c r="L524" s="216"/>
      <c r="M524" s="217"/>
      <c r="N524" s="216" t="s">
        <v>234</v>
      </c>
      <c r="O524" s="217"/>
      <c r="P524" s="216"/>
      <c r="Q524" s="217" t="s">
        <v>234</v>
      </c>
      <c r="R524" s="217"/>
      <c r="S524" s="217"/>
      <c r="T524" s="217"/>
      <c r="U524" s="218">
        <f t="shared" si="626"/>
        <v>5</v>
      </c>
      <c r="V524" s="867" t="s">
        <v>1150</v>
      </c>
      <c r="W524" s="219">
        <v>206816</v>
      </c>
      <c r="X524" s="220">
        <v>2.8</v>
      </c>
      <c r="Y524" s="221">
        <f t="shared" si="621"/>
        <v>1.028</v>
      </c>
      <c r="Z524" s="199">
        <v>19</v>
      </c>
      <c r="AA524" s="221">
        <f t="shared" si="622"/>
        <v>1.6899318009047619</v>
      </c>
      <c r="AB524" s="199">
        <f t="shared" si="603"/>
        <v>349504.93533591926</v>
      </c>
      <c r="AC524">
        <v>11.3</v>
      </c>
      <c r="AD524" s="199">
        <f t="shared" si="604"/>
        <v>39494.057692958879</v>
      </c>
      <c r="AE524" s="199">
        <f t="shared" si="623"/>
        <v>37519.354808310934</v>
      </c>
      <c r="AF524" s="199">
        <f t="shared" ref="AF524:AF587" si="658">AE524*BB524</f>
        <v>0</v>
      </c>
      <c r="AG524" s="614">
        <f t="shared" si="656"/>
        <v>1.7347302532824131E-3</v>
      </c>
      <c r="AH524" s="199">
        <f t="shared" si="638"/>
        <v>17475.246766795965</v>
      </c>
      <c r="AI524" s="252">
        <f t="shared" si="639"/>
        <v>1.3537808894386026E-3</v>
      </c>
      <c r="AJ524" s="199">
        <f t="shared" si="640"/>
        <v>56969.304459754843</v>
      </c>
      <c r="AK524" s="199">
        <f t="shared" si="572"/>
        <v>13980.19741343677</v>
      </c>
      <c r="AL524" s="199">
        <f t="shared" si="573"/>
        <v>13980.19741343677</v>
      </c>
      <c r="AM524" s="199">
        <f t="shared" si="641"/>
        <v>27960.39482687354</v>
      </c>
      <c r="AN524" s="645">
        <f t="shared" si="642"/>
        <v>1.3537808894386024E-3</v>
      </c>
      <c r="AO524" s="199">
        <v>12</v>
      </c>
      <c r="AP524" s="250">
        <f t="shared" si="643"/>
        <v>1.3634814225656176E-3</v>
      </c>
      <c r="AQ524" s="199">
        <v>12</v>
      </c>
      <c r="AU524" s="199">
        <v>0</v>
      </c>
      <c r="AW524" s="250">
        <f t="shared" si="644"/>
        <v>0</v>
      </c>
      <c r="AX524" s="199">
        <v>1</v>
      </c>
      <c r="AY524" s="199">
        <f t="shared" si="627"/>
        <v>18459.011047319029</v>
      </c>
      <c r="AZ524" s="199">
        <f t="shared" si="645"/>
        <v>18459.011047319029</v>
      </c>
      <c r="BA524" s="252">
        <f t="shared" si="646"/>
        <v>1.4509980545930738E-3</v>
      </c>
      <c r="BB524" s="284">
        <v>0</v>
      </c>
      <c r="BC524" s="199">
        <f t="shared" si="628"/>
        <v>0</v>
      </c>
      <c r="BD524" s="270">
        <f t="shared" si="574"/>
        <v>0</v>
      </c>
      <c r="BE524" s="199">
        <f t="shared" si="629"/>
        <v>0</v>
      </c>
      <c r="BF524" s="251">
        <f t="shared" si="575"/>
        <v>0</v>
      </c>
      <c r="BG524" s="204">
        <f t="shared" si="630"/>
        <v>0</v>
      </c>
      <c r="BH524" s="636">
        <v>0</v>
      </c>
      <c r="BI524" s="199">
        <f t="shared" si="647"/>
        <v>106948.5102127913</v>
      </c>
      <c r="BJ524" s="199">
        <f t="shared" si="648"/>
        <v>213897.0204255826</v>
      </c>
      <c r="BK524" s="199">
        <f t="shared" si="655"/>
        <v>320845.53063837392</v>
      </c>
      <c r="BL524" s="251">
        <f t="shared" si="649"/>
        <v>1.3537808894386026E-3</v>
      </c>
      <c r="BM524" s="199">
        <f t="shared" si="631"/>
        <v>31192.007602455826</v>
      </c>
      <c r="BN524" s="251">
        <f t="shared" si="650"/>
        <v>1.3469678937229042E-3</v>
      </c>
      <c r="BT524" s="199">
        <f>'Detailed Budget'!$AD$12</f>
        <v>194045122715</v>
      </c>
      <c r="BU524" s="199">
        <f>'Detailed Budget'!$AD$24</f>
        <v>194045122715</v>
      </c>
      <c r="BV524" s="596">
        <f t="shared" si="632"/>
        <v>0</v>
      </c>
      <c r="BW524" s="278"/>
      <c r="BX524" s="275">
        <f t="shared" si="619"/>
        <v>0</v>
      </c>
      <c r="BY524" s="275">
        <f t="shared" si="620"/>
        <v>0</v>
      </c>
      <c r="CA524" s="199">
        <f>'Detailed Budget'!$AD$96</f>
        <v>71050111380.677719</v>
      </c>
      <c r="CB524" s="275">
        <f t="shared" si="651"/>
        <v>103093573.39198458</v>
      </c>
      <c r="CE524" s="199">
        <f>'Detailed Budget'!$AD$175</f>
        <v>4330586076.5988197</v>
      </c>
      <c r="CF524" s="275">
        <f t="shared" si="633"/>
        <v>0</v>
      </c>
      <c r="CG524" s="199">
        <f>'Detailed Budget'!$AD$176</f>
        <v>20662817754.37001</v>
      </c>
      <c r="CH524" s="275">
        <f t="shared" si="634"/>
        <v>0</v>
      </c>
      <c r="CI524" s="275">
        <f t="shared" si="657"/>
        <v>0</v>
      </c>
      <c r="CJ524" s="275">
        <f>'Detailed Budget'!$AD$178</f>
        <v>46025131033.061455</v>
      </c>
      <c r="CK524" s="275">
        <f t="shared" si="635"/>
        <v>0</v>
      </c>
      <c r="CL524" s="275">
        <f t="shared" si="571"/>
        <v>0</v>
      </c>
      <c r="CM524" s="278">
        <f>'Detailed Budget'!$AD$189</f>
        <v>77498869683.252869</v>
      </c>
      <c r="CN524" s="275">
        <f t="shared" si="652"/>
        <v>0</v>
      </c>
      <c r="CO524" s="140">
        <f>'Detailed Budget'!$AD$191</f>
        <v>2684962805.4134097</v>
      </c>
      <c r="CP524" s="616">
        <f t="shared" si="653"/>
        <v>0</v>
      </c>
      <c r="CQ524" s="616">
        <f t="shared" si="654"/>
        <v>0</v>
      </c>
      <c r="CR524" s="199">
        <f>'Detailed Budget'!$AD$195</f>
        <v>18734176418</v>
      </c>
      <c r="CS524" s="275">
        <f t="shared" si="636"/>
        <v>25234334.150386762</v>
      </c>
      <c r="CW524" s="278"/>
      <c r="DH524" s="140">
        <f>'Detailed Budget'!$AD$163</f>
        <v>4928560000</v>
      </c>
      <c r="DI524" s="616">
        <f t="shared" si="637"/>
        <v>6720000</v>
      </c>
    </row>
    <row r="525" spans="1:113" outlineLevel="1">
      <c r="A525" s="214" t="s">
        <v>1153</v>
      </c>
      <c r="B525" s="215" t="s">
        <v>1154</v>
      </c>
      <c r="C525" s="216" t="s">
        <v>234</v>
      </c>
      <c r="D525" s="217"/>
      <c r="E525" s="216"/>
      <c r="F525" s="216"/>
      <c r="G525" s="216"/>
      <c r="H525" s="216" t="s">
        <v>234</v>
      </c>
      <c r="I525" s="217" t="s">
        <v>234</v>
      </c>
      <c r="J525" s="217"/>
      <c r="K525" s="216"/>
      <c r="L525" s="216"/>
      <c r="M525" s="217" t="s">
        <v>234</v>
      </c>
      <c r="N525" s="216"/>
      <c r="O525" s="217"/>
      <c r="P525" s="216"/>
      <c r="Q525" s="217"/>
      <c r="R525" s="217" t="s">
        <v>234</v>
      </c>
      <c r="S525" s="217"/>
      <c r="T525" s="217"/>
      <c r="U525" s="218">
        <f t="shared" si="626"/>
        <v>5</v>
      </c>
      <c r="V525" s="867" t="s">
        <v>487</v>
      </c>
      <c r="W525" s="219">
        <v>302277</v>
      </c>
      <c r="X525" s="220">
        <v>2.8</v>
      </c>
      <c r="Y525" s="221">
        <f t="shared" si="621"/>
        <v>1.028</v>
      </c>
      <c r="Z525" s="199">
        <v>19</v>
      </c>
      <c r="AA525" s="221">
        <f t="shared" si="622"/>
        <v>1.6899318009047619</v>
      </c>
      <c r="AB525" s="199">
        <f t="shared" si="603"/>
        <v>510827.5149820887</v>
      </c>
      <c r="AC525">
        <v>11.3</v>
      </c>
      <c r="AD525" s="199">
        <f t="shared" si="604"/>
        <v>57723.509192976031</v>
      </c>
      <c r="AE525" s="199">
        <f t="shared" si="623"/>
        <v>54837.333733327228</v>
      </c>
      <c r="AF525" s="199">
        <f t="shared" si="658"/>
        <v>0</v>
      </c>
      <c r="AG525" s="614">
        <f t="shared" si="656"/>
        <v>2.5354375714231395E-3</v>
      </c>
      <c r="AH525" s="199">
        <f t="shared" si="638"/>
        <v>25541.375749104438</v>
      </c>
      <c r="AI525" s="252">
        <f t="shared" si="639"/>
        <v>1.9786516803188942E-3</v>
      </c>
      <c r="AJ525" s="199">
        <f t="shared" si="640"/>
        <v>83264.884942080476</v>
      </c>
      <c r="AK525" s="199">
        <f t="shared" si="572"/>
        <v>20433.100599283549</v>
      </c>
      <c r="AL525" s="199">
        <f t="shared" si="573"/>
        <v>20433.100599283549</v>
      </c>
      <c r="AM525" s="199">
        <f t="shared" si="641"/>
        <v>40866.201198567098</v>
      </c>
      <c r="AN525" s="645">
        <f t="shared" si="642"/>
        <v>1.9786516803188942E-3</v>
      </c>
      <c r="AO525" s="199">
        <v>20</v>
      </c>
      <c r="AP525" s="250">
        <f t="shared" si="643"/>
        <v>2.2724690376093627E-3</v>
      </c>
      <c r="AQ525" s="199">
        <v>20</v>
      </c>
      <c r="AU525" s="199">
        <v>0</v>
      </c>
      <c r="AW525" s="250">
        <f t="shared" si="644"/>
        <v>0</v>
      </c>
      <c r="AX525" s="199">
        <v>1</v>
      </c>
      <c r="AY525" s="199">
        <f t="shared" si="627"/>
        <v>26979.220574570892</v>
      </c>
      <c r="AZ525" s="199">
        <f t="shared" si="645"/>
        <v>26979.220574570892</v>
      </c>
      <c r="BA525" s="252">
        <f t="shared" si="646"/>
        <v>2.1207418137292595E-3</v>
      </c>
      <c r="BB525" s="284">
        <v>0</v>
      </c>
      <c r="BC525" s="199">
        <f t="shared" si="628"/>
        <v>0</v>
      </c>
      <c r="BD525" s="270">
        <f t="shared" si="574"/>
        <v>0</v>
      </c>
      <c r="BE525" s="199">
        <f t="shared" si="629"/>
        <v>0</v>
      </c>
      <c r="BF525" s="251">
        <f t="shared" si="575"/>
        <v>0</v>
      </c>
      <c r="BG525" s="204">
        <f t="shared" si="630"/>
        <v>0</v>
      </c>
      <c r="BH525" s="636">
        <v>0</v>
      </c>
      <c r="BI525" s="199">
        <f t="shared" si="647"/>
        <v>156313.21958451916</v>
      </c>
      <c r="BJ525" s="199">
        <f t="shared" si="648"/>
        <v>312626.43916903832</v>
      </c>
      <c r="BK525" s="199">
        <f t="shared" si="655"/>
        <v>468939.65875355748</v>
      </c>
      <c r="BL525" s="251">
        <f t="shared" si="649"/>
        <v>1.9786516803188942E-3</v>
      </c>
      <c r="BM525" s="199">
        <f t="shared" si="631"/>
        <v>45589.444153486867</v>
      </c>
      <c r="BN525" s="251">
        <f t="shared" si="650"/>
        <v>1.9686939792418301E-3</v>
      </c>
      <c r="BT525" s="199">
        <f>'Detailed Budget'!$AD$12</f>
        <v>194045122715</v>
      </c>
      <c r="BU525" s="199">
        <f>'Detailed Budget'!$AD$24</f>
        <v>194045122715</v>
      </c>
      <c r="BV525" s="596">
        <f t="shared" si="632"/>
        <v>0</v>
      </c>
      <c r="BW525" s="278"/>
      <c r="BX525" s="275">
        <f t="shared" si="619"/>
        <v>0</v>
      </c>
      <c r="BY525" s="275">
        <f t="shared" si="620"/>
        <v>0</v>
      </c>
      <c r="CA525" s="199">
        <f>'Detailed Budget'!$AD$96</f>
        <v>71050111380.677719</v>
      </c>
      <c r="CB525" s="275">
        <f t="shared" si="651"/>
        <v>150678942.07512438</v>
      </c>
      <c r="CE525" s="199">
        <f>'Detailed Budget'!$AD$175</f>
        <v>4330586076.5988197</v>
      </c>
      <c r="CF525" s="275">
        <f t="shared" si="633"/>
        <v>0</v>
      </c>
      <c r="CG525" s="199">
        <f>'Detailed Budget'!$AD$176</f>
        <v>20662817754.37001</v>
      </c>
      <c r="CH525" s="275">
        <f t="shared" si="634"/>
        <v>0</v>
      </c>
      <c r="CI525" s="275">
        <f t="shared" si="657"/>
        <v>0</v>
      </c>
      <c r="CJ525" s="275">
        <f>'Detailed Budget'!$AD$178</f>
        <v>46025131033.061455</v>
      </c>
      <c r="CK525" s="275">
        <f t="shared" si="635"/>
        <v>0</v>
      </c>
      <c r="CL525" s="275">
        <f t="shared" si="571"/>
        <v>0</v>
      </c>
      <c r="CM525" s="278">
        <f>'Detailed Budget'!$AD$189</f>
        <v>77498869683.252869</v>
      </c>
      <c r="CN525" s="275">
        <f t="shared" si="652"/>
        <v>0</v>
      </c>
      <c r="CO525" s="140">
        <f>'Detailed Budget'!$AD$191</f>
        <v>2684962805.4134097</v>
      </c>
      <c r="CP525" s="616">
        <f t="shared" si="653"/>
        <v>0</v>
      </c>
      <c r="CQ525" s="616">
        <f t="shared" si="654"/>
        <v>0</v>
      </c>
      <c r="CR525" s="199">
        <f>'Detailed Budget'!$AD$195</f>
        <v>18734176418</v>
      </c>
      <c r="CS525" s="275">
        <f t="shared" si="636"/>
        <v>36881860.320170872</v>
      </c>
      <c r="CW525" s="278"/>
      <c r="DH525" s="140">
        <f>'Detailed Budget'!$AD$163</f>
        <v>4928560000</v>
      </c>
      <c r="DI525" s="616">
        <f t="shared" si="637"/>
        <v>11200000</v>
      </c>
    </row>
    <row r="526" spans="1:113" outlineLevel="1">
      <c r="A526" s="214" t="s">
        <v>1155</v>
      </c>
      <c r="B526" s="215" t="s">
        <v>1156</v>
      </c>
      <c r="C526" s="216" t="s">
        <v>234</v>
      </c>
      <c r="D526" s="217"/>
      <c r="E526" s="216"/>
      <c r="F526" s="216"/>
      <c r="G526" s="216"/>
      <c r="H526" s="216" t="s">
        <v>234</v>
      </c>
      <c r="I526" s="217" t="s">
        <v>234</v>
      </c>
      <c r="J526" s="217"/>
      <c r="K526" s="216"/>
      <c r="L526" s="216"/>
      <c r="M526" s="217" t="s">
        <v>234</v>
      </c>
      <c r="N526" s="216"/>
      <c r="O526" s="217"/>
      <c r="P526" s="216"/>
      <c r="Q526" s="217"/>
      <c r="R526" s="217" t="s">
        <v>234</v>
      </c>
      <c r="S526" s="217"/>
      <c r="T526" s="217"/>
      <c r="U526" s="218">
        <f t="shared" si="626"/>
        <v>5</v>
      </c>
      <c r="V526" s="867" t="s">
        <v>487</v>
      </c>
      <c r="W526" s="219">
        <v>148394</v>
      </c>
      <c r="X526" s="220">
        <v>2.8</v>
      </c>
      <c r="Y526" s="221">
        <f t="shared" si="621"/>
        <v>1.028</v>
      </c>
      <c r="Z526" s="199">
        <v>19</v>
      </c>
      <c r="AA526" s="221">
        <f t="shared" si="622"/>
        <v>1.6899318009047619</v>
      </c>
      <c r="AB526" s="199">
        <f t="shared" si="603"/>
        <v>250775.73966346125</v>
      </c>
      <c r="AC526">
        <v>11.3</v>
      </c>
      <c r="AD526" s="199">
        <f t="shared" si="604"/>
        <v>28337.658581971122</v>
      </c>
      <c r="AE526" s="199">
        <f t="shared" si="623"/>
        <v>26920.775652872566</v>
      </c>
      <c r="AF526" s="199">
        <f t="shared" si="658"/>
        <v>0</v>
      </c>
      <c r="AG526" s="614">
        <f t="shared" si="656"/>
        <v>1.2446984817692558E-3</v>
      </c>
      <c r="AH526" s="199">
        <f t="shared" si="638"/>
        <v>12538.786983173064</v>
      </c>
      <c r="AI526" s="252">
        <f t="shared" si="639"/>
        <v>9.7136082946847437E-4</v>
      </c>
      <c r="AJ526" s="199">
        <f t="shared" si="640"/>
        <v>40876.445565144182</v>
      </c>
      <c r="AK526" s="199">
        <f t="shared" si="572"/>
        <v>10031.029586538451</v>
      </c>
      <c r="AL526" s="199">
        <f t="shared" si="573"/>
        <v>10031.029586538451</v>
      </c>
      <c r="AM526" s="199">
        <f t="shared" si="641"/>
        <v>20062.059173076901</v>
      </c>
      <c r="AN526" s="645">
        <f t="shared" si="642"/>
        <v>9.7136082946847426E-4</v>
      </c>
      <c r="AO526" s="199">
        <v>18</v>
      </c>
      <c r="AP526" s="250">
        <f t="shared" si="643"/>
        <v>2.0452221338484265E-3</v>
      </c>
      <c r="AQ526" s="199">
        <v>18</v>
      </c>
      <c r="AU526" s="199">
        <v>0</v>
      </c>
      <c r="AW526" s="250">
        <f t="shared" si="644"/>
        <v>0</v>
      </c>
      <c r="AX526" s="199">
        <v>1</v>
      </c>
      <c r="AY526" s="199">
        <f t="shared" si="627"/>
        <v>13244.654598076841</v>
      </c>
      <c r="AZ526" s="199">
        <f t="shared" si="645"/>
        <v>13244.654598076841</v>
      </c>
      <c r="BA526" s="252">
        <f t="shared" si="646"/>
        <v>1.0411158000990474E-3</v>
      </c>
      <c r="BB526" s="284">
        <v>0</v>
      </c>
      <c r="BC526" s="199">
        <f t="shared" si="628"/>
        <v>0</v>
      </c>
      <c r="BD526" s="270">
        <f t="shared" si="574"/>
        <v>0</v>
      </c>
      <c r="BE526" s="199">
        <f t="shared" si="629"/>
        <v>0</v>
      </c>
      <c r="BF526" s="251">
        <f t="shared" si="575"/>
        <v>0</v>
      </c>
      <c r="BG526" s="204">
        <f t="shared" si="630"/>
        <v>0</v>
      </c>
      <c r="BH526" s="636">
        <v>0</v>
      </c>
      <c r="BI526" s="199">
        <f t="shared" si="647"/>
        <v>76737.376337019145</v>
      </c>
      <c r="BJ526" s="199">
        <f t="shared" si="648"/>
        <v>153474.75267403829</v>
      </c>
      <c r="BK526" s="199">
        <f t="shared" si="655"/>
        <v>230212.12901105743</v>
      </c>
      <c r="BL526" s="251">
        <f t="shared" si="649"/>
        <v>9.7136082946847426E-4</v>
      </c>
      <c r="BM526" s="199">
        <f t="shared" si="631"/>
        <v>22380.796341476627</v>
      </c>
      <c r="BN526" s="251">
        <f t="shared" si="650"/>
        <v>9.6647238908554786E-4</v>
      </c>
      <c r="BT526" s="199">
        <f>'Detailed Budget'!$AD$12</f>
        <v>194045122715</v>
      </c>
      <c r="BU526" s="199">
        <f>'Detailed Budget'!$AD$24</f>
        <v>194045122715</v>
      </c>
      <c r="BV526" s="596">
        <f t="shared" si="632"/>
        <v>0</v>
      </c>
      <c r="BW526" s="278"/>
      <c r="BX526" s="275">
        <f t="shared" si="619"/>
        <v>0</v>
      </c>
      <c r="BY526" s="275">
        <f t="shared" si="620"/>
        <v>0</v>
      </c>
      <c r="CA526" s="199">
        <f>'Detailed Budget'!$AD$96</f>
        <v>71050111380.677719</v>
      </c>
      <c r="CB526" s="275">
        <f t="shared" si="651"/>
        <v>73971393.557220712</v>
      </c>
      <c r="CE526" s="199">
        <f>'Detailed Budget'!$AD$175</f>
        <v>4330586076.5988197</v>
      </c>
      <c r="CF526" s="275">
        <f t="shared" si="633"/>
        <v>0</v>
      </c>
      <c r="CG526" s="199">
        <f>'Detailed Budget'!$AD$176</f>
        <v>20662817754.37001</v>
      </c>
      <c r="CH526" s="275">
        <f t="shared" si="634"/>
        <v>0</v>
      </c>
      <c r="CI526" s="275">
        <f t="shared" si="657"/>
        <v>0</v>
      </c>
      <c r="CJ526" s="275">
        <f>'Detailed Budget'!$AD$178</f>
        <v>46025131033.061455</v>
      </c>
      <c r="CK526" s="275">
        <f t="shared" si="635"/>
        <v>0</v>
      </c>
      <c r="CL526" s="275">
        <f t="shared" si="571"/>
        <v>0</v>
      </c>
      <c r="CM526" s="278">
        <f>'Detailed Budget'!$AD$189</f>
        <v>77498869683.252869</v>
      </c>
      <c r="CN526" s="275">
        <f t="shared" si="652"/>
        <v>0</v>
      </c>
      <c r="CO526" s="140">
        <f>'Detailed Budget'!$AD$191</f>
        <v>2684962805.4134097</v>
      </c>
      <c r="CP526" s="616">
        <f t="shared" si="653"/>
        <v>0</v>
      </c>
      <c r="CQ526" s="616">
        <f t="shared" si="654"/>
        <v>0</v>
      </c>
      <c r="CR526" s="199">
        <f>'Detailed Budget'!$AD$195</f>
        <v>18734176418</v>
      </c>
      <c r="CS526" s="275">
        <f t="shared" si="636"/>
        <v>18106064.240254592</v>
      </c>
      <c r="CW526" s="278"/>
      <c r="DH526" s="140">
        <f>'Detailed Budget'!$AD$163</f>
        <v>4928560000</v>
      </c>
      <c r="DI526" s="616">
        <f t="shared" si="637"/>
        <v>10080000</v>
      </c>
    </row>
    <row r="527" spans="1:113" outlineLevel="1">
      <c r="A527" s="214" t="s">
        <v>1157</v>
      </c>
      <c r="B527" s="215" t="s">
        <v>1158</v>
      </c>
      <c r="C527" s="216" t="s">
        <v>234</v>
      </c>
      <c r="D527" s="217"/>
      <c r="E527" s="216"/>
      <c r="F527" s="216"/>
      <c r="G527" s="216"/>
      <c r="H527" s="216" t="s">
        <v>234</v>
      </c>
      <c r="I527" s="217" t="s">
        <v>234</v>
      </c>
      <c r="J527" s="217"/>
      <c r="K527" s="216"/>
      <c r="L527" s="216"/>
      <c r="M527" s="217"/>
      <c r="N527" s="216" t="s">
        <v>234</v>
      </c>
      <c r="O527" s="217"/>
      <c r="P527" s="216"/>
      <c r="Q527" s="217"/>
      <c r="R527" s="217" t="s">
        <v>234</v>
      </c>
      <c r="S527" s="217"/>
      <c r="T527" s="217"/>
      <c r="U527" s="218">
        <f t="shared" si="626"/>
        <v>5</v>
      </c>
      <c r="V527" s="867" t="s">
        <v>487</v>
      </c>
      <c r="W527" s="219">
        <v>155443</v>
      </c>
      <c r="X527" s="220">
        <v>2.8</v>
      </c>
      <c r="Y527" s="221">
        <f t="shared" si="621"/>
        <v>1.028</v>
      </c>
      <c r="Z527" s="199">
        <v>19</v>
      </c>
      <c r="AA527" s="221">
        <f t="shared" si="622"/>
        <v>1.6899318009047619</v>
      </c>
      <c r="AB527" s="199">
        <f t="shared" ref="AB527:AB562" si="659">W527*AA527</f>
        <v>262688.06892803893</v>
      </c>
      <c r="AC527">
        <v>11.3</v>
      </c>
      <c r="AD527" s="199">
        <f t="shared" ref="AD527:AD562" si="660">AB527*AC527/100</f>
        <v>29683.751788868401</v>
      </c>
      <c r="AE527" s="199">
        <f t="shared" si="623"/>
        <v>28199.564199424982</v>
      </c>
      <c r="AF527" s="199">
        <f t="shared" si="658"/>
        <v>0</v>
      </c>
      <c r="AG527" s="614">
        <f t="shared" si="656"/>
        <v>1.3038240501749292E-3</v>
      </c>
      <c r="AH527" s="199">
        <f t="shared" si="638"/>
        <v>13134.403446401948</v>
      </c>
      <c r="AI527" s="252">
        <f t="shared" si="639"/>
        <v>1.0175023344277266E-3</v>
      </c>
      <c r="AJ527" s="199">
        <f t="shared" si="640"/>
        <v>42818.155235270351</v>
      </c>
      <c r="AK527" s="199">
        <f t="shared" si="572"/>
        <v>10507.522757121558</v>
      </c>
      <c r="AL527" s="199">
        <f t="shared" si="573"/>
        <v>10507.522757121558</v>
      </c>
      <c r="AM527" s="199">
        <f t="shared" si="641"/>
        <v>21015.045514243116</v>
      </c>
      <c r="AN527" s="645">
        <f t="shared" si="642"/>
        <v>1.0175023344277266E-3</v>
      </c>
      <c r="AO527" s="199">
        <v>10</v>
      </c>
      <c r="AP527" s="250">
        <f t="shared" si="643"/>
        <v>1.1362345188046814E-3</v>
      </c>
      <c r="AQ527" s="199">
        <v>10</v>
      </c>
      <c r="AU527" s="199">
        <v>0</v>
      </c>
      <c r="AW527" s="250">
        <f t="shared" si="644"/>
        <v>0</v>
      </c>
      <c r="AX527" s="199">
        <v>1</v>
      </c>
      <c r="AY527" s="199">
        <f t="shared" si="627"/>
        <v>13873.801128676756</v>
      </c>
      <c r="AZ527" s="199">
        <f t="shared" si="645"/>
        <v>13873.801128676756</v>
      </c>
      <c r="BA527" s="252">
        <f t="shared" si="646"/>
        <v>1.0905708001320554E-3</v>
      </c>
      <c r="BB527" s="284">
        <v>0</v>
      </c>
      <c r="BC527" s="199">
        <f t="shared" si="628"/>
        <v>0</v>
      </c>
      <c r="BD527" s="270">
        <f t="shared" si="574"/>
        <v>0</v>
      </c>
      <c r="BE527" s="199">
        <f t="shared" si="629"/>
        <v>0</v>
      </c>
      <c r="BF527" s="251">
        <f t="shared" si="575"/>
        <v>0</v>
      </c>
      <c r="BG527" s="204">
        <f t="shared" si="630"/>
        <v>0</v>
      </c>
      <c r="BH527" s="636">
        <v>0</v>
      </c>
      <c r="BI527" s="199">
        <f t="shared" si="647"/>
        <v>80382.549091979919</v>
      </c>
      <c r="BJ527" s="199">
        <f t="shared" si="648"/>
        <v>160765.09818395984</v>
      </c>
      <c r="BK527" s="199">
        <f t="shared" si="655"/>
        <v>241147.64727593976</v>
      </c>
      <c r="BL527" s="251">
        <f t="shared" si="649"/>
        <v>1.0175023344277266E-3</v>
      </c>
      <c r="BM527" s="199">
        <f t="shared" si="631"/>
        <v>23443.927151422238</v>
      </c>
      <c r="BN527" s="251">
        <f t="shared" si="650"/>
        <v>1.0123816837380544E-3</v>
      </c>
      <c r="BT527" s="199">
        <f>'Detailed Budget'!$AD$12</f>
        <v>194045122715</v>
      </c>
      <c r="BU527" s="199">
        <f>'Detailed Budget'!$AD$24</f>
        <v>194045122715</v>
      </c>
      <c r="BV527" s="596">
        <f t="shared" si="632"/>
        <v>0</v>
      </c>
      <c r="BW527" s="278"/>
      <c r="BX527" s="275">
        <f t="shared" si="619"/>
        <v>0</v>
      </c>
      <c r="BY527" s="275">
        <f t="shared" si="620"/>
        <v>0</v>
      </c>
      <c r="CA527" s="199">
        <f>'Detailed Budget'!$AD$96</f>
        <v>71050111380.677719</v>
      </c>
      <c r="CB527" s="275">
        <f t="shared" si="651"/>
        <v>77485176.81789735</v>
      </c>
      <c r="CE527" s="199">
        <f>'Detailed Budget'!$AD$175</f>
        <v>4330586076.5988197</v>
      </c>
      <c r="CF527" s="275">
        <f t="shared" si="633"/>
        <v>0</v>
      </c>
      <c r="CG527" s="199">
        <f>'Detailed Budget'!$AD$176</f>
        <v>20662817754.37001</v>
      </c>
      <c r="CH527" s="275">
        <f t="shared" si="634"/>
        <v>0</v>
      </c>
      <c r="CI527" s="275">
        <f t="shared" si="657"/>
        <v>0</v>
      </c>
      <c r="CJ527" s="275">
        <f>'Detailed Budget'!$AD$178</f>
        <v>46025131033.061455</v>
      </c>
      <c r="CK527" s="275">
        <f t="shared" si="635"/>
        <v>0</v>
      </c>
      <c r="CL527" s="275">
        <f t="shared" si="571"/>
        <v>0</v>
      </c>
      <c r="CM527" s="278">
        <f>'Detailed Budget'!$AD$189</f>
        <v>77498869683.252869</v>
      </c>
      <c r="CN527" s="275">
        <f t="shared" si="652"/>
        <v>0</v>
      </c>
      <c r="CO527" s="140">
        <f>'Detailed Budget'!$AD$191</f>
        <v>2684962805.4134097</v>
      </c>
      <c r="CP527" s="616">
        <f t="shared" si="653"/>
        <v>0</v>
      </c>
      <c r="CQ527" s="616">
        <f t="shared" si="654"/>
        <v>0</v>
      </c>
      <c r="CR527" s="199">
        <f>'Detailed Budget'!$AD$195</f>
        <v>18734176418</v>
      </c>
      <c r="CS527" s="275">
        <f t="shared" si="636"/>
        <v>18966137.065500591</v>
      </c>
      <c r="CW527" s="278"/>
      <c r="DH527" s="140">
        <f>'Detailed Budget'!$AD$163</f>
        <v>4928560000</v>
      </c>
      <c r="DI527" s="616">
        <f t="shared" si="637"/>
        <v>5600000</v>
      </c>
    </row>
    <row r="528" spans="1:113" outlineLevel="1">
      <c r="A528" s="214" t="s">
        <v>1159</v>
      </c>
      <c r="B528" s="215" t="s">
        <v>1160</v>
      </c>
      <c r="C528" s="216" t="s">
        <v>234</v>
      </c>
      <c r="D528" s="217"/>
      <c r="E528" s="216"/>
      <c r="F528" s="216"/>
      <c r="G528" s="216"/>
      <c r="H528" s="216" t="s">
        <v>234</v>
      </c>
      <c r="I528" s="217" t="s">
        <v>234</v>
      </c>
      <c r="J528" s="217"/>
      <c r="K528" s="216"/>
      <c r="L528" s="216"/>
      <c r="M528" s="217" t="s">
        <v>234</v>
      </c>
      <c r="N528" s="216"/>
      <c r="O528" s="217"/>
      <c r="P528" s="216"/>
      <c r="Q528" s="217"/>
      <c r="R528" s="217" t="s">
        <v>234</v>
      </c>
      <c r="S528" s="217"/>
      <c r="T528" s="217"/>
      <c r="U528" s="218">
        <f t="shared" si="626"/>
        <v>5</v>
      </c>
      <c r="V528" s="867" t="s">
        <v>487</v>
      </c>
      <c r="W528" s="219">
        <v>233362</v>
      </c>
      <c r="X528" s="220">
        <v>2.8</v>
      </c>
      <c r="Y528" s="221">
        <f t="shared" si="621"/>
        <v>1.028</v>
      </c>
      <c r="Z528" s="199">
        <v>19</v>
      </c>
      <c r="AA528" s="221">
        <f t="shared" si="622"/>
        <v>1.6899318009047619</v>
      </c>
      <c r="AB528" s="199">
        <f t="shared" si="659"/>
        <v>394365.86492273706</v>
      </c>
      <c r="AC528">
        <v>11.3</v>
      </c>
      <c r="AD528" s="199">
        <f t="shared" si="660"/>
        <v>44563.342736269289</v>
      </c>
      <c r="AE528" s="199">
        <f t="shared" si="623"/>
        <v>42335.175599455826</v>
      </c>
      <c r="AF528" s="199">
        <f t="shared" si="658"/>
        <v>0</v>
      </c>
      <c r="AG528" s="614">
        <f t="shared" si="656"/>
        <v>1.9573926648155391E-3</v>
      </c>
      <c r="AH528" s="199">
        <f t="shared" si="638"/>
        <v>19718.293246136855</v>
      </c>
      <c r="AI528" s="252">
        <f t="shared" si="639"/>
        <v>1.5275463016457679E-3</v>
      </c>
      <c r="AJ528" s="199">
        <f t="shared" si="640"/>
        <v>64281.635982406144</v>
      </c>
      <c r="AK528" s="199">
        <f t="shared" si="572"/>
        <v>15774.634596909484</v>
      </c>
      <c r="AL528" s="199">
        <f t="shared" si="573"/>
        <v>15774.634596909484</v>
      </c>
      <c r="AM528" s="199">
        <f t="shared" si="641"/>
        <v>31549.269193818967</v>
      </c>
      <c r="AN528" s="645">
        <f t="shared" si="642"/>
        <v>1.5275463016457679E-3</v>
      </c>
      <c r="AO528" s="199">
        <v>20</v>
      </c>
      <c r="AP528" s="250">
        <f t="shared" si="643"/>
        <v>2.2724690376093627E-3</v>
      </c>
      <c r="AQ528" s="199">
        <v>20</v>
      </c>
      <c r="AU528" s="199">
        <v>0</v>
      </c>
      <c r="AW528" s="250">
        <f t="shared" si="644"/>
        <v>0</v>
      </c>
      <c r="AX528" s="199">
        <v>1</v>
      </c>
      <c r="AY528" s="199">
        <f t="shared" si="627"/>
        <v>20828.329220294672</v>
      </c>
      <c r="AZ528" s="199">
        <f t="shared" si="645"/>
        <v>20828.329220294672</v>
      </c>
      <c r="BA528" s="252">
        <f t="shared" si="646"/>
        <v>1.6372418382327714E-3</v>
      </c>
      <c r="BB528" s="284">
        <v>0</v>
      </c>
      <c r="BC528" s="199">
        <f t="shared" si="628"/>
        <v>0</v>
      </c>
      <c r="BD528" s="270">
        <f t="shared" si="574"/>
        <v>0</v>
      </c>
      <c r="BE528" s="199">
        <f t="shared" si="629"/>
        <v>0</v>
      </c>
      <c r="BF528" s="251">
        <f t="shared" si="575"/>
        <v>0</v>
      </c>
      <c r="BG528" s="204">
        <f t="shared" si="630"/>
        <v>0</v>
      </c>
      <c r="BH528" s="636">
        <v>0</v>
      </c>
      <c r="BI528" s="199">
        <f t="shared" si="647"/>
        <v>120675.95466635755</v>
      </c>
      <c r="BJ528" s="199">
        <f t="shared" si="648"/>
        <v>241351.90933271509</v>
      </c>
      <c r="BK528" s="199">
        <f t="shared" si="655"/>
        <v>362027.86399907264</v>
      </c>
      <c r="BL528" s="251">
        <f t="shared" si="649"/>
        <v>1.5275463016457679E-3</v>
      </c>
      <c r="BM528" s="199">
        <f t="shared" si="631"/>
        <v>35195.67769478327</v>
      </c>
      <c r="BN528" s="251">
        <f t="shared" si="650"/>
        <v>1.5198588195060557E-3</v>
      </c>
      <c r="BT528" s="199">
        <f>'Detailed Budget'!$AD$12</f>
        <v>194045122715</v>
      </c>
      <c r="BU528" s="199">
        <f>'Detailed Budget'!$AD$24</f>
        <v>194045122715</v>
      </c>
      <c r="BV528" s="596">
        <f t="shared" si="632"/>
        <v>0</v>
      </c>
      <c r="BW528" s="278"/>
      <c r="BX528" s="275">
        <f t="shared" si="619"/>
        <v>0</v>
      </c>
      <c r="BY528" s="275">
        <f t="shared" si="620"/>
        <v>0</v>
      </c>
      <c r="CA528" s="199">
        <f>'Detailed Budget'!$AD$96</f>
        <v>71050111380.677719</v>
      </c>
      <c r="CB528" s="275">
        <f t="shared" si="651"/>
        <v>116326214.96354394</v>
      </c>
      <c r="CE528" s="199">
        <f>'Detailed Budget'!$AD$175</f>
        <v>4330586076.5988197</v>
      </c>
      <c r="CF528" s="275">
        <f t="shared" si="633"/>
        <v>0</v>
      </c>
      <c r="CG528" s="199">
        <f>'Detailed Budget'!$AD$176</f>
        <v>20662817754.37001</v>
      </c>
      <c r="CH528" s="275">
        <f t="shared" si="634"/>
        <v>0</v>
      </c>
      <c r="CI528" s="275">
        <f t="shared" si="657"/>
        <v>0</v>
      </c>
      <c r="CJ528" s="275">
        <f>'Detailed Budget'!$AD$178</f>
        <v>46025131033.061455</v>
      </c>
      <c r="CK528" s="275">
        <f t="shared" si="635"/>
        <v>0</v>
      </c>
      <c r="CL528" s="275">
        <f t="shared" ref="CL528:CL594" si="661">CI528+CK528</f>
        <v>0</v>
      </c>
      <c r="CM528" s="278">
        <f>'Detailed Budget'!$AD$189</f>
        <v>77498869683.252869</v>
      </c>
      <c r="CN528" s="275">
        <f t="shared" si="652"/>
        <v>0</v>
      </c>
      <c r="CO528" s="140">
        <f>'Detailed Budget'!$AD$191</f>
        <v>2684962805.4134097</v>
      </c>
      <c r="CP528" s="616">
        <f t="shared" si="653"/>
        <v>0</v>
      </c>
      <c r="CQ528" s="616">
        <f t="shared" si="654"/>
        <v>0</v>
      </c>
      <c r="CR528" s="199">
        <f>'Detailed Budget'!$AD$195</f>
        <v>18734176418</v>
      </c>
      <c r="CS528" s="275">
        <f t="shared" si="636"/>
        <v>28473303.255079668</v>
      </c>
      <c r="CW528" s="278"/>
      <c r="DH528" s="140">
        <f>'Detailed Budget'!$AD$163</f>
        <v>4928560000</v>
      </c>
      <c r="DI528" s="616">
        <f t="shared" si="637"/>
        <v>11200000</v>
      </c>
    </row>
    <row r="529" spans="1:113" outlineLevel="1">
      <c r="A529" s="214" t="s">
        <v>1161</v>
      </c>
      <c r="B529" s="215" t="s">
        <v>1162</v>
      </c>
      <c r="C529" s="216" t="s">
        <v>234</v>
      </c>
      <c r="D529" s="217"/>
      <c r="E529" s="216"/>
      <c r="F529" s="216"/>
      <c r="G529" s="216"/>
      <c r="H529" s="216" t="s">
        <v>234</v>
      </c>
      <c r="I529" s="217" t="s">
        <v>234</v>
      </c>
      <c r="J529" s="217"/>
      <c r="K529" s="216"/>
      <c r="L529" s="216"/>
      <c r="M529" s="217"/>
      <c r="N529" s="216" t="s">
        <v>234</v>
      </c>
      <c r="O529" s="217"/>
      <c r="P529" s="216"/>
      <c r="Q529" s="217"/>
      <c r="R529" s="217" t="s">
        <v>234</v>
      </c>
      <c r="S529" s="217"/>
      <c r="T529" s="217"/>
      <c r="U529" s="218">
        <f t="shared" si="626"/>
        <v>5</v>
      </c>
      <c r="V529" s="867" t="s">
        <v>487</v>
      </c>
      <c r="W529" s="219">
        <v>223317</v>
      </c>
      <c r="X529" s="220">
        <v>2.8</v>
      </c>
      <c r="Y529" s="221">
        <f t="shared" si="621"/>
        <v>1.028</v>
      </c>
      <c r="Z529" s="199">
        <v>19</v>
      </c>
      <c r="AA529" s="221">
        <f t="shared" si="622"/>
        <v>1.6899318009047619</v>
      </c>
      <c r="AB529" s="199">
        <f t="shared" si="659"/>
        <v>377390.4999826487</v>
      </c>
      <c r="AC529">
        <v>11.3</v>
      </c>
      <c r="AD529" s="199">
        <f t="shared" si="660"/>
        <v>42645.12649803931</v>
      </c>
      <c r="AE529" s="199">
        <f t="shared" si="623"/>
        <v>40512.870173137344</v>
      </c>
      <c r="AF529" s="199">
        <f t="shared" si="658"/>
        <v>0</v>
      </c>
      <c r="AG529" s="614">
        <f t="shared" si="656"/>
        <v>1.8731372619732935E-3</v>
      </c>
      <c r="AH529" s="199">
        <f t="shared" si="638"/>
        <v>18869.524999132434</v>
      </c>
      <c r="AI529" s="252">
        <f t="shared" si="639"/>
        <v>1.4617935115598423E-3</v>
      </c>
      <c r="AJ529" s="199">
        <f t="shared" si="640"/>
        <v>61514.651497171741</v>
      </c>
      <c r="AK529" s="199">
        <f t="shared" ref="AK529:AK592" si="662">AB529*0.04</f>
        <v>15095.619999305949</v>
      </c>
      <c r="AL529" s="199">
        <f t="shared" ref="AL529:AL592" si="663">AB529*0.04</f>
        <v>15095.619999305949</v>
      </c>
      <c r="AM529" s="199">
        <f t="shared" si="641"/>
        <v>30191.239998611898</v>
      </c>
      <c r="AN529" s="645">
        <f t="shared" si="642"/>
        <v>1.4617935115598423E-3</v>
      </c>
      <c r="AO529" s="199">
        <v>16</v>
      </c>
      <c r="AP529" s="250">
        <f t="shared" si="643"/>
        <v>1.81797523008749E-3</v>
      </c>
      <c r="AQ529" s="199">
        <v>16</v>
      </c>
      <c r="AU529" s="199">
        <v>0</v>
      </c>
      <c r="AW529" s="250">
        <f t="shared" si="644"/>
        <v>0</v>
      </c>
      <c r="AX529" s="199">
        <v>1</v>
      </c>
      <c r="AY529" s="199">
        <f t="shared" si="627"/>
        <v>19931.779794861824</v>
      </c>
      <c r="AZ529" s="199">
        <f t="shared" si="645"/>
        <v>19931.779794861824</v>
      </c>
      <c r="BA529" s="252">
        <f t="shared" si="646"/>
        <v>1.5667672354051979E-3</v>
      </c>
      <c r="BB529" s="284">
        <v>0</v>
      </c>
      <c r="BC529" s="199">
        <f t="shared" si="628"/>
        <v>0</v>
      </c>
      <c r="BD529" s="270">
        <f t="shared" si="574"/>
        <v>0</v>
      </c>
      <c r="BE529" s="199">
        <f t="shared" si="629"/>
        <v>0</v>
      </c>
      <c r="BF529" s="251">
        <f t="shared" si="575"/>
        <v>0</v>
      </c>
      <c r="BG529" s="204">
        <f t="shared" si="630"/>
        <v>0</v>
      </c>
      <c r="BH529" s="636">
        <v>0</v>
      </c>
      <c r="BI529" s="199">
        <f t="shared" si="647"/>
        <v>115481.49299469052</v>
      </c>
      <c r="BJ529" s="199">
        <f t="shared" si="648"/>
        <v>230962.98598938104</v>
      </c>
      <c r="BK529" s="199">
        <f t="shared" si="655"/>
        <v>346444.47898407152</v>
      </c>
      <c r="BL529" s="251">
        <f t="shared" si="649"/>
        <v>1.4617935115598423E-3</v>
      </c>
      <c r="BM529" s="199">
        <f t="shared" si="631"/>
        <v>33680.68989709513</v>
      </c>
      <c r="BN529" s="251">
        <f t="shared" si="650"/>
        <v>1.454436934872146E-3</v>
      </c>
      <c r="BT529" s="199">
        <f>'Detailed Budget'!$AD$12</f>
        <v>194045122715</v>
      </c>
      <c r="BU529" s="199">
        <f>'Detailed Budget'!$AD$24</f>
        <v>194045122715</v>
      </c>
      <c r="BV529" s="596">
        <f t="shared" si="632"/>
        <v>0</v>
      </c>
      <c r="BW529" s="278"/>
      <c r="BX529" s="275">
        <f t="shared" si="619"/>
        <v>0</v>
      </c>
      <c r="BY529" s="275">
        <f t="shared" si="620"/>
        <v>0</v>
      </c>
      <c r="CA529" s="199">
        <f>'Detailed Budget'!$AD$96</f>
        <v>71050111380.677719</v>
      </c>
      <c r="CB529" s="275">
        <f t="shared" si="651"/>
        <v>111318986.58313581</v>
      </c>
      <c r="CE529" s="199">
        <f>'Detailed Budget'!$AD$175</f>
        <v>4330586076.5988197</v>
      </c>
      <c r="CF529" s="275">
        <f t="shared" si="633"/>
        <v>0</v>
      </c>
      <c r="CG529" s="199">
        <f>'Detailed Budget'!$AD$176</f>
        <v>20662817754.37001</v>
      </c>
      <c r="CH529" s="275">
        <f t="shared" si="634"/>
        <v>0</v>
      </c>
      <c r="CI529" s="275">
        <f t="shared" si="657"/>
        <v>0</v>
      </c>
      <c r="CJ529" s="275">
        <f>'Detailed Budget'!$AD$178</f>
        <v>46025131033.061455</v>
      </c>
      <c r="CK529" s="275">
        <f t="shared" si="635"/>
        <v>0</v>
      </c>
      <c r="CL529" s="275">
        <f t="shared" si="661"/>
        <v>0</v>
      </c>
      <c r="CM529" s="278">
        <f>'Detailed Budget'!$AD$189</f>
        <v>77498869683.252869</v>
      </c>
      <c r="CN529" s="275">
        <f t="shared" si="652"/>
        <v>0</v>
      </c>
      <c r="CO529" s="140">
        <f>'Detailed Budget'!$AD$191</f>
        <v>2684962805.4134097</v>
      </c>
      <c r="CP529" s="616">
        <f t="shared" si="653"/>
        <v>0</v>
      </c>
      <c r="CQ529" s="616">
        <f t="shared" si="654"/>
        <v>0</v>
      </c>
      <c r="CR529" s="199">
        <f>'Detailed Budget'!$AD$195</f>
        <v>18734176418</v>
      </c>
      <c r="CS529" s="275">
        <f t="shared" si="636"/>
        <v>27247678.126749959</v>
      </c>
      <c r="CW529" s="278"/>
      <c r="DH529" s="140">
        <f>'Detailed Budget'!$AD$163</f>
        <v>4928560000</v>
      </c>
      <c r="DI529" s="616">
        <f t="shared" si="637"/>
        <v>8960000</v>
      </c>
    </row>
    <row r="530" spans="1:113" outlineLevel="1">
      <c r="A530" s="214" t="s">
        <v>1163</v>
      </c>
      <c r="B530" s="215" t="s">
        <v>1164</v>
      </c>
      <c r="C530" s="216" t="s">
        <v>234</v>
      </c>
      <c r="D530" s="217"/>
      <c r="E530" s="216"/>
      <c r="F530" s="216"/>
      <c r="G530" s="216"/>
      <c r="H530" s="216" t="s">
        <v>234</v>
      </c>
      <c r="I530" s="217" t="s">
        <v>234</v>
      </c>
      <c r="J530" s="217"/>
      <c r="K530" s="216"/>
      <c r="L530" s="216"/>
      <c r="M530" s="217"/>
      <c r="N530" s="216" t="s">
        <v>234</v>
      </c>
      <c r="O530" s="217"/>
      <c r="P530" s="216"/>
      <c r="Q530" s="217" t="s">
        <v>234</v>
      </c>
      <c r="R530" s="217"/>
      <c r="S530" s="217"/>
      <c r="T530" s="217"/>
      <c r="U530" s="218">
        <f t="shared" si="626"/>
        <v>5</v>
      </c>
      <c r="V530" s="867" t="s">
        <v>1150</v>
      </c>
      <c r="W530" s="219">
        <v>125918</v>
      </c>
      <c r="X530" s="220">
        <v>2.8</v>
      </c>
      <c r="Y530" s="221">
        <f t="shared" si="621"/>
        <v>1.028</v>
      </c>
      <c r="Z530" s="199">
        <v>19</v>
      </c>
      <c r="AA530" s="221">
        <f t="shared" si="622"/>
        <v>1.6899318009047619</v>
      </c>
      <c r="AB530" s="199">
        <f t="shared" si="659"/>
        <v>212792.83250632582</v>
      </c>
      <c r="AC530">
        <v>11.3</v>
      </c>
      <c r="AD530" s="199">
        <f t="shared" si="660"/>
        <v>24045.590073214822</v>
      </c>
      <c r="AE530" s="199">
        <f t="shared" si="623"/>
        <v>22843.31056955408</v>
      </c>
      <c r="AF530" s="199">
        <f t="shared" si="658"/>
        <v>0</v>
      </c>
      <c r="AG530" s="614">
        <f t="shared" si="656"/>
        <v>1.0561743967237298E-3</v>
      </c>
      <c r="AH530" s="199">
        <f t="shared" si="638"/>
        <v>10639.641625316292</v>
      </c>
      <c r="AI530" s="252">
        <f t="shared" si="639"/>
        <v>8.2423691608158917E-4</v>
      </c>
      <c r="AJ530" s="199">
        <f t="shared" si="640"/>
        <v>34685.231698531112</v>
      </c>
      <c r="AK530" s="199">
        <f t="shared" si="662"/>
        <v>8511.7133002530336</v>
      </c>
      <c r="AL530" s="199">
        <f t="shared" si="663"/>
        <v>8511.7133002530336</v>
      </c>
      <c r="AM530" s="199">
        <f t="shared" si="641"/>
        <v>17023.426600506067</v>
      </c>
      <c r="AN530" s="645">
        <f t="shared" si="642"/>
        <v>8.2423691608158917E-4</v>
      </c>
      <c r="AO530" s="199">
        <v>15</v>
      </c>
      <c r="AP530" s="250">
        <f t="shared" si="643"/>
        <v>1.7043517782070218E-3</v>
      </c>
      <c r="AQ530" s="199">
        <v>15</v>
      </c>
      <c r="AU530" s="199">
        <v>0</v>
      </c>
      <c r="AW530" s="250">
        <f t="shared" si="644"/>
        <v>0</v>
      </c>
      <c r="AX530" s="199">
        <v>1</v>
      </c>
      <c r="AY530" s="199">
        <f t="shared" si="627"/>
        <v>11238.597367013759</v>
      </c>
      <c r="AZ530" s="199">
        <f t="shared" si="645"/>
        <v>11238.597367013759</v>
      </c>
      <c r="BA530" s="252">
        <f t="shared" si="646"/>
        <v>8.8342668380710716E-4</v>
      </c>
      <c r="BB530" s="284">
        <v>0</v>
      </c>
      <c r="BC530" s="199">
        <f t="shared" si="628"/>
        <v>0</v>
      </c>
      <c r="BD530" s="270">
        <f t="shared" si="574"/>
        <v>0</v>
      </c>
      <c r="BE530" s="199">
        <f t="shared" si="629"/>
        <v>0</v>
      </c>
      <c r="BF530" s="251">
        <f t="shared" si="575"/>
        <v>0</v>
      </c>
      <c r="BG530" s="204">
        <f t="shared" si="630"/>
        <v>0</v>
      </c>
      <c r="BH530" s="636">
        <v>0</v>
      </c>
      <c r="BI530" s="199">
        <f t="shared" si="647"/>
        <v>65114.606746935708</v>
      </c>
      <c r="BJ530" s="199">
        <f t="shared" si="648"/>
        <v>130229.21349387142</v>
      </c>
      <c r="BK530" s="199">
        <f t="shared" si="655"/>
        <v>195343.82024080714</v>
      </c>
      <c r="BL530" s="251">
        <f t="shared" si="649"/>
        <v>8.2423691608158928E-4</v>
      </c>
      <c r="BM530" s="199">
        <f t="shared" si="631"/>
        <v>18990.964012871504</v>
      </c>
      <c r="BN530" s="251">
        <f t="shared" si="650"/>
        <v>8.2008888694201935E-4</v>
      </c>
      <c r="BT530" s="199">
        <f>'Detailed Budget'!$AD$12</f>
        <v>194045122715</v>
      </c>
      <c r="BU530" s="199">
        <f>'Detailed Budget'!$AD$24</f>
        <v>194045122715</v>
      </c>
      <c r="BV530" s="596">
        <f t="shared" si="632"/>
        <v>0</v>
      </c>
      <c r="BW530" s="278"/>
      <c r="BX530" s="275">
        <f t="shared" si="619"/>
        <v>0</v>
      </c>
      <c r="BY530" s="275">
        <f t="shared" si="620"/>
        <v>0</v>
      </c>
      <c r="CA530" s="199">
        <f>'Detailed Budget'!$AD$96</f>
        <v>71050111380.677719</v>
      </c>
      <c r="CB530" s="275">
        <f t="shared" si="651"/>
        <v>62767564.281157725</v>
      </c>
      <c r="CE530" s="199">
        <f>'Detailed Budget'!$AD$175</f>
        <v>4330586076.5988197</v>
      </c>
      <c r="CF530" s="275">
        <f t="shared" si="633"/>
        <v>0</v>
      </c>
      <c r="CG530" s="199">
        <f>'Detailed Budget'!$AD$176</f>
        <v>20662817754.37001</v>
      </c>
      <c r="CH530" s="275">
        <f t="shared" si="634"/>
        <v>0</v>
      </c>
      <c r="CI530" s="275">
        <f t="shared" si="657"/>
        <v>0</v>
      </c>
      <c r="CJ530" s="275">
        <f>'Detailed Budget'!$AD$178</f>
        <v>46025131033.061455</v>
      </c>
      <c r="CK530" s="275">
        <f t="shared" si="635"/>
        <v>0</v>
      </c>
      <c r="CL530" s="275">
        <f t="shared" si="661"/>
        <v>0</v>
      </c>
      <c r="CM530" s="278">
        <f>'Detailed Budget'!$AD$189</f>
        <v>77498869683.252869</v>
      </c>
      <c r="CN530" s="275">
        <f t="shared" si="652"/>
        <v>0</v>
      </c>
      <c r="CO530" s="140">
        <f>'Detailed Budget'!$AD$191</f>
        <v>2684962805.4134097</v>
      </c>
      <c r="CP530" s="616">
        <f t="shared" si="653"/>
        <v>0</v>
      </c>
      <c r="CQ530" s="616">
        <f t="shared" si="654"/>
        <v>0</v>
      </c>
      <c r="CR530" s="199">
        <f>'Detailed Budget'!$AD$195</f>
        <v>18734176418</v>
      </c>
      <c r="CS530" s="275">
        <f t="shared" si="636"/>
        <v>15363689.886413047</v>
      </c>
      <c r="CW530" s="278"/>
      <c r="DH530" s="140">
        <f>'Detailed Budget'!$AD$163</f>
        <v>4928560000</v>
      </c>
      <c r="DI530" s="616">
        <f t="shared" si="637"/>
        <v>8400000</v>
      </c>
    </row>
    <row r="531" spans="1:113" outlineLevel="1">
      <c r="A531" s="214" t="s">
        <v>1165</v>
      </c>
      <c r="B531" s="215" t="s">
        <v>1166</v>
      </c>
      <c r="C531" s="216" t="s">
        <v>234</v>
      </c>
      <c r="D531" s="217"/>
      <c r="E531" s="216"/>
      <c r="F531" s="216"/>
      <c r="G531" s="216"/>
      <c r="H531" s="216" t="s">
        <v>234</v>
      </c>
      <c r="I531" s="217" t="s">
        <v>234</v>
      </c>
      <c r="J531" s="217"/>
      <c r="K531" s="216"/>
      <c r="L531" s="216"/>
      <c r="M531" s="217"/>
      <c r="N531" s="216" t="s">
        <v>234</v>
      </c>
      <c r="O531" s="217"/>
      <c r="P531" s="216"/>
      <c r="Q531" s="217" t="s">
        <v>234</v>
      </c>
      <c r="R531" s="217"/>
      <c r="S531" s="217"/>
      <c r="T531" s="217"/>
      <c r="U531" s="218">
        <f t="shared" si="626"/>
        <v>5</v>
      </c>
      <c r="V531" s="867" t="s">
        <v>1150</v>
      </c>
      <c r="W531" s="219">
        <v>137191</v>
      </c>
      <c r="X531" s="220">
        <v>2.8</v>
      </c>
      <c r="Y531" s="221">
        <f t="shared" si="621"/>
        <v>1.028</v>
      </c>
      <c r="Z531" s="199">
        <v>19</v>
      </c>
      <c r="AA531" s="221">
        <f t="shared" si="622"/>
        <v>1.6899318009047619</v>
      </c>
      <c r="AB531" s="199">
        <f t="shared" si="659"/>
        <v>231843.43369792518</v>
      </c>
      <c r="AC531">
        <v>11.3</v>
      </c>
      <c r="AD531" s="199">
        <f t="shared" si="660"/>
        <v>26198.308007865548</v>
      </c>
      <c r="AE531" s="199">
        <f t="shared" si="623"/>
        <v>24888.392607472269</v>
      </c>
      <c r="AF531" s="199">
        <f t="shared" si="658"/>
        <v>0</v>
      </c>
      <c r="AG531" s="614">
        <f t="shared" si="656"/>
        <v>1.1507300120786957E-3</v>
      </c>
      <c r="AH531" s="199">
        <f t="shared" si="638"/>
        <v>11592.171684896261</v>
      </c>
      <c r="AI531" s="252">
        <f t="shared" si="639"/>
        <v>8.9802797657324049E-4</v>
      </c>
      <c r="AJ531" s="199">
        <f t="shared" si="640"/>
        <v>37790.479692761808</v>
      </c>
      <c r="AK531" s="199">
        <f t="shared" si="662"/>
        <v>9273.7373479170074</v>
      </c>
      <c r="AL531" s="199">
        <f t="shared" si="663"/>
        <v>9273.7373479170074</v>
      </c>
      <c r="AM531" s="199">
        <f t="shared" si="641"/>
        <v>18547.474695834015</v>
      </c>
      <c r="AN531" s="645">
        <f t="shared" si="642"/>
        <v>8.9802797657324038E-4</v>
      </c>
      <c r="AO531" s="199">
        <v>17</v>
      </c>
      <c r="AP531" s="250">
        <f t="shared" si="643"/>
        <v>1.9315986819679581E-3</v>
      </c>
      <c r="AQ531" s="199">
        <v>17</v>
      </c>
      <c r="AU531" s="199">
        <v>0</v>
      </c>
      <c r="AW531" s="250">
        <f t="shared" si="644"/>
        <v>0</v>
      </c>
      <c r="AX531" s="199">
        <v>1</v>
      </c>
      <c r="AY531" s="199">
        <f t="shared" si="627"/>
        <v>12244.749848139143</v>
      </c>
      <c r="AZ531" s="199">
        <f t="shared" si="645"/>
        <v>12244.749848139143</v>
      </c>
      <c r="BA531" s="252">
        <f t="shared" si="646"/>
        <v>9.6251679806049048E-4</v>
      </c>
      <c r="BB531" s="284">
        <v>0</v>
      </c>
      <c r="BC531" s="199">
        <f t="shared" si="628"/>
        <v>0</v>
      </c>
      <c r="BD531" s="270">
        <f t="shared" si="574"/>
        <v>0</v>
      </c>
      <c r="BE531" s="199">
        <f t="shared" si="629"/>
        <v>0</v>
      </c>
      <c r="BF531" s="251">
        <f t="shared" si="575"/>
        <v>0</v>
      </c>
      <c r="BG531" s="204">
        <f t="shared" si="630"/>
        <v>0</v>
      </c>
      <c r="BH531" s="636">
        <v>0</v>
      </c>
      <c r="BI531" s="199">
        <f t="shared" si="647"/>
        <v>70944.090711565106</v>
      </c>
      <c r="BJ531" s="199">
        <f t="shared" si="648"/>
        <v>141888.18142313021</v>
      </c>
      <c r="BK531" s="199">
        <f t="shared" si="655"/>
        <v>212832.27213469532</v>
      </c>
      <c r="BL531" s="251">
        <f t="shared" si="649"/>
        <v>8.9802797657324038E-4</v>
      </c>
      <c r="BM531" s="199">
        <f t="shared" si="631"/>
        <v>20691.158880301897</v>
      </c>
      <c r="BN531" s="251">
        <f t="shared" si="650"/>
        <v>8.9350858883132322E-4</v>
      </c>
      <c r="BT531" s="199">
        <f>'Detailed Budget'!$AD$12</f>
        <v>194045122715</v>
      </c>
      <c r="BU531" s="199">
        <f>'Detailed Budget'!$AD$24</f>
        <v>194045122715</v>
      </c>
      <c r="BV531" s="596">
        <f t="shared" si="632"/>
        <v>0</v>
      </c>
      <c r="BW531" s="278"/>
      <c r="BX531" s="275">
        <f t="shared" si="619"/>
        <v>0</v>
      </c>
      <c r="BY531" s="275">
        <f t="shared" si="620"/>
        <v>0</v>
      </c>
      <c r="CA531" s="199">
        <f>'Detailed Budget'!$AD$96</f>
        <v>71050111380.677719</v>
      </c>
      <c r="CB531" s="275">
        <f t="shared" si="651"/>
        <v>68386925.707971126</v>
      </c>
      <c r="CE531" s="199">
        <f>'Detailed Budget'!$AD$175</f>
        <v>4330586076.5988197</v>
      </c>
      <c r="CF531" s="275">
        <f t="shared" si="633"/>
        <v>0</v>
      </c>
      <c r="CG531" s="199">
        <f>'Detailed Budget'!$AD$176</f>
        <v>20662817754.37001</v>
      </c>
      <c r="CH531" s="275">
        <f t="shared" si="634"/>
        <v>0</v>
      </c>
      <c r="CI531" s="275">
        <f t="shared" si="657"/>
        <v>0</v>
      </c>
      <c r="CJ531" s="275">
        <f>'Detailed Budget'!$AD$178</f>
        <v>46025131033.061455</v>
      </c>
      <c r="CK531" s="275">
        <f t="shared" si="635"/>
        <v>0</v>
      </c>
      <c r="CL531" s="275">
        <f t="shared" si="661"/>
        <v>0</v>
      </c>
      <c r="CM531" s="278">
        <f>'Detailed Budget'!$AD$189</f>
        <v>77498869683.252869</v>
      </c>
      <c r="CN531" s="275">
        <f t="shared" si="652"/>
        <v>0</v>
      </c>
      <c r="CO531" s="140">
        <f>'Detailed Budget'!$AD$191</f>
        <v>2684962805.4134097</v>
      </c>
      <c r="CP531" s="616">
        <f t="shared" si="653"/>
        <v>0</v>
      </c>
      <c r="CQ531" s="616">
        <f t="shared" si="654"/>
        <v>0</v>
      </c>
      <c r="CR531" s="199">
        <f>'Detailed Budget'!$AD$195</f>
        <v>18734176418</v>
      </c>
      <c r="CS531" s="275">
        <f t="shared" si="636"/>
        <v>16739147.534164233</v>
      </c>
      <c r="CW531" s="278"/>
      <c r="DH531" s="140">
        <f>'Detailed Budget'!$AD$163</f>
        <v>4928560000</v>
      </c>
      <c r="DI531" s="616">
        <f t="shared" si="637"/>
        <v>9520000</v>
      </c>
    </row>
    <row r="532" spans="1:113" outlineLevel="1">
      <c r="A532" s="214" t="s">
        <v>1167</v>
      </c>
      <c r="B532" s="215" t="s">
        <v>1168</v>
      </c>
      <c r="C532" s="216" t="s">
        <v>234</v>
      </c>
      <c r="D532" s="217"/>
      <c r="E532" s="216"/>
      <c r="F532" s="216"/>
      <c r="G532" s="216"/>
      <c r="H532" s="216" t="s">
        <v>234</v>
      </c>
      <c r="I532" s="217" t="s">
        <v>234</v>
      </c>
      <c r="J532" s="217"/>
      <c r="K532" s="216"/>
      <c r="L532" s="216"/>
      <c r="M532" s="217" t="s">
        <v>234</v>
      </c>
      <c r="N532" s="216"/>
      <c r="O532" s="217"/>
      <c r="P532" s="216"/>
      <c r="Q532" s="217"/>
      <c r="R532" s="217" t="s">
        <v>234</v>
      </c>
      <c r="S532" s="217"/>
      <c r="T532" s="217"/>
      <c r="U532" s="218">
        <f t="shared" si="626"/>
        <v>5</v>
      </c>
      <c r="V532" s="867" t="s">
        <v>487</v>
      </c>
      <c r="W532" s="219">
        <v>172773</v>
      </c>
      <c r="X532" s="220">
        <v>2.8</v>
      </c>
      <c r="Y532" s="221">
        <f t="shared" si="621"/>
        <v>1.028</v>
      </c>
      <c r="Z532" s="199">
        <v>19</v>
      </c>
      <c r="AA532" s="221">
        <f t="shared" si="622"/>
        <v>1.6899318009047619</v>
      </c>
      <c r="AB532" s="199">
        <f t="shared" si="659"/>
        <v>291974.58703771845</v>
      </c>
      <c r="AC532">
        <v>11.3</v>
      </c>
      <c r="AD532" s="199">
        <f t="shared" si="660"/>
        <v>32993.12833526219</v>
      </c>
      <c r="AE532" s="199">
        <f t="shared" si="623"/>
        <v>31343.471918499079</v>
      </c>
      <c r="AF532" s="199">
        <f t="shared" si="658"/>
        <v>0</v>
      </c>
      <c r="AG532" s="614">
        <f t="shared" si="656"/>
        <v>1.4491845410914165E-3</v>
      </c>
      <c r="AH532" s="199">
        <f t="shared" si="638"/>
        <v>14598.729351885922</v>
      </c>
      <c r="AI532" s="252">
        <f t="shared" si="639"/>
        <v>1.1309414436551121E-3</v>
      </c>
      <c r="AJ532" s="199">
        <f t="shared" si="640"/>
        <v>47591.857687148113</v>
      </c>
      <c r="AK532" s="199">
        <f t="shared" si="662"/>
        <v>11678.983481508738</v>
      </c>
      <c r="AL532" s="199">
        <f t="shared" si="663"/>
        <v>11678.983481508738</v>
      </c>
      <c r="AM532" s="199">
        <f t="shared" si="641"/>
        <v>23357.966963017476</v>
      </c>
      <c r="AN532" s="645">
        <f t="shared" si="642"/>
        <v>1.1309414436551121E-3</v>
      </c>
      <c r="AO532" s="199">
        <v>18</v>
      </c>
      <c r="AP532" s="250">
        <f t="shared" si="643"/>
        <v>2.0452221338484265E-3</v>
      </c>
      <c r="AQ532" s="199">
        <v>18</v>
      </c>
      <c r="AU532" s="199">
        <v>0</v>
      </c>
      <c r="AW532" s="250">
        <f t="shared" si="644"/>
        <v>0</v>
      </c>
      <c r="AX532" s="199">
        <v>1</v>
      </c>
      <c r="AY532" s="199">
        <f t="shared" si="627"/>
        <v>15420.560864142284</v>
      </c>
      <c r="AZ532" s="199">
        <f t="shared" si="645"/>
        <v>15420.560864142284</v>
      </c>
      <c r="BA532" s="252">
        <f t="shared" si="646"/>
        <v>1.2121561527454797E-3</v>
      </c>
      <c r="BB532" s="284">
        <v>0</v>
      </c>
      <c r="BC532" s="199">
        <f t="shared" si="628"/>
        <v>0</v>
      </c>
      <c r="BD532" s="270">
        <f t="shared" si="574"/>
        <v>0</v>
      </c>
      <c r="BE532" s="199">
        <f t="shared" si="629"/>
        <v>0</v>
      </c>
      <c r="BF532" s="251">
        <f t="shared" si="575"/>
        <v>0</v>
      </c>
      <c r="BG532" s="204">
        <f t="shared" si="630"/>
        <v>0</v>
      </c>
      <c r="BH532" s="636">
        <v>0</v>
      </c>
      <c r="BI532" s="199">
        <f t="shared" si="647"/>
        <v>89344.223633541842</v>
      </c>
      <c r="BJ532" s="199">
        <f t="shared" si="648"/>
        <v>178688.44726708368</v>
      </c>
      <c r="BK532" s="199">
        <f t="shared" si="655"/>
        <v>268032.67090062553</v>
      </c>
      <c r="BL532" s="251">
        <f t="shared" si="649"/>
        <v>1.1309414436551121E-3</v>
      </c>
      <c r="BM532" s="199">
        <f t="shared" si="631"/>
        <v>26057.639300146511</v>
      </c>
      <c r="BN532" s="251">
        <f t="shared" si="650"/>
        <v>1.1252499028227378E-3</v>
      </c>
      <c r="BT532" s="199">
        <f>'Detailed Budget'!$AD$12</f>
        <v>194045122715</v>
      </c>
      <c r="BU532" s="199">
        <f>'Detailed Budget'!$AD$24</f>
        <v>194045122715</v>
      </c>
      <c r="BV532" s="596">
        <f t="shared" si="632"/>
        <v>0</v>
      </c>
      <c r="BW532" s="278"/>
      <c r="BX532" s="275">
        <f t="shared" si="619"/>
        <v>0</v>
      </c>
      <c r="BY532" s="275">
        <f t="shared" si="620"/>
        <v>0</v>
      </c>
      <c r="CA532" s="199">
        <f>'Detailed Budget'!$AD$96</f>
        <v>71050111380.677719</v>
      </c>
      <c r="CB532" s="275">
        <f t="shared" si="651"/>
        <v>86123829.663340122</v>
      </c>
      <c r="CE532" s="199">
        <f>'Detailed Budget'!$AD$175</f>
        <v>4330586076.5988197</v>
      </c>
      <c r="CF532" s="275">
        <f t="shared" si="633"/>
        <v>0</v>
      </c>
      <c r="CG532" s="199">
        <f>'Detailed Budget'!$AD$176</f>
        <v>20662817754.37001</v>
      </c>
      <c r="CH532" s="275">
        <f t="shared" si="634"/>
        <v>0</v>
      </c>
      <c r="CI532" s="275">
        <f t="shared" si="657"/>
        <v>0</v>
      </c>
      <c r="CJ532" s="275">
        <f>'Detailed Budget'!$AD$178</f>
        <v>46025131033.061455</v>
      </c>
      <c r="CK532" s="275">
        <f t="shared" si="635"/>
        <v>0</v>
      </c>
      <c r="CL532" s="275">
        <f t="shared" si="661"/>
        <v>0</v>
      </c>
      <c r="CM532" s="278">
        <f>'Detailed Budget'!$AD$189</f>
        <v>77498869683.252869</v>
      </c>
      <c r="CN532" s="275">
        <f t="shared" si="652"/>
        <v>0</v>
      </c>
      <c r="CO532" s="140">
        <f>'Detailed Budget'!$AD$191</f>
        <v>2684962805.4134097</v>
      </c>
      <c r="CP532" s="616">
        <f t="shared" si="653"/>
        <v>0</v>
      </c>
      <c r="CQ532" s="616">
        <f t="shared" si="654"/>
        <v>0</v>
      </c>
      <c r="CR532" s="199">
        <f>'Detailed Budget'!$AD$195</f>
        <v>18734176418</v>
      </c>
      <c r="CS532" s="275">
        <f t="shared" si="636"/>
        <v>21080630.193818528</v>
      </c>
      <c r="CW532" s="278"/>
      <c r="DH532" s="140">
        <f>'Detailed Budget'!$AD$163</f>
        <v>4928560000</v>
      </c>
      <c r="DI532" s="616">
        <f t="shared" si="637"/>
        <v>10080000</v>
      </c>
    </row>
    <row r="533" spans="1:113" outlineLevel="1">
      <c r="A533" s="214" t="s">
        <v>1169</v>
      </c>
      <c r="B533" s="215" t="s">
        <v>1170</v>
      </c>
      <c r="C533" s="216" t="s">
        <v>234</v>
      </c>
      <c r="D533" s="217"/>
      <c r="E533" s="216"/>
      <c r="F533" s="216"/>
      <c r="G533" s="216"/>
      <c r="H533" s="216" t="s">
        <v>234</v>
      </c>
      <c r="I533" s="217" t="s">
        <v>234</v>
      </c>
      <c r="J533" s="217"/>
      <c r="K533" s="216"/>
      <c r="L533" s="216"/>
      <c r="M533" s="217" t="s">
        <v>234</v>
      </c>
      <c r="N533" s="216"/>
      <c r="O533" s="217"/>
      <c r="P533" s="216"/>
      <c r="Q533" s="217"/>
      <c r="R533" s="217" t="s">
        <v>234</v>
      </c>
      <c r="S533" s="217"/>
      <c r="T533" s="217"/>
      <c r="U533" s="218">
        <f t="shared" si="626"/>
        <v>5</v>
      </c>
      <c r="V533" s="867" t="s">
        <v>487</v>
      </c>
      <c r="W533" s="219">
        <v>184548</v>
      </c>
      <c r="X533" s="220">
        <v>2.8</v>
      </c>
      <c r="Y533" s="221">
        <f t="shared" si="621"/>
        <v>1.028</v>
      </c>
      <c r="Z533" s="199">
        <v>19</v>
      </c>
      <c r="AA533" s="221">
        <f t="shared" si="622"/>
        <v>1.6899318009047619</v>
      </c>
      <c r="AB533" s="199">
        <f t="shared" si="659"/>
        <v>311873.533993372</v>
      </c>
      <c r="AC533">
        <v>11.3</v>
      </c>
      <c r="AD533" s="199">
        <f t="shared" si="660"/>
        <v>35241.709341251037</v>
      </c>
      <c r="AE533" s="199">
        <f t="shared" si="623"/>
        <v>33479.623874188481</v>
      </c>
      <c r="AF533" s="199">
        <f t="shared" si="658"/>
        <v>0</v>
      </c>
      <c r="AG533" s="614">
        <f t="shared" si="656"/>
        <v>1.5479508296396929E-3</v>
      </c>
      <c r="AH533" s="199">
        <f t="shared" si="638"/>
        <v>15593.6766996686</v>
      </c>
      <c r="AI533" s="252">
        <f t="shared" si="639"/>
        <v>1.2080185071953581E-3</v>
      </c>
      <c r="AJ533" s="199">
        <f t="shared" si="640"/>
        <v>50835.386040919635</v>
      </c>
      <c r="AK533" s="199">
        <f t="shared" si="662"/>
        <v>12474.941359734879</v>
      </c>
      <c r="AL533" s="199">
        <f t="shared" si="663"/>
        <v>12474.941359734879</v>
      </c>
      <c r="AM533" s="199">
        <f t="shared" si="641"/>
        <v>24949.882719469759</v>
      </c>
      <c r="AN533" s="645">
        <f t="shared" si="642"/>
        <v>1.2080185071953581E-3</v>
      </c>
      <c r="AO533" s="199">
        <v>18</v>
      </c>
      <c r="AP533" s="250">
        <f t="shared" si="643"/>
        <v>2.0452221338484265E-3</v>
      </c>
      <c r="AQ533" s="199">
        <v>18</v>
      </c>
      <c r="AU533" s="199">
        <v>0</v>
      </c>
      <c r="AW533" s="250">
        <f t="shared" si="644"/>
        <v>0</v>
      </c>
      <c r="AX533" s="199">
        <v>1</v>
      </c>
      <c r="AY533" s="199">
        <f t="shared" si="627"/>
        <v>16471.51850321364</v>
      </c>
      <c r="AZ533" s="199">
        <f t="shared" si="645"/>
        <v>16471.51850321364</v>
      </c>
      <c r="BA533" s="252">
        <f t="shared" si="646"/>
        <v>1.2947682431680458E-3</v>
      </c>
      <c r="BB533" s="284">
        <v>0</v>
      </c>
      <c r="BC533" s="199">
        <f t="shared" si="628"/>
        <v>0</v>
      </c>
      <c r="BD533" s="270">
        <f t="shared" si="574"/>
        <v>0</v>
      </c>
      <c r="BE533" s="199">
        <f t="shared" si="629"/>
        <v>0</v>
      </c>
      <c r="BF533" s="251">
        <f t="shared" si="575"/>
        <v>0</v>
      </c>
      <c r="BG533" s="204">
        <f t="shared" si="630"/>
        <v>0</v>
      </c>
      <c r="BH533" s="636">
        <v>0</v>
      </c>
      <c r="BI533" s="199">
        <f t="shared" si="647"/>
        <v>95433.301401971839</v>
      </c>
      <c r="BJ533" s="199">
        <f t="shared" si="648"/>
        <v>190866.60280394368</v>
      </c>
      <c r="BK533" s="199">
        <f t="shared" si="655"/>
        <v>286299.90420591552</v>
      </c>
      <c r="BL533" s="251">
        <f t="shared" si="649"/>
        <v>1.2080185071953581E-3</v>
      </c>
      <c r="BM533" s="199">
        <f t="shared" si="631"/>
        <v>27833.545852438969</v>
      </c>
      <c r="BN533" s="251">
        <f t="shared" si="650"/>
        <v>1.201939070723612E-3</v>
      </c>
      <c r="BT533" s="199">
        <f>'Detailed Budget'!$AD$12</f>
        <v>194045122715</v>
      </c>
      <c r="BU533" s="199">
        <f>'Detailed Budget'!$AD$24</f>
        <v>194045122715</v>
      </c>
      <c r="BV533" s="596">
        <f t="shared" si="632"/>
        <v>0</v>
      </c>
      <c r="BW533" s="278"/>
      <c r="BX533" s="275">
        <f t="shared" si="619"/>
        <v>0</v>
      </c>
      <c r="BY533" s="275">
        <f t="shared" si="620"/>
        <v>0</v>
      </c>
      <c r="CA533" s="199">
        <f>'Detailed Budget'!$AD$96</f>
        <v>71050111380.677719</v>
      </c>
      <c r="CB533" s="275">
        <f t="shared" si="651"/>
        <v>91993427.889254063</v>
      </c>
      <c r="CE533" s="199">
        <f>'Detailed Budget'!$AD$175</f>
        <v>4330586076.5988197</v>
      </c>
      <c r="CF533" s="275">
        <f t="shared" si="633"/>
        <v>0</v>
      </c>
      <c r="CG533" s="199">
        <f>'Detailed Budget'!$AD$176</f>
        <v>20662817754.37001</v>
      </c>
      <c r="CH533" s="275">
        <f t="shared" si="634"/>
        <v>0</v>
      </c>
      <c r="CI533" s="275">
        <f t="shared" si="657"/>
        <v>0</v>
      </c>
      <c r="CJ533" s="275">
        <f>'Detailed Budget'!$AD$178</f>
        <v>46025131033.061455</v>
      </c>
      <c r="CK533" s="275">
        <f t="shared" si="635"/>
        <v>0</v>
      </c>
      <c r="CL533" s="275">
        <f t="shared" si="661"/>
        <v>0</v>
      </c>
      <c r="CM533" s="278">
        <f>'Detailed Budget'!$AD$189</f>
        <v>77498869683.252869</v>
      </c>
      <c r="CN533" s="275">
        <f t="shared" si="652"/>
        <v>0</v>
      </c>
      <c r="CO533" s="140">
        <f>'Detailed Budget'!$AD$191</f>
        <v>2684962805.4134097</v>
      </c>
      <c r="CP533" s="616">
        <f t="shared" si="653"/>
        <v>0</v>
      </c>
      <c r="CQ533" s="616">
        <f t="shared" si="654"/>
        <v>0</v>
      </c>
      <c r="CR533" s="199">
        <f>'Detailed Budget'!$AD$195</f>
        <v>18734176418</v>
      </c>
      <c r="CS533" s="275">
        <f t="shared" si="636"/>
        <v>22517338.594623126</v>
      </c>
      <c r="CW533" s="278"/>
      <c r="DH533" s="140">
        <f>'Detailed Budget'!$AD$163</f>
        <v>4928560000</v>
      </c>
      <c r="DI533" s="616">
        <f t="shared" si="637"/>
        <v>10080000</v>
      </c>
    </row>
    <row r="534" spans="1:113" outlineLevel="1">
      <c r="A534" s="214" t="s">
        <v>1171</v>
      </c>
      <c r="B534" s="215" t="s">
        <v>1172</v>
      </c>
      <c r="C534" s="216" t="s">
        <v>234</v>
      </c>
      <c r="D534" s="217"/>
      <c r="E534" s="216"/>
      <c r="F534" s="216"/>
      <c r="G534" s="216"/>
      <c r="H534" s="216" t="s">
        <v>234</v>
      </c>
      <c r="I534" s="217" t="s">
        <v>234</v>
      </c>
      <c r="J534" s="217"/>
      <c r="K534" s="216"/>
      <c r="L534" s="216"/>
      <c r="M534" s="217"/>
      <c r="N534" s="216" t="s">
        <v>234</v>
      </c>
      <c r="O534" s="217"/>
      <c r="P534" s="216"/>
      <c r="Q534" s="217"/>
      <c r="R534" s="217" t="s">
        <v>234</v>
      </c>
      <c r="S534" s="217"/>
      <c r="T534" s="217"/>
      <c r="U534" s="218">
        <f t="shared" si="626"/>
        <v>5</v>
      </c>
      <c r="V534" s="867" t="s">
        <v>487</v>
      </c>
      <c r="W534" s="219">
        <v>168201</v>
      </c>
      <c r="X534" s="220">
        <v>2.8</v>
      </c>
      <c r="Y534" s="221">
        <f t="shared" si="621"/>
        <v>1.028</v>
      </c>
      <c r="Z534" s="199">
        <v>19</v>
      </c>
      <c r="AA534" s="221">
        <f t="shared" si="622"/>
        <v>1.6899318009047619</v>
      </c>
      <c r="AB534" s="199">
        <f t="shared" si="659"/>
        <v>284248.21884398186</v>
      </c>
      <c r="AC534">
        <v>11.3</v>
      </c>
      <c r="AD534" s="199">
        <f t="shared" si="660"/>
        <v>32120.048729369952</v>
      </c>
      <c r="AE534" s="199">
        <f t="shared" si="623"/>
        <v>30514.046292901454</v>
      </c>
      <c r="AF534" s="199">
        <f t="shared" si="658"/>
        <v>0</v>
      </c>
      <c r="AG534" s="614">
        <f t="shared" si="656"/>
        <v>1.4108355414105057E-3</v>
      </c>
      <c r="AH534" s="199">
        <f t="shared" si="638"/>
        <v>14212.410942199094</v>
      </c>
      <c r="AI534" s="252">
        <f t="shared" si="639"/>
        <v>1.101013941786237E-3</v>
      </c>
      <c r="AJ534" s="199">
        <f t="shared" si="640"/>
        <v>46332.459671569042</v>
      </c>
      <c r="AK534" s="199">
        <f t="shared" si="662"/>
        <v>11369.928753759274</v>
      </c>
      <c r="AL534" s="199">
        <f t="shared" si="663"/>
        <v>11369.928753759274</v>
      </c>
      <c r="AM534" s="199">
        <f t="shared" si="641"/>
        <v>22739.857507518547</v>
      </c>
      <c r="AN534" s="645">
        <f t="shared" si="642"/>
        <v>1.1010139417862367E-3</v>
      </c>
      <c r="AO534" s="199">
        <v>15</v>
      </c>
      <c r="AP534" s="250">
        <f t="shared" si="643"/>
        <v>1.7043517782070218E-3</v>
      </c>
      <c r="AQ534" s="199">
        <v>15</v>
      </c>
      <c r="AU534" s="199">
        <v>0</v>
      </c>
      <c r="AW534" s="250">
        <f t="shared" si="644"/>
        <v>0</v>
      </c>
      <c r="AX534" s="199">
        <v>1</v>
      </c>
      <c r="AY534" s="199">
        <f t="shared" si="627"/>
        <v>15012.494764283747</v>
      </c>
      <c r="AZ534" s="199">
        <f t="shared" si="645"/>
        <v>15012.494764283747</v>
      </c>
      <c r="BA534" s="252">
        <f t="shared" si="646"/>
        <v>1.1800795092285392E-3</v>
      </c>
      <c r="BB534" s="284">
        <v>0</v>
      </c>
      <c r="BC534" s="199">
        <f t="shared" si="628"/>
        <v>0</v>
      </c>
      <c r="BD534" s="270">
        <f t="shared" si="574"/>
        <v>0</v>
      </c>
      <c r="BE534" s="199">
        <f t="shared" si="629"/>
        <v>0</v>
      </c>
      <c r="BF534" s="251">
        <f t="shared" si="575"/>
        <v>0</v>
      </c>
      <c r="BG534" s="204">
        <f t="shared" si="630"/>
        <v>0</v>
      </c>
      <c r="BH534" s="636">
        <v>0</v>
      </c>
      <c r="BI534" s="199">
        <f t="shared" si="647"/>
        <v>86979.954966258432</v>
      </c>
      <c r="BJ534" s="199">
        <f t="shared" si="648"/>
        <v>173959.90993251686</v>
      </c>
      <c r="BK534" s="199">
        <f t="shared" si="655"/>
        <v>260939.8648987753</v>
      </c>
      <c r="BL534" s="251">
        <f t="shared" si="649"/>
        <v>1.1010139417862365E-3</v>
      </c>
      <c r="BM534" s="199">
        <f t="shared" si="631"/>
        <v>25368.089851562123</v>
      </c>
      <c r="BN534" s="251">
        <f t="shared" si="650"/>
        <v>1.0954730131715448E-3</v>
      </c>
      <c r="BT534" s="199">
        <f>'Detailed Budget'!$AD$12</f>
        <v>194045122715</v>
      </c>
      <c r="BU534" s="199">
        <f>'Detailed Budget'!$AD$24</f>
        <v>194045122715</v>
      </c>
      <c r="BV534" s="596">
        <f t="shared" si="632"/>
        <v>0</v>
      </c>
      <c r="BW534" s="278"/>
      <c r="BX534" s="275">
        <f t="shared" si="619"/>
        <v>0</v>
      </c>
      <c r="BY534" s="275">
        <f t="shared" si="620"/>
        <v>0</v>
      </c>
      <c r="CA534" s="199">
        <f>'Detailed Budget'!$AD$96</f>
        <v>71050111380.677719</v>
      </c>
      <c r="CB534" s="275">
        <f t="shared" si="651"/>
        <v>83844780.568743214</v>
      </c>
      <c r="CE534" s="199">
        <f>'Detailed Budget'!$AD$175</f>
        <v>4330586076.5988197</v>
      </c>
      <c r="CF534" s="275">
        <f t="shared" si="633"/>
        <v>0</v>
      </c>
      <c r="CG534" s="199">
        <f>'Detailed Budget'!$AD$176</f>
        <v>20662817754.37001</v>
      </c>
      <c r="CH534" s="275">
        <f t="shared" si="634"/>
        <v>0</v>
      </c>
      <c r="CI534" s="275">
        <f t="shared" si="657"/>
        <v>0</v>
      </c>
      <c r="CJ534" s="275">
        <f>'Detailed Budget'!$AD$178</f>
        <v>46025131033.061455</v>
      </c>
      <c r="CK534" s="275">
        <f t="shared" si="635"/>
        <v>0</v>
      </c>
      <c r="CL534" s="275">
        <f t="shared" si="661"/>
        <v>0</v>
      </c>
      <c r="CM534" s="278">
        <f>'Detailed Budget'!$AD$189</f>
        <v>77498869683.252869</v>
      </c>
      <c r="CN534" s="275">
        <f t="shared" si="652"/>
        <v>0</v>
      </c>
      <c r="CO534" s="140">
        <f>'Detailed Budget'!$AD$191</f>
        <v>2684962805.4134097</v>
      </c>
      <c r="CP534" s="616">
        <f t="shared" si="653"/>
        <v>0</v>
      </c>
      <c r="CQ534" s="616">
        <f t="shared" si="654"/>
        <v>0</v>
      </c>
      <c r="CR534" s="199">
        <f>'Detailed Budget'!$AD$195</f>
        <v>18734176418</v>
      </c>
      <c r="CS534" s="275">
        <f t="shared" si="636"/>
        <v>20522784.689913757</v>
      </c>
      <c r="CW534" s="278"/>
      <c r="DH534" s="140">
        <f>'Detailed Budget'!$AD$163</f>
        <v>4928560000</v>
      </c>
      <c r="DI534" s="616">
        <f t="shared" si="637"/>
        <v>8400000</v>
      </c>
    </row>
    <row r="535" spans="1:113" outlineLevel="1">
      <c r="A535" s="214"/>
      <c r="B535" s="215"/>
      <c r="C535" s="216"/>
      <c r="D535" s="217"/>
      <c r="E535" s="216"/>
      <c r="F535" s="216"/>
      <c r="G535" s="216"/>
      <c r="H535" s="216"/>
      <c r="I535" s="217"/>
      <c r="J535" s="217"/>
      <c r="K535" s="216"/>
      <c r="L535" s="216"/>
      <c r="M535" s="217"/>
      <c r="N535" s="216"/>
      <c r="O535" s="217"/>
      <c r="P535" s="216"/>
      <c r="Q535" s="217"/>
      <c r="R535" s="217"/>
      <c r="S535" s="217"/>
      <c r="T535" s="217"/>
      <c r="U535" s="218"/>
      <c r="V535" s="867"/>
      <c r="W535" s="219"/>
      <c r="X535" s="220"/>
      <c r="Y535" s="221"/>
      <c r="Z535" s="199"/>
      <c r="AA535" s="221"/>
      <c r="AF535" s="199">
        <f t="shared" si="658"/>
        <v>0</v>
      </c>
      <c r="AG535" s="614">
        <f t="shared" si="656"/>
        <v>0</v>
      </c>
      <c r="AJ535" s="199"/>
      <c r="AK535" s="199">
        <f t="shared" si="662"/>
        <v>0</v>
      </c>
      <c r="AL535" s="199">
        <f t="shared" si="663"/>
        <v>0</v>
      </c>
      <c r="AM535" s="199">
        <f t="shared" si="641"/>
        <v>0</v>
      </c>
      <c r="AN535" s="645">
        <f t="shared" si="642"/>
        <v>0</v>
      </c>
      <c r="AP535" s="250">
        <f t="shared" si="643"/>
        <v>0</v>
      </c>
      <c r="AW535" s="250">
        <f t="shared" si="644"/>
        <v>0</v>
      </c>
      <c r="AX535" s="199"/>
      <c r="BA535" s="252">
        <f t="shared" si="646"/>
        <v>0</v>
      </c>
      <c r="BB535" s="284"/>
      <c r="BD535" s="270"/>
      <c r="BF535" s="251"/>
      <c r="BG535" s="204"/>
      <c r="BH535" s="636"/>
      <c r="BI535" s="199">
        <f t="shared" si="647"/>
        <v>0</v>
      </c>
      <c r="BJ535" s="199">
        <f t="shared" si="648"/>
        <v>0</v>
      </c>
      <c r="BK535" s="199">
        <f t="shared" si="655"/>
        <v>0</v>
      </c>
      <c r="BL535" s="251">
        <f t="shared" si="649"/>
        <v>0</v>
      </c>
      <c r="BN535" s="251">
        <f t="shared" si="650"/>
        <v>0</v>
      </c>
      <c r="BT535" s="199"/>
      <c r="BU535" s="199"/>
      <c r="BV535" s="596"/>
      <c r="BW535" s="278"/>
      <c r="BX535" s="275"/>
      <c r="BY535" s="275"/>
      <c r="CA535" s="199">
        <f>'Detailed Budget'!$AD$96</f>
        <v>71050111380.677719</v>
      </c>
      <c r="CB535" s="275">
        <f t="shared" si="651"/>
        <v>0</v>
      </c>
      <c r="CE535" s="199"/>
      <c r="CF535" s="275"/>
      <c r="CG535" s="199"/>
      <c r="CH535" s="275"/>
      <c r="CI535" s="275"/>
      <c r="CJ535" s="275"/>
      <c r="CK535" s="275"/>
      <c r="CL535" s="275"/>
      <c r="CM535" s="278">
        <f>'Detailed Budget'!$AD$189</f>
        <v>77498869683.252869</v>
      </c>
      <c r="CN535" s="275">
        <f t="shared" si="652"/>
        <v>0</v>
      </c>
      <c r="CO535" s="140">
        <f>'Detailed Budget'!$AD$191</f>
        <v>2684962805.4134097</v>
      </c>
      <c r="CP535" s="616">
        <f t="shared" si="653"/>
        <v>0</v>
      </c>
      <c r="CQ535" s="616">
        <f t="shared" si="654"/>
        <v>0</v>
      </c>
      <c r="CR535" s="199"/>
      <c r="CS535" s="275"/>
      <c r="CW535" s="278"/>
      <c r="DH535" s="140">
        <f>'Detailed Budget'!$AD$163</f>
        <v>4928560000</v>
      </c>
      <c r="DI535" s="616">
        <f t="shared" si="637"/>
        <v>0</v>
      </c>
    </row>
    <row r="536" spans="1:113" s="213" customFormat="1">
      <c r="A536" s="206">
        <v>4.3</v>
      </c>
      <c r="B536" s="207" t="s">
        <v>1173</v>
      </c>
      <c r="C536" s="208">
        <f>COUNTA(C538:C550)</f>
        <v>13</v>
      </c>
      <c r="D536" s="208">
        <f t="shared" ref="D536:T536" si="664">COUNTA(D538:D550)</f>
        <v>0</v>
      </c>
      <c r="E536" s="208">
        <f t="shared" si="664"/>
        <v>0</v>
      </c>
      <c r="F536" s="208">
        <f t="shared" si="664"/>
        <v>0</v>
      </c>
      <c r="G536" s="208">
        <f t="shared" si="664"/>
        <v>13</v>
      </c>
      <c r="H536" s="208">
        <f t="shared" si="664"/>
        <v>13</v>
      </c>
      <c r="I536" s="208">
        <f t="shared" si="664"/>
        <v>13</v>
      </c>
      <c r="J536" s="208">
        <f t="shared" si="664"/>
        <v>0</v>
      </c>
      <c r="K536" s="208">
        <f t="shared" si="664"/>
        <v>13</v>
      </c>
      <c r="L536" s="208">
        <f t="shared" si="664"/>
        <v>0</v>
      </c>
      <c r="M536" s="208">
        <f t="shared" si="664"/>
        <v>0</v>
      </c>
      <c r="N536" s="208">
        <f t="shared" si="664"/>
        <v>0</v>
      </c>
      <c r="O536" s="208">
        <f t="shared" si="664"/>
        <v>0</v>
      </c>
      <c r="P536" s="208">
        <f t="shared" si="664"/>
        <v>0</v>
      </c>
      <c r="Q536" s="208">
        <f t="shared" si="664"/>
        <v>0</v>
      </c>
      <c r="R536" s="208">
        <f t="shared" si="664"/>
        <v>13</v>
      </c>
      <c r="S536" s="208">
        <f t="shared" si="664"/>
        <v>0</v>
      </c>
      <c r="T536" s="208">
        <f t="shared" si="664"/>
        <v>0</v>
      </c>
      <c r="U536" s="209">
        <f>SUM(C536:T536)</f>
        <v>78</v>
      </c>
      <c r="V536" s="866"/>
      <c r="W536" s="210">
        <f>SUM(W538:W550)</f>
        <v>2176947</v>
      </c>
      <c r="X536" s="211">
        <v>2.82</v>
      </c>
      <c r="Y536" s="212">
        <f t="shared" si="621"/>
        <v>1.0282</v>
      </c>
      <c r="Z536" s="210">
        <v>19</v>
      </c>
      <c r="AA536" s="212">
        <f t="shared" si="622"/>
        <v>1.6961895806156848</v>
      </c>
      <c r="AB536" s="210">
        <f t="shared" si="659"/>
        <v>3692514.818952573</v>
      </c>
      <c r="AC536" s="213">
        <v>14.9</v>
      </c>
      <c r="AD536" s="210">
        <f t="shared" si="660"/>
        <v>550184.70802393334</v>
      </c>
      <c r="AE536" s="210">
        <f t="shared" si="623"/>
        <v>522675.47262273665</v>
      </c>
      <c r="AF536" s="210">
        <f>SUM(AF538:AF550)</f>
        <v>0</v>
      </c>
      <c r="AG536" s="614">
        <f t="shared" si="656"/>
        <v>2.4166219265756166E-2</v>
      </c>
      <c r="AH536" s="210">
        <f>SUM(AH538:AH550)</f>
        <v>184625.74094762863</v>
      </c>
      <c r="AI536" s="252">
        <f t="shared" si="639"/>
        <v>1.4302676415891778E-2</v>
      </c>
      <c r="AJ536" s="210">
        <f>SUM(AJ538:AJ550)</f>
        <v>734810.44897156209</v>
      </c>
      <c r="AK536" s="199">
        <f t="shared" si="662"/>
        <v>147700.59275810292</v>
      </c>
      <c r="AL536" s="199">
        <f t="shared" si="663"/>
        <v>147700.59275810292</v>
      </c>
      <c r="AM536" s="199">
        <f t="shared" si="641"/>
        <v>295401.18551620585</v>
      </c>
      <c r="AN536" s="645">
        <f t="shared" si="642"/>
        <v>1.4302676415891781E-2</v>
      </c>
      <c r="AO536" s="210">
        <f>SUM(AO538:AO550)</f>
        <v>171</v>
      </c>
      <c r="AP536" s="250">
        <f t="shared" si="643"/>
        <v>1.9429610271560049E-2</v>
      </c>
      <c r="AQ536" s="210">
        <f>SUM(AQ538:AQ550)</f>
        <v>171</v>
      </c>
      <c r="AR536" s="210"/>
      <c r="AS536" s="210"/>
      <c r="AT536" s="210"/>
      <c r="AU536" s="199"/>
      <c r="AV536" s="199"/>
      <c r="AW536" s="250">
        <f t="shared" si="644"/>
        <v>0</v>
      </c>
      <c r="AX536" s="199"/>
      <c r="AY536" s="210">
        <v>203632</v>
      </c>
      <c r="AZ536" s="210">
        <f>SUM(AZ538:AZ550)</f>
        <v>203632.124419887</v>
      </c>
      <c r="BA536" s="252">
        <f t="shared" si="646"/>
        <v>1.6006806411702351E-2</v>
      </c>
      <c r="BB536" s="284"/>
      <c r="BC536" s="210">
        <f>AD536*BB536*0.18</f>
        <v>0</v>
      </c>
      <c r="BD536" s="652">
        <f t="shared" si="574"/>
        <v>0</v>
      </c>
      <c r="BE536" s="210">
        <f>AD536*BB536*0.77</f>
        <v>0</v>
      </c>
      <c r="BF536" s="653">
        <f t="shared" si="575"/>
        <v>0</v>
      </c>
      <c r="BG536" s="213">
        <v>0</v>
      </c>
      <c r="BH536"/>
      <c r="BI536" s="199">
        <f t="shared" si="647"/>
        <v>1129909.5345994872</v>
      </c>
      <c r="BJ536" s="199">
        <f t="shared" si="648"/>
        <v>2259819.0691989744</v>
      </c>
      <c r="BK536" s="199">
        <f t="shared" si="655"/>
        <v>3389728.6037984616</v>
      </c>
      <c r="BL536" s="251">
        <f t="shared" si="649"/>
        <v>1.4302676415891778E-2</v>
      </c>
      <c r="BM536" s="210">
        <v>293942</v>
      </c>
      <c r="BN536" s="251">
        <f t="shared" si="650"/>
        <v>1.2693329703648998E-2</v>
      </c>
      <c r="BT536" s="210">
        <f>'Detailed Budget'!$AD$12</f>
        <v>194045122715</v>
      </c>
      <c r="BU536" s="210">
        <f>'Detailed Budget'!$AD$24</f>
        <v>194045122715</v>
      </c>
      <c r="BV536" s="596">
        <f>AV536/34743979</f>
        <v>0</v>
      </c>
      <c r="BW536" s="278"/>
      <c r="BX536" s="275">
        <f t="shared" si="619"/>
        <v>0</v>
      </c>
      <c r="BY536" s="275">
        <f t="shared" si="620"/>
        <v>0</v>
      </c>
      <c r="CA536" s="210">
        <f>'Detailed Budget'!$AD$96</f>
        <v>71050111380.677719</v>
      </c>
      <c r="CB536" s="613">
        <f t="shared" si="651"/>
        <v>1137285378.4003983</v>
      </c>
      <c r="CE536" s="210">
        <f>'Detailed Budget'!$AD$175</f>
        <v>4330586076.5988197</v>
      </c>
      <c r="CF536" s="613">
        <f>SUM(CF538:CF550)</f>
        <v>0</v>
      </c>
      <c r="CG536" s="632">
        <f>'Detailed Budget'!$AD$176</f>
        <v>20662817754.37001</v>
      </c>
      <c r="CH536" s="613">
        <f>SUM(CH538:CH550)</f>
        <v>0</v>
      </c>
      <c r="CI536" s="613">
        <f>SUM(CI538:CI550)</f>
        <v>0</v>
      </c>
      <c r="CJ536" s="275">
        <f>'Detailed Budget'!$AD$178</f>
        <v>46025131033.061455</v>
      </c>
      <c r="CK536" s="613">
        <f t="shared" ref="CK536:CL536" si="665">SUM(CK538:CK550)</f>
        <v>0</v>
      </c>
      <c r="CL536" s="613">
        <f t="shared" si="665"/>
        <v>0</v>
      </c>
      <c r="CM536" s="278">
        <f>'Detailed Budget'!$AD$189</f>
        <v>77498869683.252869</v>
      </c>
      <c r="CN536" s="275">
        <f t="shared" si="652"/>
        <v>0</v>
      </c>
      <c r="CO536" s="140">
        <f>'Detailed Budget'!$AD$191</f>
        <v>2684962805.4134097</v>
      </c>
      <c r="CP536" s="616">
        <f t="shared" si="653"/>
        <v>0</v>
      </c>
      <c r="CQ536" s="616">
        <f t="shared" si="654"/>
        <v>0</v>
      </c>
      <c r="CR536" s="210">
        <f>'Detailed Budget'!$AD$195</f>
        <v>18734176418</v>
      </c>
      <c r="CS536" s="275">
        <f>BN536*CR536</f>
        <v>237799078</v>
      </c>
      <c r="CW536" s="278"/>
      <c r="DH536" s="140">
        <f>'Detailed Budget'!$AD$163</f>
        <v>4928560000</v>
      </c>
      <c r="DI536" s="616">
        <f t="shared" si="637"/>
        <v>95760000</v>
      </c>
    </row>
    <row r="537" spans="1:113" s="213" customFormat="1">
      <c r="A537" s="214" t="s">
        <v>2341</v>
      </c>
      <c r="B537" s="215" t="s">
        <v>2318</v>
      </c>
      <c r="C537" s="208"/>
      <c r="D537" s="208"/>
      <c r="E537" s="208"/>
      <c r="F537" s="208"/>
      <c r="G537" s="208"/>
      <c r="H537" s="208"/>
      <c r="I537" s="208"/>
      <c r="J537" s="208"/>
      <c r="K537" s="208"/>
      <c r="L537" s="208"/>
      <c r="M537" s="208"/>
      <c r="N537" s="208"/>
      <c r="O537" s="208"/>
      <c r="P537" s="208"/>
      <c r="Q537" s="208"/>
      <c r="R537" s="208"/>
      <c r="S537" s="208"/>
      <c r="T537" s="208"/>
      <c r="U537" s="209"/>
      <c r="V537" s="866"/>
      <c r="W537" s="210"/>
      <c r="X537" s="211"/>
      <c r="Y537" s="212"/>
      <c r="Z537" s="210"/>
      <c r="AA537" s="212"/>
      <c r="AB537" s="210"/>
      <c r="AD537" s="210"/>
      <c r="AE537" s="199"/>
      <c r="AF537" s="199"/>
      <c r="AG537" s="614">
        <f t="shared" si="656"/>
        <v>0</v>
      </c>
      <c r="AH537" s="210"/>
      <c r="AI537" s="252"/>
      <c r="AJ537" s="199"/>
      <c r="AK537" s="199">
        <f t="shared" si="662"/>
        <v>0</v>
      </c>
      <c r="AL537" s="199">
        <f t="shared" si="663"/>
        <v>0</v>
      </c>
      <c r="AM537" s="199">
        <f t="shared" si="641"/>
        <v>0</v>
      </c>
      <c r="AN537" s="645">
        <f t="shared" si="642"/>
        <v>0</v>
      </c>
      <c r="AO537" s="210"/>
      <c r="AP537" s="250"/>
      <c r="AQ537" s="210"/>
      <c r="AR537" s="210"/>
      <c r="AS537" s="210"/>
      <c r="AT537" s="210"/>
      <c r="AU537" s="199"/>
      <c r="AV537" s="199"/>
      <c r="AW537" s="250">
        <f t="shared" si="644"/>
        <v>0</v>
      </c>
      <c r="AX537" s="199"/>
      <c r="AY537" s="210"/>
      <c r="AZ537" s="199"/>
      <c r="BA537" s="252">
        <f t="shared" si="646"/>
        <v>0</v>
      </c>
      <c r="BB537" s="284"/>
      <c r="BC537" s="199"/>
      <c r="BD537" s="270">
        <f t="shared" si="574"/>
        <v>0</v>
      </c>
      <c r="BE537" s="199"/>
      <c r="BF537" s="251">
        <f t="shared" si="575"/>
        <v>0</v>
      </c>
      <c r="BH537"/>
      <c r="BI537" s="199">
        <f t="shared" si="647"/>
        <v>0</v>
      </c>
      <c r="BJ537" s="199">
        <f t="shared" si="648"/>
        <v>0</v>
      </c>
      <c r="BK537" s="199">
        <f t="shared" si="655"/>
        <v>0</v>
      </c>
      <c r="BL537" s="251">
        <f t="shared" si="649"/>
        <v>0</v>
      </c>
      <c r="BM537" s="210"/>
      <c r="BN537" s="251">
        <f t="shared" si="650"/>
        <v>0</v>
      </c>
      <c r="BT537" s="210"/>
      <c r="BU537" s="210">
        <f>'Detailed Budget'!$AD$24</f>
        <v>194045122715</v>
      </c>
      <c r="BV537" s="596"/>
      <c r="BW537" s="278"/>
      <c r="BX537" s="275"/>
      <c r="BY537" s="275"/>
      <c r="CA537" s="210">
        <f>'Detailed Budget'!$AD$96</f>
        <v>71050111380.677719</v>
      </c>
      <c r="CB537" s="275"/>
      <c r="CE537" s="210"/>
      <c r="CF537" s="275"/>
      <c r="CG537" s="240"/>
      <c r="CH537" s="275"/>
      <c r="CI537" s="275"/>
      <c r="CJ537" s="275"/>
      <c r="CK537" s="275"/>
      <c r="CL537" s="275"/>
      <c r="CM537" s="278">
        <f>'Detailed Budget'!$AD$189</f>
        <v>77498869683.252869</v>
      </c>
      <c r="CN537" s="275">
        <f t="shared" si="652"/>
        <v>0</v>
      </c>
      <c r="CO537" s="140">
        <f>'Detailed Budget'!$AD$191</f>
        <v>2684962805.4134097</v>
      </c>
      <c r="CP537" s="616">
        <f t="shared" si="653"/>
        <v>0</v>
      </c>
      <c r="CQ537" s="616">
        <f t="shared" si="654"/>
        <v>0</v>
      </c>
      <c r="CR537" s="210"/>
      <c r="CS537" s="275"/>
      <c r="CW537" s="278"/>
      <c r="DH537" s="140"/>
      <c r="DI537" s="616"/>
    </row>
    <row r="538" spans="1:113" outlineLevel="1">
      <c r="A538" s="214" t="s">
        <v>1174</v>
      </c>
      <c r="B538" s="215" t="s">
        <v>1175</v>
      </c>
      <c r="C538" s="216" t="s">
        <v>234</v>
      </c>
      <c r="D538" s="217"/>
      <c r="E538" s="216"/>
      <c r="F538" s="216"/>
      <c r="G538" s="216" t="s">
        <v>234</v>
      </c>
      <c r="H538" s="216" t="s">
        <v>234</v>
      </c>
      <c r="I538" s="217" t="s">
        <v>234</v>
      </c>
      <c r="J538" s="217"/>
      <c r="K538" s="216" t="s">
        <v>234</v>
      </c>
      <c r="L538" s="216"/>
      <c r="M538" s="217"/>
      <c r="N538" s="216"/>
      <c r="O538" s="217"/>
      <c r="P538" s="216"/>
      <c r="Q538" s="217"/>
      <c r="R538" s="217" t="s">
        <v>234</v>
      </c>
      <c r="S538" s="217"/>
      <c r="T538" s="217"/>
      <c r="U538" s="218">
        <f t="shared" ref="U538:U550" si="666">COUNTA(C538:T538)</f>
        <v>6</v>
      </c>
      <c r="V538" s="867" t="s">
        <v>235</v>
      </c>
      <c r="W538" s="219">
        <v>149683</v>
      </c>
      <c r="X538" s="220">
        <v>2.82</v>
      </c>
      <c r="Y538" s="221">
        <f t="shared" si="621"/>
        <v>1.0282</v>
      </c>
      <c r="Z538" s="199">
        <v>19</v>
      </c>
      <c r="AA538" s="221">
        <f t="shared" si="622"/>
        <v>1.6961895806156848</v>
      </c>
      <c r="AB538" s="199">
        <f t="shared" si="659"/>
        <v>253890.74499529754</v>
      </c>
      <c r="AC538">
        <v>14.9</v>
      </c>
      <c r="AD538" s="199">
        <f t="shared" si="660"/>
        <v>37829.721004299332</v>
      </c>
      <c r="AE538" s="199">
        <f t="shared" si="623"/>
        <v>35938.234954084364</v>
      </c>
      <c r="AF538" s="199">
        <f t="shared" si="658"/>
        <v>0</v>
      </c>
      <c r="AG538" s="614">
        <f t="shared" si="656"/>
        <v>1.6616262124691968E-3</v>
      </c>
      <c r="AH538" s="199">
        <f>AB538*0.05</f>
        <v>12694.537249764879</v>
      </c>
      <c r="AI538" s="252">
        <f t="shared" si="639"/>
        <v>9.8342656663663814E-4</v>
      </c>
      <c r="AJ538" s="199">
        <f t="shared" si="640"/>
        <v>50524.258254064211</v>
      </c>
      <c r="AK538" s="199">
        <f t="shared" si="662"/>
        <v>10155.629799811903</v>
      </c>
      <c r="AL538" s="199">
        <f t="shared" si="663"/>
        <v>10155.629799811903</v>
      </c>
      <c r="AM538" s="199">
        <f t="shared" si="641"/>
        <v>20311.259599623805</v>
      </c>
      <c r="AN538" s="645">
        <f t="shared" si="642"/>
        <v>9.8342656663663814E-4</v>
      </c>
      <c r="AO538" s="199">
        <v>14</v>
      </c>
      <c r="AP538" s="250">
        <f t="shared" si="643"/>
        <v>1.5907283263265539E-3</v>
      </c>
      <c r="AQ538" s="199">
        <v>14</v>
      </c>
      <c r="AU538" s="199">
        <v>0</v>
      </c>
      <c r="AW538" s="250">
        <f t="shared" si="644"/>
        <v>0</v>
      </c>
      <c r="AX538" s="199">
        <v>1</v>
      </c>
      <c r="AY538" s="199">
        <f t="shared" ref="AY538:AY550" si="667">AJ538/734810*203632</f>
        <v>14001.38233936882</v>
      </c>
      <c r="AZ538" s="199">
        <f t="shared" si="645"/>
        <v>14001.38233936882</v>
      </c>
      <c r="BA538" s="252">
        <f t="shared" si="646"/>
        <v>1.1005995112066771E-3</v>
      </c>
      <c r="BB538" s="284">
        <v>0</v>
      </c>
      <c r="BC538" s="199">
        <f t="shared" ref="BC538:BC550" si="668">AD538*BB538*0.18*4</f>
        <v>0</v>
      </c>
      <c r="BD538" s="270">
        <f t="shared" ref="BD538:BD603" si="669">BC538/11104067</f>
        <v>0</v>
      </c>
      <c r="BE538" s="199">
        <f t="shared" ref="BE538:BE550" si="670">AD538*BB538*0.77*4</f>
        <v>0</v>
      </c>
      <c r="BF538" s="251">
        <f t="shared" ref="BF538:BF603" si="671">BE538/47500730</f>
        <v>0</v>
      </c>
      <c r="BG538" s="204">
        <f t="shared" ref="BG538:BG550" si="672">BC538+BE538</f>
        <v>0</v>
      </c>
      <c r="BH538" s="636">
        <v>1</v>
      </c>
      <c r="BI538" s="199">
        <f t="shared" si="647"/>
        <v>77690.567968561052</v>
      </c>
      <c r="BJ538" s="199">
        <f t="shared" si="648"/>
        <v>155381.1359371221</v>
      </c>
      <c r="BK538" s="199">
        <f t="shared" si="655"/>
        <v>233071.70390568316</v>
      </c>
      <c r="BL538" s="251">
        <f t="shared" si="649"/>
        <v>9.8342656663663814E-4</v>
      </c>
      <c r="BM538" s="199">
        <f t="shared" ref="BM538:BM550" si="673">AH538/184626*293942</f>
        <v>20210.900243033961</v>
      </c>
      <c r="BN538" s="251">
        <f t="shared" si="650"/>
        <v>8.7276952729582616E-4</v>
      </c>
      <c r="BT538" s="199">
        <f>'Detailed Budget'!$AD$12</f>
        <v>194045122715</v>
      </c>
      <c r="BU538" s="199">
        <f>'Detailed Budget'!$AD$24</f>
        <v>194045122715</v>
      </c>
      <c r="BV538" s="596">
        <f t="shared" ref="BV538:BV550" si="674">AV538/34743979</f>
        <v>0</v>
      </c>
      <c r="BW538" s="278"/>
      <c r="BX538" s="275">
        <f t="shared" si="619"/>
        <v>0</v>
      </c>
      <c r="BY538" s="275">
        <f t="shared" si="620"/>
        <v>0</v>
      </c>
      <c r="CA538" s="199">
        <f>'Detailed Budget'!$AD$96</f>
        <v>71050111380.677719</v>
      </c>
      <c r="CB538" s="275">
        <f t="shared" si="651"/>
        <v>78197717.856753856</v>
      </c>
      <c r="CE538" s="199">
        <f>'Detailed Budget'!$AD$175</f>
        <v>4330586076.5988197</v>
      </c>
      <c r="CF538" s="275">
        <f t="shared" ref="CF538:CF550" si="675">BB538*BD538*CE538</f>
        <v>0</v>
      </c>
      <c r="CG538" s="199">
        <f>'Detailed Budget'!$AD$176</f>
        <v>20662817754.37001</v>
      </c>
      <c r="CH538" s="275">
        <f t="shared" ref="CH538:CH550" si="676">BB538*BF538*CG538</f>
        <v>0</v>
      </c>
      <c r="CI538" s="275">
        <f t="shared" si="657"/>
        <v>0</v>
      </c>
      <c r="CJ538" s="275">
        <f>'Detailed Budget'!$AD$178</f>
        <v>46025131033.061455</v>
      </c>
      <c r="CK538" s="275">
        <f t="shared" ref="CK538:CK550" si="677">BB538*AG538*CJ538</f>
        <v>0</v>
      </c>
      <c r="CL538" s="275">
        <f t="shared" si="661"/>
        <v>0</v>
      </c>
      <c r="CM538" s="278">
        <f>'Detailed Budget'!$AD$189</f>
        <v>77498869683.252869</v>
      </c>
      <c r="CN538" s="275">
        <f t="shared" si="652"/>
        <v>76214447.330821618</v>
      </c>
      <c r="CO538" s="140">
        <f>'Detailed Budget'!$AD$191</f>
        <v>2684962805.4134097</v>
      </c>
      <c r="CP538" s="616">
        <f t="shared" si="653"/>
        <v>2640463.7532747854</v>
      </c>
      <c r="CQ538" s="616">
        <f t="shared" si="654"/>
        <v>78854911.084096402</v>
      </c>
      <c r="CR538" s="199">
        <f>'Detailed Budget'!$AD$195</f>
        <v>18734176418</v>
      </c>
      <c r="CS538" s="275">
        <f t="shared" ref="CS538:CS550" si="678">BN538*CR538</f>
        <v>16350618.296614474</v>
      </c>
      <c r="CW538" s="278"/>
      <c r="DH538" s="140">
        <f>'Detailed Budget'!$AD$163</f>
        <v>4928560000</v>
      </c>
      <c r="DI538" s="616">
        <f t="shared" ref="DI538:DI552" si="679">AP538*DH538</f>
        <v>7840000.0000000009</v>
      </c>
    </row>
    <row r="539" spans="1:113" outlineLevel="1">
      <c r="A539" s="214" t="s">
        <v>1176</v>
      </c>
      <c r="B539" s="215" t="s">
        <v>1177</v>
      </c>
      <c r="C539" s="216" t="s">
        <v>234</v>
      </c>
      <c r="D539" s="217"/>
      <c r="E539" s="216"/>
      <c r="F539" s="216"/>
      <c r="G539" s="216" t="s">
        <v>234</v>
      </c>
      <c r="H539" s="216" t="s">
        <v>234</v>
      </c>
      <c r="I539" s="217" t="s">
        <v>234</v>
      </c>
      <c r="J539" s="217"/>
      <c r="K539" s="216" t="s">
        <v>234</v>
      </c>
      <c r="L539" s="216"/>
      <c r="M539" s="217"/>
      <c r="N539" s="216"/>
      <c r="O539" s="217"/>
      <c r="P539" s="216"/>
      <c r="Q539" s="217"/>
      <c r="R539" s="217" t="s">
        <v>234</v>
      </c>
      <c r="S539" s="217"/>
      <c r="T539" s="217"/>
      <c r="U539" s="218">
        <f t="shared" si="666"/>
        <v>6</v>
      </c>
      <c r="V539" s="867" t="s">
        <v>235</v>
      </c>
      <c r="W539" s="219">
        <v>156649</v>
      </c>
      <c r="X539" s="220">
        <v>2.82</v>
      </c>
      <c r="Y539" s="221">
        <f t="shared" si="621"/>
        <v>1.0282</v>
      </c>
      <c r="Z539" s="199">
        <v>19</v>
      </c>
      <c r="AA539" s="221">
        <f t="shared" si="622"/>
        <v>1.6961895806156848</v>
      </c>
      <c r="AB539" s="199">
        <f t="shared" si="659"/>
        <v>265706.40161386639</v>
      </c>
      <c r="AC539">
        <v>14.9</v>
      </c>
      <c r="AD539" s="199">
        <f t="shared" si="660"/>
        <v>39590.253840466088</v>
      </c>
      <c r="AE539" s="199">
        <f t="shared" si="623"/>
        <v>37610.741148442779</v>
      </c>
      <c r="AF539" s="199">
        <f t="shared" si="658"/>
        <v>0</v>
      </c>
      <c r="AG539" s="614">
        <f t="shared" si="656"/>
        <v>1.7389555564565591E-3</v>
      </c>
      <c r="AH539" s="199">
        <f t="shared" ref="AH539:AH550" si="680">AB539*0.05</f>
        <v>13285.32008069332</v>
      </c>
      <c r="AI539" s="252">
        <f t="shared" si="639"/>
        <v>1.0291936174252434E-3</v>
      </c>
      <c r="AJ539" s="199">
        <f t="shared" si="640"/>
        <v>52875.573921159405</v>
      </c>
      <c r="AK539" s="199">
        <f t="shared" si="662"/>
        <v>10628.256064554656</v>
      </c>
      <c r="AL539" s="199">
        <f t="shared" si="663"/>
        <v>10628.256064554656</v>
      </c>
      <c r="AM539" s="199">
        <f t="shared" si="641"/>
        <v>21256.512129109313</v>
      </c>
      <c r="AN539" s="645">
        <f t="shared" si="642"/>
        <v>1.0291936174252436E-3</v>
      </c>
      <c r="AO539" s="199">
        <v>12</v>
      </c>
      <c r="AP539" s="250">
        <f t="shared" si="643"/>
        <v>1.3634814225656176E-3</v>
      </c>
      <c r="AQ539" s="199">
        <v>12</v>
      </c>
      <c r="AU539" s="199">
        <v>0</v>
      </c>
      <c r="AW539" s="250">
        <f t="shared" si="644"/>
        <v>0</v>
      </c>
      <c r="AX539" s="199">
        <v>1</v>
      </c>
      <c r="AY539" s="199">
        <f t="shared" si="667"/>
        <v>14652.983585843322</v>
      </c>
      <c r="AZ539" s="199">
        <f t="shared" si="645"/>
        <v>14652.983585843322</v>
      </c>
      <c r="BA539" s="252">
        <f t="shared" si="646"/>
        <v>1.151819597623075E-3</v>
      </c>
      <c r="BB539" s="284">
        <v>0</v>
      </c>
      <c r="BC539" s="199">
        <f t="shared" si="668"/>
        <v>0</v>
      </c>
      <c r="BD539" s="270">
        <f t="shared" si="669"/>
        <v>0</v>
      </c>
      <c r="BE539" s="199">
        <f t="shared" si="670"/>
        <v>0</v>
      </c>
      <c r="BF539" s="251">
        <f t="shared" si="671"/>
        <v>0</v>
      </c>
      <c r="BG539" s="204">
        <f t="shared" si="672"/>
        <v>0</v>
      </c>
      <c r="BH539" s="636">
        <v>1</v>
      </c>
      <c r="BI539" s="199">
        <f t="shared" si="647"/>
        <v>81306.158893843109</v>
      </c>
      <c r="BJ539" s="199">
        <f t="shared" si="648"/>
        <v>162612.31778768622</v>
      </c>
      <c r="BK539" s="199">
        <f t="shared" si="655"/>
        <v>243918.47668152931</v>
      </c>
      <c r="BL539" s="251">
        <f t="shared" si="649"/>
        <v>1.0291936174252434E-3</v>
      </c>
      <c r="BM539" s="199">
        <f t="shared" si="673"/>
        <v>21151.482213551484</v>
      </c>
      <c r="BN539" s="251">
        <f t="shared" si="650"/>
        <v>9.1338678194159576E-4</v>
      </c>
      <c r="BT539" s="199">
        <f>'Detailed Budget'!$AD$12</f>
        <v>194045122715</v>
      </c>
      <c r="BU539" s="199">
        <f>'Detailed Budget'!$AD$24</f>
        <v>194045122715</v>
      </c>
      <c r="BV539" s="596">
        <f t="shared" si="674"/>
        <v>0</v>
      </c>
      <c r="BW539" s="278"/>
      <c r="BX539" s="275">
        <f t="shared" si="619"/>
        <v>0</v>
      </c>
      <c r="BY539" s="275">
        <f t="shared" si="620"/>
        <v>0</v>
      </c>
      <c r="CA539" s="199">
        <f>'Detailed Budget'!$AD$96</f>
        <v>71050111380.677719</v>
      </c>
      <c r="CB539" s="275">
        <f t="shared" si="651"/>
        <v>81836910.701566875</v>
      </c>
      <c r="CE539" s="199">
        <f>'Detailed Budget'!$AD$175</f>
        <v>4330586076.5988197</v>
      </c>
      <c r="CF539" s="275">
        <f t="shared" si="675"/>
        <v>0</v>
      </c>
      <c r="CG539" s="199">
        <f>'Detailed Budget'!$AD$176</f>
        <v>20662817754.37001</v>
      </c>
      <c r="CH539" s="275">
        <f t="shared" si="676"/>
        <v>0</v>
      </c>
      <c r="CI539" s="275">
        <f t="shared" si="657"/>
        <v>0</v>
      </c>
      <c r="CJ539" s="275">
        <f>'Detailed Budget'!$AD$178</f>
        <v>46025131033.061455</v>
      </c>
      <c r="CK539" s="275">
        <f t="shared" si="677"/>
        <v>0</v>
      </c>
      <c r="CL539" s="275">
        <f t="shared" si="661"/>
        <v>0</v>
      </c>
      <c r="CM539" s="278">
        <f>'Detailed Budget'!$AD$189</f>
        <v>77498869683.252869</v>
      </c>
      <c r="CN539" s="275">
        <f t="shared" si="652"/>
        <v>79761342.035674542</v>
      </c>
      <c r="CO539" s="140">
        <f>'Detailed Budget'!$AD$191</f>
        <v>2684962805.4134097</v>
      </c>
      <c r="CP539" s="616">
        <f t="shared" si="653"/>
        <v>2763346.5823556576</v>
      </c>
      <c r="CQ539" s="616">
        <f t="shared" si="654"/>
        <v>82524688.618030205</v>
      </c>
      <c r="CR539" s="199">
        <f>'Detailed Budget'!$AD$195</f>
        <v>18734176418</v>
      </c>
      <c r="CS539" s="275">
        <f t="shared" si="678"/>
        <v>17111549.110763151</v>
      </c>
      <c r="CW539" s="278"/>
      <c r="DH539" s="140">
        <f>'Detailed Budget'!$AD$163</f>
        <v>4928560000</v>
      </c>
      <c r="DI539" s="616">
        <f t="shared" si="679"/>
        <v>6720000</v>
      </c>
    </row>
    <row r="540" spans="1:113" outlineLevel="1">
      <c r="A540" s="214" t="s">
        <v>1178</v>
      </c>
      <c r="B540" s="215" t="s">
        <v>1179</v>
      </c>
      <c r="C540" s="216" t="s">
        <v>234</v>
      </c>
      <c r="D540" s="217"/>
      <c r="E540" s="216"/>
      <c r="F540" s="216"/>
      <c r="G540" s="216" t="s">
        <v>234</v>
      </c>
      <c r="H540" s="216" t="s">
        <v>234</v>
      </c>
      <c r="I540" s="217" t="s">
        <v>234</v>
      </c>
      <c r="J540" s="217"/>
      <c r="K540" s="216" t="s">
        <v>234</v>
      </c>
      <c r="L540" s="216"/>
      <c r="M540" s="217"/>
      <c r="N540" s="216"/>
      <c r="O540" s="217"/>
      <c r="P540" s="216"/>
      <c r="Q540" s="217"/>
      <c r="R540" s="217" t="s">
        <v>234</v>
      </c>
      <c r="S540" s="217"/>
      <c r="T540" s="217"/>
      <c r="U540" s="218">
        <f t="shared" si="666"/>
        <v>6</v>
      </c>
      <c r="V540" s="867" t="s">
        <v>235</v>
      </c>
      <c r="W540" s="219">
        <v>157542</v>
      </c>
      <c r="X540" s="220">
        <v>2.82</v>
      </c>
      <c r="Y540" s="221">
        <f t="shared" si="621"/>
        <v>1.0282</v>
      </c>
      <c r="Z540" s="199">
        <v>19</v>
      </c>
      <c r="AA540" s="221">
        <f t="shared" si="622"/>
        <v>1.6961895806156848</v>
      </c>
      <c r="AB540" s="199">
        <f t="shared" si="659"/>
        <v>267221.09890935622</v>
      </c>
      <c r="AC540">
        <v>14.9</v>
      </c>
      <c r="AD540" s="199">
        <f t="shared" si="660"/>
        <v>39815.943737494083</v>
      </c>
      <c r="AE540" s="199">
        <f t="shared" si="623"/>
        <v>37825.146550619378</v>
      </c>
      <c r="AF540" s="199">
        <f t="shared" si="658"/>
        <v>0</v>
      </c>
      <c r="AG540" s="614">
        <f t="shared" si="656"/>
        <v>1.7488687209958531E-3</v>
      </c>
      <c r="AH540" s="199">
        <f t="shared" si="680"/>
        <v>13361.054945467811</v>
      </c>
      <c r="AI540" s="252">
        <f t="shared" si="639"/>
        <v>1.035060682649795E-3</v>
      </c>
      <c r="AJ540" s="199">
        <f t="shared" si="640"/>
        <v>53176.998682961894</v>
      </c>
      <c r="AK540" s="199">
        <f t="shared" si="662"/>
        <v>10688.843956374249</v>
      </c>
      <c r="AL540" s="199">
        <f t="shared" si="663"/>
        <v>10688.843956374249</v>
      </c>
      <c r="AM540" s="199">
        <f t="shared" si="641"/>
        <v>21377.687912748497</v>
      </c>
      <c r="AN540" s="645">
        <f t="shared" si="642"/>
        <v>1.035060682649795E-3</v>
      </c>
      <c r="AO540" s="199">
        <v>11</v>
      </c>
      <c r="AP540" s="250">
        <f t="shared" si="643"/>
        <v>1.2498579706851495E-3</v>
      </c>
      <c r="AQ540" s="199">
        <v>11</v>
      </c>
      <c r="AU540" s="199">
        <v>0</v>
      </c>
      <c r="AW540" s="250">
        <f t="shared" si="644"/>
        <v>0</v>
      </c>
      <c r="AX540" s="199">
        <v>1</v>
      </c>
      <c r="AY540" s="199">
        <f t="shared" si="667"/>
        <v>14736.515011783857</v>
      </c>
      <c r="AZ540" s="199">
        <f t="shared" si="645"/>
        <v>14736.515011783857</v>
      </c>
      <c r="BA540" s="252">
        <f t="shared" si="646"/>
        <v>1.1583857097634492E-3</v>
      </c>
      <c r="BB540" s="284">
        <v>0</v>
      </c>
      <c r="BC540" s="199">
        <f t="shared" si="668"/>
        <v>0</v>
      </c>
      <c r="BD540" s="270">
        <f t="shared" si="669"/>
        <v>0</v>
      </c>
      <c r="BE540" s="199">
        <f t="shared" si="670"/>
        <v>0</v>
      </c>
      <c r="BF540" s="251">
        <f t="shared" si="671"/>
        <v>0</v>
      </c>
      <c r="BG540" s="204">
        <f t="shared" si="672"/>
        <v>0</v>
      </c>
      <c r="BH540" s="636">
        <v>1</v>
      </c>
      <c r="BI540" s="199">
        <f t="shared" si="647"/>
        <v>81769.656266263002</v>
      </c>
      <c r="BJ540" s="199">
        <f t="shared" si="648"/>
        <v>163539.312532526</v>
      </c>
      <c r="BK540" s="199">
        <f t="shared" si="655"/>
        <v>245308.96879878902</v>
      </c>
      <c r="BL540" s="251">
        <f t="shared" si="649"/>
        <v>1.035060682649795E-3</v>
      </c>
      <c r="BM540" s="199">
        <f t="shared" si="673"/>
        <v>21272.059259154721</v>
      </c>
      <c r="BN540" s="251">
        <f t="shared" si="650"/>
        <v>9.1859367375880395E-4</v>
      </c>
      <c r="BT540" s="199">
        <f>'Detailed Budget'!$AD$12</f>
        <v>194045122715</v>
      </c>
      <c r="BU540" s="199">
        <f>'Detailed Budget'!$AD$24</f>
        <v>194045122715</v>
      </c>
      <c r="BV540" s="596">
        <f t="shared" si="674"/>
        <v>0</v>
      </c>
      <c r="BW540" s="278"/>
      <c r="BX540" s="275">
        <f t="shared" si="619"/>
        <v>0</v>
      </c>
      <c r="BY540" s="275">
        <f t="shared" si="620"/>
        <v>0</v>
      </c>
      <c r="CA540" s="199">
        <f>'Detailed Budget'!$AD$96</f>
        <v>71050111380.677719</v>
      </c>
      <c r="CB540" s="275">
        <f t="shared" si="651"/>
        <v>82303433.700478479</v>
      </c>
      <c r="CE540" s="199">
        <f>'Detailed Budget'!$AD$175</f>
        <v>4330586076.5988197</v>
      </c>
      <c r="CF540" s="275">
        <f t="shared" si="675"/>
        <v>0</v>
      </c>
      <c r="CG540" s="199">
        <f>'Detailed Budget'!$AD$176</f>
        <v>20662817754.37001</v>
      </c>
      <c r="CH540" s="275">
        <f t="shared" si="676"/>
        <v>0</v>
      </c>
      <c r="CI540" s="275">
        <f t="shared" si="657"/>
        <v>0</v>
      </c>
      <c r="CJ540" s="275">
        <f>'Detailed Budget'!$AD$178</f>
        <v>46025131033.061455</v>
      </c>
      <c r="CK540" s="275">
        <f t="shared" si="677"/>
        <v>0</v>
      </c>
      <c r="CL540" s="275">
        <f t="shared" si="661"/>
        <v>0</v>
      </c>
      <c r="CM540" s="278">
        <f>'Detailed Budget'!$AD$189</f>
        <v>77498869683.252869</v>
      </c>
      <c r="CN540" s="275">
        <f t="shared" si="652"/>
        <v>80216032.958935216</v>
      </c>
      <c r="CO540" s="140">
        <f>'Detailed Budget'!$AD$191</f>
        <v>2684962805.4134097</v>
      </c>
      <c r="CP540" s="616">
        <f t="shared" si="653"/>
        <v>2779099.4342605122</v>
      </c>
      <c r="CQ540" s="616">
        <f t="shared" si="654"/>
        <v>82995132.393195733</v>
      </c>
      <c r="CR540" s="199">
        <f>'Detailed Budget'!$AD$195</f>
        <v>18734176418</v>
      </c>
      <c r="CS540" s="275">
        <f t="shared" si="678"/>
        <v>17209095.94065617</v>
      </c>
      <c r="CW540" s="278"/>
      <c r="DH540" s="140">
        <f>'Detailed Budget'!$AD$163</f>
        <v>4928560000</v>
      </c>
      <c r="DI540" s="616">
        <f t="shared" si="679"/>
        <v>6160000</v>
      </c>
    </row>
    <row r="541" spans="1:113" outlineLevel="1">
      <c r="A541" s="214" t="s">
        <v>1180</v>
      </c>
      <c r="B541" s="215" t="s">
        <v>1173</v>
      </c>
      <c r="C541" s="216" t="s">
        <v>234</v>
      </c>
      <c r="D541" s="217"/>
      <c r="E541" s="216"/>
      <c r="F541" s="216"/>
      <c r="G541" s="216" t="s">
        <v>234</v>
      </c>
      <c r="H541" s="216" t="s">
        <v>234</v>
      </c>
      <c r="I541" s="217" t="s">
        <v>234</v>
      </c>
      <c r="J541" s="217"/>
      <c r="K541" s="216" t="s">
        <v>234</v>
      </c>
      <c r="L541" s="216"/>
      <c r="M541" s="217"/>
      <c r="N541" s="216"/>
      <c r="O541" s="217"/>
      <c r="P541" s="216"/>
      <c r="Q541" s="217"/>
      <c r="R541" s="217" t="s">
        <v>234</v>
      </c>
      <c r="S541" s="217"/>
      <c r="T541" s="217"/>
      <c r="U541" s="218">
        <f t="shared" si="666"/>
        <v>6</v>
      </c>
      <c r="V541" s="867" t="s">
        <v>235</v>
      </c>
      <c r="W541" s="219">
        <v>127226</v>
      </c>
      <c r="X541" s="220">
        <v>2.82</v>
      </c>
      <c r="Y541" s="221">
        <f t="shared" si="621"/>
        <v>1.0282</v>
      </c>
      <c r="Z541" s="199">
        <v>19</v>
      </c>
      <c r="AA541" s="221">
        <f t="shared" si="622"/>
        <v>1.6961895806156848</v>
      </c>
      <c r="AB541" s="199">
        <f t="shared" si="659"/>
        <v>215799.41558341112</v>
      </c>
      <c r="AC541">
        <v>14.9</v>
      </c>
      <c r="AD541" s="199">
        <f t="shared" si="660"/>
        <v>32154.112921928256</v>
      </c>
      <c r="AE541" s="199">
        <f t="shared" si="623"/>
        <v>30546.40727583184</v>
      </c>
      <c r="AF541" s="199">
        <f t="shared" si="658"/>
        <v>0</v>
      </c>
      <c r="AG541" s="614">
        <f t="shared" si="656"/>
        <v>1.4123317711938299E-3</v>
      </c>
      <c r="AH541" s="199">
        <f t="shared" si="680"/>
        <v>10789.970779170557</v>
      </c>
      <c r="AI541" s="252">
        <f t="shared" si="639"/>
        <v>8.3588268785976321E-4</v>
      </c>
      <c r="AJ541" s="199">
        <f t="shared" si="640"/>
        <v>42944.083701098811</v>
      </c>
      <c r="AK541" s="199">
        <f t="shared" si="662"/>
        <v>8631.9766233364444</v>
      </c>
      <c r="AL541" s="199">
        <f t="shared" si="663"/>
        <v>8631.9766233364444</v>
      </c>
      <c r="AM541" s="199">
        <f t="shared" si="641"/>
        <v>17263.953246672889</v>
      </c>
      <c r="AN541" s="645">
        <f t="shared" si="642"/>
        <v>8.358826878597631E-4</v>
      </c>
      <c r="AO541" s="199">
        <v>13</v>
      </c>
      <c r="AP541" s="250">
        <f t="shared" si="643"/>
        <v>1.4771048744460858E-3</v>
      </c>
      <c r="AQ541" s="199">
        <v>13</v>
      </c>
      <c r="AU541" s="199">
        <v>0</v>
      </c>
      <c r="AW541" s="250">
        <f t="shared" si="644"/>
        <v>0</v>
      </c>
      <c r="AX541" s="199">
        <v>1</v>
      </c>
      <c r="AY541" s="199">
        <f t="shared" si="667"/>
        <v>11900.749380414192</v>
      </c>
      <c r="AZ541" s="199">
        <f t="shared" si="645"/>
        <v>11900.749380414192</v>
      </c>
      <c r="BA541" s="252">
        <f t="shared" si="646"/>
        <v>9.3547612897109701E-4</v>
      </c>
      <c r="BB541" s="284">
        <v>0</v>
      </c>
      <c r="BC541" s="199">
        <f t="shared" si="668"/>
        <v>0</v>
      </c>
      <c r="BD541" s="270">
        <f t="shared" si="669"/>
        <v>0</v>
      </c>
      <c r="BE541" s="199">
        <f t="shared" si="670"/>
        <v>0</v>
      </c>
      <c r="BF541" s="251">
        <f t="shared" si="671"/>
        <v>0</v>
      </c>
      <c r="BG541" s="204">
        <f t="shared" si="672"/>
        <v>0</v>
      </c>
      <c r="BH541" s="636">
        <v>1</v>
      </c>
      <c r="BI541" s="199">
        <f t="shared" si="647"/>
        <v>66034.621168523794</v>
      </c>
      <c r="BJ541" s="199">
        <f t="shared" si="648"/>
        <v>132069.24233704759</v>
      </c>
      <c r="BK541" s="199">
        <f t="shared" si="655"/>
        <v>198103.86350557138</v>
      </c>
      <c r="BL541" s="251">
        <f t="shared" si="649"/>
        <v>8.35882687859763E-4</v>
      </c>
      <c r="BM541" s="199">
        <f t="shared" si="673"/>
        <v>17178.650844252443</v>
      </c>
      <c r="BN541" s="251">
        <f t="shared" si="650"/>
        <v>7.4182756812556387E-4</v>
      </c>
      <c r="BT541" s="199">
        <f>'Detailed Budget'!$AD$12</f>
        <v>194045122715</v>
      </c>
      <c r="BU541" s="199">
        <f>'Detailed Budget'!$AD$24</f>
        <v>194045122715</v>
      </c>
      <c r="BV541" s="596">
        <f t="shared" si="674"/>
        <v>0</v>
      </c>
      <c r="BW541" s="278"/>
      <c r="BX541" s="275">
        <f t="shared" si="619"/>
        <v>0</v>
      </c>
      <c r="BY541" s="275">
        <f t="shared" si="620"/>
        <v>0</v>
      </c>
      <c r="CA541" s="199">
        <f>'Detailed Budget'!$AD$96</f>
        <v>71050111380.677719</v>
      </c>
      <c r="CB541" s="275">
        <f t="shared" si="651"/>
        <v>66465683.157361679</v>
      </c>
      <c r="CE541" s="199">
        <f>'Detailed Budget'!$AD$175</f>
        <v>4330586076.5988197</v>
      </c>
      <c r="CF541" s="275">
        <f t="shared" si="675"/>
        <v>0</v>
      </c>
      <c r="CG541" s="199">
        <f>'Detailed Budget'!$AD$176</f>
        <v>20662817754.37001</v>
      </c>
      <c r="CH541" s="275">
        <f t="shared" si="676"/>
        <v>0</v>
      </c>
      <c r="CI541" s="275">
        <f t="shared" si="657"/>
        <v>0</v>
      </c>
      <c r="CJ541" s="275">
        <f>'Detailed Budget'!$AD$178</f>
        <v>46025131033.061455</v>
      </c>
      <c r="CK541" s="275">
        <f t="shared" si="677"/>
        <v>0</v>
      </c>
      <c r="CL541" s="275">
        <f t="shared" si="661"/>
        <v>0</v>
      </c>
      <c r="CM541" s="278">
        <f>'Detailed Budget'!$AD$189</f>
        <v>77498869683.252869</v>
      </c>
      <c r="CN541" s="275">
        <f t="shared" si="652"/>
        <v>64779963.496930905</v>
      </c>
      <c r="CO541" s="140">
        <f>'Detailed Budget'!$AD$191</f>
        <v>2684962805.4134097</v>
      </c>
      <c r="CP541" s="616">
        <f t="shared" si="653"/>
        <v>2244313.9265924511</v>
      </c>
      <c r="CQ541" s="616">
        <f t="shared" si="654"/>
        <v>67024277.423523359</v>
      </c>
      <c r="CR541" s="199">
        <f>'Detailed Budget'!$AD$195</f>
        <v>18734176418</v>
      </c>
      <c r="CS541" s="275">
        <f t="shared" si="678"/>
        <v>13897528.533000227</v>
      </c>
      <c r="CW541" s="278"/>
      <c r="DH541" s="140">
        <f>'Detailed Budget'!$AD$163</f>
        <v>4928560000</v>
      </c>
      <c r="DI541" s="616">
        <f t="shared" si="679"/>
        <v>7280000.0000000009</v>
      </c>
    </row>
    <row r="542" spans="1:113" outlineLevel="1">
      <c r="A542" s="214" t="s">
        <v>1181</v>
      </c>
      <c r="B542" s="215" t="s">
        <v>1182</v>
      </c>
      <c r="C542" s="216" t="s">
        <v>234</v>
      </c>
      <c r="D542" s="217"/>
      <c r="E542" s="216"/>
      <c r="F542" s="216"/>
      <c r="G542" s="216" t="s">
        <v>234</v>
      </c>
      <c r="H542" s="216" t="s">
        <v>234</v>
      </c>
      <c r="I542" s="217" t="s">
        <v>234</v>
      </c>
      <c r="J542" s="217"/>
      <c r="K542" s="216" t="s">
        <v>234</v>
      </c>
      <c r="L542" s="216"/>
      <c r="M542" s="217"/>
      <c r="N542" s="216"/>
      <c r="O542" s="217"/>
      <c r="P542" s="216"/>
      <c r="Q542" s="217"/>
      <c r="R542" s="217" t="s">
        <v>234</v>
      </c>
      <c r="S542" s="217"/>
      <c r="T542" s="217"/>
      <c r="U542" s="218">
        <f t="shared" si="666"/>
        <v>6</v>
      </c>
      <c r="V542" s="867" t="s">
        <v>235</v>
      </c>
      <c r="W542" s="219">
        <v>146149</v>
      </c>
      <c r="X542" s="220">
        <v>2.82</v>
      </c>
      <c r="Y542" s="221">
        <f t="shared" si="621"/>
        <v>1.0282</v>
      </c>
      <c r="Z542" s="199">
        <v>19</v>
      </c>
      <c r="AA542" s="221">
        <f t="shared" si="622"/>
        <v>1.6961895806156848</v>
      </c>
      <c r="AB542" s="199">
        <f t="shared" si="659"/>
        <v>247896.41101740173</v>
      </c>
      <c r="AC542">
        <v>14.9</v>
      </c>
      <c r="AD542" s="199">
        <f t="shared" si="660"/>
        <v>36936.565241592856</v>
      </c>
      <c r="AE542" s="199">
        <f t="shared" si="623"/>
        <v>35089.736979513211</v>
      </c>
      <c r="AF542" s="199">
        <f t="shared" si="658"/>
        <v>0</v>
      </c>
      <c r="AG542" s="614">
        <f t="shared" si="656"/>
        <v>1.6223953911009309E-3</v>
      </c>
      <c r="AH542" s="199">
        <f t="shared" si="680"/>
        <v>12394.820550870087</v>
      </c>
      <c r="AI542" s="252">
        <f t="shared" si="639"/>
        <v>9.6020796808841372E-4</v>
      </c>
      <c r="AJ542" s="199">
        <f t="shared" si="640"/>
        <v>49331.385792462941</v>
      </c>
      <c r="AK542" s="199">
        <f t="shared" si="662"/>
        <v>9915.8564406960686</v>
      </c>
      <c r="AL542" s="199">
        <f t="shared" si="663"/>
        <v>9915.8564406960686</v>
      </c>
      <c r="AM542" s="199">
        <f t="shared" si="641"/>
        <v>19831.712881392137</v>
      </c>
      <c r="AN542" s="645">
        <f t="shared" si="642"/>
        <v>9.6020796808841372E-4</v>
      </c>
      <c r="AO542" s="199">
        <v>11</v>
      </c>
      <c r="AP542" s="250">
        <f t="shared" si="643"/>
        <v>1.2498579706851495E-3</v>
      </c>
      <c r="AQ542" s="199">
        <v>11</v>
      </c>
      <c r="AU542" s="199">
        <v>0</v>
      </c>
      <c r="AW542" s="250">
        <f t="shared" si="644"/>
        <v>0</v>
      </c>
      <c r="AX542" s="199">
        <v>1</v>
      </c>
      <c r="AY542" s="199">
        <f t="shared" si="667"/>
        <v>13670.811164370129</v>
      </c>
      <c r="AZ542" s="199">
        <f t="shared" si="645"/>
        <v>13670.811164370129</v>
      </c>
      <c r="BA542" s="252">
        <f t="shared" si="646"/>
        <v>1.0746144716724324E-3</v>
      </c>
      <c r="BB542" s="284">
        <v>0</v>
      </c>
      <c r="BC542" s="199">
        <f t="shared" si="668"/>
        <v>0</v>
      </c>
      <c r="BD542" s="270">
        <f t="shared" si="669"/>
        <v>0</v>
      </c>
      <c r="BE542" s="199">
        <f t="shared" si="670"/>
        <v>0</v>
      </c>
      <c r="BF542" s="251">
        <f t="shared" si="671"/>
        <v>0</v>
      </c>
      <c r="BG542" s="204">
        <f t="shared" si="672"/>
        <v>0</v>
      </c>
      <c r="BH542" s="636">
        <v>1</v>
      </c>
      <c r="BI542" s="199">
        <f t="shared" si="647"/>
        <v>75856.301771324914</v>
      </c>
      <c r="BJ542" s="199">
        <f t="shared" si="648"/>
        <v>151712.60354264983</v>
      </c>
      <c r="BK542" s="199">
        <f t="shared" si="655"/>
        <v>227568.90531397474</v>
      </c>
      <c r="BL542" s="251">
        <f t="shared" si="649"/>
        <v>9.602079680884135E-4</v>
      </c>
      <c r="BM542" s="199">
        <f t="shared" si="673"/>
        <v>19733.722998731788</v>
      </c>
      <c r="BN542" s="251">
        <f t="shared" si="650"/>
        <v>8.521635298915554E-4</v>
      </c>
      <c r="BT542" s="199">
        <f>'Detailed Budget'!$AD$12</f>
        <v>194045122715</v>
      </c>
      <c r="BU542" s="199">
        <f>'Detailed Budget'!$AD$24</f>
        <v>194045122715</v>
      </c>
      <c r="BV542" s="596">
        <f t="shared" si="674"/>
        <v>0</v>
      </c>
      <c r="BW542" s="278"/>
      <c r="BX542" s="275">
        <f t="shared" si="619"/>
        <v>0</v>
      </c>
      <c r="BY542" s="275">
        <f t="shared" si="620"/>
        <v>0</v>
      </c>
      <c r="CA542" s="199">
        <f>'Detailed Budget'!$AD$96</f>
        <v>71050111380.677719</v>
      </c>
      <c r="CB542" s="275">
        <f t="shared" si="651"/>
        <v>76351477.903614461</v>
      </c>
      <c r="CE542" s="199">
        <f>'Detailed Budget'!$AD$175</f>
        <v>4330586076.5988197</v>
      </c>
      <c r="CF542" s="275">
        <f t="shared" si="675"/>
        <v>0</v>
      </c>
      <c r="CG542" s="199">
        <f>'Detailed Budget'!$AD$176</f>
        <v>20662817754.37001</v>
      </c>
      <c r="CH542" s="275">
        <f t="shared" si="676"/>
        <v>0</v>
      </c>
      <c r="CI542" s="275">
        <f t="shared" si="657"/>
        <v>0</v>
      </c>
      <c r="CJ542" s="275">
        <f>'Detailed Budget'!$AD$178</f>
        <v>46025131033.061455</v>
      </c>
      <c r="CK542" s="275">
        <f t="shared" si="677"/>
        <v>0</v>
      </c>
      <c r="CL542" s="275">
        <f t="shared" si="661"/>
        <v>0</v>
      </c>
      <c r="CM542" s="278">
        <f>'Detailed Budget'!$AD$189</f>
        <v>77498869683.252869</v>
      </c>
      <c r="CN542" s="275">
        <f t="shared" si="652"/>
        <v>74415032.18770498</v>
      </c>
      <c r="CO542" s="140">
        <f>'Detailed Budget'!$AD$191</f>
        <v>2684962805.4134097</v>
      </c>
      <c r="CP542" s="616">
        <f t="shared" si="653"/>
        <v>2578122.6797789773</v>
      </c>
      <c r="CQ542" s="616">
        <f t="shared" si="654"/>
        <v>76993154.867483959</v>
      </c>
      <c r="CR542" s="199">
        <f>'Detailed Budget'!$AD$195</f>
        <v>18734176418</v>
      </c>
      <c r="CS542" s="275">
        <f t="shared" si="678"/>
        <v>15964581.905974016</v>
      </c>
      <c r="CW542" s="278"/>
      <c r="DH542" s="140">
        <f>'Detailed Budget'!$AD$163</f>
        <v>4928560000</v>
      </c>
      <c r="DI542" s="616">
        <f t="shared" si="679"/>
        <v>6160000</v>
      </c>
    </row>
    <row r="543" spans="1:113" outlineLevel="1">
      <c r="A543" s="214" t="s">
        <v>1183</v>
      </c>
      <c r="B543" s="215" t="s">
        <v>1184</v>
      </c>
      <c r="C543" s="216" t="s">
        <v>234</v>
      </c>
      <c r="D543" s="217"/>
      <c r="E543" s="216"/>
      <c r="F543" s="216"/>
      <c r="G543" s="216" t="s">
        <v>234</v>
      </c>
      <c r="H543" s="216" t="s">
        <v>234</v>
      </c>
      <c r="I543" s="217" t="s">
        <v>234</v>
      </c>
      <c r="J543" s="217"/>
      <c r="K543" s="216" t="s">
        <v>234</v>
      </c>
      <c r="L543" s="216"/>
      <c r="M543" s="217"/>
      <c r="N543" s="216"/>
      <c r="O543" s="217"/>
      <c r="P543" s="216"/>
      <c r="Q543" s="217"/>
      <c r="R543" s="217" t="s">
        <v>234</v>
      </c>
      <c r="S543" s="217"/>
      <c r="T543" s="217"/>
      <c r="U543" s="218">
        <f t="shared" si="666"/>
        <v>6</v>
      </c>
      <c r="V543" s="867" t="s">
        <v>235</v>
      </c>
      <c r="W543" s="219">
        <v>133625</v>
      </c>
      <c r="X543" s="220">
        <v>2.82</v>
      </c>
      <c r="Y543" s="221">
        <f t="shared" si="621"/>
        <v>1.0282</v>
      </c>
      <c r="Z543" s="199">
        <v>19</v>
      </c>
      <c r="AA543" s="221">
        <f t="shared" si="622"/>
        <v>1.6961895806156848</v>
      </c>
      <c r="AB543" s="199">
        <f t="shared" si="659"/>
        <v>226653.33270977088</v>
      </c>
      <c r="AC543">
        <v>14.9</v>
      </c>
      <c r="AD543" s="199">
        <f t="shared" si="660"/>
        <v>33771.346573755865</v>
      </c>
      <c r="AE543" s="199">
        <f t="shared" si="623"/>
        <v>32082.779245068072</v>
      </c>
      <c r="AF543" s="199">
        <f t="shared" si="658"/>
        <v>0</v>
      </c>
      <c r="AG543" s="614">
        <f t="shared" si="656"/>
        <v>1.483366866251989E-3</v>
      </c>
      <c r="AH543" s="199">
        <f t="shared" si="680"/>
        <v>11332.666635488546</v>
      </c>
      <c r="AI543" s="252">
        <f t="shared" si="639"/>
        <v>8.7792451358417983E-4</v>
      </c>
      <c r="AJ543" s="199">
        <f t="shared" si="640"/>
        <v>45104.013209244411</v>
      </c>
      <c r="AK543" s="199">
        <f t="shared" si="662"/>
        <v>9066.1333083908357</v>
      </c>
      <c r="AL543" s="199">
        <f t="shared" si="663"/>
        <v>9066.1333083908357</v>
      </c>
      <c r="AM543" s="199">
        <f t="shared" si="641"/>
        <v>18132.266616781671</v>
      </c>
      <c r="AN543" s="645">
        <f t="shared" si="642"/>
        <v>8.7792451358417972E-4</v>
      </c>
      <c r="AO543" s="199">
        <v>11</v>
      </c>
      <c r="AP543" s="250">
        <f t="shared" si="643"/>
        <v>1.2498579706851495E-3</v>
      </c>
      <c r="AQ543" s="199">
        <v>11</v>
      </c>
      <c r="AU543" s="199">
        <v>0</v>
      </c>
      <c r="AW543" s="250">
        <f t="shared" si="644"/>
        <v>0</v>
      </c>
      <c r="AX543" s="199">
        <v>1</v>
      </c>
      <c r="AY543" s="199">
        <f t="shared" si="667"/>
        <v>12499.313316129146</v>
      </c>
      <c r="AZ543" s="199">
        <f t="shared" si="645"/>
        <v>12499.313316129146</v>
      </c>
      <c r="BA543" s="252">
        <f t="shared" si="646"/>
        <v>9.8252713858616053E-4</v>
      </c>
      <c r="BB543" s="284">
        <v>0</v>
      </c>
      <c r="BC543" s="199">
        <f t="shared" si="668"/>
        <v>0</v>
      </c>
      <c r="BD543" s="270">
        <f t="shared" si="669"/>
        <v>0</v>
      </c>
      <c r="BE543" s="199">
        <f t="shared" si="670"/>
        <v>0</v>
      </c>
      <c r="BF543" s="251">
        <f t="shared" si="671"/>
        <v>0</v>
      </c>
      <c r="BG543" s="204">
        <f t="shared" si="672"/>
        <v>0</v>
      </c>
      <c r="BH543" s="636">
        <v>1</v>
      </c>
      <c r="BI543" s="199">
        <f t="shared" si="647"/>
        <v>69355.919809189887</v>
      </c>
      <c r="BJ543" s="199">
        <f t="shared" si="648"/>
        <v>138711.83961837977</v>
      </c>
      <c r="BK543" s="199">
        <f t="shared" si="655"/>
        <v>208067.75942756966</v>
      </c>
      <c r="BL543" s="251">
        <f t="shared" si="649"/>
        <v>8.7792451358417972E-4</v>
      </c>
      <c r="BM543" s="199">
        <f t="shared" si="673"/>
        <v>18042.673817169703</v>
      </c>
      <c r="BN543" s="251">
        <f t="shared" si="650"/>
        <v>7.7913876716063121E-4</v>
      </c>
      <c r="BT543" s="199">
        <f>'Detailed Budget'!$AD$12</f>
        <v>194045122715</v>
      </c>
      <c r="BU543" s="199">
        <f>'Detailed Budget'!$AD$24</f>
        <v>194045122715</v>
      </c>
      <c r="BV543" s="596">
        <f t="shared" si="674"/>
        <v>0</v>
      </c>
      <c r="BW543" s="278"/>
      <c r="BX543" s="275">
        <f t="shared" si="619"/>
        <v>0</v>
      </c>
      <c r="BY543" s="275">
        <f t="shared" si="620"/>
        <v>0</v>
      </c>
      <c r="CA543" s="199">
        <f>'Detailed Budget'!$AD$96</f>
        <v>71050111380.677719</v>
      </c>
      <c r="CB543" s="275">
        <f t="shared" si="651"/>
        <v>69808662.631085277</v>
      </c>
      <c r="CE543" s="199">
        <f>'Detailed Budget'!$AD$175</f>
        <v>4330586076.5988197</v>
      </c>
      <c r="CF543" s="275">
        <f t="shared" si="675"/>
        <v>0</v>
      </c>
      <c r="CG543" s="199">
        <f>'Detailed Budget'!$AD$176</f>
        <v>20662817754.37001</v>
      </c>
      <c r="CH543" s="275">
        <f t="shared" si="676"/>
        <v>0</v>
      </c>
      <c r="CI543" s="275">
        <f t="shared" si="657"/>
        <v>0</v>
      </c>
      <c r="CJ543" s="275">
        <f>'Detailed Budget'!$AD$178</f>
        <v>46025131033.061455</v>
      </c>
      <c r="CK543" s="275">
        <f t="shared" si="677"/>
        <v>0</v>
      </c>
      <c r="CL543" s="275">
        <f t="shared" si="661"/>
        <v>0</v>
      </c>
      <c r="CM543" s="278">
        <f>'Detailed Budget'!$AD$189</f>
        <v>77498869683.252869</v>
      </c>
      <c r="CN543" s="275">
        <f t="shared" si="652"/>
        <v>68038157.469993502</v>
      </c>
      <c r="CO543" s="140">
        <f>'Detailed Budget'!$AD$191</f>
        <v>2684962805.4134097</v>
      </c>
      <c r="CP543" s="616">
        <f t="shared" si="653"/>
        <v>2357194.6649341821</v>
      </c>
      <c r="CQ543" s="616">
        <f t="shared" si="654"/>
        <v>70395352.13492769</v>
      </c>
      <c r="CR543" s="199">
        <f>'Detailed Budget'!$AD$195</f>
        <v>18734176418</v>
      </c>
      <c r="CS543" s="275">
        <f t="shared" si="678"/>
        <v>14596523.118090291</v>
      </c>
      <c r="CW543" s="278"/>
      <c r="DH543" s="140">
        <f>'Detailed Budget'!$AD$163</f>
        <v>4928560000</v>
      </c>
      <c r="DI543" s="616">
        <f t="shared" si="679"/>
        <v>6160000</v>
      </c>
    </row>
    <row r="544" spans="1:113" outlineLevel="1">
      <c r="A544" s="214" t="s">
        <v>1185</v>
      </c>
      <c r="B544" s="215" t="s">
        <v>1186</v>
      </c>
      <c r="C544" s="216" t="s">
        <v>234</v>
      </c>
      <c r="D544" s="217"/>
      <c r="E544" s="216"/>
      <c r="F544" s="216"/>
      <c r="G544" s="216" t="s">
        <v>234</v>
      </c>
      <c r="H544" s="216" t="s">
        <v>234</v>
      </c>
      <c r="I544" s="217" t="s">
        <v>234</v>
      </c>
      <c r="J544" s="217"/>
      <c r="K544" s="216" t="s">
        <v>234</v>
      </c>
      <c r="L544" s="216"/>
      <c r="M544" s="217"/>
      <c r="N544" s="216"/>
      <c r="O544" s="217"/>
      <c r="P544" s="216"/>
      <c r="Q544" s="217"/>
      <c r="R544" s="217" t="s">
        <v>234</v>
      </c>
      <c r="S544" s="217"/>
      <c r="T544" s="217"/>
      <c r="U544" s="218">
        <f t="shared" si="666"/>
        <v>6</v>
      </c>
      <c r="V544" s="867" t="s">
        <v>235</v>
      </c>
      <c r="W544" s="219">
        <v>214969</v>
      </c>
      <c r="X544" s="220">
        <v>2.82</v>
      </c>
      <c r="Y544" s="221">
        <f t="shared" si="621"/>
        <v>1.0282</v>
      </c>
      <c r="Z544" s="199">
        <v>19</v>
      </c>
      <c r="AA544" s="221">
        <f t="shared" si="622"/>
        <v>1.6961895806156848</v>
      </c>
      <c r="AB544" s="199">
        <f t="shared" si="659"/>
        <v>364628.17795537313</v>
      </c>
      <c r="AC544">
        <v>14.9</v>
      </c>
      <c r="AD544" s="199">
        <f t="shared" si="660"/>
        <v>54329.598515350597</v>
      </c>
      <c r="AE544" s="199">
        <f t="shared" si="623"/>
        <v>51613.118589583064</v>
      </c>
      <c r="AF544" s="199">
        <f t="shared" si="658"/>
        <v>0</v>
      </c>
      <c r="AG544" s="614">
        <f t="shared" si="656"/>
        <v>2.3863640177461086E-3</v>
      </c>
      <c r="AH544" s="199">
        <f t="shared" si="680"/>
        <v>18231.408897768659</v>
      </c>
      <c r="AI544" s="252">
        <f t="shared" si="639"/>
        <v>1.4123596240275215E-3</v>
      </c>
      <c r="AJ544" s="199">
        <f t="shared" si="640"/>
        <v>72561.007413119252</v>
      </c>
      <c r="AK544" s="199">
        <f t="shared" si="662"/>
        <v>14585.127118214925</v>
      </c>
      <c r="AL544" s="199">
        <f t="shared" si="663"/>
        <v>14585.127118214925</v>
      </c>
      <c r="AM544" s="199">
        <f t="shared" si="641"/>
        <v>29170.25423642985</v>
      </c>
      <c r="AN544" s="645">
        <f t="shared" si="642"/>
        <v>1.4123596240275212E-3</v>
      </c>
      <c r="AO544" s="199">
        <v>20</v>
      </c>
      <c r="AP544" s="250">
        <f t="shared" si="643"/>
        <v>2.2724690376093627E-3</v>
      </c>
      <c r="AQ544" s="199">
        <v>20</v>
      </c>
      <c r="AU544" s="199">
        <v>0</v>
      </c>
      <c r="AW544" s="250">
        <f t="shared" si="644"/>
        <v>0</v>
      </c>
      <c r="AX544" s="199">
        <v>1</v>
      </c>
      <c r="AY544" s="199">
        <f t="shared" si="667"/>
        <v>20108.249835397313</v>
      </c>
      <c r="AZ544" s="199">
        <f t="shared" si="645"/>
        <v>20108.249835397313</v>
      </c>
      <c r="BA544" s="252">
        <f t="shared" si="646"/>
        <v>1.5806389257603617E-3</v>
      </c>
      <c r="BB544" s="284">
        <v>0</v>
      </c>
      <c r="BC544" s="199">
        <f t="shared" si="668"/>
        <v>0</v>
      </c>
      <c r="BD544" s="270">
        <f t="shared" si="669"/>
        <v>0</v>
      </c>
      <c r="BE544" s="199">
        <f t="shared" si="670"/>
        <v>0</v>
      </c>
      <c r="BF544" s="251">
        <f t="shared" si="671"/>
        <v>0</v>
      </c>
      <c r="BG544" s="204">
        <f t="shared" si="672"/>
        <v>0</v>
      </c>
      <c r="BH544" s="636">
        <v>1</v>
      </c>
      <c r="BI544" s="199">
        <f t="shared" si="647"/>
        <v>111576.22245434418</v>
      </c>
      <c r="BJ544" s="199">
        <f t="shared" si="648"/>
        <v>223152.44490868837</v>
      </c>
      <c r="BK544" s="199">
        <f t="shared" si="655"/>
        <v>334728.66736303258</v>
      </c>
      <c r="BL544" s="251">
        <f t="shared" si="649"/>
        <v>1.4123596240275215E-3</v>
      </c>
      <c r="BM544" s="199">
        <f t="shared" si="673"/>
        <v>29026.121966721454</v>
      </c>
      <c r="BN544" s="251">
        <f t="shared" si="650"/>
        <v>1.2534382161852478E-3</v>
      </c>
      <c r="BT544" s="199">
        <f>'Detailed Budget'!$AD$12</f>
        <v>194045122715</v>
      </c>
      <c r="BU544" s="199">
        <f>'Detailed Budget'!$AD$24</f>
        <v>194045122715</v>
      </c>
      <c r="BV544" s="596">
        <f t="shared" si="674"/>
        <v>0</v>
      </c>
      <c r="BW544" s="278"/>
      <c r="BX544" s="275">
        <f t="shared" si="619"/>
        <v>0</v>
      </c>
      <c r="BY544" s="275">
        <f t="shared" si="620"/>
        <v>0</v>
      </c>
      <c r="CA544" s="199">
        <f>'Detailed Budget'!$AD$96</f>
        <v>71050111380.677719</v>
      </c>
      <c r="CB544" s="275">
        <f t="shared" si="651"/>
        <v>112304571.72790848</v>
      </c>
      <c r="CE544" s="199">
        <f>'Detailed Budget'!$AD$175</f>
        <v>4330586076.5988197</v>
      </c>
      <c r="CF544" s="275">
        <f t="shared" si="675"/>
        <v>0</v>
      </c>
      <c r="CG544" s="199">
        <f>'Detailed Budget'!$AD$176</f>
        <v>20662817754.37001</v>
      </c>
      <c r="CH544" s="275">
        <f t="shared" si="676"/>
        <v>0</v>
      </c>
      <c r="CI544" s="275">
        <f t="shared" si="657"/>
        <v>0</v>
      </c>
      <c r="CJ544" s="275">
        <f>'Detailed Budget'!$AD$178</f>
        <v>46025131033.061455</v>
      </c>
      <c r="CK544" s="275">
        <f t="shared" si="677"/>
        <v>0</v>
      </c>
      <c r="CL544" s="275">
        <f t="shared" si="661"/>
        <v>0</v>
      </c>
      <c r="CM544" s="278">
        <f>'Detailed Budget'!$AD$189</f>
        <v>77498869683.252869</v>
      </c>
      <c r="CN544" s="275">
        <f t="shared" si="652"/>
        <v>109456274.44839691</v>
      </c>
      <c r="CO544" s="140">
        <f>'Detailed Budget'!$AD$191</f>
        <v>2684962805.4134097</v>
      </c>
      <c r="CP544" s="616">
        <f t="shared" si="653"/>
        <v>3792133.0583815621</v>
      </c>
      <c r="CQ544" s="616">
        <f t="shared" si="654"/>
        <v>113248407.50677846</v>
      </c>
      <c r="CR544" s="199">
        <f>'Detailed Budget'!$AD$195</f>
        <v>18734176418</v>
      </c>
      <c r="CS544" s="275">
        <f t="shared" si="678"/>
        <v>23482132.671077654</v>
      </c>
      <c r="CW544" s="278"/>
      <c r="DH544" s="140">
        <f>'Detailed Budget'!$AD$163</f>
        <v>4928560000</v>
      </c>
      <c r="DI544" s="616">
        <f t="shared" si="679"/>
        <v>11200000</v>
      </c>
    </row>
    <row r="545" spans="1:113" outlineLevel="1">
      <c r="A545" s="214" t="s">
        <v>1187</v>
      </c>
      <c r="B545" s="215" t="s">
        <v>1188</v>
      </c>
      <c r="C545" s="216" t="s">
        <v>234</v>
      </c>
      <c r="D545" s="217"/>
      <c r="E545" s="216"/>
      <c r="F545" s="216"/>
      <c r="G545" s="216" t="s">
        <v>234</v>
      </c>
      <c r="H545" s="216" t="s">
        <v>234</v>
      </c>
      <c r="I545" s="217" t="s">
        <v>234</v>
      </c>
      <c r="J545" s="217"/>
      <c r="K545" s="216" t="s">
        <v>234</v>
      </c>
      <c r="L545" s="216"/>
      <c r="M545" s="217"/>
      <c r="N545" s="216"/>
      <c r="O545" s="217"/>
      <c r="P545" s="216"/>
      <c r="Q545" s="217"/>
      <c r="R545" s="217" t="s">
        <v>234</v>
      </c>
      <c r="S545" s="217"/>
      <c r="T545" s="217"/>
      <c r="U545" s="218">
        <f t="shared" si="666"/>
        <v>6</v>
      </c>
      <c r="V545" s="867" t="s">
        <v>235</v>
      </c>
      <c r="W545" s="219">
        <v>152581</v>
      </c>
      <c r="X545" s="220">
        <v>2.82</v>
      </c>
      <c r="Y545" s="221">
        <f t="shared" si="621"/>
        <v>1.0282</v>
      </c>
      <c r="Z545" s="199">
        <v>19</v>
      </c>
      <c r="AA545" s="221">
        <f t="shared" si="622"/>
        <v>1.6961895806156848</v>
      </c>
      <c r="AB545" s="199">
        <f t="shared" si="659"/>
        <v>258806.30239992181</v>
      </c>
      <c r="AC545">
        <v>14.9</v>
      </c>
      <c r="AD545" s="199">
        <f t="shared" si="660"/>
        <v>38562.139057588349</v>
      </c>
      <c r="AE545" s="199">
        <f t="shared" si="623"/>
        <v>36634.032104708931</v>
      </c>
      <c r="AF545" s="199">
        <f t="shared" si="658"/>
        <v>0</v>
      </c>
      <c r="AG545" s="614">
        <f t="shared" si="656"/>
        <v>1.6937968181073505E-3</v>
      </c>
      <c r="AH545" s="199">
        <f t="shared" si="680"/>
        <v>12940.315119996092</v>
      </c>
      <c r="AI545" s="252">
        <f t="shared" si="639"/>
        <v>1.0024666058536032E-3</v>
      </c>
      <c r="AJ545" s="199">
        <f t="shared" si="640"/>
        <v>51502.454177584441</v>
      </c>
      <c r="AK545" s="199">
        <f t="shared" si="662"/>
        <v>10352.252095996873</v>
      </c>
      <c r="AL545" s="199">
        <f t="shared" si="663"/>
        <v>10352.252095996873</v>
      </c>
      <c r="AM545" s="199">
        <f t="shared" si="641"/>
        <v>20704.504191993747</v>
      </c>
      <c r="AN545" s="645">
        <f t="shared" si="642"/>
        <v>1.0024666058536032E-3</v>
      </c>
      <c r="AO545" s="199">
        <v>16</v>
      </c>
      <c r="AP545" s="250">
        <f t="shared" si="643"/>
        <v>1.81797523008749E-3</v>
      </c>
      <c r="AQ545" s="199">
        <v>16</v>
      </c>
      <c r="AU545" s="199">
        <v>0</v>
      </c>
      <c r="AW545" s="250">
        <f t="shared" si="644"/>
        <v>0</v>
      </c>
      <c r="AX545" s="199">
        <v>1</v>
      </c>
      <c r="AY545" s="199">
        <f t="shared" si="667"/>
        <v>14272.461927695425</v>
      </c>
      <c r="AZ545" s="199">
        <f t="shared" si="645"/>
        <v>14272.461927695425</v>
      </c>
      <c r="BA545" s="252">
        <f t="shared" si="646"/>
        <v>1.1219081259690549E-3</v>
      </c>
      <c r="BB545" s="284">
        <v>0</v>
      </c>
      <c r="BC545" s="199">
        <f t="shared" si="668"/>
        <v>0</v>
      </c>
      <c r="BD545" s="270">
        <f t="shared" si="669"/>
        <v>0</v>
      </c>
      <c r="BE545" s="199">
        <f t="shared" si="670"/>
        <v>0</v>
      </c>
      <c r="BF545" s="251">
        <f t="shared" si="671"/>
        <v>0</v>
      </c>
      <c r="BG545" s="204">
        <f t="shared" si="672"/>
        <v>0</v>
      </c>
      <c r="BH545" s="636">
        <v>1</v>
      </c>
      <c r="BI545" s="199">
        <f t="shared" si="647"/>
        <v>79194.728534376089</v>
      </c>
      <c r="BJ545" s="199">
        <f t="shared" si="648"/>
        <v>158389.45706875218</v>
      </c>
      <c r="BK545" s="199">
        <f t="shared" si="655"/>
        <v>237584.18560312828</v>
      </c>
      <c r="BL545" s="251">
        <f t="shared" si="649"/>
        <v>1.0024666058536034E-3</v>
      </c>
      <c r="BM545" s="199">
        <f t="shared" si="673"/>
        <v>20602.201786324196</v>
      </c>
      <c r="BN545" s="251">
        <f t="shared" si="650"/>
        <v>8.8966714486163724E-4</v>
      </c>
      <c r="BT545" s="199">
        <f>'Detailed Budget'!$AD$12</f>
        <v>194045122715</v>
      </c>
      <c r="BU545" s="199">
        <f>'Detailed Budget'!$AD$24</f>
        <v>194045122715</v>
      </c>
      <c r="BV545" s="596">
        <f t="shared" si="674"/>
        <v>0</v>
      </c>
      <c r="BW545" s="278"/>
      <c r="BX545" s="275">
        <f t="shared" si="619"/>
        <v>0</v>
      </c>
      <c r="BY545" s="275">
        <f t="shared" si="620"/>
        <v>0</v>
      </c>
      <c r="CA545" s="199">
        <f>'Detailed Budget'!$AD$96</f>
        <v>71050111380.677719</v>
      </c>
      <c r="CB545" s="275">
        <f t="shared" si="651"/>
        <v>79711697.30898875</v>
      </c>
      <c r="CE545" s="199">
        <f>'Detailed Budget'!$AD$175</f>
        <v>4330586076.5988197</v>
      </c>
      <c r="CF545" s="275">
        <f t="shared" si="675"/>
        <v>0</v>
      </c>
      <c r="CG545" s="199">
        <f>'Detailed Budget'!$AD$176</f>
        <v>20662817754.37001</v>
      </c>
      <c r="CH545" s="275">
        <f t="shared" si="676"/>
        <v>0</v>
      </c>
      <c r="CI545" s="275">
        <f t="shared" si="657"/>
        <v>0</v>
      </c>
      <c r="CJ545" s="275">
        <f>'Detailed Budget'!$AD$178</f>
        <v>46025131033.061455</v>
      </c>
      <c r="CK545" s="275">
        <f t="shared" si="677"/>
        <v>0</v>
      </c>
      <c r="CL545" s="275">
        <f t="shared" si="661"/>
        <v>0</v>
      </c>
      <c r="CM545" s="278">
        <f>'Detailed Budget'!$AD$189</f>
        <v>77498869683.252869</v>
      </c>
      <c r="CN545" s="275">
        <f t="shared" si="652"/>
        <v>77690028.848861232</v>
      </c>
      <c r="CO545" s="140">
        <f>'Detailed Budget'!$AD$191</f>
        <v>2684962805.4134097</v>
      </c>
      <c r="CP545" s="616">
        <f t="shared" si="653"/>
        <v>2691585.5503859492</v>
      </c>
      <c r="CQ545" s="616">
        <f t="shared" si="654"/>
        <v>80381614.399247184</v>
      </c>
      <c r="CR545" s="199">
        <f>'Detailed Budget'!$AD$195</f>
        <v>18734176418</v>
      </c>
      <c r="CS545" s="275">
        <f t="shared" si="678"/>
        <v>16667181.245136274</v>
      </c>
      <c r="CW545" s="278"/>
      <c r="DH545" s="140">
        <f>'Detailed Budget'!$AD$163</f>
        <v>4928560000</v>
      </c>
      <c r="DI545" s="616">
        <f t="shared" si="679"/>
        <v>8960000</v>
      </c>
    </row>
    <row r="546" spans="1:113" outlineLevel="1">
      <c r="A546" s="214" t="s">
        <v>1189</v>
      </c>
      <c r="B546" s="215" t="s">
        <v>1190</v>
      </c>
      <c r="C546" s="216" t="s">
        <v>234</v>
      </c>
      <c r="D546" s="217"/>
      <c r="E546" s="216"/>
      <c r="F546" s="216"/>
      <c r="G546" s="216" t="s">
        <v>234</v>
      </c>
      <c r="H546" s="216" t="s">
        <v>234</v>
      </c>
      <c r="I546" s="217" t="s">
        <v>234</v>
      </c>
      <c r="J546" s="217"/>
      <c r="K546" s="216" t="s">
        <v>234</v>
      </c>
      <c r="L546" s="216"/>
      <c r="M546" s="217"/>
      <c r="N546" s="216"/>
      <c r="O546" s="217"/>
      <c r="P546" s="216"/>
      <c r="Q546" s="217"/>
      <c r="R546" s="217" t="s">
        <v>234</v>
      </c>
      <c r="S546" s="217"/>
      <c r="T546" s="217"/>
      <c r="U546" s="218">
        <f t="shared" si="666"/>
        <v>6</v>
      </c>
      <c r="V546" s="867" t="s">
        <v>235</v>
      </c>
      <c r="W546" s="219">
        <v>121363</v>
      </c>
      <c r="X546" s="220">
        <v>2.82</v>
      </c>
      <c r="Y546" s="221">
        <f t="shared" si="621"/>
        <v>1.0282</v>
      </c>
      <c r="Z546" s="199">
        <v>19</v>
      </c>
      <c r="AA546" s="221">
        <f t="shared" si="622"/>
        <v>1.6961895806156848</v>
      </c>
      <c r="AB546" s="199">
        <f t="shared" si="659"/>
        <v>205854.65607226136</v>
      </c>
      <c r="AC546">
        <v>14.9</v>
      </c>
      <c r="AD546" s="199">
        <f t="shared" si="660"/>
        <v>30672.343754766942</v>
      </c>
      <c r="AE546" s="199">
        <f t="shared" si="623"/>
        <v>29138.726567028592</v>
      </c>
      <c r="AF546" s="199">
        <f t="shared" si="658"/>
        <v>0</v>
      </c>
      <c r="AG546" s="614">
        <f t="shared" si="656"/>
        <v>1.3472467950528726E-3</v>
      </c>
      <c r="AH546" s="199">
        <f t="shared" si="680"/>
        <v>10292.732803613069</v>
      </c>
      <c r="AI546" s="252">
        <f t="shared" si="639"/>
        <v>7.9736241528244583E-4</v>
      </c>
      <c r="AJ546" s="199">
        <f t="shared" si="640"/>
        <v>40965.076558380009</v>
      </c>
      <c r="AK546" s="199">
        <f t="shared" si="662"/>
        <v>8234.1862428904551</v>
      </c>
      <c r="AL546" s="199">
        <f t="shared" si="663"/>
        <v>8234.1862428904551</v>
      </c>
      <c r="AM546" s="199">
        <f t="shared" si="641"/>
        <v>16468.37248578091</v>
      </c>
      <c r="AN546" s="645">
        <f t="shared" si="642"/>
        <v>7.9736241528244572E-4</v>
      </c>
      <c r="AO546" s="199">
        <v>11</v>
      </c>
      <c r="AP546" s="250">
        <f t="shared" si="643"/>
        <v>1.2498579706851495E-3</v>
      </c>
      <c r="AQ546" s="199">
        <v>11</v>
      </c>
      <c r="AU546" s="199">
        <v>0</v>
      </c>
      <c r="AW546" s="250">
        <f t="shared" si="644"/>
        <v>0</v>
      </c>
      <c r="AX546" s="199">
        <v>1</v>
      </c>
      <c r="AY546" s="199">
        <f t="shared" si="667"/>
        <v>11352.323008309682</v>
      </c>
      <c r="AZ546" s="199">
        <f t="shared" si="645"/>
        <v>11352.323008309682</v>
      </c>
      <c r="BA546" s="252">
        <f t="shared" si="646"/>
        <v>8.9236625721408555E-4</v>
      </c>
      <c r="BB546" s="284">
        <v>0</v>
      </c>
      <c r="BC546" s="199">
        <f t="shared" si="668"/>
        <v>0</v>
      </c>
      <c r="BD546" s="270">
        <f t="shared" si="669"/>
        <v>0</v>
      </c>
      <c r="BE546" s="199">
        <f t="shared" si="670"/>
        <v>0</v>
      </c>
      <c r="BF546" s="251">
        <f t="shared" si="671"/>
        <v>0</v>
      </c>
      <c r="BG546" s="204">
        <f t="shared" si="672"/>
        <v>0</v>
      </c>
      <c r="BH546" s="636">
        <v>1</v>
      </c>
      <c r="BI546" s="199">
        <f t="shared" si="647"/>
        <v>62991.524758111977</v>
      </c>
      <c r="BJ546" s="199">
        <f t="shared" si="648"/>
        <v>125983.04951622395</v>
      </c>
      <c r="BK546" s="199">
        <f t="shared" si="655"/>
        <v>188974.57427433593</v>
      </c>
      <c r="BL546" s="251">
        <f t="shared" si="649"/>
        <v>7.9736241528244572E-4</v>
      </c>
      <c r="BM546" s="199">
        <f t="shared" si="673"/>
        <v>16387.00110363455</v>
      </c>
      <c r="BN546" s="251">
        <f t="shared" si="650"/>
        <v>7.0764167033800327E-4</v>
      </c>
      <c r="BT546" s="199">
        <f>'Detailed Budget'!$AD$12</f>
        <v>194045122715</v>
      </c>
      <c r="BU546" s="199">
        <f>'Detailed Budget'!$AD$24</f>
        <v>194045122715</v>
      </c>
      <c r="BV546" s="596">
        <f t="shared" si="674"/>
        <v>0</v>
      </c>
      <c r="BW546" s="278"/>
      <c r="BX546" s="275">
        <f t="shared" si="619"/>
        <v>0</v>
      </c>
      <c r="BY546" s="275">
        <f t="shared" si="620"/>
        <v>0</v>
      </c>
      <c r="CA546" s="199">
        <f>'Detailed Budget'!$AD$96</f>
        <v>71050111380.677719</v>
      </c>
      <c r="CB546" s="275">
        <f t="shared" si="651"/>
        <v>63402721.967419282</v>
      </c>
      <c r="CE546" s="199">
        <f>'Detailed Budget'!$AD$175</f>
        <v>4330586076.5988197</v>
      </c>
      <c r="CF546" s="275">
        <f t="shared" si="675"/>
        <v>0</v>
      </c>
      <c r="CG546" s="199">
        <f>'Detailed Budget'!$AD$176</f>
        <v>20662817754.37001</v>
      </c>
      <c r="CH546" s="275">
        <f t="shared" si="676"/>
        <v>0</v>
      </c>
      <c r="CI546" s="275">
        <f t="shared" si="657"/>
        <v>0</v>
      </c>
      <c r="CJ546" s="275">
        <f>'Detailed Budget'!$AD$178</f>
        <v>46025131033.061455</v>
      </c>
      <c r="CK546" s="275">
        <f t="shared" si="677"/>
        <v>0</v>
      </c>
      <c r="CL546" s="275">
        <f t="shared" si="661"/>
        <v>0</v>
      </c>
      <c r="CM546" s="278">
        <f>'Detailed Budget'!$AD$189</f>
        <v>77498869683.252869</v>
      </c>
      <c r="CN546" s="275">
        <f t="shared" si="652"/>
        <v>61794685.912298016</v>
      </c>
      <c r="CO546" s="140">
        <f>'Detailed Budget'!$AD$191</f>
        <v>2684962805.4134097</v>
      </c>
      <c r="CP546" s="616">
        <f t="shared" si="653"/>
        <v>2140888.4274679678</v>
      </c>
      <c r="CQ546" s="616">
        <f t="shared" si="654"/>
        <v>63935574.339765981</v>
      </c>
      <c r="CR546" s="199">
        <f>'Detailed Budget'!$AD$195</f>
        <v>18734176418</v>
      </c>
      <c r="CS546" s="275">
        <f t="shared" si="678"/>
        <v>13257083.89284035</v>
      </c>
      <c r="CW546" s="278"/>
      <c r="DH546" s="140">
        <f>'Detailed Budget'!$AD$163</f>
        <v>4928560000</v>
      </c>
      <c r="DI546" s="616">
        <f t="shared" si="679"/>
        <v>6160000</v>
      </c>
    </row>
    <row r="547" spans="1:113" outlineLevel="1">
      <c r="A547" s="214" t="s">
        <v>1191</v>
      </c>
      <c r="B547" s="215" t="s">
        <v>1192</v>
      </c>
      <c r="C547" s="216" t="s">
        <v>234</v>
      </c>
      <c r="D547" s="217"/>
      <c r="E547" s="216"/>
      <c r="F547" s="216"/>
      <c r="G547" s="216" t="s">
        <v>234</v>
      </c>
      <c r="H547" s="216" t="s">
        <v>234</v>
      </c>
      <c r="I547" s="217" t="s">
        <v>234</v>
      </c>
      <c r="J547" s="217"/>
      <c r="K547" s="216" t="s">
        <v>234</v>
      </c>
      <c r="L547" s="216"/>
      <c r="M547" s="217"/>
      <c r="N547" s="216"/>
      <c r="O547" s="217"/>
      <c r="P547" s="216"/>
      <c r="Q547" s="217"/>
      <c r="R547" s="217" t="s">
        <v>234</v>
      </c>
      <c r="S547" s="217"/>
      <c r="T547" s="217"/>
      <c r="U547" s="218">
        <f t="shared" si="666"/>
        <v>6</v>
      </c>
      <c r="V547" s="867" t="s">
        <v>235</v>
      </c>
      <c r="W547" s="219">
        <v>236679</v>
      </c>
      <c r="X547" s="220">
        <v>2.82</v>
      </c>
      <c r="Y547" s="221">
        <f t="shared" si="621"/>
        <v>1.0282</v>
      </c>
      <c r="Z547" s="199">
        <v>19</v>
      </c>
      <c r="AA547" s="221">
        <f t="shared" si="622"/>
        <v>1.6961895806156848</v>
      </c>
      <c r="AB547" s="199">
        <f t="shared" si="659"/>
        <v>401452.45375053969</v>
      </c>
      <c r="AC547">
        <v>14.9</v>
      </c>
      <c r="AD547" s="199">
        <f t="shared" si="660"/>
        <v>59816.415608830415</v>
      </c>
      <c r="AE547" s="199">
        <f t="shared" si="623"/>
        <v>56825.594828388894</v>
      </c>
      <c r="AF547" s="199">
        <f t="shared" si="658"/>
        <v>0</v>
      </c>
      <c r="AG547" s="614">
        <f t="shared" si="656"/>
        <v>2.6273660358290328E-3</v>
      </c>
      <c r="AH547" s="199">
        <f t="shared" si="680"/>
        <v>20072.622687526986</v>
      </c>
      <c r="AI547" s="252">
        <f t="shared" si="639"/>
        <v>1.5549956666087192E-3</v>
      </c>
      <c r="AJ547" s="199">
        <f t="shared" si="640"/>
        <v>79889.038296357408</v>
      </c>
      <c r="AK547" s="199">
        <f t="shared" si="662"/>
        <v>16058.098150021588</v>
      </c>
      <c r="AL547" s="199">
        <f t="shared" si="663"/>
        <v>16058.098150021588</v>
      </c>
      <c r="AM547" s="199">
        <f t="shared" si="641"/>
        <v>32116.196300043175</v>
      </c>
      <c r="AN547" s="645">
        <f t="shared" si="642"/>
        <v>1.554995666608719E-3</v>
      </c>
      <c r="AO547" s="199">
        <v>14</v>
      </c>
      <c r="AP547" s="250">
        <f t="shared" si="643"/>
        <v>1.5907283263265539E-3</v>
      </c>
      <c r="AQ547" s="199">
        <v>14</v>
      </c>
      <c r="AU547" s="199">
        <v>0</v>
      </c>
      <c r="AW547" s="250">
        <f t="shared" si="644"/>
        <v>0</v>
      </c>
      <c r="AX547" s="199">
        <v>1</v>
      </c>
      <c r="AY547" s="199">
        <f t="shared" si="667"/>
        <v>22139.008242081425</v>
      </c>
      <c r="AZ547" s="199">
        <f t="shared" si="645"/>
        <v>22139.008242081425</v>
      </c>
      <c r="BA547" s="252">
        <f t="shared" si="646"/>
        <v>1.7402697147497394E-3</v>
      </c>
      <c r="BB547" s="284">
        <v>0</v>
      </c>
      <c r="BC547" s="199">
        <f t="shared" si="668"/>
        <v>0</v>
      </c>
      <c r="BD547" s="270">
        <f t="shared" si="669"/>
        <v>0</v>
      </c>
      <c r="BE547" s="199">
        <f t="shared" si="670"/>
        <v>0</v>
      </c>
      <c r="BF547" s="251">
        <f t="shared" si="671"/>
        <v>0</v>
      </c>
      <c r="BG547" s="204">
        <f t="shared" si="672"/>
        <v>0</v>
      </c>
      <c r="BH547" s="636">
        <v>1</v>
      </c>
      <c r="BI547" s="199">
        <f t="shared" si="647"/>
        <v>122844.45084766514</v>
      </c>
      <c r="BJ547" s="199">
        <f t="shared" si="648"/>
        <v>245688.90169533028</v>
      </c>
      <c r="BK547" s="199">
        <f t="shared" si="655"/>
        <v>368533.35254299542</v>
      </c>
      <c r="BL547" s="251">
        <f t="shared" si="649"/>
        <v>1.554995666608719E-3</v>
      </c>
      <c r="BM547" s="199">
        <f t="shared" si="673"/>
        <v>31957.507924220085</v>
      </c>
      <c r="BN547" s="251">
        <f t="shared" si="650"/>
        <v>1.380024578281093E-3</v>
      </c>
      <c r="BT547" s="199">
        <f>'Detailed Budget'!$AD$12</f>
        <v>194045122715</v>
      </c>
      <c r="BU547" s="199">
        <f>'Detailed Budget'!$AD$24</f>
        <v>194045122715</v>
      </c>
      <c r="BV547" s="596">
        <f t="shared" si="674"/>
        <v>0</v>
      </c>
      <c r="BW547" s="278"/>
      <c r="BX547" s="275">
        <f t="shared" si="619"/>
        <v>0</v>
      </c>
      <c r="BY547" s="275">
        <f t="shared" si="620"/>
        <v>0</v>
      </c>
      <c r="CA547" s="199">
        <f>'Detailed Budget'!$AD$96</f>
        <v>71050111380.677719</v>
      </c>
      <c r="CB547" s="275">
        <f t="shared" si="651"/>
        <v>123646357.06538923</v>
      </c>
      <c r="CE547" s="199">
        <f>'Detailed Budget'!$AD$175</f>
        <v>4330586076.5988197</v>
      </c>
      <c r="CF547" s="275">
        <f t="shared" si="675"/>
        <v>0</v>
      </c>
      <c r="CG547" s="199">
        <f>'Detailed Budget'!$AD$176</f>
        <v>20662817754.37001</v>
      </c>
      <c r="CH547" s="275">
        <f t="shared" si="676"/>
        <v>0</v>
      </c>
      <c r="CI547" s="275">
        <f t="shared" si="657"/>
        <v>0</v>
      </c>
      <c r="CJ547" s="275">
        <f>'Detailed Budget'!$AD$178</f>
        <v>46025131033.061455</v>
      </c>
      <c r="CK547" s="275">
        <f t="shared" si="677"/>
        <v>0</v>
      </c>
      <c r="CL547" s="275">
        <f t="shared" si="661"/>
        <v>0</v>
      </c>
      <c r="CM547" s="278">
        <f>'Detailed Budget'!$AD$189</f>
        <v>77498869683.252869</v>
      </c>
      <c r="CN547" s="275">
        <f t="shared" si="652"/>
        <v>120510406.52453203</v>
      </c>
      <c r="CO547" s="140">
        <f>'Detailed Budget'!$AD$191</f>
        <v>2684962805.4134097</v>
      </c>
      <c r="CP547" s="616">
        <f t="shared" si="653"/>
        <v>4175105.5274234414</v>
      </c>
      <c r="CQ547" s="616">
        <f t="shared" si="654"/>
        <v>124685512.05195548</v>
      </c>
      <c r="CR547" s="199">
        <f>'Detailed Budget'!$AD$195</f>
        <v>18734176418</v>
      </c>
      <c r="CS547" s="275">
        <f t="shared" si="678"/>
        <v>25853623.910694048</v>
      </c>
      <c r="CW547" s="278"/>
      <c r="DH547" s="140">
        <f>'Detailed Budget'!$AD$163</f>
        <v>4928560000</v>
      </c>
      <c r="DI547" s="616">
        <f t="shared" si="679"/>
        <v>7840000.0000000009</v>
      </c>
    </row>
    <row r="548" spans="1:113" outlineLevel="1">
      <c r="A548" s="214" t="s">
        <v>1193</v>
      </c>
      <c r="B548" s="215" t="s">
        <v>1194</v>
      </c>
      <c r="C548" s="216" t="s">
        <v>234</v>
      </c>
      <c r="D548" s="217"/>
      <c r="E548" s="216"/>
      <c r="F548" s="216"/>
      <c r="G548" s="216" t="s">
        <v>234</v>
      </c>
      <c r="H548" s="216" t="s">
        <v>234</v>
      </c>
      <c r="I548" s="217" t="s">
        <v>234</v>
      </c>
      <c r="J548" s="217"/>
      <c r="K548" s="216" t="s">
        <v>234</v>
      </c>
      <c r="L548" s="216"/>
      <c r="M548" s="217"/>
      <c r="N548" s="216"/>
      <c r="O548" s="217"/>
      <c r="P548" s="216"/>
      <c r="Q548" s="217"/>
      <c r="R548" s="217" t="s">
        <v>234</v>
      </c>
      <c r="S548" s="217"/>
      <c r="T548" s="217"/>
      <c r="U548" s="218">
        <f t="shared" si="666"/>
        <v>6</v>
      </c>
      <c r="V548" s="867" t="s">
        <v>235</v>
      </c>
      <c r="W548" s="219">
        <v>148317</v>
      </c>
      <c r="X548" s="220">
        <v>2.82</v>
      </c>
      <c r="Y548" s="221">
        <f t="shared" si="621"/>
        <v>1.0282</v>
      </c>
      <c r="Z548" s="199">
        <v>19</v>
      </c>
      <c r="AA548" s="221">
        <f t="shared" si="622"/>
        <v>1.6961895806156848</v>
      </c>
      <c r="AB548" s="199">
        <f t="shared" si="659"/>
        <v>251573.75002817652</v>
      </c>
      <c r="AC548">
        <v>14.9</v>
      </c>
      <c r="AD548" s="199">
        <f t="shared" si="660"/>
        <v>37484.488754198304</v>
      </c>
      <c r="AE548" s="199">
        <f t="shared" si="623"/>
        <v>35610.264316488385</v>
      </c>
      <c r="AF548" s="199">
        <f t="shared" si="658"/>
        <v>0</v>
      </c>
      <c r="AG548" s="614">
        <f t="shared" si="656"/>
        <v>1.6464622900048359E-3</v>
      </c>
      <c r="AH548" s="199">
        <f t="shared" si="680"/>
        <v>12578.687501408827</v>
      </c>
      <c r="AI548" s="252">
        <f t="shared" si="639"/>
        <v>9.7445186216100869E-4</v>
      </c>
      <c r="AJ548" s="199">
        <f t="shared" si="640"/>
        <v>50063.176255607133</v>
      </c>
      <c r="AK548" s="199">
        <f t="shared" si="662"/>
        <v>10062.950001127061</v>
      </c>
      <c r="AL548" s="199">
        <f t="shared" si="663"/>
        <v>10062.950001127061</v>
      </c>
      <c r="AM548" s="199">
        <f t="shared" si="641"/>
        <v>20125.900002254122</v>
      </c>
      <c r="AN548" s="645">
        <f t="shared" si="642"/>
        <v>9.7445186216100869E-4</v>
      </c>
      <c r="AO548" s="199">
        <v>11</v>
      </c>
      <c r="AP548" s="250">
        <f t="shared" si="643"/>
        <v>1.2498579706851495E-3</v>
      </c>
      <c r="AQ548" s="199">
        <v>11</v>
      </c>
      <c r="AU548" s="199">
        <v>0</v>
      </c>
      <c r="AW548" s="250">
        <f t="shared" si="644"/>
        <v>0</v>
      </c>
      <c r="AX548" s="199">
        <v>1</v>
      </c>
      <c r="AY548" s="199">
        <f t="shared" si="667"/>
        <v>13873.606384346691</v>
      </c>
      <c r="AZ548" s="199">
        <f t="shared" si="645"/>
        <v>13873.606384346691</v>
      </c>
      <c r="BA548" s="252">
        <f t="shared" si="646"/>
        <v>1.0905554919639557E-3</v>
      </c>
      <c r="BB548" s="284">
        <v>0</v>
      </c>
      <c r="BC548" s="199">
        <f t="shared" si="668"/>
        <v>0</v>
      </c>
      <c r="BD548" s="270">
        <f t="shared" si="669"/>
        <v>0</v>
      </c>
      <c r="BE548" s="199">
        <f t="shared" si="670"/>
        <v>0</v>
      </c>
      <c r="BF548" s="251">
        <f t="shared" si="671"/>
        <v>0</v>
      </c>
      <c r="BG548" s="204">
        <f t="shared" si="672"/>
        <v>0</v>
      </c>
      <c r="BH548" s="636">
        <v>1</v>
      </c>
      <c r="BI548" s="199">
        <f t="shared" si="647"/>
        <v>76981.567508622014</v>
      </c>
      <c r="BJ548" s="199">
        <f t="shared" si="648"/>
        <v>153963.13501724403</v>
      </c>
      <c r="BK548" s="199">
        <f t="shared" si="655"/>
        <v>230944.70252586604</v>
      </c>
      <c r="BL548" s="251">
        <f t="shared" si="649"/>
        <v>9.7445186216100859E-4</v>
      </c>
      <c r="BM548" s="199">
        <f t="shared" si="673"/>
        <v>20026.456520420274</v>
      </c>
      <c r="BN548" s="251">
        <f t="shared" si="650"/>
        <v>8.6480467374341137E-4</v>
      </c>
      <c r="BT548" s="199">
        <f>'Detailed Budget'!$AD$12</f>
        <v>194045122715</v>
      </c>
      <c r="BU548" s="199">
        <f>'Detailed Budget'!$AD$24</f>
        <v>194045122715</v>
      </c>
      <c r="BV548" s="596">
        <f t="shared" si="674"/>
        <v>0</v>
      </c>
      <c r="BW548" s="278"/>
      <c r="BX548" s="275">
        <f t="shared" si="619"/>
        <v>0</v>
      </c>
      <c r="BY548" s="275">
        <f t="shared" si="620"/>
        <v>0</v>
      </c>
      <c r="CA548" s="199">
        <f>'Detailed Budget'!$AD$96</f>
        <v>71050111380.677719</v>
      </c>
      <c r="CB548" s="275">
        <f t="shared" si="651"/>
        <v>77484089.170848832</v>
      </c>
      <c r="CE548" s="199">
        <f>'Detailed Budget'!$AD$175</f>
        <v>4330586076.5988197</v>
      </c>
      <c r="CF548" s="275">
        <f t="shared" si="675"/>
        <v>0</v>
      </c>
      <c r="CG548" s="199">
        <f>'Detailed Budget'!$AD$176</f>
        <v>20662817754.37001</v>
      </c>
      <c r="CH548" s="275">
        <f t="shared" si="676"/>
        <v>0</v>
      </c>
      <c r="CI548" s="275">
        <f t="shared" si="657"/>
        <v>0</v>
      </c>
      <c r="CJ548" s="275">
        <f>'Detailed Budget'!$AD$178</f>
        <v>46025131033.061455</v>
      </c>
      <c r="CK548" s="275">
        <f t="shared" si="677"/>
        <v>0</v>
      </c>
      <c r="CL548" s="275">
        <f t="shared" si="661"/>
        <v>0</v>
      </c>
      <c r="CM548" s="278">
        <f>'Detailed Budget'!$AD$189</f>
        <v>77498869683.252869</v>
      </c>
      <c r="CN548" s="275">
        <f t="shared" si="652"/>
        <v>75518917.878219098</v>
      </c>
      <c r="CO548" s="140">
        <f>'Detailed Budget'!$AD$191</f>
        <v>2684962805.4134097</v>
      </c>
      <c r="CP548" s="616">
        <f t="shared" si="653"/>
        <v>2616367.005568143</v>
      </c>
      <c r="CQ548" s="616">
        <f t="shared" si="654"/>
        <v>78135284.883787245</v>
      </c>
      <c r="CR548" s="199">
        <f>'Detailed Budget'!$AD$195</f>
        <v>18734176418</v>
      </c>
      <c r="CS548" s="275">
        <f t="shared" si="678"/>
        <v>16201403.32502</v>
      </c>
      <c r="CW548" s="278"/>
      <c r="DH548" s="140">
        <f>'Detailed Budget'!$AD$163</f>
        <v>4928560000</v>
      </c>
      <c r="DI548" s="616">
        <f t="shared" si="679"/>
        <v>6160000</v>
      </c>
    </row>
    <row r="549" spans="1:113" outlineLevel="1">
      <c r="A549" s="214" t="s">
        <v>1195</v>
      </c>
      <c r="B549" s="215" t="s">
        <v>1196</v>
      </c>
      <c r="C549" s="216" t="s">
        <v>234</v>
      </c>
      <c r="D549" s="217"/>
      <c r="E549" s="216"/>
      <c r="F549" s="216"/>
      <c r="G549" s="216" t="s">
        <v>234</v>
      </c>
      <c r="H549" s="216" t="s">
        <v>234</v>
      </c>
      <c r="I549" s="217" t="s">
        <v>234</v>
      </c>
      <c r="J549" s="217"/>
      <c r="K549" s="216" t="s">
        <v>234</v>
      </c>
      <c r="L549" s="216"/>
      <c r="M549" s="217"/>
      <c r="N549" s="216"/>
      <c r="O549" s="217"/>
      <c r="P549" s="216"/>
      <c r="Q549" s="217"/>
      <c r="R549" s="217" t="s">
        <v>234</v>
      </c>
      <c r="S549" s="217"/>
      <c r="T549" s="217"/>
      <c r="U549" s="218">
        <f t="shared" si="666"/>
        <v>6</v>
      </c>
      <c r="V549" s="867" t="s">
        <v>235</v>
      </c>
      <c r="W549" s="219">
        <v>195555</v>
      </c>
      <c r="X549" s="220">
        <v>2.82</v>
      </c>
      <c r="Y549" s="221">
        <f t="shared" si="621"/>
        <v>1.0282</v>
      </c>
      <c r="Z549" s="199">
        <v>19</v>
      </c>
      <c r="AA549" s="221">
        <f t="shared" si="622"/>
        <v>1.6961895806156848</v>
      </c>
      <c r="AB549" s="199">
        <f t="shared" si="659"/>
        <v>331698.35343730025</v>
      </c>
      <c r="AC549">
        <v>14.9</v>
      </c>
      <c r="AD549" s="199">
        <f t="shared" si="660"/>
        <v>49423.054662157738</v>
      </c>
      <c r="AE549" s="199">
        <f t="shared" si="623"/>
        <v>46951.901929049847</v>
      </c>
      <c r="AF549" s="199">
        <f t="shared" si="658"/>
        <v>0</v>
      </c>
      <c r="AG549" s="614">
        <f t="shared" si="656"/>
        <v>2.1708498224876156E-3</v>
      </c>
      <c r="AH549" s="199">
        <f t="shared" si="680"/>
        <v>16584.917671865012</v>
      </c>
      <c r="AI549" s="252">
        <f t="shared" si="639"/>
        <v>1.2848084434346437E-3</v>
      </c>
      <c r="AJ549" s="199">
        <f t="shared" si="640"/>
        <v>66007.97233402275</v>
      </c>
      <c r="AK549" s="199">
        <f t="shared" si="662"/>
        <v>13267.93413749201</v>
      </c>
      <c r="AL549" s="199">
        <f t="shared" si="663"/>
        <v>13267.93413749201</v>
      </c>
      <c r="AM549" s="199">
        <f t="shared" si="641"/>
        <v>26535.868274984019</v>
      </c>
      <c r="AN549" s="645">
        <f t="shared" si="642"/>
        <v>1.2848084434346437E-3</v>
      </c>
      <c r="AO549" s="199">
        <v>15</v>
      </c>
      <c r="AP549" s="250">
        <f t="shared" si="643"/>
        <v>1.7043517782070218E-3</v>
      </c>
      <c r="AQ549" s="199">
        <v>15</v>
      </c>
      <c r="AU549" s="199">
        <v>0</v>
      </c>
      <c r="AW549" s="250">
        <f t="shared" si="644"/>
        <v>0</v>
      </c>
      <c r="AX549" s="199">
        <v>1</v>
      </c>
      <c r="AY549" s="199">
        <f t="shared" si="667"/>
        <v>18292.259798208681</v>
      </c>
      <c r="AZ549" s="199">
        <f t="shared" si="645"/>
        <v>18292.259798208681</v>
      </c>
      <c r="BA549" s="252">
        <f t="shared" si="646"/>
        <v>1.4378903243121917E-3</v>
      </c>
      <c r="BB549" s="284">
        <v>0</v>
      </c>
      <c r="BC549" s="199">
        <f t="shared" si="668"/>
        <v>0</v>
      </c>
      <c r="BD549" s="270">
        <f t="shared" si="669"/>
        <v>0</v>
      </c>
      <c r="BE549" s="199">
        <f t="shared" si="670"/>
        <v>0</v>
      </c>
      <c r="BF549" s="251">
        <f t="shared" si="671"/>
        <v>0</v>
      </c>
      <c r="BG549" s="204">
        <f t="shared" si="672"/>
        <v>0</v>
      </c>
      <c r="BH549" s="636">
        <v>1</v>
      </c>
      <c r="BI549" s="199">
        <f t="shared" si="647"/>
        <v>101499.69615181387</v>
      </c>
      <c r="BJ549" s="199">
        <f t="shared" si="648"/>
        <v>202999.39230362774</v>
      </c>
      <c r="BK549" s="199">
        <f t="shared" si="655"/>
        <v>304499.08845544164</v>
      </c>
      <c r="BL549" s="251">
        <f t="shared" si="649"/>
        <v>1.2848084434346437E-3</v>
      </c>
      <c r="BM549" s="199">
        <f t="shared" si="673"/>
        <v>26404.752690863399</v>
      </c>
      <c r="BN549" s="251">
        <f t="shared" si="650"/>
        <v>1.1402393385376783E-3</v>
      </c>
      <c r="BT549" s="199">
        <f>'Detailed Budget'!$AD$12</f>
        <v>194045122715</v>
      </c>
      <c r="BU549" s="199">
        <f>'Detailed Budget'!$AD$24</f>
        <v>194045122715</v>
      </c>
      <c r="BV549" s="596">
        <f t="shared" si="674"/>
        <v>0</v>
      </c>
      <c r="BW549" s="278"/>
      <c r="BX549" s="275">
        <f t="shared" si="619"/>
        <v>0</v>
      </c>
      <c r="BY549" s="275">
        <f t="shared" si="620"/>
        <v>0</v>
      </c>
      <c r="CA549" s="199">
        <f>'Detailed Budget'!$AD$96</f>
        <v>71050111380.677719</v>
      </c>
      <c r="CB549" s="275">
        <f t="shared" si="651"/>
        <v>102162267.69558004</v>
      </c>
      <c r="CE549" s="199">
        <f>'Detailed Budget'!$AD$175</f>
        <v>4330586076.5988197</v>
      </c>
      <c r="CF549" s="275">
        <f t="shared" si="675"/>
        <v>0</v>
      </c>
      <c r="CG549" s="199">
        <f>'Detailed Budget'!$AD$176</f>
        <v>20662817754.37001</v>
      </c>
      <c r="CH549" s="275">
        <f t="shared" si="676"/>
        <v>0</v>
      </c>
      <c r="CI549" s="275">
        <f t="shared" si="657"/>
        <v>0</v>
      </c>
      <c r="CJ549" s="275">
        <f>'Detailed Budget'!$AD$178</f>
        <v>46025131033.061455</v>
      </c>
      <c r="CK549" s="275">
        <f t="shared" si="677"/>
        <v>0</v>
      </c>
      <c r="CL549" s="275">
        <f t="shared" si="661"/>
        <v>0</v>
      </c>
      <c r="CM549" s="278">
        <f>'Detailed Budget'!$AD$189</f>
        <v>77498869683.252869</v>
      </c>
      <c r="CN549" s="275">
        <f t="shared" si="652"/>
        <v>99571202.125684425</v>
      </c>
      <c r="CO549" s="140">
        <f>'Detailed Budget'!$AD$191</f>
        <v>2684962805.4134097</v>
      </c>
      <c r="CP549" s="616">
        <f t="shared" si="653"/>
        <v>3449662.8827031171</v>
      </c>
      <c r="CQ549" s="616">
        <f t="shared" si="654"/>
        <v>103020865.00838754</v>
      </c>
      <c r="CR549" s="199">
        <f>'Detailed Budget'!$AD$195</f>
        <v>18734176418</v>
      </c>
      <c r="CS549" s="275">
        <f t="shared" si="678"/>
        <v>21361444.926908489</v>
      </c>
      <c r="CW549" s="278"/>
      <c r="DH549" s="140">
        <f>'Detailed Budget'!$AD$163</f>
        <v>4928560000</v>
      </c>
      <c r="DI549" s="616">
        <f t="shared" si="679"/>
        <v>8400000</v>
      </c>
    </row>
    <row r="550" spans="1:113" outlineLevel="1">
      <c r="A550" s="214" t="s">
        <v>1197</v>
      </c>
      <c r="B550" s="215" t="s">
        <v>1198</v>
      </c>
      <c r="C550" s="216" t="s">
        <v>234</v>
      </c>
      <c r="D550" s="217"/>
      <c r="E550" s="216"/>
      <c r="F550" s="216"/>
      <c r="G550" s="216" t="s">
        <v>234</v>
      </c>
      <c r="H550" s="216" t="s">
        <v>234</v>
      </c>
      <c r="I550" s="217" t="s">
        <v>234</v>
      </c>
      <c r="J550" s="217"/>
      <c r="K550" s="216" t="s">
        <v>234</v>
      </c>
      <c r="L550" s="216"/>
      <c r="M550" s="217"/>
      <c r="N550" s="216"/>
      <c r="O550" s="217"/>
      <c r="P550" s="216"/>
      <c r="Q550" s="217"/>
      <c r="R550" s="217" t="s">
        <v>234</v>
      </c>
      <c r="S550" s="217"/>
      <c r="T550" s="217"/>
      <c r="U550" s="218">
        <f t="shared" si="666"/>
        <v>6</v>
      </c>
      <c r="V550" s="867" t="s">
        <v>235</v>
      </c>
      <c r="W550" s="219">
        <v>236609</v>
      </c>
      <c r="X550" s="220">
        <v>2.82</v>
      </c>
      <c r="Y550" s="221">
        <f t="shared" si="621"/>
        <v>1.0282</v>
      </c>
      <c r="Z550" s="199">
        <v>19</v>
      </c>
      <c r="AA550" s="221">
        <f t="shared" si="622"/>
        <v>1.6961895806156848</v>
      </c>
      <c r="AB550" s="199">
        <f t="shared" si="659"/>
        <v>401333.72047989658</v>
      </c>
      <c r="AC550">
        <v>14.9</v>
      </c>
      <c r="AD550" s="199">
        <f t="shared" si="660"/>
        <v>59798.724351504592</v>
      </c>
      <c r="AE550" s="199">
        <f t="shared" si="623"/>
        <v>56808.78813392936</v>
      </c>
      <c r="AF550" s="199">
        <f t="shared" si="658"/>
        <v>0</v>
      </c>
      <c r="AG550" s="614">
        <f t="shared" si="656"/>
        <v>2.626588968059995E-3</v>
      </c>
      <c r="AH550" s="199">
        <f t="shared" si="680"/>
        <v>20066.686023994829</v>
      </c>
      <c r="AI550" s="252">
        <f t="shared" si="639"/>
        <v>1.5545357622798069E-3</v>
      </c>
      <c r="AJ550" s="199">
        <f t="shared" si="640"/>
        <v>79865.410375499428</v>
      </c>
      <c r="AK550" s="199">
        <f t="shared" si="662"/>
        <v>16053.348819195864</v>
      </c>
      <c r="AL550" s="199">
        <f t="shared" si="663"/>
        <v>16053.348819195864</v>
      </c>
      <c r="AM550" s="199">
        <f t="shared" si="641"/>
        <v>32106.697638391728</v>
      </c>
      <c r="AN550" s="645">
        <f t="shared" si="642"/>
        <v>1.5545357622798069E-3</v>
      </c>
      <c r="AO550" s="199">
        <v>12</v>
      </c>
      <c r="AP550" s="250">
        <f t="shared" si="643"/>
        <v>1.3634814225656176E-3</v>
      </c>
      <c r="AQ550" s="199">
        <v>12</v>
      </c>
      <c r="AU550" s="199">
        <v>0</v>
      </c>
      <c r="AW550" s="250">
        <f t="shared" si="644"/>
        <v>0</v>
      </c>
      <c r="AX550" s="199">
        <v>1</v>
      </c>
      <c r="AY550" s="199">
        <f t="shared" si="667"/>
        <v>22132.460425938269</v>
      </c>
      <c r="AZ550" s="199">
        <f t="shared" si="645"/>
        <v>22132.460425938269</v>
      </c>
      <c r="BA550" s="252">
        <f t="shared" si="646"/>
        <v>1.7397550139100684E-3</v>
      </c>
      <c r="BB550" s="284">
        <v>0</v>
      </c>
      <c r="BC550" s="199">
        <f t="shared" si="668"/>
        <v>0</v>
      </c>
      <c r="BD550" s="270">
        <f t="shared" si="669"/>
        <v>0</v>
      </c>
      <c r="BE550" s="199">
        <f t="shared" si="670"/>
        <v>0</v>
      </c>
      <c r="BF550" s="251">
        <f t="shared" si="671"/>
        <v>0</v>
      </c>
      <c r="BG550" s="204">
        <f t="shared" si="672"/>
        <v>0</v>
      </c>
      <c r="BH550" s="636">
        <v>1</v>
      </c>
      <c r="BI550" s="199">
        <f t="shared" si="647"/>
        <v>122808.11846684835</v>
      </c>
      <c r="BJ550" s="199">
        <f t="shared" si="648"/>
        <v>245616.23693369669</v>
      </c>
      <c r="BK550" s="199">
        <f t="shared" si="655"/>
        <v>368424.35540054506</v>
      </c>
      <c r="BL550" s="251">
        <f t="shared" si="649"/>
        <v>1.5545357622798069E-3</v>
      </c>
      <c r="BM550" s="199">
        <f t="shared" si="673"/>
        <v>31948.056196121281</v>
      </c>
      <c r="BN550" s="251">
        <f t="shared" si="650"/>
        <v>1.3796164232674258E-3</v>
      </c>
      <c r="BT550" s="199">
        <f>'Detailed Budget'!$AD$12</f>
        <v>194045122715</v>
      </c>
      <c r="BU550" s="199">
        <f>'Detailed Budget'!$AD$24</f>
        <v>194045122715</v>
      </c>
      <c r="BV550" s="596">
        <f t="shared" si="674"/>
        <v>0</v>
      </c>
      <c r="BW550" s="278"/>
      <c r="BX550" s="275">
        <f t="shared" si="619"/>
        <v>0</v>
      </c>
      <c r="BY550" s="275">
        <f t="shared" si="620"/>
        <v>0</v>
      </c>
      <c r="CA550" s="199">
        <f>'Detailed Budget'!$AD$96</f>
        <v>71050111380.677719</v>
      </c>
      <c r="CB550" s="275">
        <f t="shared" si="651"/>
        <v>123609787.51340286</v>
      </c>
      <c r="CE550" s="199">
        <f>'Detailed Budget'!$AD$175</f>
        <v>4330586076.5988197</v>
      </c>
      <c r="CF550" s="275">
        <f t="shared" si="675"/>
        <v>0</v>
      </c>
      <c r="CG550" s="199">
        <f>'Detailed Budget'!$AD$176</f>
        <v>20662817754.37001</v>
      </c>
      <c r="CH550" s="275">
        <f t="shared" si="676"/>
        <v>0</v>
      </c>
      <c r="CI550" s="275">
        <f t="shared" si="657"/>
        <v>0</v>
      </c>
      <c r="CJ550" s="275">
        <f>'Detailed Budget'!$AD$178</f>
        <v>46025131033.061455</v>
      </c>
      <c r="CK550" s="275">
        <f t="shared" si="677"/>
        <v>0</v>
      </c>
      <c r="CL550" s="275">
        <f t="shared" si="661"/>
        <v>0</v>
      </c>
      <c r="CM550" s="278">
        <f>'Detailed Budget'!$AD$189</f>
        <v>77498869683.252869</v>
      </c>
      <c r="CN550" s="275">
        <f t="shared" si="652"/>
        <v>120474764.45887892</v>
      </c>
      <c r="CO550" s="140">
        <f>'Detailed Budget'!$AD$191</f>
        <v>2684962805.4134097</v>
      </c>
      <c r="CP550" s="616">
        <f t="shared" si="653"/>
        <v>4173870.7014062637</v>
      </c>
      <c r="CQ550" s="616">
        <f t="shared" si="654"/>
        <v>124648635.16028519</v>
      </c>
      <c r="CR550" s="199">
        <f>'Detailed Budget'!$AD$195</f>
        <v>18734176418</v>
      </c>
      <c r="CS550" s="275">
        <f t="shared" si="678"/>
        <v>25845977.462662116</v>
      </c>
      <c r="CW550" s="278"/>
      <c r="DH550" s="140">
        <f>'Detailed Budget'!$AD$163</f>
        <v>4928560000</v>
      </c>
      <c r="DI550" s="616">
        <f t="shared" si="679"/>
        <v>6720000</v>
      </c>
    </row>
    <row r="551" spans="1:113" outlineLevel="1">
      <c r="A551" s="214"/>
      <c r="B551" s="215"/>
      <c r="C551" s="216"/>
      <c r="D551" s="217"/>
      <c r="E551" s="216"/>
      <c r="F551" s="216"/>
      <c r="G551" s="216"/>
      <c r="H551" s="216"/>
      <c r="I551" s="217"/>
      <c r="J551" s="217"/>
      <c r="K551" s="216"/>
      <c r="L551" s="216"/>
      <c r="M551" s="217"/>
      <c r="N551" s="216"/>
      <c r="O551" s="217"/>
      <c r="P551" s="216"/>
      <c r="Q551" s="217"/>
      <c r="R551" s="217"/>
      <c r="S551" s="217"/>
      <c r="T551" s="217"/>
      <c r="U551" s="218"/>
      <c r="V551" s="867"/>
      <c r="W551" s="219"/>
      <c r="X551" s="220"/>
      <c r="Y551" s="221"/>
      <c r="Z551" s="199"/>
      <c r="AA551" s="221"/>
      <c r="AF551" s="199">
        <f t="shared" si="658"/>
        <v>0</v>
      </c>
      <c r="AG551" s="614">
        <f t="shared" si="656"/>
        <v>0</v>
      </c>
      <c r="AJ551" s="199"/>
      <c r="AK551" s="199">
        <f t="shared" si="662"/>
        <v>0</v>
      </c>
      <c r="AL551" s="199">
        <f t="shared" si="663"/>
        <v>0</v>
      </c>
      <c r="AM551" s="199">
        <f t="shared" si="641"/>
        <v>0</v>
      </c>
      <c r="AN551" s="645">
        <f t="shared" si="642"/>
        <v>0</v>
      </c>
      <c r="AP551" s="250">
        <f t="shared" si="643"/>
        <v>0</v>
      </c>
      <c r="AW551" s="250">
        <f t="shared" si="644"/>
        <v>0</v>
      </c>
      <c r="AX551" s="199"/>
      <c r="BA551" s="252">
        <f t="shared" si="646"/>
        <v>0</v>
      </c>
      <c r="BB551" s="284"/>
      <c r="BD551" s="270"/>
      <c r="BF551" s="251"/>
      <c r="BG551" s="204"/>
      <c r="BH551" s="636"/>
      <c r="BI551" s="199">
        <f t="shared" si="647"/>
        <v>0</v>
      </c>
      <c r="BJ551" s="199">
        <f t="shared" si="648"/>
        <v>0</v>
      </c>
      <c r="BK551" s="199">
        <f t="shared" si="655"/>
        <v>0</v>
      </c>
      <c r="BL551" s="251">
        <f t="shared" si="649"/>
        <v>0</v>
      </c>
      <c r="BN551" s="251">
        <f t="shared" si="650"/>
        <v>0</v>
      </c>
      <c r="BT551" s="199"/>
      <c r="BU551" s="199"/>
      <c r="BV551" s="596"/>
      <c r="BW551" s="278"/>
      <c r="BX551" s="275"/>
      <c r="BY551" s="275"/>
      <c r="CA551" s="199">
        <f>'Detailed Budget'!$AD$96</f>
        <v>71050111380.677719</v>
      </c>
      <c r="CB551" s="275">
        <f t="shared" si="651"/>
        <v>0</v>
      </c>
      <c r="CE551" s="199"/>
      <c r="CF551" s="275"/>
      <c r="CG551" s="199"/>
      <c r="CH551" s="275"/>
      <c r="CI551" s="275"/>
      <c r="CJ551" s="275"/>
      <c r="CK551" s="275"/>
      <c r="CL551" s="275"/>
      <c r="CM551" s="278">
        <f>'Detailed Budget'!$AD$189</f>
        <v>77498869683.252869</v>
      </c>
      <c r="CN551" s="275">
        <f t="shared" si="652"/>
        <v>0</v>
      </c>
      <c r="CO551" s="140">
        <f>'Detailed Budget'!$AD$191</f>
        <v>2684962805.4134097</v>
      </c>
      <c r="CP551" s="616">
        <f t="shared" si="653"/>
        <v>0</v>
      </c>
      <c r="CQ551" s="616">
        <f t="shared" si="654"/>
        <v>0</v>
      </c>
      <c r="CR551" s="199"/>
      <c r="CS551" s="275"/>
      <c r="CW551" s="278"/>
      <c r="DH551" s="140">
        <f>'Detailed Budget'!$AD$163</f>
        <v>4928560000</v>
      </c>
      <c r="DI551" s="616">
        <f t="shared" si="679"/>
        <v>0</v>
      </c>
    </row>
    <row r="552" spans="1:113" s="213" customFormat="1">
      <c r="A552" s="206">
        <v>4.4000000000000004</v>
      </c>
      <c r="B552" s="207" t="s">
        <v>1199</v>
      </c>
      <c r="C552" s="208">
        <f>COUNTA(C554:C570)</f>
        <v>17</v>
      </c>
      <c r="D552" s="208">
        <f t="shared" ref="D552:T552" si="681">COUNTA(D554:D570)</f>
        <v>0</v>
      </c>
      <c r="E552" s="208">
        <f t="shared" si="681"/>
        <v>0</v>
      </c>
      <c r="F552" s="208">
        <f t="shared" si="681"/>
        <v>0</v>
      </c>
      <c r="G552" s="208">
        <f t="shared" si="681"/>
        <v>17</v>
      </c>
      <c r="H552" s="208">
        <f t="shared" si="681"/>
        <v>17</v>
      </c>
      <c r="I552" s="208">
        <f t="shared" si="681"/>
        <v>17</v>
      </c>
      <c r="J552" s="208">
        <f t="shared" si="681"/>
        <v>0</v>
      </c>
      <c r="K552" s="208">
        <f t="shared" si="681"/>
        <v>2</v>
      </c>
      <c r="L552" s="208">
        <f t="shared" si="681"/>
        <v>0</v>
      </c>
      <c r="M552" s="208">
        <f t="shared" si="681"/>
        <v>15</v>
      </c>
      <c r="N552" s="208">
        <f t="shared" si="681"/>
        <v>0</v>
      </c>
      <c r="O552" s="208">
        <f t="shared" si="681"/>
        <v>0</v>
      </c>
      <c r="P552" s="208">
        <f t="shared" si="681"/>
        <v>0</v>
      </c>
      <c r="Q552" s="208">
        <f t="shared" si="681"/>
        <v>4</v>
      </c>
      <c r="R552" s="208">
        <f t="shared" si="681"/>
        <v>13</v>
      </c>
      <c r="S552" s="208">
        <f t="shared" si="681"/>
        <v>0</v>
      </c>
      <c r="T552" s="208">
        <f t="shared" si="681"/>
        <v>0</v>
      </c>
      <c r="U552" s="209">
        <f>SUM(C552:T552)</f>
        <v>102</v>
      </c>
      <c r="V552" s="866"/>
      <c r="W552" s="210">
        <f>SUM(W554:W570)</f>
        <v>3267837</v>
      </c>
      <c r="X552" s="211">
        <v>3</v>
      </c>
      <c r="Y552" s="212">
        <f t="shared" si="621"/>
        <v>1.03</v>
      </c>
      <c r="Z552" s="210">
        <v>19</v>
      </c>
      <c r="AA552" s="212">
        <f t="shared" si="622"/>
        <v>1.7535060530771003</v>
      </c>
      <c r="AB552" s="210">
        <f t="shared" si="659"/>
        <v>5730171.959969312</v>
      </c>
      <c r="AC552" s="213">
        <v>11.8</v>
      </c>
      <c r="AD552" s="210">
        <f t="shared" si="660"/>
        <v>676160.29127637879</v>
      </c>
      <c r="AE552" s="210">
        <f t="shared" si="623"/>
        <v>642352.27671255986</v>
      </c>
      <c r="AF552" s="210">
        <f>SUM(AF554:AF570)</f>
        <v>0</v>
      </c>
      <c r="AG552" s="614">
        <f t="shared" si="656"/>
        <v>2.9699549295855235E-2</v>
      </c>
      <c r="AH552" s="210">
        <f>SUM(AH554:AH570)</f>
        <v>286508.59799846559</v>
      </c>
      <c r="AI552" s="252">
        <f t="shared" si="639"/>
        <v>2.2195386984013649E-2</v>
      </c>
      <c r="AJ552" s="210">
        <f>SUM(AJ554:AJ570)</f>
        <v>962668.88927484455</v>
      </c>
      <c r="AK552" s="199">
        <f t="shared" si="662"/>
        <v>229206.87839877247</v>
      </c>
      <c r="AL552" s="199">
        <f t="shared" si="663"/>
        <v>229206.87839877247</v>
      </c>
      <c r="AM552" s="199">
        <f t="shared" si="641"/>
        <v>458413.75679754495</v>
      </c>
      <c r="AN552" s="645">
        <f t="shared" si="642"/>
        <v>2.2195386984013649E-2</v>
      </c>
      <c r="AO552" s="210">
        <f>SUM(AO554:AO570)</f>
        <v>259</v>
      </c>
      <c r="AP552" s="250">
        <f t="shared" si="643"/>
        <v>2.9428474037041245E-2</v>
      </c>
      <c r="AQ552" s="210">
        <f>SUM(AQ554:AQ570)</f>
        <v>259</v>
      </c>
      <c r="AR552" s="210"/>
      <c r="AS552" s="210"/>
      <c r="AT552" s="210"/>
      <c r="AU552" s="199"/>
      <c r="AV552" s="199"/>
      <c r="AW552" s="250">
        <f t="shared" si="644"/>
        <v>0</v>
      </c>
      <c r="AX552" s="199"/>
      <c r="AY552" s="210">
        <f>SUM(AY554:AY570)</f>
        <v>302325.96522678784</v>
      </c>
      <c r="AZ552" s="210">
        <f>SUM(AZ554:AZ570)</f>
        <v>302325.96522678784</v>
      </c>
      <c r="BA552" s="252">
        <f t="shared" si="646"/>
        <v>2.3764782754206928E-2</v>
      </c>
      <c r="BB552" s="284"/>
      <c r="BC552" s="210">
        <f>AD552*BB552*0.18</f>
        <v>0</v>
      </c>
      <c r="BD552" s="652">
        <f t="shared" si="669"/>
        <v>0</v>
      </c>
      <c r="BE552" s="210">
        <f>AD552*BB552*0.77</f>
        <v>0</v>
      </c>
      <c r="BF552" s="653">
        <f t="shared" si="671"/>
        <v>0</v>
      </c>
      <c r="BG552" s="213">
        <v>0</v>
      </c>
      <c r="BH552"/>
      <c r="BI552" s="199">
        <f t="shared" si="647"/>
        <v>1753432.6197506096</v>
      </c>
      <c r="BJ552" s="199">
        <f t="shared" si="648"/>
        <v>3506865.2395012192</v>
      </c>
      <c r="BK552" s="199">
        <f t="shared" si="655"/>
        <v>5260297.8592518289</v>
      </c>
      <c r="BL552" s="251">
        <f t="shared" si="649"/>
        <v>2.2195386984013653E-2</v>
      </c>
      <c r="BM552" s="210">
        <v>487298</v>
      </c>
      <c r="BN552" s="251">
        <f t="shared" si="650"/>
        <v>2.1043043110303222E-2</v>
      </c>
      <c r="BT552" s="210">
        <f>'Detailed Budget'!$AD$12</f>
        <v>194045122715</v>
      </c>
      <c r="BU552" s="210">
        <f>'Detailed Budget'!$AD$24</f>
        <v>194045122715</v>
      </c>
      <c r="BV552" s="596">
        <f>AV552/34743979</f>
        <v>0</v>
      </c>
      <c r="BW552" s="278"/>
      <c r="BX552" s="275">
        <f t="shared" si="619"/>
        <v>0</v>
      </c>
      <c r="BY552" s="275">
        <f t="shared" si="620"/>
        <v>0</v>
      </c>
      <c r="CA552" s="210">
        <f>'Detailed Budget'!$AD$96</f>
        <v>71050111380.677719</v>
      </c>
      <c r="CB552" s="613">
        <f t="shared" si="651"/>
        <v>1688490461.6240113</v>
      </c>
      <c r="CE552" s="210">
        <f>'Detailed Budget'!$AD$175</f>
        <v>4330586076.5988197</v>
      </c>
      <c r="CF552" s="613">
        <f>SUM(CF554:CF570)</f>
        <v>0</v>
      </c>
      <c r="CG552" s="632">
        <f>'Detailed Budget'!$AD$176</f>
        <v>20662817754.37001</v>
      </c>
      <c r="CH552" s="613">
        <f>SUM(CH554:CH570)</f>
        <v>0</v>
      </c>
      <c r="CI552" s="613">
        <f>SUM(CI554:CI570)</f>
        <v>0</v>
      </c>
      <c r="CJ552" s="275">
        <f>'Detailed Budget'!$AD$178</f>
        <v>46025131033.061455</v>
      </c>
      <c r="CK552" s="613">
        <f t="shared" ref="CK552:CL552" si="682">SUM(CK554:CK570)</f>
        <v>0</v>
      </c>
      <c r="CL552" s="613">
        <f t="shared" si="682"/>
        <v>0</v>
      </c>
      <c r="CM552" s="278">
        <f>'Detailed Budget'!$AD$189</f>
        <v>77498869683.252869</v>
      </c>
      <c r="CN552" s="275">
        <f t="shared" si="652"/>
        <v>0</v>
      </c>
      <c r="CO552" s="140">
        <f>'Detailed Budget'!$AD$191</f>
        <v>2684962805.4134097</v>
      </c>
      <c r="CP552" s="616">
        <f t="shared" si="653"/>
        <v>0</v>
      </c>
      <c r="CQ552" s="616">
        <f t="shared" si="654"/>
        <v>0</v>
      </c>
      <c r="CR552" s="210">
        <f>'Detailed Budget'!$AD$195</f>
        <v>18734176418</v>
      </c>
      <c r="CS552" s="275">
        <f>BN552*CR552</f>
        <v>394224082</v>
      </c>
      <c r="CW552" s="278"/>
      <c r="DH552" s="140">
        <f>'Detailed Budget'!$AD$163</f>
        <v>4928560000</v>
      </c>
      <c r="DI552" s="616">
        <f t="shared" si="679"/>
        <v>145040000</v>
      </c>
    </row>
    <row r="553" spans="1:113" s="213" customFormat="1">
      <c r="A553" s="214" t="s">
        <v>2342</v>
      </c>
      <c r="B553" s="215" t="s">
        <v>2318</v>
      </c>
      <c r="C553" s="208"/>
      <c r="D553" s="208"/>
      <c r="E553" s="208"/>
      <c r="F553" s="208"/>
      <c r="G553" s="208"/>
      <c r="H553" s="208"/>
      <c r="I553" s="208"/>
      <c r="J553" s="208"/>
      <c r="K553" s="208"/>
      <c r="L553" s="208"/>
      <c r="M553" s="208"/>
      <c r="N553" s="208"/>
      <c r="O553" s="208"/>
      <c r="P553" s="208"/>
      <c r="Q553" s="208"/>
      <c r="R553" s="208"/>
      <c r="S553" s="208"/>
      <c r="T553" s="208"/>
      <c r="U553" s="209"/>
      <c r="V553" s="866"/>
      <c r="W553" s="210"/>
      <c r="X553" s="211"/>
      <c r="Y553" s="212"/>
      <c r="Z553" s="210"/>
      <c r="AA553" s="212"/>
      <c r="AB553" s="210"/>
      <c r="AD553" s="210"/>
      <c r="AE553" s="199"/>
      <c r="AF553" s="199"/>
      <c r="AG553" s="614">
        <f t="shared" si="656"/>
        <v>0</v>
      </c>
      <c r="AH553" s="210"/>
      <c r="AI553" s="252"/>
      <c r="AJ553" s="199"/>
      <c r="AK553" s="199">
        <f t="shared" si="662"/>
        <v>0</v>
      </c>
      <c r="AL553" s="199">
        <f t="shared" si="663"/>
        <v>0</v>
      </c>
      <c r="AM553" s="199">
        <f t="shared" si="641"/>
        <v>0</v>
      </c>
      <c r="AN553" s="645">
        <f t="shared" si="642"/>
        <v>0</v>
      </c>
      <c r="AO553" s="210"/>
      <c r="AP553" s="250"/>
      <c r="AQ553" s="210"/>
      <c r="AR553" s="210"/>
      <c r="AS553" s="210"/>
      <c r="AT553" s="210"/>
      <c r="AU553" s="199"/>
      <c r="AV553" s="199"/>
      <c r="AW553" s="250">
        <f t="shared" si="644"/>
        <v>0</v>
      </c>
      <c r="AX553" s="199"/>
      <c r="AY553" s="210"/>
      <c r="AZ553" s="199"/>
      <c r="BA553" s="252">
        <f t="shared" si="646"/>
        <v>0</v>
      </c>
      <c r="BB553" s="284"/>
      <c r="BC553" s="199"/>
      <c r="BD553" s="270">
        <f t="shared" si="669"/>
        <v>0</v>
      </c>
      <c r="BE553" s="199"/>
      <c r="BF553" s="251">
        <f t="shared" si="671"/>
        <v>0</v>
      </c>
      <c r="BH553"/>
      <c r="BI553" s="199">
        <f t="shared" si="647"/>
        <v>0</v>
      </c>
      <c r="BJ553" s="199">
        <f t="shared" si="648"/>
        <v>0</v>
      </c>
      <c r="BK553" s="199">
        <f t="shared" si="655"/>
        <v>0</v>
      </c>
      <c r="BL553" s="251">
        <f t="shared" si="649"/>
        <v>0</v>
      </c>
      <c r="BM553" s="210"/>
      <c r="BN553" s="251">
        <f t="shared" si="650"/>
        <v>0</v>
      </c>
      <c r="BT553" s="210"/>
      <c r="BU553" s="210">
        <f>'Detailed Budget'!$AD$24</f>
        <v>194045122715</v>
      </c>
      <c r="BV553" s="596"/>
      <c r="BW553" s="278"/>
      <c r="BX553" s="275"/>
      <c r="BY553" s="275"/>
      <c r="CA553" s="210">
        <f>'Detailed Budget'!$AD$96</f>
        <v>71050111380.677719</v>
      </c>
      <c r="CB553" s="275"/>
      <c r="CE553" s="210"/>
      <c r="CF553" s="275"/>
      <c r="CG553" s="240"/>
      <c r="CH553" s="275"/>
      <c r="CI553" s="275"/>
      <c r="CJ553" s="275"/>
      <c r="CK553" s="275"/>
      <c r="CL553" s="275"/>
      <c r="CM553" s="278">
        <f>'Detailed Budget'!$AD$189</f>
        <v>77498869683.252869</v>
      </c>
      <c r="CN553" s="275">
        <f t="shared" si="652"/>
        <v>0</v>
      </c>
      <c r="CO553" s="140">
        <f>'Detailed Budget'!$AD$191</f>
        <v>2684962805.4134097</v>
      </c>
      <c r="CP553" s="616">
        <f t="shared" si="653"/>
        <v>0</v>
      </c>
      <c r="CQ553" s="616">
        <f t="shared" si="654"/>
        <v>0</v>
      </c>
      <c r="CR553" s="210"/>
      <c r="CS553" s="275"/>
      <c r="CW553" s="278"/>
      <c r="DH553" s="140"/>
      <c r="DI553" s="616"/>
    </row>
    <row r="554" spans="1:113" outlineLevel="1">
      <c r="A554" s="214" t="s">
        <v>1200</v>
      </c>
      <c r="B554" s="215" t="s">
        <v>1201</v>
      </c>
      <c r="C554" s="216" t="s">
        <v>234</v>
      </c>
      <c r="D554" s="217"/>
      <c r="E554" s="216"/>
      <c r="F554" s="216"/>
      <c r="G554" s="216" t="s">
        <v>234</v>
      </c>
      <c r="H554" s="216" t="s">
        <v>234</v>
      </c>
      <c r="I554" s="217" t="s">
        <v>234</v>
      </c>
      <c r="J554" s="217"/>
      <c r="K554" s="216" t="s">
        <v>234</v>
      </c>
      <c r="L554" s="216"/>
      <c r="M554" s="217"/>
      <c r="N554" s="216"/>
      <c r="O554" s="217"/>
      <c r="P554" s="216"/>
      <c r="Q554" s="217"/>
      <c r="R554" s="217" t="s">
        <v>234</v>
      </c>
      <c r="S554" s="217"/>
      <c r="T554" s="217"/>
      <c r="U554" s="218">
        <f t="shared" ref="U554:U570" si="683">COUNTA(C554:T554)</f>
        <v>6</v>
      </c>
      <c r="V554" s="867" t="s">
        <v>235</v>
      </c>
      <c r="W554" s="219">
        <v>136221</v>
      </c>
      <c r="X554" s="220">
        <v>3</v>
      </c>
      <c r="Y554" s="221">
        <f t="shared" si="621"/>
        <v>1.03</v>
      </c>
      <c r="Z554" s="199">
        <v>19</v>
      </c>
      <c r="AA554" s="221">
        <f t="shared" si="622"/>
        <v>1.7535060530771003</v>
      </c>
      <c r="AB554" s="199">
        <f t="shared" si="659"/>
        <v>238864.34805621568</v>
      </c>
      <c r="AC554">
        <v>11.8</v>
      </c>
      <c r="AD554" s="199">
        <f t="shared" si="660"/>
        <v>28185.993070633453</v>
      </c>
      <c r="AE554" s="199">
        <f t="shared" si="623"/>
        <v>26776.693417101778</v>
      </c>
      <c r="AF554" s="199">
        <f t="shared" si="658"/>
        <v>0</v>
      </c>
      <c r="AG554" s="614">
        <f t="shared" si="656"/>
        <v>1.2380367517200817E-3</v>
      </c>
      <c r="AH554" s="199">
        <f>AB554*0.05</f>
        <v>11943.217402810784</v>
      </c>
      <c r="AI554" s="252">
        <f t="shared" si="639"/>
        <v>9.2522295645386333E-4</v>
      </c>
      <c r="AJ554" s="199">
        <f t="shared" si="640"/>
        <v>40129.21047344424</v>
      </c>
      <c r="AK554" s="199">
        <f t="shared" si="662"/>
        <v>9554.5739222486282</v>
      </c>
      <c r="AL554" s="199">
        <f t="shared" si="663"/>
        <v>9554.5739222486282</v>
      </c>
      <c r="AM554" s="199">
        <f t="shared" si="641"/>
        <v>19109.147844497256</v>
      </c>
      <c r="AN554" s="645">
        <f t="shared" si="642"/>
        <v>9.2522295645386344E-4</v>
      </c>
      <c r="AO554" s="199">
        <v>10</v>
      </c>
      <c r="AP554" s="250">
        <f t="shared" si="643"/>
        <v>1.1362345188046814E-3</v>
      </c>
      <c r="AQ554" s="199">
        <v>10</v>
      </c>
      <c r="AU554" s="199">
        <v>0</v>
      </c>
      <c r="AW554" s="250">
        <f t="shared" si="644"/>
        <v>0</v>
      </c>
      <c r="AX554" s="199">
        <v>1</v>
      </c>
      <c r="AY554" s="199">
        <f t="shared" ref="AY554:AY570" si="684">AJ554/962669*302326</f>
        <v>12602.570235038735</v>
      </c>
      <c r="AZ554" s="199">
        <f t="shared" si="645"/>
        <v>12602.570235038735</v>
      </c>
      <c r="BA554" s="252">
        <f t="shared" si="646"/>
        <v>9.9064380247877184E-4</v>
      </c>
      <c r="BB554" s="284">
        <v>0</v>
      </c>
      <c r="BC554" s="199">
        <f t="shared" ref="BC554:BC570" si="685">AD554*BB554*0.18*4</f>
        <v>0</v>
      </c>
      <c r="BD554" s="270">
        <f t="shared" si="669"/>
        <v>0</v>
      </c>
      <c r="BE554" s="199">
        <f t="shared" ref="BE554:BE570" si="686">AD554*BB554*0.77*4</f>
        <v>0</v>
      </c>
      <c r="BF554" s="251">
        <f t="shared" si="671"/>
        <v>0</v>
      </c>
      <c r="BG554" s="204">
        <f t="shared" ref="BG554:BG570" si="687">BC554+BE554</f>
        <v>0</v>
      </c>
      <c r="BH554" s="636">
        <v>1</v>
      </c>
      <c r="BI554" s="199">
        <f t="shared" si="647"/>
        <v>73092.490505202004</v>
      </c>
      <c r="BJ554" s="199">
        <f t="shared" si="648"/>
        <v>146184.98101040401</v>
      </c>
      <c r="BK554" s="199">
        <f t="shared" si="655"/>
        <v>219277.47151560601</v>
      </c>
      <c r="BL554" s="251">
        <f t="shared" si="649"/>
        <v>9.2522295645386344E-4</v>
      </c>
      <c r="BM554" s="199">
        <f t="shared" ref="BM554:BM570" si="688">AH554/286509*487298</f>
        <v>20313.169757162563</v>
      </c>
      <c r="BN554" s="251">
        <f t="shared" si="650"/>
        <v>8.7718584296853151E-4</v>
      </c>
      <c r="BT554" s="199">
        <f>'Detailed Budget'!$AD$12</f>
        <v>194045122715</v>
      </c>
      <c r="BU554" s="199">
        <f>'Detailed Budget'!$AD$24</f>
        <v>194045122715</v>
      </c>
      <c r="BV554" s="596">
        <f t="shared" ref="BV554:BV570" si="689">AV554/34743979</f>
        <v>0</v>
      </c>
      <c r="BW554" s="278"/>
      <c r="BX554" s="275">
        <f t="shared" si="619"/>
        <v>0</v>
      </c>
      <c r="BY554" s="275">
        <f t="shared" si="620"/>
        <v>0</v>
      </c>
      <c r="CA554" s="199">
        <f>'Detailed Budget'!$AD$96</f>
        <v>71050111380.677719</v>
      </c>
      <c r="CB554" s="275">
        <f t="shared" si="651"/>
        <v>70385352.504694834</v>
      </c>
      <c r="CE554" s="199">
        <f>'Detailed Budget'!$AD$175</f>
        <v>4330586076.5988197</v>
      </c>
      <c r="CF554" s="275">
        <f t="shared" ref="CF554:CF570" si="690">BB554*BD554*CE554</f>
        <v>0</v>
      </c>
      <c r="CG554" s="199">
        <f>'Detailed Budget'!$AD$176</f>
        <v>20662817754.37001</v>
      </c>
      <c r="CH554" s="275">
        <f t="shared" ref="CH554:CH570" si="691">BB554*BF554*CG554</f>
        <v>0</v>
      </c>
      <c r="CI554" s="275">
        <f t="shared" si="657"/>
        <v>0</v>
      </c>
      <c r="CJ554" s="275">
        <f>'Detailed Budget'!$AD$178</f>
        <v>46025131033.061455</v>
      </c>
      <c r="CK554" s="275">
        <f t="shared" ref="CK554:CK570" si="692">BB554*AG554*CJ554</f>
        <v>0</v>
      </c>
      <c r="CL554" s="275">
        <f t="shared" si="661"/>
        <v>0</v>
      </c>
      <c r="CM554" s="278">
        <f>'Detailed Budget'!$AD$189</f>
        <v>77498869683.252869</v>
      </c>
      <c r="CN554" s="275">
        <f t="shared" si="652"/>
        <v>71703733.330171913</v>
      </c>
      <c r="CO554" s="140">
        <f>'Detailed Budget'!$AD$191</f>
        <v>2684962805.4134097</v>
      </c>
      <c r="CP554" s="616">
        <f t="shared" si="653"/>
        <v>2484189.2247932544</v>
      </c>
      <c r="CQ554" s="616">
        <f t="shared" si="654"/>
        <v>74187922.554965168</v>
      </c>
      <c r="CR554" s="199">
        <f>'Detailed Budget'!$AD$195</f>
        <v>18734176418</v>
      </c>
      <c r="CS554" s="275">
        <f t="shared" ref="CS554:CS570" si="693">BN554*CR554</f>
        <v>16433354.333544513</v>
      </c>
      <c r="CW554" s="278"/>
      <c r="DH554" s="140">
        <f>'Detailed Budget'!$AD$163</f>
        <v>4928560000</v>
      </c>
      <c r="DI554" s="616">
        <f t="shared" ref="DI554:DI572" si="694">AP554*DH554</f>
        <v>5600000</v>
      </c>
    </row>
    <row r="555" spans="1:113" outlineLevel="1">
      <c r="A555" s="214" t="s">
        <v>1202</v>
      </c>
      <c r="B555" s="215" t="s">
        <v>1203</v>
      </c>
      <c r="C555" s="216" t="s">
        <v>234</v>
      </c>
      <c r="D555" s="217"/>
      <c r="E555" s="216"/>
      <c r="F555" s="216"/>
      <c r="G555" s="216" t="s">
        <v>234</v>
      </c>
      <c r="H555" s="216" t="s">
        <v>234</v>
      </c>
      <c r="I555" s="217" t="s">
        <v>234</v>
      </c>
      <c r="J555" s="217"/>
      <c r="K555" s="216"/>
      <c r="L555" s="216"/>
      <c r="M555" s="217" t="s">
        <v>234</v>
      </c>
      <c r="N555" s="216"/>
      <c r="O555" s="217"/>
      <c r="P555" s="216"/>
      <c r="Q555" s="217"/>
      <c r="R555" s="217" t="s">
        <v>234</v>
      </c>
      <c r="S555" s="217"/>
      <c r="T555" s="217"/>
      <c r="U555" s="218">
        <f t="shared" si="683"/>
        <v>6</v>
      </c>
      <c r="V555" s="867" t="s">
        <v>235</v>
      </c>
      <c r="W555" s="219">
        <v>197292</v>
      </c>
      <c r="X555" s="220">
        <v>3</v>
      </c>
      <c r="Y555" s="221">
        <f t="shared" si="621"/>
        <v>1.03</v>
      </c>
      <c r="Z555" s="199">
        <v>19</v>
      </c>
      <c r="AA555" s="221">
        <f t="shared" si="622"/>
        <v>1.7535060530771003</v>
      </c>
      <c r="AB555" s="199">
        <f t="shared" si="659"/>
        <v>345952.71622368728</v>
      </c>
      <c r="AC555">
        <v>11.8</v>
      </c>
      <c r="AD555" s="199">
        <f t="shared" si="660"/>
        <v>40822.420514395104</v>
      </c>
      <c r="AE555" s="199">
        <f t="shared" si="623"/>
        <v>38781.299488675344</v>
      </c>
      <c r="AF555" s="199">
        <f t="shared" si="658"/>
        <v>0</v>
      </c>
      <c r="AG555" s="614">
        <f t="shared" si="656"/>
        <v>1.7930770352615113E-3</v>
      </c>
      <c r="AH555" s="199">
        <f t="shared" ref="AH555:AH570" si="695">AB555*0.05</f>
        <v>17297.635811184366</v>
      </c>
      <c r="AI555" s="252">
        <f t="shared" si="639"/>
        <v>1.340021637814255E-3</v>
      </c>
      <c r="AJ555" s="199">
        <f t="shared" si="640"/>
        <v>58120.05632557947</v>
      </c>
      <c r="AK555" s="199">
        <f t="shared" si="662"/>
        <v>13838.108648947491</v>
      </c>
      <c r="AL555" s="199">
        <f t="shared" si="663"/>
        <v>13838.108648947491</v>
      </c>
      <c r="AM555" s="199">
        <f t="shared" si="641"/>
        <v>27676.217297894982</v>
      </c>
      <c r="AN555" s="645">
        <f t="shared" si="642"/>
        <v>1.3400216378142548E-3</v>
      </c>
      <c r="AO555" s="199">
        <v>11</v>
      </c>
      <c r="AP555" s="250">
        <f t="shared" si="643"/>
        <v>1.2498579706851495E-3</v>
      </c>
      <c r="AQ555" s="199">
        <v>11</v>
      </c>
      <c r="AU555" s="199">
        <v>0</v>
      </c>
      <c r="AW555" s="250">
        <f t="shared" si="644"/>
        <v>0</v>
      </c>
      <c r="AX555" s="199">
        <v>1</v>
      </c>
      <c r="AY555" s="199">
        <f t="shared" si="684"/>
        <v>18252.591647479185</v>
      </c>
      <c r="AZ555" s="199">
        <f t="shared" si="645"/>
        <v>18252.591647479185</v>
      </c>
      <c r="BA555" s="252">
        <f t="shared" si="646"/>
        <v>1.4347721502458641E-3</v>
      </c>
      <c r="BB555" s="284">
        <v>0</v>
      </c>
      <c r="BC555" s="199">
        <f t="shared" si="685"/>
        <v>0</v>
      </c>
      <c r="BD555" s="270">
        <f t="shared" si="669"/>
        <v>0</v>
      </c>
      <c r="BE555" s="199">
        <f t="shared" si="686"/>
        <v>0</v>
      </c>
      <c r="BF555" s="251">
        <f t="shared" si="671"/>
        <v>0</v>
      </c>
      <c r="BG555" s="204">
        <f t="shared" si="687"/>
        <v>0</v>
      </c>
      <c r="BH555" s="636">
        <v>1</v>
      </c>
      <c r="BI555" s="199">
        <f t="shared" si="647"/>
        <v>105861.5311644483</v>
      </c>
      <c r="BJ555" s="199">
        <f t="shared" si="648"/>
        <v>211723.0623288966</v>
      </c>
      <c r="BK555" s="199">
        <f t="shared" si="655"/>
        <v>317584.5934933449</v>
      </c>
      <c r="BL555" s="251">
        <f t="shared" si="649"/>
        <v>1.3400216378142548E-3</v>
      </c>
      <c r="BM555" s="199">
        <f t="shared" si="688"/>
        <v>29420.029861255731</v>
      </c>
      <c r="BN555" s="251">
        <f t="shared" si="650"/>
        <v>1.2704483841033873E-3</v>
      </c>
      <c r="BT555" s="199">
        <f>'Detailed Budget'!$AD$12</f>
        <v>194045122715</v>
      </c>
      <c r="BU555" s="199">
        <f>'Detailed Budget'!$AD$24</f>
        <v>194045122715</v>
      </c>
      <c r="BV555" s="596">
        <f t="shared" si="689"/>
        <v>0</v>
      </c>
      <c r="BW555" s="278"/>
      <c r="BX555" s="275">
        <f t="shared" si="619"/>
        <v>0</v>
      </c>
      <c r="BY555" s="275">
        <f t="shared" si="620"/>
        <v>0</v>
      </c>
      <c r="CA555" s="199">
        <f>'Detailed Budget'!$AD$96</f>
        <v>71050111380.677719</v>
      </c>
      <c r="CB555" s="275">
        <f t="shared" si="651"/>
        <v>101940721.08086312</v>
      </c>
      <c r="CE555" s="199">
        <f>'Detailed Budget'!$AD$175</f>
        <v>4330586076.5988197</v>
      </c>
      <c r="CF555" s="275">
        <f t="shared" si="690"/>
        <v>0</v>
      </c>
      <c r="CG555" s="199">
        <f>'Detailed Budget'!$AD$176</f>
        <v>20662817754.37001</v>
      </c>
      <c r="CH555" s="275">
        <f t="shared" si="691"/>
        <v>0</v>
      </c>
      <c r="CI555" s="275">
        <f t="shared" si="657"/>
        <v>0</v>
      </c>
      <c r="CJ555" s="275">
        <f>'Detailed Budget'!$AD$178</f>
        <v>46025131033.061455</v>
      </c>
      <c r="CK555" s="275">
        <f t="shared" si="692"/>
        <v>0</v>
      </c>
      <c r="CL555" s="275">
        <f t="shared" si="661"/>
        <v>0</v>
      </c>
      <c r="CM555" s="278">
        <f>'Detailed Budget'!$AD$189</f>
        <v>77498869683.252869</v>
      </c>
      <c r="CN555" s="275">
        <f t="shared" si="652"/>
        <v>103850162.28170601</v>
      </c>
      <c r="CO555" s="140">
        <f>'Detailed Budget'!$AD$191</f>
        <v>2684962805.4134097</v>
      </c>
      <c r="CP555" s="616">
        <f t="shared" si="653"/>
        <v>3597908.2559804334</v>
      </c>
      <c r="CQ555" s="616">
        <f t="shared" si="654"/>
        <v>107448070.53768644</v>
      </c>
      <c r="CR555" s="199">
        <f>'Detailed Budget'!$AD$195</f>
        <v>18734176418</v>
      </c>
      <c r="CS555" s="275">
        <f t="shared" si="693"/>
        <v>23800804.157755885</v>
      </c>
      <c r="CW555" s="278"/>
      <c r="DH555" s="140">
        <f>'Detailed Budget'!$AD$163</f>
        <v>4928560000</v>
      </c>
      <c r="DI555" s="616">
        <f t="shared" si="694"/>
        <v>6160000</v>
      </c>
    </row>
    <row r="556" spans="1:113" outlineLevel="1">
      <c r="A556" s="214" t="s">
        <v>1204</v>
      </c>
      <c r="B556" s="215" t="s">
        <v>1205</v>
      </c>
      <c r="C556" s="216" t="s">
        <v>234</v>
      </c>
      <c r="D556" s="217"/>
      <c r="E556" s="216"/>
      <c r="F556" s="216"/>
      <c r="G556" s="216" t="s">
        <v>234</v>
      </c>
      <c r="H556" s="216" t="s">
        <v>234</v>
      </c>
      <c r="I556" s="217" t="s">
        <v>234</v>
      </c>
      <c r="J556" s="217"/>
      <c r="K556" s="216"/>
      <c r="L556" s="216"/>
      <c r="M556" s="217" t="s">
        <v>234</v>
      </c>
      <c r="N556" s="216"/>
      <c r="O556" s="217"/>
      <c r="P556" s="216"/>
      <c r="Q556" s="217" t="s">
        <v>234</v>
      </c>
      <c r="R556" s="217"/>
      <c r="S556" s="217"/>
      <c r="T556" s="217"/>
      <c r="U556" s="218">
        <f t="shared" si="683"/>
        <v>6</v>
      </c>
      <c r="V556" s="867" t="s">
        <v>1096</v>
      </c>
      <c r="W556" s="219">
        <v>277119</v>
      </c>
      <c r="X556" s="220">
        <v>3</v>
      </c>
      <c r="Y556" s="221">
        <f t="shared" si="621"/>
        <v>1.03</v>
      </c>
      <c r="Z556" s="199">
        <v>19</v>
      </c>
      <c r="AA556" s="221">
        <f t="shared" si="622"/>
        <v>1.7535060530771003</v>
      </c>
      <c r="AB556" s="199">
        <f t="shared" si="659"/>
        <v>485929.84392267297</v>
      </c>
      <c r="AC556">
        <v>11.8</v>
      </c>
      <c r="AD556" s="199">
        <f t="shared" si="660"/>
        <v>57339.721582875412</v>
      </c>
      <c r="AE556" s="199">
        <f t="shared" si="623"/>
        <v>54472.735503731637</v>
      </c>
      <c r="AF556" s="199">
        <f t="shared" si="658"/>
        <v>0</v>
      </c>
      <c r="AG556" s="614">
        <f t="shared" si="656"/>
        <v>2.5185801499028582E-3</v>
      </c>
      <c r="AH556" s="199">
        <f t="shared" si="695"/>
        <v>24296.492196133651</v>
      </c>
      <c r="AI556" s="252">
        <f t="shared" si="639"/>
        <v>1.8822124376530653E-3</v>
      </c>
      <c r="AJ556" s="199">
        <f t="shared" si="640"/>
        <v>81636.213779009064</v>
      </c>
      <c r="AK556" s="199">
        <f t="shared" si="662"/>
        <v>19437.19375690692</v>
      </c>
      <c r="AL556" s="199">
        <f t="shared" si="663"/>
        <v>19437.19375690692</v>
      </c>
      <c r="AM556" s="199">
        <f t="shared" si="641"/>
        <v>38874.387513813839</v>
      </c>
      <c r="AN556" s="645">
        <f t="shared" si="642"/>
        <v>1.8822124376530651E-3</v>
      </c>
      <c r="AO556" s="199">
        <v>12</v>
      </c>
      <c r="AP556" s="250">
        <f t="shared" si="643"/>
        <v>1.3634814225656176E-3</v>
      </c>
      <c r="AQ556" s="199">
        <v>12</v>
      </c>
      <c r="AU556" s="199">
        <v>0</v>
      </c>
      <c r="AW556" s="250">
        <f t="shared" si="644"/>
        <v>0</v>
      </c>
      <c r="AX556" s="199">
        <v>1</v>
      </c>
      <c r="AY556" s="199">
        <f t="shared" si="684"/>
        <v>25637.836023547756</v>
      </c>
      <c r="AZ556" s="199">
        <f t="shared" si="645"/>
        <v>25637.836023547756</v>
      </c>
      <c r="BA556" s="252">
        <f t="shared" si="646"/>
        <v>2.0153002833565659E-3</v>
      </c>
      <c r="BB556" s="284">
        <v>0</v>
      </c>
      <c r="BC556" s="199">
        <f t="shared" si="685"/>
        <v>0</v>
      </c>
      <c r="BD556" s="270">
        <f t="shared" si="669"/>
        <v>0</v>
      </c>
      <c r="BE556" s="199">
        <f t="shared" si="686"/>
        <v>0</v>
      </c>
      <c r="BF556" s="251">
        <f t="shared" si="671"/>
        <v>0</v>
      </c>
      <c r="BG556" s="204">
        <f t="shared" si="687"/>
        <v>0</v>
      </c>
      <c r="BH556" s="636">
        <v>1</v>
      </c>
      <c r="BI556" s="199">
        <f t="shared" si="647"/>
        <v>148694.53224033793</v>
      </c>
      <c r="BJ556" s="199">
        <f t="shared" si="648"/>
        <v>297389.06448067585</v>
      </c>
      <c r="BK556" s="199">
        <f t="shared" si="655"/>
        <v>446083.59672101378</v>
      </c>
      <c r="BL556" s="251">
        <f t="shared" si="649"/>
        <v>1.8822124376530649E-3</v>
      </c>
      <c r="BM556" s="199">
        <f t="shared" si="688"/>
        <v>41323.770123073045</v>
      </c>
      <c r="BN556" s="251">
        <f t="shared" si="650"/>
        <v>1.7844889085940972E-3</v>
      </c>
      <c r="BT556" s="199">
        <f>'Detailed Budget'!$AD$12</f>
        <v>194045122715</v>
      </c>
      <c r="BU556" s="199">
        <f>'Detailed Budget'!$AD$24</f>
        <v>194045122715</v>
      </c>
      <c r="BV556" s="596">
        <f t="shared" si="689"/>
        <v>0</v>
      </c>
      <c r="BW556" s="278"/>
      <c r="BX556" s="275">
        <f t="shared" si="619"/>
        <v>0</v>
      </c>
      <c r="BY556" s="275">
        <f t="shared" si="620"/>
        <v>0</v>
      </c>
      <c r="CA556" s="199">
        <f>'Detailed Budget'!$AD$96</f>
        <v>71050111380.677719</v>
      </c>
      <c r="CB556" s="275">
        <f t="shared" si="651"/>
        <v>143187309.59799537</v>
      </c>
      <c r="CE556" s="199">
        <f>'Detailed Budget'!$AD$175</f>
        <v>4330586076.5988197</v>
      </c>
      <c r="CF556" s="275">
        <f t="shared" si="690"/>
        <v>0</v>
      </c>
      <c r="CG556" s="199">
        <f>'Detailed Budget'!$AD$176</f>
        <v>20662817754.37001</v>
      </c>
      <c r="CH556" s="275">
        <f t="shared" si="691"/>
        <v>0</v>
      </c>
      <c r="CI556" s="275">
        <f t="shared" si="657"/>
        <v>0</v>
      </c>
      <c r="CJ556" s="275">
        <f>'Detailed Budget'!$AD$178</f>
        <v>46025131033.061455</v>
      </c>
      <c r="CK556" s="275">
        <f t="shared" si="692"/>
        <v>0</v>
      </c>
      <c r="CL556" s="275">
        <f t="shared" si="661"/>
        <v>0</v>
      </c>
      <c r="CM556" s="278">
        <f>'Detailed Budget'!$AD$189</f>
        <v>77498869683.252869</v>
      </c>
      <c r="CN556" s="275">
        <f t="shared" si="652"/>
        <v>145869336.42187259</v>
      </c>
      <c r="CO556" s="140">
        <f>'Detailed Budget'!$AD$191</f>
        <v>2684962805.4134097</v>
      </c>
      <c r="CP556" s="616">
        <f t="shared" si="653"/>
        <v>5053670.3869849863</v>
      </c>
      <c r="CQ556" s="616">
        <f t="shared" si="654"/>
        <v>150923006.80885756</v>
      </c>
      <c r="CR556" s="199">
        <f>'Detailed Budget'!$AD$195</f>
        <v>18734176418</v>
      </c>
      <c r="CS556" s="275">
        <f t="shared" si="693"/>
        <v>33430930.029566094</v>
      </c>
      <c r="CW556" s="278"/>
      <c r="DH556" s="140">
        <f>'Detailed Budget'!$AD$163</f>
        <v>4928560000</v>
      </c>
      <c r="DI556" s="616">
        <f t="shared" si="694"/>
        <v>6720000</v>
      </c>
    </row>
    <row r="557" spans="1:113" outlineLevel="1">
      <c r="A557" s="214" t="s">
        <v>1206</v>
      </c>
      <c r="B557" s="215" t="s">
        <v>1207</v>
      </c>
      <c r="C557" s="216" t="s">
        <v>234</v>
      </c>
      <c r="D557" s="217"/>
      <c r="E557" s="216"/>
      <c r="F557" s="216"/>
      <c r="G557" s="216" t="s">
        <v>234</v>
      </c>
      <c r="H557" s="216" t="s">
        <v>234</v>
      </c>
      <c r="I557" s="217" t="s">
        <v>234</v>
      </c>
      <c r="J557" s="217"/>
      <c r="K557" s="216"/>
      <c r="L557" s="216"/>
      <c r="M557" s="217" t="s">
        <v>234</v>
      </c>
      <c r="N557" s="216"/>
      <c r="O557" s="217"/>
      <c r="P557" s="216"/>
      <c r="Q557" s="217" t="s">
        <v>234</v>
      </c>
      <c r="R557" s="217"/>
      <c r="S557" s="217"/>
      <c r="T557" s="217"/>
      <c r="U557" s="218">
        <f t="shared" si="683"/>
        <v>6</v>
      </c>
      <c r="V557" s="867" t="s">
        <v>1096</v>
      </c>
      <c r="W557" s="219">
        <v>242140</v>
      </c>
      <c r="X557" s="220">
        <v>3</v>
      </c>
      <c r="Y557" s="221">
        <f t="shared" si="621"/>
        <v>1.03</v>
      </c>
      <c r="Z557" s="199">
        <v>19</v>
      </c>
      <c r="AA557" s="221">
        <f t="shared" si="622"/>
        <v>1.7535060530771003</v>
      </c>
      <c r="AB557" s="199">
        <f t="shared" si="659"/>
        <v>424593.95569208905</v>
      </c>
      <c r="AC557">
        <v>11.8</v>
      </c>
      <c r="AD557" s="199">
        <f t="shared" si="660"/>
        <v>50102.086771666509</v>
      </c>
      <c r="AE557" s="199">
        <f t="shared" si="623"/>
        <v>47596.982433083183</v>
      </c>
      <c r="AF557" s="199">
        <f t="shared" si="658"/>
        <v>0</v>
      </c>
      <c r="AG557" s="614">
        <f t="shared" si="656"/>
        <v>2.2006755130376415E-3</v>
      </c>
      <c r="AH557" s="199">
        <f t="shared" si="695"/>
        <v>21229.697784604454</v>
      </c>
      <c r="AI557" s="252">
        <f t="shared" si="639"/>
        <v>1.6446325212392985E-3</v>
      </c>
      <c r="AJ557" s="199">
        <f t="shared" si="640"/>
        <v>71331.784556270955</v>
      </c>
      <c r="AK557" s="199">
        <f t="shared" si="662"/>
        <v>16983.758227683564</v>
      </c>
      <c r="AL557" s="199">
        <f t="shared" si="663"/>
        <v>16983.758227683564</v>
      </c>
      <c r="AM557" s="199">
        <f t="shared" si="641"/>
        <v>33967.516455367127</v>
      </c>
      <c r="AN557" s="645">
        <f t="shared" si="642"/>
        <v>1.6446325212392985E-3</v>
      </c>
      <c r="AO557" s="199">
        <v>13</v>
      </c>
      <c r="AP557" s="250">
        <f t="shared" si="643"/>
        <v>1.4771048744460858E-3</v>
      </c>
      <c r="AQ557" s="199">
        <v>13</v>
      </c>
      <c r="AU557" s="199">
        <v>0</v>
      </c>
      <c r="AW557" s="250">
        <f t="shared" si="644"/>
        <v>0</v>
      </c>
      <c r="AX557" s="199">
        <v>1</v>
      </c>
      <c r="AY557" s="199">
        <f t="shared" si="684"/>
        <v>22401.732161063846</v>
      </c>
      <c r="AZ557" s="199">
        <f t="shared" si="645"/>
        <v>22401.732161063846</v>
      </c>
      <c r="BA557" s="252">
        <f t="shared" si="646"/>
        <v>1.7609215196791226E-3</v>
      </c>
      <c r="BB557" s="284">
        <v>0</v>
      </c>
      <c r="BC557" s="199">
        <f t="shared" si="685"/>
        <v>0</v>
      </c>
      <c r="BD557" s="270">
        <f t="shared" si="669"/>
        <v>0</v>
      </c>
      <c r="BE557" s="199">
        <f t="shared" si="686"/>
        <v>0</v>
      </c>
      <c r="BF557" s="251">
        <f t="shared" si="671"/>
        <v>0</v>
      </c>
      <c r="BG557" s="204">
        <f t="shared" si="687"/>
        <v>0</v>
      </c>
      <c r="BH557" s="636">
        <v>1</v>
      </c>
      <c r="BI557" s="199">
        <f t="shared" si="647"/>
        <v>129925.75044177927</v>
      </c>
      <c r="BJ557" s="199">
        <f t="shared" si="648"/>
        <v>259851.50088355853</v>
      </c>
      <c r="BK557" s="199">
        <f t="shared" si="655"/>
        <v>389777.2513253378</v>
      </c>
      <c r="BL557" s="251">
        <f t="shared" si="649"/>
        <v>1.6446325212392987E-3</v>
      </c>
      <c r="BM557" s="199">
        <f t="shared" si="688"/>
        <v>36107.728800987687</v>
      </c>
      <c r="BN557" s="251">
        <f t="shared" si="650"/>
        <v>1.5592440227013473E-3</v>
      </c>
      <c r="BT557" s="199">
        <f>'Detailed Budget'!$AD$12</f>
        <v>194045122715</v>
      </c>
      <c r="BU557" s="199">
        <f>'Detailed Budget'!$AD$24</f>
        <v>194045122715</v>
      </c>
      <c r="BV557" s="596">
        <f t="shared" si="689"/>
        <v>0</v>
      </c>
      <c r="BW557" s="278"/>
      <c r="BX557" s="275">
        <f t="shared" si="619"/>
        <v>0</v>
      </c>
      <c r="BY557" s="275">
        <f t="shared" si="620"/>
        <v>0</v>
      </c>
      <c r="CA557" s="199">
        <f>'Detailed Budget'!$AD$96</f>
        <v>71050111380.677719</v>
      </c>
      <c r="CB557" s="275">
        <f t="shared" si="651"/>
        <v>125113670.10583393</v>
      </c>
      <c r="CE557" s="199">
        <f>'Detailed Budget'!$AD$175</f>
        <v>4330586076.5988197</v>
      </c>
      <c r="CF557" s="275">
        <f t="shared" si="690"/>
        <v>0</v>
      </c>
      <c r="CG557" s="199">
        <f>'Detailed Budget'!$AD$176</f>
        <v>20662817754.37001</v>
      </c>
      <c r="CH557" s="275">
        <f t="shared" si="691"/>
        <v>0</v>
      </c>
      <c r="CI557" s="275">
        <f t="shared" si="657"/>
        <v>0</v>
      </c>
      <c r="CJ557" s="275">
        <f>'Detailed Budget'!$AD$178</f>
        <v>46025131033.061455</v>
      </c>
      <c r="CK557" s="275">
        <f t="shared" si="692"/>
        <v>0</v>
      </c>
      <c r="CL557" s="275">
        <f t="shared" si="661"/>
        <v>0</v>
      </c>
      <c r="CM557" s="278">
        <f>'Detailed Budget'!$AD$189</f>
        <v>77498869683.252869</v>
      </c>
      <c r="CN557" s="275">
        <f t="shared" si="652"/>
        <v>127457161.44036402</v>
      </c>
      <c r="CO557" s="140">
        <f>'Detailed Budget'!$AD$191</f>
        <v>2684962805.4134097</v>
      </c>
      <c r="CP557" s="616">
        <f t="shared" si="653"/>
        <v>4415777.1481007962</v>
      </c>
      <c r="CQ557" s="616">
        <f t="shared" si="654"/>
        <v>131872938.58846481</v>
      </c>
      <c r="CR557" s="199">
        <f>'Detailed Budget'!$AD$195</f>
        <v>18734176418</v>
      </c>
      <c r="CS557" s="275">
        <f t="shared" si="693"/>
        <v>29211152.599999037</v>
      </c>
      <c r="CW557" s="278"/>
      <c r="DH557" s="140">
        <f>'Detailed Budget'!$AD$163</f>
        <v>4928560000</v>
      </c>
      <c r="DI557" s="616">
        <f t="shared" si="694"/>
        <v>7280000.0000000009</v>
      </c>
    </row>
    <row r="558" spans="1:113" outlineLevel="1">
      <c r="A558" s="214" t="s">
        <v>1208</v>
      </c>
      <c r="B558" s="215" t="s">
        <v>1209</v>
      </c>
      <c r="C558" s="216" t="s">
        <v>234</v>
      </c>
      <c r="D558" s="217"/>
      <c r="E558" s="216"/>
      <c r="F558" s="216"/>
      <c r="G558" s="216" t="s">
        <v>234</v>
      </c>
      <c r="H558" s="216" t="s">
        <v>234</v>
      </c>
      <c r="I558" s="217" t="s">
        <v>234</v>
      </c>
      <c r="J558" s="217"/>
      <c r="K558" s="216"/>
      <c r="L558" s="216"/>
      <c r="M558" s="217" t="s">
        <v>234</v>
      </c>
      <c r="N558" s="216"/>
      <c r="O558" s="217"/>
      <c r="P558" s="216"/>
      <c r="Q558" s="217" t="s">
        <v>234</v>
      </c>
      <c r="R558" s="217"/>
      <c r="S558" s="217"/>
      <c r="T558" s="217"/>
      <c r="U558" s="218">
        <f t="shared" si="683"/>
        <v>6</v>
      </c>
      <c r="V558" s="867" t="s">
        <v>1096</v>
      </c>
      <c r="W558" s="219">
        <v>198032</v>
      </c>
      <c r="X558" s="220">
        <v>3</v>
      </c>
      <c r="Y558" s="221">
        <f t="shared" si="621"/>
        <v>1.03</v>
      </c>
      <c r="Z558" s="199">
        <v>19</v>
      </c>
      <c r="AA558" s="221">
        <f t="shared" si="622"/>
        <v>1.7535060530771003</v>
      </c>
      <c r="AB558" s="199">
        <f t="shared" si="659"/>
        <v>347250.31070296431</v>
      </c>
      <c r="AC558">
        <v>11.8</v>
      </c>
      <c r="AD558" s="199">
        <f t="shared" si="660"/>
        <v>40975.536662949788</v>
      </c>
      <c r="AE558" s="199">
        <f t="shared" si="623"/>
        <v>38926.759829802293</v>
      </c>
      <c r="AF558" s="199">
        <f t="shared" si="658"/>
        <v>0</v>
      </c>
      <c r="AG558" s="614">
        <f t="shared" si="656"/>
        <v>1.7998024828523587E-3</v>
      </c>
      <c r="AH558" s="199">
        <f t="shared" si="695"/>
        <v>17362.515535148217</v>
      </c>
      <c r="AI558" s="252">
        <f t="shared" si="639"/>
        <v>1.3450477717273509E-3</v>
      </c>
      <c r="AJ558" s="199">
        <f t="shared" si="640"/>
        <v>58338.052198098005</v>
      </c>
      <c r="AK558" s="199">
        <f t="shared" si="662"/>
        <v>13890.012428118573</v>
      </c>
      <c r="AL558" s="199">
        <f t="shared" si="663"/>
        <v>13890.012428118573</v>
      </c>
      <c r="AM558" s="199">
        <f t="shared" si="641"/>
        <v>27780.024856237145</v>
      </c>
      <c r="AN558" s="645">
        <f t="shared" si="642"/>
        <v>1.3450477717273509E-3</v>
      </c>
      <c r="AO558" s="199">
        <v>13</v>
      </c>
      <c r="AP558" s="250">
        <f t="shared" si="643"/>
        <v>1.4771048744460858E-3</v>
      </c>
      <c r="AQ558" s="199">
        <v>13</v>
      </c>
      <c r="AU558" s="199">
        <v>0</v>
      </c>
      <c r="AW558" s="250">
        <f t="shared" si="644"/>
        <v>0</v>
      </c>
      <c r="AX558" s="199">
        <v>1</v>
      </c>
      <c r="AY558" s="199">
        <f t="shared" si="684"/>
        <v>18321.053206078286</v>
      </c>
      <c r="AZ558" s="199">
        <f t="shared" si="645"/>
        <v>18321.053206078286</v>
      </c>
      <c r="BA558" s="252">
        <f t="shared" si="646"/>
        <v>1.4401536730201372E-3</v>
      </c>
      <c r="BB558" s="284">
        <v>0</v>
      </c>
      <c r="BC558" s="199">
        <f t="shared" si="685"/>
        <v>0</v>
      </c>
      <c r="BD558" s="270">
        <f t="shared" si="669"/>
        <v>0</v>
      </c>
      <c r="BE558" s="199">
        <f t="shared" si="686"/>
        <v>0</v>
      </c>
      <c r="BF558" s="251">
        <f t="shared" si="671"/>
        <v>0</v>
      </c>
      <c r="BG558" s="204">
        <f t="shared" si="687"/>
        <v>0</v>
      </c>
      <c r="BH558" s="636">
        <v>1</v>
      </c>
      <c r="BI558" s="199">
        <f t="shared" si="647"/>
        <v>106258.59507510708</v>
      </c>
      <c r="BJ558" s="199">
        <f t="shared" si="648"/>
        <v>212517.19015021416</v>
      </c>
      <c r="BK558" s="199">
        <f t="shared" si="655"/>
        <v>318775.78522532125</v>
      </c>
      <c r="BL558" s="251">
        <f t="shared" si="649"/>
        <v>1.3450477717273509E-3</v>
      </c>
      <c r="BM558" s="199">
        <f t="shared" si="688"/>
        <v>29530.378086715096</v>
      </c>
      <c r="BN558" s="251">
        <f t="shared" si="650"/>
        <v>1.2752135636557083E-3</v>
      </c>
      <c r="BT558" s="199">
        <f>'Detailed Budget'!$AD$12</f>
        <v>194045122715</v>
      </c>
      <c r="BU558" s="199">
        <f>'Detailed Budget'!$AD$24</f>
        <v>194045122715</v>
      </c>
      <c r="BV558" s="596">
        <f t="shared" si="689"/>
        <v>0</v>
      </c>
      <c r="BW558" s="278"/>
      <c r="BX558" s="275">
        <f t="shared" si="619"/>
        <v>0</v>
      </c>
      <c r="BY558" s="275">
        <f t="shared" si="620"/>
        <v>0</v>
      </c>
      <c r="CA558" s="199">
        <f>'Detailed Budget'!$AD$96</f>
        <v>71050111380.677719</v>
      </c>
      <c r="CB558" s="275">
        <f t="shared" si="651"/>
        <v>102323078.87337287</v>
      </c>
      <c r="CE558" s="199">
        <f>'Detailed Budget'!$AD$175</f>
        <v>4330586076.5988197</v>
      </c>
      <c r="CF558" s="275">
        <f t="shared" si="690"/>
        <v>0</v>
      </c>
      <c r="CG558" s="199">
        <f>'Detailed Budget'!$AD$176</f>
        <v>20662817754.37001</v>
      </c>
      <c r="CH558" s="275">
        <f t="shared" si="691"/>
        <v>0</v>
      </c>
      <c r="CI558" s="275">
        <f t="shared" si="657"/>
        <v>0</v>
      </c>
      <c r="CJ558" s="275">
        <f>'Detailed Budget'!$AD$178</f>
        <v>46025131033.061455</v>
      </c>
      <c r="CK558" s="275">
        <f t="shared" si="692"/>
        <v>0</v>
      </c>
      <c r="CL558" s="275">
        <f t="shared" si="661"/>
        <v>0</v>
      </c>
      <c r="CM558" s="278">
        <f>'Detailed Budget'!$AD$189</f>
        <v>77498869683.252869</v>
      </c>
      <c r="CN558" s="275">
        <f t="shared" si="652"/>
        <v>104239681.97884762</v>
      </c>
      <c r="CO558" s="140">
        <f>'Detailed Budget'!$AD$191</f>
        <v>2684962805.4134097</v>
      </c>
      <c r="CP558" s="616">
        <f t="shared" si="653"/>
        <v>3611403.2385921236</v>
      </c>
      <c r="CQ558" s="616">
        <f t="shared" si="654"/>
        <v>107851085.21743974</v>
      </c>
      <c r="CR558" s="199">
        <f>'Detailed Budget'!$AD$195</f>
        <v>18734176418</v>
      </c>
      <c r="CS558" s="275">
        <f t="shared" si="693"/>
        <v>23890075.872152515</v>
      </c>
      <c r="CW558" s="278"/>
      <c r="DH558" s="140">
        <f>'Detailed Budget'!$AD$163</f>
        <v>4928560000</v>
      </c>
      <c r="DI558" s="616">
        <f t="shared" si="694"/>
        <v>7280000.0000000009</v>
      </c>
    </row>
    <row r="559" spans="1:113" outlineLevel="1">
      <c r="A559" s="214" t="s">
        <v>1210</v>
      </c>
      <c r="B559" s="215" t="s">
        <v>1211</v>
      </c>
      <c r="C559" s="216" t="s">
        <v>234</v>
      </c>
      <c r="D559" s="217"/>
      <c r="E559" s="216"/>
      <c r="F559" s="216"/>
      <c r="G559" s="216" t="s">
        <v>234</v>
      </c>
      <c r="H559" s="216" t="s">
        <v>234</v>
      </c>
      <c r="I559" s="217" t="s">
        <v>234</v>
      </c>
      <c r="J559" s="217"/>
      <c r="K559" s="216"/>
      <c r="L559" s="216"/>
      <c r="M559" s="217" t="s">
        <v>234</v>
      </c>
      <c r="N559" s="216"/>
      <c r="O559" s="217"/>
      <c r="P559" s="216"/>
      <c r="Q559" s="217"/>
      <c r="R559" s="217" t="s">
        <v>234</v>
      </c>
      <c r="S559" s="217"/>
      <c r="T559" s="217"/>
      <c r="U559" s="218">
        <f t="shared" si="683"/>
        <v>6</v>
      </c>
      <c r="V559" s="867" t="s">
        <v>235</v>
      </c>
      <c r="W559" s="219">
        <v>170603</v>
      </c>
      <c r="X559" s="220">
        <v>3</v>
      </c>
      <c r="Y559" s="221">
        <f t="shared" si="621"/>
        <v>1.03</v>
      </c>
      <c r="Z559" s="199">
        <v>19</v>
      </c>
      <c r="AA559" s="221">
        <f t="shared" si="622"/>
        <v>1.7535060530771003</v>
      </c>
      <c r="AB559" s="199">
        <f t="shared" si="659"/>
        <v>299153.39317311253</v>
      </c>
      <c r="AC559">
        <v>11.8</v>
      </c>
      <c r="AD559" s="199">
        <f t="shared" si="660"/>
        <v>35300.100394427282</v>
      </c>
      <c r="AE559" s="199">
        <f t="shared" si="623"/>
        <v>33535.095374705917</v>
      </c>
      <c r="AF559" s="199">
        <f t="shared" si="658"/>
        <v>0</v>
      </c>
      <c r="AG559" s="614">
        <f t="shared" si="656"/>
        <v>1.5505155882991689E-3</v>
      </c>
      <c r="AH559" s="199">
        <f t="shared" si="695"/>
        <v>14957.669658655628</v>
      </c>
      <c r="AI559" s="252">
        <f t="shared" si="639"/>
        <v>1.1587480053728753E-3</v>
      </c>
      <c r="AJ559" s="199">
        <f t="shared" si="640"/>
        <v>50257.77005308291</v>
      </c>
      <c r="AK559" s="199">
        <f t="shared" si="662"/>
        <v>11966.135726924502</v>
      </c>
      <c r="AL559" s="199">
        <f t="shared" si="663"/>
        <v>11966.135726924502</v>
      </c>
      <c r="AM559" s="199">
        <f t="shared" si="641"/>
        <v>23932.271453849004</v>
      </c>
      <c r="AN559" s="645">
        <f t="shared" si="642"/>
        <v>1.1587480053728753E-3</v>
      </c>
      <c r="AO559" s="199">
        <v>19</v>
      </c>
      <c r="AP559" s="250">
        <f t="shared" si="643"/>
        <v>2.1588455857288946E-3</v>
      </c>
      <c r="AQ559" s="199">
        <v>19</v>
      </c>
      <c r="AU559" s="199">
        <v>0</v>
      </c>
      <c r="AW559" s="250">
        <f t="shared" si="644"/>
        <v>0</v>
      </c>
      <c r="AX559" s="199">
        <v>1</v>
      </c>
      <c r="AY559" s="199">
        <f t="shared" si="684"/>
        <v>15783.442272544709</v>
      </c>
      <c r="AZ559" s="199">
        <f t="shared" si="645"/>
        <v>15783.442272544709</v>
      </c>
      <c r="BA559" s="252">
        <f t="shared" si="646"/>
        <v>1.2406809862964292E-3</v>
      </c>
      <c r="BB559" s="284">
        <v>0</v>
      </c>
      <c r="BC559" s="199">
        <f t="shared" si="685"/>
        <v>0</v>
      </c>
      <c r="BD559" s="270">
        <f t="shared" si="669"/>
        <v>0</v>
      </c>
      <c r="BE559" s="199">
        <f t="shared" si="686"/>
        <v>0</v>
      </c>
      <c r="BF559" s="251">
        <f t="shared" si="671"/>
        <v>0</v>
      </c>
      <c r="BG559" s="204">
        <f t="shared" si="687"/>
        <v>0</v>
      </c>
      <c r="BH559" s="636">
        <v>1</v>
      </c>
      <c r="BI559" s="199">
        <f t="shared" si="647"/>
        <v>91540.938310972444</v>
      </c>
      <c r="BJ559" s="199">
        <f t="shared" si="648"/>
        <v>183081.87662194489</v>
      </c>
      <c r="BK559" s="199">
        <f t="shared" si="655"/>
        <v>274622.81493291736</v>
      </c>
      <c r="BL559" s="251">
        <f t="shared" si="649"/>
        <v>1.1587480053728756E-3</v>
      </c>
      <c r="BM559" s="199">
        <f t="shared" si="688"/>
        <v>25440.18690276246</v>
      </c>
      <c r="BN559" s="251">
        <f t="shared" si="650"/>
        <v>1.0985863880602872E-3</v>
      </c>
      <c r="BT559" s="199">
        <f>'Detailed Budget'!$AD$12</f>
        <v>194045122715</v>
      </c>
      <c r="BU559" s="199">
        <f>'Detailed Budget'!$AD$24</f>
        <v>194045122715</v>
      </c>
      <c r="BV559" s="596">
        <f t="shared" si="689"/>
        <v>0</v>
      </c>
      <c r="BW559" s="278"/>
      <c r="BX559" s="275">
        <f t="shared" si="619"/>
        <v>0</v>
      </c>
      <c r="BY559" s="275">
        <f t="shared" si="620"/>
        <v>0</v>
      </c>
      <c r="CA559" s="199">
        <f>'Detailed Budget'!$AD$96</f>
        <v>71050111380.677719</v>
      </c>
      <c r="CB559" s="275">
        <f t="shared" si="651"/>
        <v>88150522.264250383</v>
      </c>
      <c r="CE559" s="199">
        <f>'Detailed Budget'!$AD$175</f>
        <v>4330586076.5988197</v>
      </c>
      <c r="CF559" s="275">
        <f t="shared" si="690"/>
        <v>0</v>
      </c>
      <c r="CG559" s="199">
        <f>'Detailed Budget'!$AD$176</f>
        <v>20662817754.37001</v>
      </c>
      <c r="CH559" s="275">
        <f t="shared" si="691"/>
        <v>0</v>
      </c>
      <c r="CI559" s="275">
        <f t="shared" si="657"/>
        <v>0</v>
      </c>
      <c r="CJ559" s="275">
        <f>'Detailed Budget'!$AD$178</f>
        <v>46025131033.061455</v>
      </c>
      <c r="CK559" s="275">
        <f t="shared" si="692"/>
        <v>0</v>
      </c>
      <c r="CL559" s="275">
        <f t="shared" si="661"/>
        <v>0</v>
      </c>
      <c r="CM559" s="278">
        <f>'Detailed Budget'!$AD$189</f>
        <v>77498869683.252869</v>
      </c>
      <c r="CN559" s="275">
        <f t="shared" si="652"/>
        <v>89801660.664121673</v>
      </c>
      <c r="CO559" s="140">
        <f>'Detailed Budget'!$AD$191</f>
        <v>2684962805.4134097</v>
      </c>
      <c r="CP559" s="616">
        <f t="shared" si="653"/>
        <v>3111195.295273148</v>
      </c>
      <c r="CQ559" s="616">
        <f t="shared" si="654"/>
        <v>92912855.959394827</v>
      </c>
      <c r="CR559" s="199">
        <f>'Detailed Budget'!$AD$195</f>
        <v>18734176418</v>
      </c>
      <c r="CS559" s="275">
        <f t="shared" si="693"/>
        <v>20581111.204334829</v>
      </c>
      <c r="CW559" s="278"/>
      <c r="DH559" s="140">
        <f>'Detailed Budget'!$AD$163</f>
        <v>4928560000</v>
      </c>
      <c r="DI559" s="616">
        <f t="shared" si="694"/>
        <v>10640000</v>
      </c>
    </row>
    <row r="560" spans="1:113" outlineLevel="1">
      <c r="A560" s="214" t="s">
        <v>1212</v>
      </c>
      <c r="B560" s="215" t="s">
        <v>1213</v>
      </c>
      <c r="C560" s="216" t="s">
        <v>234</v>
      </c>
      <c r="D560" s="217"/>
      <c r="E560" s="216"/>
      <c r="F560" s="216"/>
      <c r="G560" s="216" t="s">
        <v>234</v>
      </c>
      <c r="H560" s="216" t="s">
        <v>234</v>
      </c>
      <c r="I560" s="217" t="s">
        <v>234</v>
      </c>
      <c r="J560" s="217"/>
      <c r="K560" s="216"/>
      <c r="L560" s="216"/>
      <c r="M560" s="217" t="s">
        <v>234</v>
      </c>
      <c r="N560" s="216"/>
      <c r="O560" s="217"/>
      <c r="P560" s="216"/>
      <c r="Q560" s="217"/>
      <c r="R560" s="217" t="s">
        <v>234</v>
      </c>
      <c r="S560" s="217"/>
      <c r="T560" s="217"/>
      <c r="U560" s="218">
        <f t="shared" si="683"/>
        <v>6</v>
      </c>
      <c r="V560" s="867" t="s">
        <v>235</v>
      </c>
      <c r="W560" s="219">
        <v>208333</v>
      </c>
      <c r="X560" s="220">
        <v>3</v>
      </c>
      <c r="Y560" s="221">
        <f t="shared" si="621"/>
        <v>1.03</v>
      </c>
      <c r="Z560" s="199">
        <v>19</v>
      </c>
      <c r="AA560" s="221">
        <f t="shared" si="622"/>
        <v>1.7535060530771003</v>
      </c>
      <c r="AB560" s="199">
        <f t="shared" si="659"/>
        <v>365313.17655571154</v>
      </c>
      <c r="AC560">
        <v>11.8</v>
      </c>
      <c r="AD560" s="199">
        <f t="shared" si="660"/>
        <v>43106.954833573967</v>
      </c>
      <c r="AE560" s="199">
        <f t="shared" si="623"/>
        <v>40951.607091895268</v>
      </c>
      <c r="AF560" s="199">
        <f t="shared" si="658"/>
        <v>0</v>
      </c>
      <c r="AG560" s="614">
        <f t="shared" si="656"/>
        <v>1.8934225310054968E-3</v>
      </c>
      <c r="AH560" s="199">
        <f t="shared" si="695"/>
        <v>18265.658827785577</v>
      </c>
      <c r="AI560" s="252">
        <f t="shared" si="639"/>
        <v>1.4150129142122194E-3</v>
      </c>
      <c r="AJ560" s="199">
        <f t="shared" si="640"/>
        <v>61372.613661359544</v>
      </c>
      <c r="AK560" s="199">
        <f t="shared" si="662"/>
        <v>14612.527062228462</v>
      </c>
      <c r="AL560" s="199">
        <f t="shared" si="663"/>
        <v>14612.527062228462</v>
      </c>
      <c r="AM560" s="199">
        <f t="shared" si="641"/>
        <v>29225.054124456925</v>
      </c>
      <c r="AN560" s="645">
        <f t="shared" si="642"/>
        <v>1.4150129142122194E-3</v>
      </c>
      <c r="AO560" s="199">
        <v>20</v>
      </c>
      <c r="AP560" s="250">
        <f t="shared" si="643"/>
        <v>2.2724690376093627E-3</v>
      </c>
      <c r="AQ560" s="199">
        <v>20</v>
      </c>
      <c r="AU560" s="199">
        <v>0</v>
      </c>
      <c r="AW560" s="250">
        <f t="shared" si="644"/>
        <v>0</v>
      </c>
      <c r="AX560" s="199">
        <v>1</v>
      </c>
      <c r="AY560" s="199">
        <f t="shared" si="684"/>
        <v>19274.056604901776</v>
      </c>
      <c r="AZ560" s="199">
        <f t="shared" si="645"/>
        <v>19274.056604901776</v>
      </c>
      <c r="BA560" s="252">
        <f t="shared" si="646"/>
        <v>1.5150659245036374E-3</v>
      </c>
      <c r="BB560" s="284">
        <v>0</v>
      </c>
      <c r="BC560" s="199">
        <f t="shared" si="685"/>
        <v>0</v>
      </c>
      <c r="BD560" s="270">
        <f t="shared" si="669"/>
        <v>0</v>
      </c>
      <c r="BE560" s="199">
        <f t="shared" si="686"/>
        <v>0</v>
      </c>
      <c r="BF560" s="251">
        <f t="shared" si="671"/>
        <v>0</v>
      </c>
      <c r="BG560" s="204">
        <f t="shared" si="687"/>
        <v>0</v>
      </c>
      <c r="BH560" s="636">
        <v>1</v>
      </c>
      <c r="BI560" s="199">
        <f t="shared" si="647"/>
        <v>111785.83202604773</v>
      </c>
      <c r="BJ560" s="199">
        <f t="shared" si="648"/>
        <v>223571.66405209547</v>
      </c>
      <c r="BK560" s="199">
        <f t="shared" si="655"/>
        <v>335357.49607814319</v>
      </c>
      <c r="BL560" s="251">
        <f t="shared" si="649"/>
        <v>1.4150129142122192E-3</v>
      </c>
      <c r="BM560" s="199">
        <f t="shared" si="688"/>
        <v>31066.455208954187</v>
      </c>
      <c r="BN560" s="251">
        <f t="shared" si="650"/>
        <v>1.3415461509103815E-3</v>
      </c>
      <c r="BT560" s="199">
        <f>'Detailed Budget'!$AD$12</f>
        <v>194045122715</v>
      </c>
      <c r="BU560" s="199">
        <f>'Detailed Budget'!$AD$24</f>
        <v>194045122715</v>
      </c>
      <c r="BV560" s="596">
        <f t="shared" si="689"/>
        <v>0</v>
      </c>
      <c r="BW560" s="278"/>
      <c r="BX560" s="275">
        <f t="shared" si="619"/>
        <v>0</v>
      </c>
      <c r="BY560" s="275">
        <f t="shared" si="620"/>
        <v>0</v>
      </c>
      <c r="CA560" s="199">
        <f>'Detailed Budget'!$AD$96</f>
        <v>71050111380.677719</v>
      </c>
      <c r="CB560" s="275">
        <f t="shared" si="651"/>
        <v>107645602.6850529</v>
      </c>
      <c r="CE560" s="199">
        <f>'Detailed Budget'!$AD$175</f>
        <v>4330586076.5988197</v>
      </c>
      <c r="CF560" s="275">
        <f t="shared" si="690"/>
        <v>0</v>
      </c>
      <c r="CG560" s="199">
        <f>'Detailed Budget'!$AD$176</f>
        <v>20662817754.37001</v>
      </c>
      <c r="CH560" s="275">
        <f t="shared" si="691"/>
        <v>0</v>
      </c>
      <c r="CI560" s="275">
        <f t="shared" si="657"/>
        <v>0</v>
      </c>
      <c r="CJ560" s="275">
        <f>'Detailed Budget'!$AD$178</f>
        <v>46025131033.061455</v>
      </c>
      <c r="CK560" s="275">
        <f t="shared" si="692"/>
        <v>0</v>
      </c>
      <c r="CL560" s="275">
        <f t="shared" si="661"/>
        <v>0</v>
      </c>
      <c r="CM560" s="278">
        <f>'Detailed Budget'!$AD$189</f>
        <v>77498869683.252869</v>
      </c>
      <c r="CN560" s="275">
        <f t="shared" si="652"/>
        <v>109661901.43865265</v>
      </c>
      <c r="CO560" s="140">
        <f>'Detailed Budget'!$AD$191</f>
        <v>2684962805.4134097</v>
      </c>
      <c r="CP560" s="616">
        <f t="shared" si="653"/>
        <v>3799257.0438394449</v>
      </c>
      <c r="CQ560" s="616">
        <f t="shared" si="654"/>
        <v>113461158.48249209</v>
      </c>
      <c r="CR560" s="199">
        <f>'Detailed Budget'!$AD$195</f>
        <v>18734176418</v>
      </c>
      <c r="CS560" s="275">
        <f t="shared" si="693"/>
        <v>25132762.264043938</v>
      </c>
      <c r="CW560" s="278"/>
      <c r="DH560" s="140">
        <f>'Detailed Budget'!$AD$163</f>
        <v>4928560000</v>
      </c>
      <c r="DI560" s="616">
        <f t="shared" si="694"/>
        <v>11200000</v>
      </c>
    </row>
    <row r="561" spans="1:113" outlineLevel="1">
      <c r="A561" s="214" t="s">
        <v>1214</v>
      </c>
      <c r="B561" s="215" t="s">
        <v>1215</v>
      </c>
      <c r="C561" s="216" t="s">
        <v>234</v>
      </c>
      <c r="D561" s="217"/>
      <c r="E561" s="216"/>
      <c r="F561" s="216"/>
      <c r="G561" s="216" t="s">
        <v>234</v>
      </c>
      <c r="H561" s="216" t="s">
        <v>234</v>
      </c>
      <c r="I561" s="217" t="s">
        <v>234</v>
      </c>
      <c r="J561" s="217"/>
      <c r="K561" s="216"/>
      <c r="L561" s="216"/>
      <c r="M561" s="217" t="s">
        <v>234</v>
      </c>
      <c r="N561" s="216"/>
      <c r="O561" s="217"/>
      <c r="P561" s="216"/>
      <c r="Q561" s="217"/>
      <c r="R561" s="217" t="s">
        <v>234</v>
      </c>
      <c r="S561" s="217"/>
      <c r="T561" s="217"/>
      <c r="U561" s="218">
        <f t="shared" si="683"/>
        <v>6</v>
      </c>
      <c r="V561" s="867" t="s">
        <v>235</v>
      </c>
      <c r="W561" s="219">
        <v>258829</v>
      </c>
      <c r="X561" s="220">
        <v>3</v>
      </c>
      <c r="Y561" s="221">
        <f t="shared" si="621"/>
        <v>1.03</v>
      </c>
      <c r="Z561" s="199">
        <v>19</v>
      </c>
      <c r="AA561" s="221">
        <f t="shared" si="622"/>
        <v>1.7535060530771003</v>
      </c>
      <c r="AB561" s="199">
        <f t="shared" si="659"/>
        <v>453858.21821189276</v>
      </c>
      <c r="AC561">
        <v>11.8</v>
      </c>
      <c r="AD561" s="199">
        <f t="shared" si="660"/>
        <v>53555.269749003353</v>
      </c>
      <c r="AE561" s="199">
        <f t="shared" si="623"/>
        <v>50877.506261553186</v>
      </c>
      <c r="AF561" s="199">
        <f t="shared" si="658"/>
        <v>0</v>
      </c>
      <c r="AG561" s="614">
        <f t="shared" si="656"/>
        <v>2.352352533096637E-3</v>
      </c>
      <c r="AH561" s="199">
        <f t="shared" si="695"/>
        <v>22692.910910594641</v>
      </c>
      <c r="AI561" s="252">
        <f t="shared" si="639"/>
        <v>1.7579854251253259E-3</v>
      </c>
      <c r="AJ561" s="199">
        <f t="shared" si="640"/>
        <v>76248.180659598002</v>
      </c>
      <c r="AK561" s="199">
        <f t="shared" si="662"/>
        <v>18154.32872847571</v>
      </c>
      <c r="AL561" s="199">
        <f t="shared" si="663"/>
        <v>18154.32872847571</v>
      </c>
      <c r="AM561" s="199">
        <f t="shared" si="641"/>
        <v>36308.65745695142</v>
      </c>
      <c r="AN561" s="645">
        <f t="shared" si="642"/>
        <v>1.7579854251253257E-3</v>
      </c>
      <c r="AO561" s="199">
        <v>20</v>
      </c>
      <c r="AP561" s="250">
        <f t="shared" si="643"/>
        <v>2.2724690376093627E-3</v>
      </c>
      <c r="AQ561" s="199">
        <v>20</v>
      </c>
      <c r="AU561" s="199">
        <v>0</v>
      </c>
      <c r="AW561" s="250">
        <f t="shared" si="644"/>
        <v>0</v>
      </c>
      <c r="AX561" s="199">
        <v>1</v>
      </c>
      <c r="AY561" s="199">
        <f t="shared" si="684"/>
        <v>23945.725338713124</v>
      </c>
      <c r="AZ561" s="199">
        <f t="shared" si="645"/>
        <v>23945.725338713124</v>
      </c>
      <c r="BA561" s="252">
        <f t="shared" si="646"/>
        <v>1.882289402895134E-3</v>
      </c>
      <c r="BB561" s="284">
        <v>0</v>
      </c>
      <c r="BC561" s="199">
        <f t="shared" si="685"/>
        <v>0</v>
      </c>
      <c r="BD561" s="270">
        <f t="shared" si="669"/>
        <v>0</v>
      </c>
      <c r="BE561" s="199">
        <f t="shared" si="686"/>
        <v>0</v>
      </c>
      <c r="BF561" s="251">
        <f t="shared" si="671"/>
        <v>0</v>
      </c>
      <c r="BG561" s="204">
        <f t="shared" si="687"/>
        <v>0</v>
      </c>
      <c r="BH561" s="636">
        <v>1</v>
      </c>
      <c r="BI561" s="199">
        <f t="shared" si="647"/>
        <v>138880.61477283918</v>
      </c>
      <c r="BJ561" s="199">
        <f t="shared" si="648"/>
        <v>277761.22954567836</v>
      </c>
      <c r="BK561" s="199">
        <f t="shared" si="655"/>
        <v>416641.84431851754</v>
      </c>
      <c r="BL561" s="251">
        <f t="shared" si="649"/>
        <v>1.7579854251253257E-3</v>
      </c>
      <c r="BM561" s="199">
        <f t="shared" si="688"/>
        <v>38596.379523543583</v>
      </c>
      <c r="BN561" s="251">
        <f t="shared" si="650"/>
        <v>1.6667117004698401E-3</v>
      </c>
      <c r="BT561" s="199">
        <f>'Detailed Budget'!$AD$12</f>
        <v>194045122715</v>
      </c>
      <c r="BU561" s="199">
        <f>'Detailed Budget'!$AD$24</f>
        <v>194045122715</v>
      </c>
      <c r="BV561" s="596">
        <f t="shared" si="689"/>
        <v>0</v>
      </c>
      <c r="BW561" s="278"/>
      <c r="BX561" s="275">
        <f t="shared" si="619"/>
        <v>0</v>
      </c>
      <c r="BY561" s="275">
        <f t="shared" si="620"/>
        <v>0</v>
      </c>
      <c r="CA561" s="199">
        <f>'Detailed Budget'!$AD$96</f>
        <v>71050111380.677719</v>
      </c>
      <c r="CB561" s="275">
        <f t="shared" si="651"/>
        <v>133736871.72636864</v>
      </c>
      <c r="CE561" s="199">
        <f>'Detailed Budget'!$AD$175</f>
        <v>4330586076.5988197</v>
      </c>
      <c r="CF561" s="275">
        <f t="shared" si="690"/>
        <v>0</v>
      </c>
      <c r="CG561" s="199">
        <f>'Detailed Budget'!$AD$176</f>
        <v>20662817754.37001</v>
      </c>
      <c r="CH561" s="275">
        <f t="shared" si="691"/>
        <v>0</v>
      </c>
      <c r="CI561" s="275">
        <f t="shared" si="657"/>
        <v>0</v>
      </c>
      <c r="CJ561" s="275">
        <f>'Detailed Budget'!$AD$178</f>
        <v>46025131033.061455</v>
      </c>
      <c r="CK561" s="275">
        <f t="shared" si="692"/>
        <v>0</v>
      </c>
      <c r="CL561" s="275">
        <f t="shared" si="661"/>
        <v>0</v>
      </c>
      <c r="CM561" s="278">
        <f>'Detailed Budget'!$AD$189</f>
        <v>77498869683.252869</v>
      </c>
      <c r="CN561" s="275">
        <f t="shared" si="652"/>
        <v>136241883.36684552</v>
      </c>
      <c r="CO561" s="140">
        <f>'Detailed Budget'!$AD$191</f>
        <v>2684962805.4134097</v>
      </c>
      <c r="CP561" s="616">
        <f t="shared" si="653"/>
        <v>4720125.4789203806</v>
      </c>
      <c r="CQ561" s="616">
        <f t="shared" si="654"/>
        <v>140962008.84576589</v>
      </c>
      <c r="CR561" s="199">
        <f>'Detailed Budget'!$AD$195</f>
        <v>18734176418</v>
      </c>
      <c r="CS561" s="275">
        <f t="shared" si="693"/>
        <v>31224471.034546759</v>
      </c>
      <c r="CW561" s="278"/>
      <c r="DH561" s="140">
        <f>'Detailed Budget'!$AD$163</f>
        <v>4928560000</v>
      </c>
      <c r="DI561" s="616">
        <f t="shared" si="694"/>
        <v>11200000</v>
      </c>
    </row>
    <row r="562" spans="1:113" outlineLevel="1">
      <c r="A562" s="214" t="s">
        <v>1216</v>
      </c>
      <c r="B562" s="215" t="s">
        <v>1217</v>
      </c>
      <c r="C562" s="216" t="s">
        <v>234</v>
      </c>
      <c r="D562" s="217"/>
      <c r="E562" s="216"/>
      <c r="F562" s="216"/>
      <c r="G562" s="216" t="s">
        <v>234</v>
      </c>
      <c r="H562" s="216" t="s">
        <v>234</v>
      </c>
      <c r="I562" s="217" t="s">
        <v>234</v>
      </c>
      <c r="J562" s="217"/>
      <c r="K562" s="216"/>
      <c r="L562" s="216"/>
      <c r="M562" s="217" t="s">
        <v>234</v>
      </c>
      <c r="N562" s="216"/>
      <c r="O562" s="217"/>
      <c r="P562" s="216"/>
      <c r="Q562" s="217"/>
      <c r="R562" s="217" t="s">
        <v>234</v>
      </c>
      <c r="S562" s="217"/>
      <c r="T562" s="217"/>
      <c r="U562" s="218">
        <f t="shared" si="683"/>
        <v>6</v>
      </c>
      <c r="V562" s="867" t="s">
        <v>235</v>
      </c>
      <c r="W562" s="219">
        <v>147364</v>
      </c>
      <c r="X562" s="220">
        <v>3</v>
      </c>
      <c r="Y562" s="221">
        <f t="shared" si="621"/>
        <v>1.03</v>
      </c>
      <c r="Z562" s="199">
        <v>19</v>
      </c>
      <c r="AA562" s="221">
        <f t="shared" si="622"/>
        <v>1.7535060530771003</v>
      </c>
      <c r="AB562" s="199">
        <f t="shared" si="659"/>
        <v>258403.66600565379</v>
      </c>
      <c r="AC562">
        <v>11.8</v>
      </c>
      <c r="AD562" s="199">
        <f t="shared" si="660"/>
        <v>30491.632588667148</v>
      </c>
      <c r="AE562" s="199">
        <f t="shared" si="623"/>
        <v>28967.050959233788</v>
      </c>
      <c r="AF562" s="199">
        <f t="shared" si="658"/>
        <v>0</v>
      </c>
      <c r="AG562" s="614">
        <f t="shared" si="656"/>
        <v>1.3393092686184809E-3</v>
      </c>
      <c r="AH562" s="199">
        <f t="shared" si="695"/>
        <v>12920.18330028269</v>
      </c>
      <c r="AI562" s="252">
        <f t="shared" si="639"/>
        <v>1.0009070242830923E-3</v>
      </c>
      <c r="AJ562" s="199">
        <f t="shared" si="640"/>
        <v>43411.815888949837</v>
      </c>
      <c r="AK562" s="199">
        <f t="shared" si="662"/>
        <v>10336.146640226152</v>
      </c>
      <c r="AL562" s="199">
        <f t="shared" si="663"/>
        <v>10336.146640226152</v>
      </c>
      <c r="AM562" s="199">
        <f t="shared" si="641"/>
        <v>20672.293280452304</v>
      </c>
      <c r="AN562" s="645">
        <f t="shared" si="642"/>
        <v>1.0009070242830923E-3</v>
      </c>
      <c r="AO562" s="199">
        <v>16</v>
      </c>
      <c r="AP562" s="250">
        <f t="shared" si="643"/>
        <v>1.81797523008749E-3</v>
      </c>
      <c r="AQ562" s="199">
        <v>16</v>
      </c>
      <c r="AU562" s="199">
        <v>0</v>
      </c>
      <c r="AW562" s="250">
        <f t="shared" si="644"/>
        <v>0</v>
      </c>
      <c r="AX562" s="199">
        <v>1</v>
      </c>
      <c r="AY562" s="199">
        <f t="shared" si="684"/>
        <v>13633.47178567363</v>
      </c>
      <c r="AZ562" s="199">
        <f t="shared" si="645"/>
        <v>13633.47178567363</v>
      </c>
      <c r="BA562" s="252">
        <f t="shared" si="646"/>
        <v>1.0716793542000257E-3</v>
      </c>
      <c r="BB562" s="284">
        <v>0</v>
      </c>
      <c r="BC562" s="199">
        <f t="shared" si="685"/>
        <v>0</v>
      </c>
      <c r="BD562" s="270">
        <f t="shared" si="669"/>
        <v>0</v>
      </c>
      <c r="BE562" s="199">
        <f t="shared" si="686"/>
        <v>0</v>
      </c>
      <c r="BF562" s="251">
        <f t="shared" si="671"/>
        <v>0</v>
      </c>
      <c r="BG562" s="204">
        <f t="shared" si="687"/>
        <v>0</v>
      </c>
      <c r="BH562" s="636">
        <v>1</v>
      </c>
      <c r="BI562" s="199">
        <f t="shared" si="647"/>
        <v>79071.521797730064</v>
      </c>
      <c r="BJ562" s="199">
        <f t="shared" si="648"/>
        <v>158143.04359546013</v>
      </c>
      <c r="BK562" s="199">
        <f t="shared" si="655"/>
        <v>237214.56539319019</v>
      </c>
      <c r="BL562" s="251">
        <f t="shared" si="649"/>
        <v>1.0009070242830923E-3</v>
      </c>
      <c r="BM562" s="199">
        <f t="shared" si="688"/>
        <v>21974.805265667583</v>
      </c>
      <c r="BN562" s="251">
        <f t="shared" si="650"/>
        <v>9.4894043182192664E-4</v>
      </c>
      <c r="BT562" s="199">
        <f>'Detailed Budget'!$AD$12</f>
        <v>194045122715</v>
      </c>
      <c r="BU562" s="199">
        <f>'Detailed Budget'!$AD$24</f>
        <v>194045122715</v>
      </c>
      <c r="BV562" s="596">
        <f t="shared" si="689"/>
        <v>0</v>
      </c>
      <c r="BW562" s="278"/>
      <c r="BX562" s="275">
        <f t="shared" si="619"/>
        <v>0</v>
      </c>
      <c r="BY562" s="275">
        <f t="shared" si="620"/>
        <v>0</v>
      </c>
      <c r="CA562" s="199">
        <f>'Detailed Budget'!$AD$96</f>
        <v>71050111380.677719</v>
      </c>
      <c r="CB562" s="275">
        <f t="shared" si="651"/>
        <v>76142937.480284601</v>
      </c>
      <c r="CE562" s="199">
        <f>'Detailed Budget'!$AD$175</f>
        <v>4330586076.5988197</v>
      </c>
      <c r="CF562" s="275">
        <f t="shared" si="690"/>
        <v>0</v>
      </c>
      <c r="CG562" s="199">
        <f>'Detailed Budget'!$AD$176</f>
        <v>20662817754.37001</v>
      </c>
      <c r="CH562" s="275">
        <f t="shared" si="691"/>
        <v>0</v>
      </c>
      <c r="CI562" s="275">
        <f t="shared" si="657"/>
        <v>0</v>
      </c>
      <c r="CJ562" s="275">
        <f>'Detailed Budget'!$AD$178</f>
        <v>46025131033.061455</v>
      </c>
      <c r="CK562" s="275">
        <f t="shared" si="692"/>
        <v>0</v>
      </c>
      <c r="CL562" s="275">
        <f t="shared" si="661"/>
        <v>0</v>
      </c>
      <c r="CM562" s="278">
        <f>'Detailed Budget'!$AD$189</f>
        <v>77498869683.252869</v>
      </c>
      <c r="CN562" s="275">
        <f t="shared" si="652"/>
        <v>77569163.03996779</v>
      </c>
      <c r="CO562" s="140">
        <f>'Detailed Budget'!$AD$191</f>
        <v>2684962805.4134097</v>
      </c>
      <c r="CP562" s="616">
        <f t="shared" si="653"/>
        <v>2687398.1318771197</v>
      </c>
      <c r="CQ562" s="616">
        <f t="shared" si="654"/>
        <v>80256561.171844915</v>
      </c>
      <c r="CR562" s="199">
        <f>'Detailed Budget'!$AD$195</f>
        <v>18734176418</v>
      </c>
      <c r="CS562" s="275">
        <f t="shared" si="693"/>
        <v>17777617.459925074</v>
      </c>
      <c r="CW562" s="278"/>
      <c r="DH562" s="140">
        <f>'Detailed Budget'!$AD$163</f>
        <v>4928560000</v>
      </c>
      <c r="DI562" s="616">
        <f t="shared" si="694"/>
        <v>8960000</v>
      </c>
    </row>
    <row r="563" spans="1:113" outlineLevel="1">
      <c r="A563" s="214" t="s">
        <v>1218</v>
      </c>
      <c r="B563" s="215" t="s">
        <v>1219</v>
      </c>
      <c r="C563" s="216" t="s">
        <v>234</v>
      </c>
      <c r="D563" s="217"/>
      <c r="E563" s="216"/>
      <c r="F563" s="216"/>
      <c r="G563" s="216" t="s">
        <v>234</v>
      </c>
      <c r="H563" s="216" t="s">
        <v>234</v>
      </c>
      <c r="I563" s="217" t="s">
        <v>234</v>
      </c>
      <c r="J563" s="217"/>
      <c r="K563" s="216"/>
      <c r="L563" s="216"/>
      <c r="M563" s="217" t="s">
        <v>234</v>
      </c>
      <c r="N563" s="216"/>
      <c r="O563" s="217"/>
      <c r="P563" s="216"/>
      <c r="Q563" s="217"/>
      <c r="R563" s="217" t="s">
        <v>234</v>
      </c>
      <c r="S563" s="217"/>
      <c r="T563" s="217"/>
      <c r="U563" s="218">
        <f t="shared" si="683"/>
        <v>6</v>
      </c>
      <c r="V563" s="867" t="s">
        <v>235</v>
      </c>
      <c r="W563" s="219">
        <v>148597</v>
      </c>
      <c r="X563" s="220">
        <v>3</v>
      </c>
      <c r="Y563" s="221">
        <f t="shared" si="621"/>
        <v>1.03</v>
      </c>
      <c r="Z563" s="199">
        <v>19</v>
      </c>
      <c r="AA563" s="221">
        <f t="shared" si="622"/>
        <v>1.7535060530771003</v>
      </c>
      <c r="AB563" s="199">
        <f t="shared" ref="AB563:AB596" si="696">W563*AA563</f>
        <v>260565.73896909787</v>
      </c>
      <c r="AC563">
        <v>11.8</v>
      </c>
      <c r="AD563" s="199">
        <f t="shared" ref="AD563:AD596" si="697">AB563*AC563/100</f>
        <v>30746.757198353549</v>
      </c>
      <c r="AE563" s="199">
        <f t="shared" si="623"/>
        <v>29209.41933843587</v>
      </c>
      <c r="AF563" s="199">
        <f t="shared" si="658"/>
        <v>0</v>
      </c>
      <c r="AG563" s="614">
        <f t="shared" si="656"/>
        <v>1.3505153184556636E-3</v>
      </c>
      <c r="AH563" s="199">
        <f t="shared" si="695"/>
        <v>13028.286948454894</v>
      </c>
      <c r="AI563" s="252">
        <f t="shared" si="639"/>
        <v>1.0092816501139673E-3</v>
      </c>
      <c r="AJ563" s="199">
        <f t="shared" si="640"/>
        <v>43775.044146808446</v>
      </c>
      <c r="AK563" s="199">
        <f t="shared" si="662"/>
        <v>10422.629558763916</v>
      </c>
      <c r="AL563" s="199">
        <f t="shared" si="663"/>
        <v>10422.629558763916</v>
      </c>
      <c r="AM563" s="199">
        <f t="shared" si="641"/>
        <v>20845.259117527832</v>
      </c>
      <c r="AN563" s="645">
        <f t="shared" si="642"/>
        <v>1.0092816501139673E-3</v>
      </c>
      <c r="AO563" s="199">
        <v>11</v>
      </c>
      <c r="AP563" s="250">
        <f t="shared" si="643"/>
        <v>1.2498579706851495E-3</v>
      </c>
      <c r="AQ563" s="199">
        <v>11</v>
      </c>
      <c r="AU563" s="199">
        <v>0</v>
      </c>
      <c r="AW563" s="250">
        <f t="shared" si="644"/>
        <v>0</v>
      </c>
      <c r="AX563" s="199">
        <v>1</v>
      </c>
      <c r="AY563" s="199">
        <f t="shared" si="684"/>
        <v>13747.543544798898</v>
      </c>
      <c r="AZ563" s="199">
        <f t="shared" si="645"/>
        <v>13747.543544798898</v>
      </c>
      <c r="BA563" s="252">
        <f t="shared" si="646"/>
        <v>1.080646134714457E-3</v>
      </c>
      <c r="BB563" s="284">
        <v>0</v>
      </c>
      <c r="BC563" s="199">
        <f t="shared" si="685"/>
        <v>0</v>
      </c>
      <c r="BD563" s="270">
        <f t="shared" si="669"/>
        <v>0</v>
      </c>
      <c r="BE563" s="199">
        <f t="shared" si="686"/>
        <v>0</v>
      </c>
      <c r="BF563" s="251">
        <f t="shared" si="671"/>
        <v>0</v>
      </c>
      <c r="BG563" s="204">
        <f t="shared" si="687"/>
        <v>0</v>
      </c>
      <c r="BH563" s="636">
        <v>1</v>
      </c>
      <c r="BI563" s="199">
        <f t="shared" si="647"/>
        <v>79733.116124543943</v>
      </c>
      <c r="BJ563" s="199">
        <f t="shared" si="648"/>
        <v>159466.23224908789</v>
      </c>
      <c r="BK563" s="199">
        <f t="shared" si="655"/>
        <v>239199.34837363183</v>
      </c>
      <c r="BL563" s="251">
        <f t="shared" si="649"/>
        <v>1.0092816501139671E-3</v>
      </c>
      <c r="BM563" s="199">
        <f t="shared" si="688"/>
        <v>22158.669268358666</v>
      </c>
      <c r="BN563" s="251">
        <f t="shared" si="650"/>
        <v>9.5688025126518597E-4</v>
      </c>
      <c r="BT563" s="199">
        <f>'Detailed Budget'!$AD$12</f>
        <v>194045122715</v>
      </c>
      <c r="BU563" s="199">
        <f>'Detailed Budget'!$AD$24</f>
        <v>194045122715</v>
      </c>
      <c r="BV563" s="596">
        <f t="shared" si="689"/>
        <v>0</v>
      </c>
      <c r="BW563" s="278"/>
      <c r="BX563" s="275">
        <f t="shared" si="619"/>
        <v>0</v>
      </c>
      <c r="BY563" s="275">
        <f t="shared" si="620"/>
        <v>0</v>
      </c>
      <c r="CA563" s="199">
        <f>'Detailed Budget'!$AD$96</f>
        <v>71050111380.677719</v>
      </c>
      <c r="CB563" s="275">
        <f t="shared" si="651"/>
        <v>76780028.234561026</v>
      </c>
      <c r="CE563" s="199">
        <f>'Detailed Budget'!$AD$175</f>
        <v>4330586076.5988197</v>
      </c>
      <c r="CF563" s="275">
        <f t="shared" si="690"/>
        <v>0</v>
      </c>
      <c r="CG563" s="199">
        <f>'Detailed Budget'!$AD$176</f>
        <v>20662817754.37001</v>
      </c>
      <c r="CH563" s="275">
        <f t="shared" si="691"/>
        <v>0</v>
      </c>
      <c r="CI563" s="275">
        <f t="shared" si="657"/>
        <v>0</v>
      </c>
      <c r="CJ563" s="275">
        <f>'Detailed Budget'!$AD$178</f>
        <v>46025131033.061455</v>
      </c>
      <c r="CK563" s="275">
        <f t="shared" si="692"/>
        <v>0</v>
      </c>
      <c r="CL563" s="275">
        <f t="shared" si="661"/>
        <v>0</v>
      </c>
      <c r="CM563" s="278">
        <f>'Detailed Budget'!$AD$189</f>
        <v>77498869683.252869</v>
      </c>
      <c r="CN563" s="275">
        <f t="shared" si="652"/>
        <v>78218187.075880751</v>
      </c>
      <c r="CO563" s="140">
        <f>'Detailed Budget'!$AD$191</f>
        <v>2684962805.4134097</v>
      </c>
      <c r="CP563" s="616">
        <f t="shared" si="653"/>
        <v>2709883.6907422733</v>
      </c>
      <c r="CQ563" s="616">
        <f t="shared" si="654"/>
        <v>80928070.76662302</v>
      </c>
      <c r="CR563" s="199">
        <f>'Detailed Budget'!$AD$195</f>
        <v>18734176418</v>
      </c>
      <c r="CS563" s="275">
        <f t="shared" si="693"/>
        <v>17926363.438102163</v>
      </c>
      <c r="CW563" s="278"/>
      <c r="DH563" s="140">
        <f>'Detailed Budget'!$AD$163</f>
        <v>4928560000</v>
      </c>
      <c r="DI563" s="616">
        <f t="shared" si="694"/>
        <v>6160000</v>
      </c>
    </row>
    <row r="564" spans="1:113" outlineLevel="1">
      <c r="A564" s="214" t="s">
        <v>1220</v>
      </c>
      <c r="B564" s="215" t="s">
        <v>1221</v>
      </c>
      <c r="C564" s="216" t="s">
        <v>234</v>
      </c>
      <c r="D564" s="217"/>
      <c r="E564" s="216"/>
      <c r="F564" s="216"/>
      <c r="G564" s="216" t="s">
        <v>234</v>
      </c>
      <c r="H564" s="216" t="s">
        <v>234</v>
      </c>
      <c r="I564" s="217" t="s">
        <v>234</v>
      </c>
      <c r="J564" s="217"/>
      <c r="K564" s="216" t="s">
        <v>234</v>
      </c>
      <c r="L564" s="216"/>
      <c r="M564" s="217"/>
      <c r="N564" s="216"/>
      <c r="O564" s="217"/>
      <c r="P564" s="216"/>
      <c r="Q564" s="217"/>
      <c r="R564" s="217" t="s">
        <v>234</v>
      </c>
      <c r="S564" s="217"/>
      <c r="T564" s="217"/>
      <c r="U564" s="218">
        <f t="shared" si="683"/>
        <v>6</v>
      </c>
      <c r="V564" s="867" t="s">
        <v>235</v>
      </c>
      <c r="W564" s="219">
        <v>153591</v>
      </c>
      <c r="X564" s="220">
        <v>3</v>
      </c>
      <c r="Y564" s="221">
        <f t="shared" si="621"/>
        <v>1.03</v>
      </c>
      <c r="Z564" s="199">
        <v>19</v>
      </c>
      <c r="AA564" s="221">
        <f t="shared" si="622"/>
        <v>1.7535060530771003</v>
      </c>
      <c r="AB564" s="199">
        <f t="shared" si="696"/>
        <v>269322.74819816492</v>
      </c>
      <c r="AC564">
        <v>11.8</v>
      </c>
      <c r="AD564" s="199">
        <f t="shared" si="697"/>
        <v>31780.084287383463</v>
      </c>
      <c r="AE564" s="199">
        <f t="shared" si="623"/>
        <v>30191.080073014287</v>
      </c>
      <c r="AF564" s="199">
        <f t="shared" si="658"/>
        <v>0</v>
      </c>
      <c r="AG564" s="614">
        <f t="shared" si="656"/>
        <v>1.3959030012511951E-3</v>
      </c>
      <c r="AH564" s="199">
        <f t="shared" si="695"/>
        <v>13466.137409908246</v>
      </c>
      <c r="AI564" s="252">
        <f t="shared" si="639"/>
        <v>1.0432012619545103E-3</v>
      </c>
      <c r="AJ564" s="199">
        <f t="shared" si="640"/>
        <v>45246.221697291709</v>
      </c>
      <c r="AK564" s="199">
        <f t="shared" si="662"/>
        <v>10772.909927926597</v>
      </c>
      <c r="AL564" s="199">
        <f t="shared" si="663"/>
        <v>10772.909927926597</v>
      </c>
      <c r="AM564" s="199">
        <f t="shared" si="641"/>
        <v>21545.819855853195</v>
      </c>
      <c r="AN564" s="645">
        <f t="shared" si="642"/>
        <v>1.0432012619545103E-3</v>
      </c>
      <c r="AO564" s="199">
        <v>14</v>
      </c>
      <c r="AP564" s="250">
        <f t="shared" si="643"/>
        <v>1.5907283263265539E-3</v>
      </c>
      <c r="AQ564" s="199">
        <v>14</v>
      </c>
      <c r="AU564" s="199">
        <v>0</v>
      </c>
      <c r="AW564" s="250">
        <f t="shared" si="644"/>
        <v>0</v>
      </c>
      <c r="AX564" s="199">
        <v>1</v>
      </c>
      <c r="AY564" s="199">
        <f t="shared" si="684"/>
        <v>14209.566549723128</v>
      </c>
      <c r="AZ564" s="199">
        <f t="shared" si="645"/>
        <v>14209.566549723128</v>
      </c>
      <c r="BA564" s="252">
        <f t="shared" si="646"/>
        <v>1.1169641411127289E-3</v>
      </c>
      <c r="BB564" s="284">
        <v>0</v>
      </c>
      <c r="BC564" s="199">
        <f t="shared" si="685"/>
        <v>0</v>
      </c>
      <c r="BD564" s="270">
        <f t="shared" si="669"/>
        <v>0</v>
      </c>
      <c r="BE564" s="199">
        <f t="shared" si="686"/>
        <v>0</v>
      </c>
      <c r="BF564" s="251">
        <f t="shared" si="671"/>
        <v>0</v>
      </c>
      <c r="BG564" s="204">
        <f t="shared" si="687"/>
        <v>0</v>
      </c>
      <c r="BH564" s="636">
        <v>1</v>
      </c>
      <c r="BI564" s="199">
        <f t="shared" si="647"/>
        <v>82412.760948638475</v>
      </c>
      <c r="BJ564" s="199">
        <f t="shared" si="648"/>
        <v>164825.52189727695</v>
      </c>
      <c r="BK564" s="199">
        <f t="shared" si="655"/>
        <v>247238.28284591541</v>
      </c>
      <c r="BL564" s="251">
        <f t="shared" si="649"/>
        <v>1.0432012619545103E-3</v>
      </c>
      <c r="BM564" s="199">
        <f t="shared" si="688"/>
        <v>22903.370670985791</v>
      </c>
      <c r="BN564" s="251">
        <f t="shared" si="650"/>
        <v>9.8903877381152487E-4</v>
      </c>
      <c r="BT564" s="199">
        <f>'Detailed Budget'!$AD$12</f>
        <v>194045122715</v>
      </c>
      <c r="BU564" s="199">
        <f>'Detailed Budget'!$AD$24</f>
        <v>194045122715</v>
      </c>
      <c r="BV564" s="596">
        <f t="shared" si="689"/>
        <v>0</v>
      </c>
      <c r="BW564" s="278"/>
      <c r="BX564" s="275">
        <f t="shared" si="619"/>
        <v>0</v>
      </c>
      <c r="BY564" s="275">
        <f t="shared" si="620"/>
        <v>0</v>
      </c>
      <c r="CA564" s="199">
        <f>'Detailed Budget'!$AD$96</f>
        <v>71050111380.677719</v>
      </c>
      <c r="CB564" s="275">
        <f t="shared" si="651"/>
        <v>79360426.63428241</v>
      </c>
      <c r="CE564" s="199">
        <f>'Detailed Budget'!$AD$175</f>
        <v>4330586076.5988197</v>
      </c>
      <c r="CF564" s="275">
        <f t="shared" si="690"/>
        <v>0</v>
      </c>
      <c r="CG564" s="199">
        <f>'Detailed Budget'!$AD$176</f>
        <v>20662817754.37001</v>
      </c>
      <c r="CH564" s="275">
        <f t="shared" si="691"/>
        <v>0</v>
      </c>
      <c r="CI564" s="275">
        <f t="shared" si="657"/>
        <v>0</v>
      </c>
      <c r="CJ564" s="275">
        <f>'Detailed Budget'!$AD$178</f>
        <v>46025131033.061455</v>
      </c>
      <c r="CK564" s="275">
        <f t="shared" si="692"/>
        <v>0</v>
      </c>
      <c r="CL564" s="275">
        <f t="shared" si="661"/>
        <v>0</v>
      </c>
      <c r="CM564" s="278">
        <f>'Detailed Budget'!$AD$189</f>
        <v>77498869683.252869</v>
      </c>
      <c r="CN564" s="275">
        <f t="shared" si="652"/>
        <v>80846918.653617531</v>
      </c>
      <c r="CO564" s="140">
        <f>'Detailed Budget'!$AD$191</f>
        <v>2684962805.4134097</v>
      </c>
      <c r="CP564" s="616">
        <f t="shared" si="653"/>
        <v>2800956.5869081914</v>
      </c>
      <c r="CQ564" s="616">
        <f t="shared" si="654"/>
        <v>83647875.240525723</v>
      </c>
      <c r="CR564" s="199">
        <f>'Detailed Budget'!$AD$195</f>
        <v>18734176418</v>
      </c>
      <c r="CS564" s="275">
        <f t="shared" si="693"/>
        <v>18528826.872827504</v>
      </c>
      <c r="CW564" s="278"/>
      <c r="DH564" s="140">
        <f>'Detailed Budget'!$AD$163</f>
        <v>4928560000</v>
      </c>
      <c r="DI564" s="616">
        <f t="shared" si="694"/>
        <v>7840000.0000000009</v>
      </c>
    </row>
    <row r="565" spans="1:113" outlineLevel="1">
      <c r="A565" s="214" t="s">
        <v>1222</v>
      </c>
      <c r="B565" s="215" t="s">
        <v>1223</v>
      </c>
      <c r="C565" s="216" t="s">
        <v>234</v>
      </c>
      <c r="D565" s="217"/>
      <c r="E565" s="216"/>
      <c r="F565" s="216"/>
      <c r="G565" s="216" t="s">
        <v>234</v>
      </c>
      <c r="H565" s="216" t="s">
        <v>234</v>
      </c>
      <c r="I565" s="217" t="s">
        <v>234</v>
      </c>
      <c r="J565" s="217"/>
      <c r="K565" s="216"/>
      <c r="L565" s="216"/>
      <c r="M565" s="217" t="s">
        <v>234</v>
      </c>
      <c r="N565" s="216"/>
      <c r="O565" s="217"/>
      <c r="P565" s="216"/>
      <c r="Q565" s="217"/>
      <c r="R565" s="217" t="s">
        <v>234</v>
      </c>
      <c r="S565" s="217"/>
      <c r="T565" s="217"/>
      <c r="U565" s="218">
        <f t="shared" si="683"/>
        <v>6</v>
      </c>
      <c r="V565" s="867" t="s">
        <v>235</v>
      </c>
      <c r="W565" s="219">
        <v>147385</v>
      </c>
      <c r="X565" s="220">
        <v>3</v>
      </c>
      <c r="Y565" s="221">
        <f t="shared" si="621"/>
        <v>1.03</v>
      </c>
      <c r="Z565" s="199">
        <v>19</v>
      </c>
      <c r="AA565" s="221">
        <f t="shared" si="622"/>
        <v>1.7535060530771003</v>
      </c>
      <c r="AB565" s="199">
        <f t="shared" si="696"/>
        <v>258440.48963276841</v>
      </c>
      <c r="AC565">
        <v>11.8</v>
      </c>
      <c r="AD565" s="199">
        <f t="shared" si="697"/>
        <v>30495.977776666674</v>
      </c>
      <c r="AE565" s="199">
        <f t="shared" si="623"/>
        <v>28971.178887833339</v>
      </c>
      <c r="AF565" s="199">
        <f t="shared" si="658"/>
        <v>0</v>
      </c>
      <c r="AG565" s="614">
        <f t="shared" si="656"/>
        <v>1.3395001259149779E-3</v>
      </c>
      <c r="AH565" s="199">
        <f t="shared" si="695"/>
        <v>12922.024481638422</v>
      </c>
      <c r="AI565" s="252">
        <f t="shared" si="639"/>
        <v>1.0010496578130585E-3</v>
      </c>
      <c r="AJ565" s="199">
        <f t="shared" si="640"/>
        <v>43418.002258305096</v>
      </c>
      <c r="AK565" s="199">
        <f t="shared" si="662"/>
        <v>10337.619585310737</v>
      </c>
      <c r="AL565" s="199">
        <f t="shared" si="663"/>
        <v>10337.619585310737</v>
      </c>
      <c r="AM565" s="199">
        <f t="shared" si="641"/>
        <v>20675.239170621473</v>
      </c>
      <c r="AN565" s="645">
        <f t="shared" si="642"/>
        <v>1.0010496578130585E-3</v>
      </c>
      <c r="AO565" s="199">
        <v>14</v>
      </c>
      <c r="AP565" s="250">
        <f t="shared" si="643"/>
        <v>1.5907283263265539E-3</v>
      </c>
      <c r="AQ565" s="199">
        <v>14</v>
      </c>
      <c r="AU565" s="199">
        <v>0</v>
      </c>
      <c r="AW565" s="250">
        <f t="shared" si="644"/>
        <v>0</v>
      </c>
      <c r="AX565" s="199">
        <v>1</v>
      </c>
      <c r="AY565" s="199">
        <f t="shared" si="684"/>
        <v>13635.414613687932</v>
      </c>
      <c r="AZ565" s="199">
        <f t="shared" si="645"/>
        <v>13635.414613687932</v>
      </c>
      <c r="BA565" s="252">
        <f t="shared" si="646"/>
        <v>1.0718320730895661E-3</v>
      </c>
      <c r="BB565" s="284">
        <v>0</v>
      </c>
      <c r="BC565" s="199">
        <f t="shared" si="685"/>
        <v>0</v>
      </c>
      <c r="BD565" s="270">
        <f t="shared" si="669"/>
        <v>0</v>
      </c>
      <c r="BE565" s="199">
        <f t="shared" si="686"/>
        <v>0</v>
      </c>
      <c r="BF565" s="251">
        <f t="shared" si="671"/>
        <v>0</v>
      </c>
      <c r="BG565" s="204">
        <f t="shared" si="687"/>
        <v>0</v>
      </c>
      <c r="BH565" s="636">
        <v>1</v>
      </c>
      <c r="BI565" s="199">
        <f t="shared" si="647"/>
        <v>79082.78982762713</v>
      </c>
      <c r="BJ565" s="199">
        <f t="shared" si="648"/>
        <v>158165.57965525426</v>
      </c>
      <c r="BK565" s="199">
        <f t="shared" si="655"/>
        <v>237248.36948288139</v>
      </c>
      <c r="BL565" s="251">
        <f t="shared" si="649"/>
        <v>1.0010496578130585E-3</v>
      </c>
      <c r="BM565" s="199">
        <f t="shared" si="688"/>
        <v>21977.936769363056</v>
      </c>
      <c r="BN565" s="251">
        <f t="shared" si="650"/>
        <v>9.490756598903035E-4</v>
      </c>
      <c r="BT565" s="199">
        <f>'Detailed Budget'!$AD$12</f>
        <v>194045122715</v>
      </c>
      <c r="BU565" s="199">
        <f>'Detailed Budget'!$AD$24</f>
        <v>194045122715</v>
      </c>
      <c r="BV565" s="596">
        <f t="shared" si="689"/>
        <v>0</v>
      </c>
      <c r="BW565" s="278"/>
      <c r="BX565" s="275">
        <f t="shared" ref="BX565:BX631" si="698">BT565*BV565</f>
        <v>0</v>
      </c>
      <c r="BY565" s="275">
        <f t="shared" ref="BY565:BY631" si="699">BU565*BV565</f>
        <v>0</v>
      </c>
      <c r="CA565" s="199">
        <f>'Detailed Budget'!$AD$96</f>
        <v>71050111380.677719</v>
      </c>
      <c r="CB565" s="275">
        <f t="shared" si="651"/>
        <v>76153788.174396366</v>
      </c>
      <c r="CE565" s="199">
        <f>'Detailed Budget'!$AD$175</f>
        <v>4330586076.5988197</v>
      </c>
      <c r="CF565" s="275">
        <f t="shared" si="690"/>
        <v>0</v>
      </c>
      <c r="CG565" s="199">
        <f>'Detailed Budget'!$AD$176</f>
        <v>20662817754.37001</v>
      </c>
      <c r="CH565" s="275">
        <f t="shared" si="691"/>
        <v>0</v>
      </c>
      <c r="CI565" s="275">
        <f t="shared" si="657"/>
        <v>0</v>
      </c>
      <c r="CJ565" s="275">
        <f>'Detailed Budget'!$AD$178</f>
        <v>46025131033.061455</v>
      </c>
      <c r="CK565" s="275">
        <f t="shared" si="692"/>
        <v>0</v>
      </c>
      <c r="CL565" s="275">
        <f t="shared" si="661"/>
        <v>0</v>
      </c>
      <c r="CM565" s="278">
        <f>'Detailed Budget'!$AD$189</f>
        <v>77498869683.252869</v>
      </c>
      <c r="CN565" s="275">
        <f t="shared" si="652"/>
        <v>77580216.977319106</v>
      </c>
      <c r="CO565" s="140">
        <f>'Detailed Budget'!$AD$191</f>
        <v>2684962805.4134097</v>
      </c>
      <c r="CP565" s="616">
        <f t="shared" si="653"/>
        <v>2687781.0975998836</v>
      </c>
      <c r="CQ565" s="616">
        <f t="shared" si="654"/>
        <v>80267998.074918985</v>
      </c>
      <c r="CR565" s="199">
        <f>'Detailed Budget'!$AD$195</f>
        <v>18734176418</v>
      </c>
      <c r="CS565" s="275">
        <f t="shared" si="693"/>
        <v>17780150.846414711</v>
      </c>
      <c r="CW565" s="278"/>
      <c r="DH565" s="140">
        <f>'Detailed Budget'!$AD$163</f>
        <v>4928560000</v>
      </c>
      <c r="DI565" s="616">
        <f t="shared" si="694"/>
        <v>7840000.0000000009</v>
      </c>
    </row>
    <row r="566" spans="1:113" outlineLevel="1">
      <c r="A566" s="214" t="s">
        <v>1224</v>
      </c>
      <c r="B566" s="215" t="s">
        <v>1225</v>
      </c>
      <c r="C566" s="216" t="s">
        <v>234</v>
      </c>
      <c r="D566" s="217"/>
      <c r="E566" s="216"/>
      <c r="F566" s="216"/>
      <c r="G566" s="216" t="s">
        <v>234</v>
      </c>
      <c r="H566" s="216" t="s">
        <v>234</v>
      </c>
      <c r="I566" s="217" t="s">
        <v>234</v>
      </c>
      <c r="J566" s="217"/>
      <c r="K566" s="216"/>
      <c r="L566" s="216"/>
      <c r="M566" s="217" t="s">
        <v>234</v>
      </c>
      <c r="N566" s="216"/>
      <c r="O566" s="217"/>
      <c r="P566" s="216"/>
      <c r="Q566" s="217" t="s">
        <v>234</v>
      </c>
      <c r="R566" s="217"/>
      <c r="S566" s="217"/>
      <c r="T566" s="217"/>
      <c r="U566" s="218">
        <f t="shared" si="683"/>
        <v>6</v>
      </c>
      <c r="V566" s="867" t="s">
        <v>1096</v>
      </c>
      <c r="W566" s="219">
        <v>309448</v>
      </c>
      <c r="X566" s="220">
        <v>3</v>
      </c>
      <c r="Y566" s="221">
        <f t="shared" si="621"/>
        <v>1.03</v>
      </c>
      <c r="Z566" s="199">
        <v>19</v>
      </c>
      <c r="AA566" s="221">
        <f t="shared" si="622"/>
        <v>1.7535060530771003</v>
      </c>
      <c r="AB566" s="199">
        <f t="shared" si="696"/>
        <v>542618.94111260248</v>
      </c>
      <c r="AC566">
        <v>11.8</v>
      </c>
      <c r="AD566" s="199">
        <f t="shared" si="697"/>
        <v>64029.035051287094</v>
      </c>
      <c r="AE566" s="199">
        <f t="shared" si="623"/>
        <v>60827.583298722733</v>
      </c>
      <c r="AF566" s="199">
        <f t="shared" si="658"/>
        <v>0</v>
      </c>
      <c r="AG566" s="614">
        <f t="shared" si="656"/>
        <v>2.812400413638688E-3</v>
      </c>
      <c r="AH566" s="199">
        <f t="shared" si="695"/>
        <v>27130.947055630124</v>
      </c>
      <c r="AI566" s="252">
        <f t="shared" si="639"/>
        <v>2.1017933609996631E-3</v>
      </c>
      <c r="AJ566" s="199">
        <f t="shared" si="640"/>
        <v>91159.982106917218</v>
      </c>
      <c r="AK566" s="199">
        <f t="shared" si="662"/>
        <v>21704.757644504101</v>
      </c>
      <c r="AL566" s="199">
        <f t="shared" si="663"/>
        <v>21704.757644504101</v>
      </c>
      <c r="AM566" s="199">
        <f t="shared" si="641"/>
        <v>43409.515289008203</v>
      </c>
      <c r="AN566" s="645">
        <f t="shared" si="642"/>
        <v>2.1017933609996631E-3</v>
      </c>
      <c r="AO566" s="199">
        <v>20</v>
      </c>
      <c r="AP566" s="250">
        <f t="shared" si="643"/>
        <v>2.2724690376093627E-3</v>
      </c>
      <c r="AQ566" s="199">
        <v>20</v>
      </c>
      <c r="AU566" s="199">
        <v>0</v>
      </c>
      <c r="AW566" s="250">
        <f t="shared" si="644"/>
        <v>0</v>
      </c>
      <c r="AX566" s="199">
        <v>1</v>
      </c>
      <c r="AY566" s="199">
        <f t="shared" si="684"/>
        <v>28628.773493751076</v>
      </c>
      <c r="AZ566" s="199">
        <f t="shared" si="645"/>
        <v>28628.773493751076</v>
      </c>
      <c r="BA566" s="252">
        <f t="shared" si="646"/>
        <v>2.2504073776396512E-3</v>
      </c>
      <c r="BB566" s="284">
        <v>0</v>
      </c>
      <c r="BC566" s="199">
        <f t="shared" si="685"/>
        <v>0</v>
      </c>
      <c r="BD566" s="270">
        <f t="shared" si="669"/>
        <v>0</v>
      </c>
      <c r="BE566" s="199">
        <f t="shared" si="686"/>
        <v>0</v>
      </c>
      <c r="BF566" s="251">
        <f t="shared" si="671"/>
        <v>0</v>
      </c>
      <c r="BG566" s="204">
        <f t="shared" si="687"/>
        <v>0</v>
      </c>
      <c r="BH566" s="636">
        <v>1</v>
      </c>
      <c r="BI566" s="199">
        <f t="shared" si="647"/>
        <v>166041.39598045638</v>
      </c>
      <c r="BJ566" s="199">
        <f t="shared" si="648"/>
        <v>332082.79196091276</v>
      </c>
      <c r="BK566" s="199">
        <f t="shared" si="655"/>
        <v>498124.18794136913</v>
      </c>
      <c r="BL566" s="251">
        <f t="shared" si="649"/>
        <v>2.1017933609996631E-3</v>
      </c>
      <c r="BM566" s="199">
        <f t="shared" si="688"/>
        <v>46144.645502634994</v>
      </c>
      <c r="BN566" s="251">
        <f t="shared" si="650"/>
        <v>1.9926693001440757E-3</v>
      </c>
      <c r="BT566" s="199">
        <f>'Detailed Budget'!$AD$12</f>
        <v>194045122715</v>
      </c>
      <c r="BU566" s="199">
        <f>'Detailed Budget'!$AD$24</f>
        <v>194045122715</v>
      </c>
      <c r="BV566" s="596">
        <f t="shared" si="689"/>
        <v>0</v>
      </c>
      <c r="BW566" s="278"/>
      <c r="BX566" s="275">
        <f t="shared" si="698"/>
        <v>0</v>
      </c>
      <c r="BY566" s="275">
        <f t="shared" si="699"/>
        <v>0</v>
      </c>
      <c r="CA566" s="199">
        <f>'Detailed Budget'!$AD$96</f>
        <v>71050111380.677719</v>
      </c>
      <c r="CB566" s="275">
        <f t="shared" si="651"/>
        <v>159891694.83319607</v>
      </c>
      <c r="CE566" s="199">
        <f>'Detailed Budget'!$AD$175</f>
        <v>4330586076.5988197</v>
      </c>
      <c r="CF566" s="275">
        <f t="shared" si="690"/>
        <v>0</v>
      </c>
      <c r="CG566" s="199">
        <f>'Detailed Budget'!$AD$176</f>
        <v>20662817754.37001</v>
      </c>
      <c r="CH566" s="275">
        <f t="shared" si="691"/>
        <v>0</v>
      </c>
      <c r="CI566" s="275">
        <f t="shared" si="657"/>
        <v>0</v>
      </c>
      <c r="CJ566" s="275">
        <f>'Detailed Budget'!$AD$178</f>
        <v>46025131033.061455</v>
      </c>
      <c r="CK566" s="275">
        <f t="shared" si="692"/>
        <v>0</v>
      </c>
      <c r="CL566" s="275">
        <f t="shared" si="661"/>
        <v>0</v>
      </c>
      <c r="CM566" s="278">
        <f>'Detailed Budget'!$AD$189</f>
        <v>77498869683.252869</v>
      </c>
      <c r="CN566" s="275">
        <f t="shared" si="652"/>
        <v>162886609.78523895</v>
      </c>
      <c r="CO566" s="140">
        <f>'Detailed Budget'!$AD$191</f>
        <v>2684962805.4134097</v>
      </c>
      <c r="CP566" s="616">
        <f t="shared" si="653"/>
        <v>5643236.9989489345</v>
      </c>
      <c r="CQ566" s="616">
        <f t="shared" si="654"/>
        <v>168529846.78418788</v>
      </c>
      <c r="CR566" s="199">
        <f>'Detailed Budget'!$AD$195</f>
        <v>18734176418</v>
      </c>
      <c r="CS566" s="275">
        <f t="shared" si="693"/>
        <v>37331018.211631708</v>
      </c>
      <c r="CW566" s="278"/>
      <c r="DH566" s="140">
        <f>'Detailed Budget'!$AD$163</f>
        <v>4928560000</v>
      </c>
      <c r="DI566" s="616">
        <f t="shared" si="694"/>
        <v>11200000</v>
      </c>
    </row>
    <row r="567" spans="1:113" outlineLevel="1">
      <c r="A567" s="214" t="s">
        <v>1226</v>
      </c>
      <c r="B567" s="215" t="s">
        <v>1227</v>
      </c>
      <c r="C567" s="216" t="s">
        <v>234</v>
      </c>
      <c r="D567" s="217"/>
      <c r="E567" s="216"/>
      <c r="F567" s="216"/>
      <c r="G567" s="216" t="s">
        <v>234</v>
      </c>
      <c r="H567" s="216" t="s">
        <v>234</v>
      </c>
      <c r="I567" s="217" t="s">
        <v>234</v>
      </c>
      <c r="J567" s="217"/>
      <c r="K567" s="216"/>
      <c r="L567" s="216"/>
      <c r="M567" s="217" t="s">
        <v>234</v>
      </c>
      <c r="N567" s="216"/>
      <c r="O567" s="217"/>
      <c r="P567" s="216"/>
      <c r="Q567" s="217"/>
      <c r="R567" s="217" t="s">
        <v>234</v>
      </c>
      <c r="S567" s="217"/>
      <c r="T567" s="217"/>
      <c r="U567" s="218">
        <f t="shared" si="683"/>
        <v>6</v>
      </c>
      <c r="V567" s="867" t="s">
        <v>235</v>
      </c>
      <c r="W567" s="219">
        <v>128741</v>
      </c>
      <c r="X567" s="220">
        <v>3</v>
      </c>
      <c r="Y567" s="221">
        <f t="shared" ref="Y567:Y633" si="700">1+X567/100</f>
        <v>1.03</v>
      </c>
      <c r="Z567" s="199">
        <v>19</v>
      </c>
      <c r="AA567" s="221">
        <f t="shared" ref="AA567:AA633" si="701">POWER(Y567,Z567)</f>
        <v>1.7535060530771003</v>
      </c>
      <c r="AB567" s="199">
        <f t="shared" si="696"/>
        <v>225748.12277919898</v>
      </c>
      <c r="AC567">
        <v>11.8</v>
      </c>
      <c r="AD567" s="199">
        <f t="shared" si="697"/>
        <v>26638.278487945485</v>
      </c>
      <c r="AE567" s="199">
        <f t="shared" ref="AE567:AE633" si="702">AD567*0.95</f>
        <v>25306.36456354821</v>
      </c>
      <c r="AF567" s="199">
        <f t="shared" si="658"/>
        <v>0</v>
      </c>
      <c r="AG567" s="614">
        <f t="shared" si="656"/>
        <v>1.1700552003963782E-3</v>
      </c>
      <c r="AH567" s="199">
        <f t="shared" si="695"/>
        <v>11287.40613895995</v>
      </c>
      <c r="AI567" s="252">
        <f t="shared" si="639"/>
        <v>8.7441825149446009E-4</v>
      </c>
      <c r="AJ567" s="199">
        <f t="shared" si="640"/>
        <v>37925.684626905437</v>
      </c>
      <c r="AK567" s="199">
        <f t="shared" si="662"/>
        <v>9029.9249111679601</v>
      </c>
      <c r="AL567" s="199">
        <f t="shared" si="663"/>
        <v>9029.9249111679601</v>
      </c>
      <c r="AM567" s="199">
        <f t="shared" si="641"/>
        <v>18059.84982233592</v>
      </c>
      <c r="AN567" s="645">
        <f t="shared" si="642"/>
        <v>8.7441825149446009E-4</v>
      </c>
      <c r="AO567" s="199">
        <v>20</v>
      </c>
      <c r="AP567" s="250">
        <f t="shared" si="643"/>
        <v>2.2724690376093627E-3</v>
      </c>
      <c r="AQ567" s="199">
        <v>20</v>
      </c>
      <c r="AU567" s="199">
        <v>0</v>
      </c>
      <c r="AW567" s="250">
        <f t="shared" si="644"/>
        <v>0</v>
      </c>
      <c r="AX567" s="199">
        <v>1</v>
      </c>
      <c r="AY567" s="199">
        <f t="shared" si="684"/>
        <v>11910.553399469407</v>
      </c>
      <c r="AZ567" s="199">
        <f t="shared" si="645"/>
        <v>11910.553399469407</v>
      </c>
      <c r="BA567" s="252">
        <f t="shared" si="646"/>
        <v>9.3624678849017111E-4</v>
      </c>
      <c r="BB567" s="284">
        <v>0</v>
      </c>
      <c r="BC567" s="199">
        <f t="shared" si="685"/>
        <v>0</v>
      </c>
      <c r="BD567" s="270">
        <f t="shared" si="669"/>
        <v>0</v>
      </c>
      <c r="BE567" s="199">
        <f t="shared" si="686"/>
        <v>0</v>
      </c>
      <c r="BF567" s="251">
        <f t="shared" si="671"/>
        <v>0</v>
      </c>
      <c r="BG567" s="204">
        <f t="shared" si="687"/>
        <v>0</v>
      </c>
      <c r="BH567" s="636">
        <v>1</v>
      </c>
      <c r="BI567" s="199">
        <f t="shared" si="647"/>
        <v>69078.925570434891</v>
      </c>
      <c r="BJ567" s="199">
        <f t="shared" si="648"/>
        <v>138157.85114086978</v>
      </c>
      <c r="BK567" s="199">
        <f t="shared" si="655"/>
        <v>207236.77671130467</v>
      </c>
      <c r="BL567" s="251">
        <f t="shared" si="649"/>
        <v>8.7441825149445998E-4</v>
      </c>
      <c r="BM567" s="199">
        <f t="shared" si="688"/>
        <v>19197.757964681408</v>
      </c>
      <c r="BN567" s="251">
        <f t="shared" si="650"/>
        <v>8.2901889289912524E-4</v>
      </c>
      <c r="BT567" s="199">
        <f>'Detailed Budget'!$AD$12</f>
        <v>194045122715</v>
      </c>
      <c r="BU567" s="199">
        <f>'Detailed Budget'!$AD$24</f>
        <v>194045122715</v>
      </c>
      <c r="BV567" s="596">
        <f t="shared" si="689"/>
        <v>0</v>
      </c>
      <c r="BW567" s="278"/>
      <c r="BX567" s="275">
        <f t="shared" si="698"/>
        <v>0</v>
      </c>
      <c r="BY567" s="275">
        <f t="shared" si="699"/>
        <v>0</v>
      </c>
      <c r="CA567" s="199">
        <f>'Detailed Budget'!$AD$96</f>
        <v>71050111380.677719</v>
      </c>
      <c r="CB567" s="275">
        <f t="shared" si="651"/>
        <v>66520438.602028474</v>
      </c>
      <c r="CE567" s="199">
        <f>'Detailed Budget'!$AD$175</f>
        <v>4330586076.5988197</v>
      </c>
      <c r="CF567" s="275">
        <f t="shared" si="690"/>
        <v>0</v>
      </c>
      <c r="CG567" s="199">
        <f>'Detailed Budget'!$AD$176</f>
        <v>20662817754.37001</v>
      </c>
      <c r="CH567" s="275">
        <f t="shared" si="691"/>
        <v>0</v>
      </c>
      <c r="CI567" s="275">
        <f t="shared" si="657"/>
        <v>0</v>
      </c>
      <c r="CJ567" s="275">
        <f>'Detailed Budget'!$AD$178</f>
        <v>46025131033.061455</v>
      </c>
      <c r="CK567" s="275">
        <f t="shared" si="692"/>
        <v>0</v>
      </c>
      <c r="CL567" s="275">
        <f t="shared" si="661"/>
        <v>0</v>
      </c>
      <c r="CM567" s="278">
        <f>'Detailed Budget'!$AD$189</f>
        <v>77498869683.252869</v>
      </c>
      <c r="CN567" s="275">
        <f t="shared" si="652"/>
        <v>67766426.121226981</v>
      </c>
      <c r="CO567" s="140">
        <f>'Detailed Budget'!$AD$191</f>
        <v>2684962805.4134097</v>
      </c>
      <c r="CP567" s="616">
        <f t="shared" si="653"/>
        <v>2347780.4816372539</v>
      </c>
      <c r="CQ567" s="616">
        <f t="shared" si="654"/>
        <v>70114206.602864236</v>
      </c>
      <c r="CR567" s="199">
        <f>'Detailed Budget'!$AD$195</f>
        <v>18734176418</v>
      </c>
      <c r="CS567" s="275">
        <f t="shared" si="693"/>
        <v>15530986.193427259</v>
      </c>
      <c r="CW567" s="278"/>
      <c r="DH567" s="140">
        <f>'Detailed Budget'!$AD$163</f>
        <v>4928560000</v>
      </c>
      <c r="DI567" s="616">
        <f t="shared" si="694"/>
        <v>11200000</v>
      </c>
    </row>
    <row r="568" spans="1:113" outlineLevel="1">
      <c r="A568" s="214" t="s">
        <v>1228</v>
      </c>
      <c r="B568" s="215" t="s">
        <v>1229</v>
      </c>
      <c r="C568" s="216" t="s">
        <v>234</v>
      </c>
      <c r="D568" s="217"/>
      <c r="E568" s="216"/>
      <c r="F568" s="216"/>
      <c r="G568" s="216" t="s">
        <v>234</v>
      </c>
      <c r="H568" s="216" t="s">
        <v>234</v>
      </c>
      <c r="I568" s="217" t="s">
        <v>234</v>
      </c>
      <c r="J568" s="217"/>
      <c r="K568" s="216"/>
      <c r="L568" s="216"/>
      <c r="M568" s="217" t="s">
        <v>234</v>
      </c>
      <c r="N568" s="216"/>
      <c r="O568" s="217"/>
      <c r="P568" s="216"/>
      <c r="Q568" s="217"/>
      <c r="R568" s="217" t="s">
        <v>234</v>
      </c>
      <c r="S568" s="217"/>
      <c r="T568" s="217"/>
      <c r="U568" s="218">
        <f t="shared" si="683"/>
        <v>6</v>
      </c>
      <c r="V568" s="867" t="s">
        <v>235</v>
      </c>
      <c r="W568" s="219">
        <v>178687</v>
      </c>
      <c r="X568" s="220">
        <v>3</v>
      </c>
      <c r="Y568" s="221">
        <f t="shared" si="700"/>
        <v>1.03</v>
      </c>
      <c r="Z568" s="199">
        <v>19</v>
      </c>
      <c r="AA568" s="221">
        <f t="shared" si="701"/>
        <v>1.7535060530771003</v>
      </c>
      <c r="AB568" s="199">
        <f t="shared" si="696"/>
        <v>313328.7361061878</v>
      </c>
      <c r="AC568">
        <v>11.8</v>
      </c>
      <c r="AD568" s="199">
        <f t="shared" si="697"/>
        <v>36972.790860530164</v>
      </c>
      <c r="AE568" s="199">
        <f t="shared" si="702"/>
        <v>35124.151317503653</v>
      </c>
      <c r="AF568" s="199">
        <f t="shared" si="658"/>
        <v>0</v>
      </c>
      <c r="AG568" s="614">
        <f t="shared" si="656"/>
        <v>1.6239865590078344E-3</v>
      </c>
      <c r="AH568" s="199">
        <f t="shared" si="695"/>
        <v>15666.436805309391</v>
      </c>
      <c r="AI568" s="252">
        <f t="shared" si="639"/>
        <v>1.2136551223370221E-3</v>
      </c>
      <c r="AJ568" s="199">
        <f t="shared" si="640"/>
        <v>52639.227665839557</v>
      </c>
      <c r="AK568" s="199">
        <f t="shared" si="662"/>
        <v>12533.149444247512</v>
      </c>
      <c r="AL568" s="199">
        <f t="shared" si="663"/>
        <v>12533.149444247512</v>
      </c>
      <c r="AM568" s="199">
        <f t="shared" si="641"/>
        <v>25066.298888495025</v>
      </c>
      <c r="AN568" s="645">
        <f t="shared" si="642"/>
        <v>1.2136551223370219E-3</v>
      </c>
      <c r="AO568" s="199">
        <v>10</v>
      </c>
      <c r="AP568" s="250">
        <f t="shared" si="643"/>
        <v>1.1362345188046814E-3</v>
      </c>
      <c r="AQ568" s="199">
        <v>10</v>
      </c>
      <c r="AU568" s="199">
        <v>0</v>
      </c>
      <c r="AW568" s="250">
        <f t="shared" si="644"/>
        <v>0</v>
      </c>
      <c r="AX568" s="199">
        <v>1</v>
      </c>
      <c r="AY568" s="199">
        <f t="shared" si="684"/>
        <v>16531.338542430069</v>
      </c>
      <c r="AZ568" s="199">
        <f t="shared" si="645"/>
        <v>16531.338542430069</v>
      </c>
      <c r="BA568" s="252">
        <f t="shared" si="646"/>
        <v>1.2994704864413293E-3</v>
      </c>
      <c r="BB568" s="284">
        <v>0</v>
      </c>
      <c r="BC568" s="199">
        <f t="shared" si="685"/>
        <v>0</v>
      </c>
      <c r="BD568" s="270">
        <f t="shared" si="669"/>
        <v>0</v>
      </c>
      <c r="BE568" s="199">
        <f t="shared" si="686"/>
        <v>0</v>
      </c>
      <c r="BF568" s="251">
        <f t="shared" si="671"/>
        <v>0</v>
      </c>
      <c r="BG568" s="204">
        <f t="shared" si="687"/>
        <v>0</v>
      </c>
      <c r="BH568" s="636">
        <v>1</v>
      </c>
      <c r="BI568" s="199">
        <f t="shared" si="647"/>
        <v>95878.593248493475</v>
      </c>
      <c r="BJ568" s="199">
        <f t="shared" si="648"/>
        <v>191757.18649698695</v>
      </c>
      <c r="BK568" s="199">
        <f t="shared" si="655"/>
        <v>287635.77974548039</v>
      </c>
      <c r="BL568" s="251">
        <f t="shared" si="649"/>
        <v>1.2136551223370219E-3</v>
      </c>
      <c r="BM568" s="199">
        <f t="shared" si="688"/>
        <v>26645.666706294236</v>
      </c>
      <c r="BN568" s="251">
        <f t="shared" si="650"/>
        <v>1.1506427549534801E-3</v>
      </c>
      <c r="BT568" s="199">
        <f>'Detailed Budget'!$AD$12</f>
        <v>194045122715</v>
      </c>
      <c r="BU568" s="199">
        <f>'Detailed Budget'!$AD$24</f>
        <v>194045122715</v>
      </c>
      <c r="BV568" s="596">
        <f t="shared" si="689"/>
        <v>0</v>
      </c>
      <c r="BW568" s="278"/>
      <c r="BX568" s="275">
        <f t="shared" si="698"/>
        <v>0</v>
      </c>
      <c r="BY568" s="275">
        <f t="shared" si="699"/>
        <v>0</v>
      </c>
      <c r="CA568" s="199">
        <f>'Detailed Budget'!$AD$96</f>
        <v>71050111380.677719</v>
      </c>
      <c r="CB568" s="275">
        <f t="shared" si="651"/>
        <v>92327522.797559902</v>
      </c>
      <c r="CE568" s="199">
        <f>'Detailed Budget'!$AD$175</f>
        <v>4330586076.5988197</v>
      </c>
      <c r="CF568" s="275">
        <f t="shared" si="690"/>
        <v>0</v>
      </c>
      <c r="CG568" s="199">
        <f>'Detailed Budget'!$AD$176</f>
        <v>20662817754.37001</v>
      </c>
      <c r="CH568" s="275">
        <f t="shared" si="691"/>
        <v>0</v>
      </c>
      <c r="CI568" s="275">
        <f t="shared" si="657"/>
        <v>0</v>
      </c>
      <c r="CJ568" s="275">
        <f>'Detailed Budget'!$AD$178</f>
        <v>46025131033.061455</v>
      </c>
      <c r="CK568" s="275">
        <f t="shared" si="692"/>
        <v>0</v>
      </c>
      <c r="CL568" s="275">
        <f t="shared" si="661"/>
        <v>0</v>
      </c>
      <c r="CM568" s="278">
        <f>'Detailed Budget'!$AD$189</f>
        <v>77498869683.252869</v>
      </c>
      <c r="CN568" s="275">
        <f t="shared" si="652"/>
        <v>94056900.16640918</v>
      </c>
      <c r="CO568" s="140">
        <f>'Detailed Budget'!$AD$191</f>
        <v>2684962805.4134097</v>
      </c>
      <c r="CP568" s="616">
        <f t="shared" si="653"/>
        <v>3258618.8620743654</v>
      </c>
      <c r="CQ568" s="616">
        <f t="shared" si="654"/>
        <v>97315519.02848354</v>
      </c>
      <c r="CR568" s="199">
        <f>'Detailed Budget'!$AD$195</f>
        <v>18734176418</v>
      </c>
      <c r="CS568" s="275">
        <f t="shared" si="693"/>
        <v>21556344.36539204</v>
      </c>
      <c r="CW568" s="278"/>
      <c r="DH568" s="140">
        <f>'Detailed Budget'!$AD$163</f>
        <v>4928560000</v>
      </c>
      <c r="DI568" s="616">
        <f t="shared" si="694"/>
        <v>5600000</v>
      </c>
    </row>
    <row r="569" spans="1:113" outlineLevel="1">
      <c r="A569" s="214" t="s">
        <v>1230</v>
      </c>
      <c r="B569" s="215" t="s">
        <v>1231</v>
      </c>
      <c r="C569" s="216" t="s">
        <v>234</v>
      </c>
      <c r="D569" s="217"/>
      <c r="E569" s="216"/>
      <c r="F569" s="216"/>
      <c r="G569" s="216" t="s">
        <v>234</v>
      </c>
      <c r="H569" s="216" t="s">
        <v>234</v>
      </c>
      <c r="I569" s="217" t="s">
        <v>234</v>
      </c>
      <c r="J569" s="217"/>
      <c r="K569" s="216"/>
      <c r="L569" s="216"/>
      <c r="M569" s="217" t="s">
        <v>234</v>
      </c>
      <c r="N569" s="216"/>
      <c r="O569" s="217"/>
      <c r="P569" s="216"/>
      <c r="Q569" s="217"/>
      <c r="R569" s="217" t="s">
        <v>234</v>
      </c>
      <c r="S569" s="217"/>
      <c r="T569" s="217"/>
      <c r="U569" s="218">
        <f t="shared" si="683"/>
        <v>6</v>
      </c>
      <c r="V569" s="867" t="s">
        <v>235</v>
      </c>
      <c r="W569" s="219">
        <v>238305</v>
      </c>
      <c r="X569" s="220">
        <v>3</v>
      </c>
      <c r="Y569" s="221">
        <f t="shared" si="700"/>
        <v>1.03</v>
      </c>
      <c r="Z569" s="199">
        <v>19</v>
      </c>
      <c r="AA569" s="221">
        <f t="shared" si="701"/>
        <v>1.7535060530771003</v>
      </c>
      <c r="AB569" s="199">
        <f t="shared" si="696"/>
        <v>417869.25997853838</v>
      </c>
      <c r="AC569">
        <v>11.8</v>
      </c>
      <c r="AD569" s="199">
        <f t="shared" si="697"/>
        <v>49308.572677467528</v>
      </c>
      <c r="AE569" s="199">
        <f t="shared" si="702"/>
        <v>46843.144043594148</v>
      </c>
      <c r="AF569" s="199">
        <f t="shared" si="658"/>
        <v>0</v>
      </c>
      <c r="AG569" s="614">
        <f t="shared" si="656"/>
        <v>2.1658213353202074E-3</v>
      </c>
      <c r="AH569" s="199">
        <f t="shared" si="695"/>
        <v>20893.46299892692</v>
      </c>
      <c r="AI569" s="252">
        <f t="shared" si="639"/>
        <v>1.6185849218383209E-3</v>
      </c>
      <c r="AJ569" s="199">
        <f t="shared" si="640"/>
        <v>70202.035676394444</v>
      </c>
      <c r="AK569" s="199">
        <f t="shared" si="662"/>
        <v>16714.770399141536</v>
      </c>
      <c r="AL569" s="199">
        <f t="shared" si="663"/>
        <v>16714.770399141536</v>
      </c>
      <c r="AM569" s="199">
        <f t="shared" si="641"/>
        <v>33429.540798283073</v>
      </c>
      <c r="AN569" s="645">
        <f t="shared" si="642"/>
        <v>1.6185849218383209E-3</v>
      </c>
      <c r="AO569" s="199">
        <v>20</v>
      </c>
      <c r="AP569" s="250">
        <f t="shared" si="643"/>
        <v>2.2724690376093627E-3</v>
      </c>
      <c r="AQ569" s="199">
        <v>20</v>
      </c>
      <c r="AU569" s="199">
        <v>0</v>
      </c>
      <c r="AW569" s="250">
        <f t="shared" si="644"/>
        <v>0</v>
      </c>
      <c r="AX569" s="199">
        <v>1</v>
      </c>
      <c r="AY569" s="199">
        <f t="shared" si="684"/>
        <v>22046.934759404972</v>
      </c>
      <c r="AZ569" s="199">
        <f t="shared" si="645"/>
        <v>22046.934759404972</v>
      </c>
      <c r="BA569" s="252">
        <f t="shared" si="646"/>
        <v>1.7330321415178545E-3</v>
      </c>
      <c r="BB569" s="284">
        <v>0</v>
      </c>
      <c r="BC569" s="199">
        <f t="shared" si="685"/>
        <v>0</v>
      </c>
      <c r="BD569" s="270">
        <f t="shared" si="669"/>
        <v>0</v>
      </c>
      <c r="BE569" s="199">
        <f t="shared" si="686"/>
        <v>0</v>
      </c>
      <c r="BF569" s="251">
        <f t="shared" si="671"/>
        <v>0</v>
      </c>
      <c r="BG569" s="204">
        <f t="shared" si="687"/>
        <v>0</v>
      </c>
      <c r="BH569" s="636">
        <v>1</v>
      </c>
      <c r="BI569" s="199">
        <f t="shared" si="647"/>
        <v>127867.99355343275</v>
      </c>
      <c r="BJ569" s="199">
        <f t="shared" si="648"/>
        <v>255735.9871068655</v>
      </c>
      <c r="BK569" s="199">
        <f t="shared" si="655"/>
        <v>383603.98066029826</v>
      </c>
      <c r="BL569" s="251">
        <f t="shared" si="649"/>
        <v>1.6185849218383209E-3</v>
      </c>
      <c r="BM569" s="199">
        <f t="shared" si="688"/>
        <v>35535.856578505707</v>
      </c>
      <c r="BN569" s="251">
        <f t="shared" si="650"/>
        <v>1.5345488016430355E-3</v>
      </c>
      <c r="BT569" s="199">
        <f>'Detailed Budget'!$AD$12</f>
        <v>194045122715</v>
      </c>
      <c r="BU569" s="199">
        <f>'Detailed Budget'!$AD$24</f>
        <v>194045122715</v>
      </c>
      <c r="BV569" s="596">
        <f t="shared" si="689"/>
        <v>0</v>
      </c>
      <c r="BW569" s="278"/>
      <c r="BX569" s="275">
        <f t="shared" si="698"/>
        <v>0</v>
      </c>
      <c r="BY569" s="275">
        <f t="shared" si="699"/>
        <v>0</v>
      </c>
      <c r="CA569" s="199">
        <f>'Detailed Budget'!$AD$96</f>
        <v>71050111380.677719</v>
      </c>
      <c r="CB569" s="275">
        <f t="shared" si="651"/>
        <v>123132126.68113799</v>
      </c>
      <c r="CE569" s="199">
        <f>'Detailed Budget'!$AD$175</f>
        <v>4330586076.5988197</v>
      </c>
      <c r="CF569" s="275">
        <f t="shared" si="690"/>
        <v>0</v>
      </c>
      <c r="CG569" s="199">
        <f>'Detailed Budget'!$AD$176</f>
        <v>20662817754.37001</v>
      </c>
      <c r="CH569" s="275">
        <f t="shared" si="691"/>
        <v>0</v>
      </c>
      <c r="CI569" s="275">
        <f t="shared" si="657"/>
        <v>0</v>
      </c>
      <c r="CJ569" s="275">
        <f>'Detailed Budget'!$AD$178</f>
        <v>46025131033.061455</v>
      </c>
      <c r="CK569" s="275">
        <f t="shared" si="692"/>
        <v>0</v>
      </c>
      <c r="CL569" s="275">
        <f t="shared" si="661"/>
        <v>0</v>
      </c>
      <c r="CM569" s="278">
        <f>'Detailed Budget'!$AD$189</f>
        <v>77498869683.252869</v>
      </c>
      <c r="CN569" s="275">
        <f t="shared" si="652"/>
        <v>125438501.92882606</v>
      </c>
      <c r="CO569" s="140">
        <f>'Detailed Budget'!$AD$191</f>
        <v>2684962805.4134097</v>
      </c>
      <c r="CP569" s="616">
        <f t="shared" si="653"/>
        <v>4345840.3125388622</v>
      </c>
      <c r="CQ569" s="616">
        <f t="shared" si="654"/>
        <v>129784342.24136493</v>
      </c>
      <c r="CR569" s="199">
        <f>'Detailed Budget'!$AD$195</f>
        <v>18734176418</v>
      </c>
      <c r="CS569" s="275">
        <f t="shared" si="693"/>
        <v>28748507.972011115</v>
      </c>
      <c r="CW569" s="278"/>
      <c r="DH569" s="140">
        <f>'Detailed Budget'!$AD$163</f>
        <v>4928560000</v>
      </c>
      <c r="DI569" s="616">
        <f t="shared" si="694"/>
        <v>11200000</v>
      </c>
    </row>
    <row r="570" spans="1:113" outlineLevel="1">
      <c r="A570" s="214" t="s">
        <v>1232</v>
      </c>
      <c r="B570" s="215" t="s">
        <v>1233</v>
      </c>
      <c r="C570" s="216" t="s">
        <v>234</v>
      </c>
      <c r="D570" s="217"/>
      <c r="E570" s="216"/>
      <c r="F570" s="216"/>
      <c r="G570" s="216" t="s">
        <v>234</v>
      </c>
      <c r="H570" s="216" t="s">
        <v>234</v>
      </c>
      <c r="I570" s="217" t="s">
        <v>234</v>
      </c>
      <c r="J570" s="217"/>
      <c r="K570" s="216"/>
      <c r="L570" s="216"/>
      <c r="M570" s="217" t="s">
        <v>234</v>
      </c>
      <c r="N570" s="216"/>
      <c r="O570" s="217"/>
      <c r="P570" s="216"/>
      <c r="Q570" s="217"/>
      <c r="R570" s="217" t="s">
        <v>234</v>
      </c>
      <c r="S570" s="217"/>
      <c r="T570" s="217"/>
      <c r="U570" s="218">
        <f t="shared" si="683"/>
        <v>6</v>
      </c>
      <c r="V570" s="867" t="s">
        <v>235</v>
      </c>
      <c r="W570" s="219">
        <v>127150</v>
      </c>
      <c r="X570" s="220">
        <v>3</v>
      </c>
      <c r="Y570" s="221">
        <f t="shared" si="700"/>
        <v>1.03</v>
      </c>
      <c r="Z570" s="199">
        <v>19</v>
      </c>
      <c r="AA570" s="221">
        <f t="shared" si="701"/>
        <v>1.7535060530771003</v>
      </c>
      <c r="AB570" s="199">
        <f t="shared" si="696"/>
        <v>222958.2946487533</v>
      </c>
      <c r="AC570">
        <v>11.8</v>
      </c>
      <c r="AD570" s="199">
        <f t="shared" si="697"/>
        <v>26309.078768552892</v>
      </c>
      <c r="AE570" s="199">
        <f t="shared" si="702"/>
        <v>24993.624830125245</v>
      </c>
      <c r="AF570" s="199">
        <f t="shared" si="658"/>
        <v>0</v>
      </c>
      <c r="AG570" s="614">
        <f t="shared" si="656"/>
        <v>1.1555954880760556E-3</v>
      </c>
      <c r="AH570" s="199">
        <f t="shared" si="695"/>
        <v>11147.914732437666</v>
      </c>
      <c r="AI570" s="252">
        <f t="shared" si="639"/>
        <v>8.6361206358130346E-4</v>
      </c>
      <c r="AJ570" s="199">
        <f t="shared" si="640"/>
        <v>37456.99350099056</v>
      </c>
      <c r="AK570" s="199">
        <f t="shared" si="662"/>
        <v>8918.3317859501331</v>
      </c>
      <c r="AL570" s="199">
        <f t="shared" si="663"/>
        <v>8918.3317859501331</v>
      </c>
      <c r="AM570" s="199">
        <f t="shared" si="641"/>
        <v>17836.663571900266</v>
      </c>
      <c r="AN570" s="645">
        <f t="shared" si="642"/>
        <v>8.6361206358130346E-4</v>
      </c>
      <c r="AO570" s="199">
        <v>16</v>
      </c>
      <c r="AP570" s="250">
        <f t="shared" si="643"/>
        <v>1.81797523008749E-3</v>
      </c>
      <c r="AQ570" s="199">
        <v>16</v>
      </c>
      <c r="AU570" s="199">
        <v>0</v>
      </c>
      <c r="AW570" s="250">
        <f t="shared" si="644"/>
        <v>0</v>
      </c>
      <c r="AX570" s="199">
        <v>1</v>
      </c>
      <c r="AY570" s="199">
        <f t="shared" si="684"/>
        <v>11763.361048481329</v>
      </c>
      <c r="AZ570" s="199">
        <f t="shared" si="645"/>
        <v>11763.361048481329</v>
      </c>
      <c r="BA570" s="252">
        <f t="shared" si="646"/>
        <v>9.2467651452548324E-4</v>
      </c>
      <c r="BB570" s="284">
        <v>0</v>
      </c>
      <c r="BC570" s="199">
        <f t="shared" si="685"/>
        <v>0</v>
      </c>
      <c r="BD570" s="270">
        <f t="shared" si="669"/>
        <v>0</v>
      </c>
      <c r="BE570" s="199">
        <f t="shared" si="686"/>
        <v>0</v>
      </c>
      <c r="BF570" s="251">
        <f t="shared" si="671"/>
        <v>0</v>
      </c>
      <c r="BG570" s="204">
        <f t="shared" si="687"/>
        <v>0</v>
      </c>
      <c r="BH570" s="636">
        <v>1</v>
      </c>
      <c r="BI570" s="199">
        <f t="shared" si="647"/>
        <v>68225.238162518523</v>
      </c>
      <c r="BJ570" s="199">
        <f t="shared" si="648"/>
        <v>136450.47632503705</v>
      </c>
      <c r="BK570" s="199">
        <f t="shared" si="655"/>
        <v>204675.71448755555</v>
      </c>
      <c r="BL570" s="251">
        <f t="shared" si="649"/>
        <v>8.6361206358130346E-4</v>
      </c>
      <c r="BM570" s="199">
        <f t="shared" si="688"/>
        <v>18960.509279943773</v>
      </c>
      <c r="BN570" s="251">
        <f t="shared" si="650"/>
        <v>8.1877375686163528E-4</v>
      </c>
      <c r="BT570" s="199">
        <f>'Detailed Budget'!$AD$12</f>
        <v>194045122715</v>
      </c>
      <c r="BU570" s="199">
        <f>'Detailed Budget'!$AD$24</f>
        <v>194045122715</v>
      </c>
      <c r="BV570" s="596">
        <f t="shared" si="689"/>
        <v>0</v>
      </c>
      <c r="BW570" s="278"/>
      <c r="BX570" s="275">
        <f t="shared" si="698"/>
        <v>0</v>
      </c>
      <c r="BY570" s="275">
        <f t="shared" si="699"/>
        <v>0</v>
      </c>
      <c r="CA570" s="199">
        <f>'Detailed Budget'!$AD$96</f>
        <v>71050111380.677719</v>
      </c>
      <c r="CB570" s="275">
        <f t="shared" si="651"/>
        <v>65698369.348132446</v>
      </c>
      <c r="CE570" s="199">
        <f>'Detailed Budget'!$AD$175</f>
        <v>4330586076.5988197</v>
      </c>
      <c r="CF570" s="275">
        <f t="shared" si="690"/>
        <v>0</v>
      </c>
      <c r="CG570" s="199">
        <f>'Detailed Budget'!$AD$176</f>
        <v>20662817754.37001</v>
      </c>
      <c r="CH570" s="275">
        <f t="shared" si="691"/>
        <v>0</v>
      </c>
      <c r="CI570" s="275">
        <f t="shared" si="657"/>
        <v>0</v>
      </c>
      <c r="CJ570" s="275">
        <f>'Detailed Budget'!$AD$178</f>
        <v>46025131033.061455</v>
      </c>
      <c r="CK570" s="275">
        <f t="shared" si="692"/>
        <v>0</v>
      </c>
      <c r="CL570" s="275">
        <f t="shared" si="661"/>
        <v>0</v>
      </c>
      <c r="CM570" s="278">
        <f>'Detailed Budget'!$AD$189</f>
        <v>77498869683.252869</v>
      </c>
      <c r="CN570" s="275">
        <f t="shared" si="652"/>
        <v>66928958.772372529</v>
      </c>
      <c r="CO570" s="140">
        <f>'Detailed Budget'!$AD$191</f>
        <v>2684962805.4134097</v>
      </c>
      <c r="CP570" s="616">
        <f t="shared" si="653"/>
        <v>2318766.2690221206</v>
      </c>
      <c r="CQ570" s="616">
        <f t="shared" si="654"/>
        <v>69247725.041394651</v>
      </c>
      <c r="CR570" s="199">
        <f>'Detailed Budget'!$AD$195</f>
        <v>18734176418</v>
      </c>
      <c r="CS570" s="275">
        <f t="shared" si="693"/>
        <v>15339052.007474514</v>
      </c>
      <c r="CW570" s="278"/>
      <c r="DH570" s="140">
        <f>'Detailed Budget'!$AD$163</f>
        <v>4928560000</v>
      </c>
      <c r="DI570" s="616">
        <f t="shared" si="694"/>
        <v>8960000</v>
      </c>
    </row>
    <row r="571" spans="1:113" outlineLevel="1">
      <c r="A571" s="214"/>
      <c r="B571" s="215"/>
      <c r="C571" s="216"/>
      <c r="D571" s="217"/>
      <c r="E571" s="216"/>
      <c r="F571" s="216"/>
      <c r="G571" s="216"/>
      <c r="H571" s="216"/>
      <c r="I571" s="217"/>
      <c r="J571" s="217"/>
      <c r="K571" s="216"/>
      <c r="L571" s="216"/>
      <c r="M571" s="217"/>
      <c r="N571" s="216"/>
      <c r="O571" s="217"/>
      <c r="P571" s="216"/>
      <c r="Q571" s="217"/>
      <c r="R571" s="217"/>
      <c r="S571" s="217"/>
      <c r="T571" s="217"/>
      <c r="U571" s="218"/>
      <c r="V571" s="867"/>
      <c r="W571" s="219"/>
      <c r="X571" s="220"/>
      <c r="Y571" s="221"/>
      <c r="Z571" s="199"/>
      <c r="AA571" s="221"/>
      <c r="AF571" s="199">
        <f t="shared" si="658"/>
        <v>0</v>
      </c>
      <c r="AG571" s="614">
        <f t="shared" si="656"/>
        <v>0</v>
      </c>
      <c r="AJ571" s="199"/>
      <c r="AK571" s="199">
        <f t="shared" si="662"/>
        <v>0</v>
      </c>
      <c r="AL571" s="199">
        <f t="shared" si="663"/>
        <v>0</v>
      </c>
      <c r="AM571" s="199">
        <f t="shared" si="641"/>
        <v>0</v>
      </c>
      <c r="AN571" s="645">
        <f t="shared" si="642"/>
        <v>0</v>
      </c>
      <c r="AP571" s="250">
        <f t="shared" si="643"/>
        <v>0</v>
      </c>
      <c r="AW571" s="250">
        <f t="shared" si="644"/>
        <v>0</v>
      </c>
      <c r="AX571" s="199"/>
      <c r="BA571" s="252">
        <f t="shared" si="646"/>
        <v>0</v>
      </c>
      <c r="BB571" s="284"/>
      <c r="BD571" s="270"/>
      <c r="BF571" s="251"/>
      <c r="BG571" s="204"/>
      <c r="BH571" s="636"/>
      <c r="BI571" s="199">
        <f t="shared" si="647"/>
        <v>0</v>
      </c>
      <c r="BJ571" s="199">
        <f t="shared" si="648"/>
        <v>0</v>
      </c>
      <c r="BK571" s="199">
        <f t="shared" si="655"/>
        <v>0</v>
      </c>
      <c r="BL571" s="251">
        <f t="shared" si="649"/>
        <v>0</v>
      </c>
      <c r="BN571" s="251">
        <f t="shared" si="650"/>
        <v>0</v>
      </c>
      <c r="BT571" s="199"/>
      <c r="BU571" s="199"/>
      <c r="BV571" s="596"/>
      <c r="BW571" s="278"/>
      <c r="BX571" s="275"/>
      <c r="BY571" s="275"/>
      <c r="CA571" s="199">
        <f>'Detailed Budget'!$AD$96</f>
        <v>71050111380.677719</v>
      </c>
      <c r="CB571" s="275">
        <f t="shared" si="651"/>
        <v>0</v>
      </c>
      <c r="CE571" s="199"/>
      <c r="CF571" s="275"/>
      <c r="CG571" s="199"/>
      <c r="CH571" s="275"/>
      <c r="CI571" s="275"/>
      <c r="CJ571" s="275"/>
      <c r="CK571" s="275"/>
      <c r="CL571" s="275"/>
      <c r="CM571" s="278">
        <f>'Detailed Budget'!$AD$189</f>
        <v>77498869683.252869</v>
      </c>
      <c r="CN571" s="275">
        <f t="shared" si="652"/>
        <v>0</v>
      </c>
      <c r="CO571" s="140">
        <f>'Detailed Budget'!$AD$191</f>
        <v>2684962805.4134097</v>
      </c>
      <c r="CP571" s="616">
        <f t="shared" si="653"/>
        <v>0</v>
      </c>
      <c r="CQ571" s="616">
        <f t="shared" si="654"/>
        <v>0</v>
      </c>
      <c r="CR571" s="199"/>
      <c r="CS571" s="275"/>
      <c r="CW571" s="278"/>
      <c r="DH571" s="140">
        <f>'Detailed Budget'!$AD$163</f>
        <v>4928560000</v>
      </c>
      <c r="DI571" s="616">
        <f t="shared" si="694"/>
        <v>0</v>
      </c>
    </row>
    <row r="572" spans="1:113" s="213" customFormat="1">
      <c r="A572" s="206">
        <v>4.5</v>
      </c>
      <c r="B572" s="207" t="s">
        <v>1234</v>
      </c>
      <c r="C572" s="208">
        <f>COUNTA(C574:C600)</f>
        <v>27</v>
      </c>
      <c r="D572" s="208">
        <f t="shared" ref="D572:T572" si="703">COUNTA(D574:D600)</f>
        <v>0</v>
      </c>
      <c r="E572" s="208">
        <f t="shared" si="703"/>
        <v>0</v>
      </c>
      <c r="F572" s="208">
        <f t="shared" si="703"/>
        <v>0</v>
      </c>
      <c r="G572" s="208">
        <f t="shared" si="703"/>
        <v>27</v>
      </c>
      <c r="H572" s="208">
        <f t="shared" si="703"/>
        <v>27</v>
      </c>
      <c r="I572" s="208">
        <f t="shared" si="703"/>
        <v>27</v>
      </c>
      <c r="J572" s="208">
        <f t="shared" si="703"/>
        <v>0</v>
      </c>
      <c r="K572" s="208">
        <f t="shared" si="703"/>
        <v>0</v>
      </c>
      <c r="L572" s="208">
        <f t="shared" si="703"/>
        <v>0</v>
      </c>
      <c r="M572" s="208">
        <f t="shared" si="703"/>
        <v>27</v>
      </c>
      <c r="N572" s="208">
        <f t="shared" si="703"/>
        <v>0</v>
      </c>
      <c r="O572" s="208">
        <f t="shared" si="703"/>
        <v>0</v>
      </c>
      <c r="P572" s="208">
        <f t="shared" si="703"/>
        <v>0</v>
      </c>
      <c r="Q572" s="208">
        <f t="shared" si="703"/>
        <v>3</v>
      </c>
      <c r="R572" s="208">
        <f t="shared" si="703"/>
        <v>24</v>
      </c>
      <c r="S572" s="208">
        <f t="shared" si="703"/>
        <v>0</v>
      </c>
      <c r="T572" s="208">
        <f t="shared" si="703"/>
        <v>0</v>
      </c>
      <c r="U572" s="209">
        <f>SUM(C572:T572)</f>
        <v>162</v>
      </c>
      <c r="V572" s="866"/>
      <c r="W572" s="210">
        <f>SUM(W574:W600)</f>
        <v>3927563</v>
      </c>
      <c r="X572" s="211">
        <v>3.19</v>
      </c>
      <c r="Y572" s="212">
        <f t="shared" si="700"/>
        <v>1.0319</v>
      </c>
      <c r="Z572" s="210">
        <v>19</v>
      </c>
      <c r="AA572" s="212">
        <f t="shared" si="701"/>
        <v>1.8159949505681734</v>
      </c>
      <c r="AB572" s="210">
        <f t="shared" si="696"/>
        <v>7132434.5760383867</v>
      </c>
      <c r="AC572" s="213">
        <v>11.8</v>
      </c>
      <c r="AD572" s="210">
        <f t="shared" si="697"/>
        <v>841627.27997252974</v>
      </c>
      <c r="AE572" s="210">
        <f t="shared" si="702"/>
        <v>799545.91597390326</v>
      </c>
      <c r="AF572" s="210">
        <f>SUM(AF574:AF600)</f>
        <v>0</v>
      </c>
      <c r="AG572" s="614">
        <f t="shared" si="656"/>
        <v>3.6967493082292927E-2</v>
      </c>
      <c r="AH572" s="210">
        <f>SUM(AH574:AH600)</f>
        <v>356621.72880191938</v>
      </c>
      <c r="AI572" s="252">
        <f t="shared" si="639"/>
        <v>2.7626944995587734E-2</v>
      </c>
      <c r="AJ572" s="210">
        <f>SUM(AJ574:AJ600)</f>
        <v>1198249.0087744487</v>
      </c>
      <c r="AK572" s="199">
        <f t="shared" si="662"/>
        <v>285297.38304153545</v>
      </c>
      <c r="AL572" s="199">
        <f t="shared" si="663"/>
        <v>285297.38304153545</v>
      </c>
      <c r="AM572" s="199">
        <f t="shared" si="641"/>
        <v>570594.76608307089</v>
      </c>
      <c r="AN572" s="645">
        <f t="shared" si="642"/>
        <v>2.7626944995587727E-2</v>
      </c>
      <c r="AO572" s="210">
        <f>SUM(AO574:AO600)</f>
        <v>305</v>
      </c>
      <c r="AP572" s="250">
        <f t="shared" si="643"/>
        <v>3.4655152823542777E-2</v>
      </c>
      <c r="AQ572" s="210">
        <f>SUM(AQ574:AQ600)</f>
        <v>305</v>
      </c>
      <c r="AR572" s="210"/>
      <c r="AS572" s="210"/>
      <c r="AT572" s="210"/>
      <c r="AU572" s="199"/>
      <c r="AV572" s="199"/>
      <c r="AW572" s="250">
        <f t="shared" si="644"/>
        <v>0</v>
      </c>
      <c r="AX572" s="199"/>
      <c r="AY572" s="210">
        <v>368770</v>
      </c>
      <c r="AZ572" s="210">
        <f>SUM(AZ574:AZ600)</f>
        <v>368770.00270040159</v>
      </c>
      <c r="BA572" s="252">
        <f t="shared" si="646"/>
        <v>2.8987715275693521E-2</v>
      </c>
      <c r="BB572" s="284"/>
      <c r="BC572" s="210">
        <f>AD572*BB572*0.18</f>
        <v>0</v>
      </c>
      <c r="BD572" s="652">
        <f t="shared" si="669"/>
        <v>0</v>
      </c>
      <c r="BE572" s="210">
        <f>AD572*BB572*0.77</f>
        <v>0</v>
      </c>
      <c r="BF572" s="653">
        <f t="shared" si="671"/>
        <v>0</v>
      </c>
      <c r="BG572" s="213">
        <v>0</v>
      </c>
      <c r="BH572"/>
      <c r="BI572" s="199">
        <f t="shared" si="647"/>
        <v>2182524.9802677459</v>
      </c>
      <c r="BJ572" s="199">
        <f t="shared" si="648"/>
        <v>4365049.9605354918</v>
      </c>
      <c r="BK572" s="199">
        <f t="shared" si="655"/>
        <v>6547574.9408032373</v>
      </c>
      <c r="BL572" s="251">
        <f t="shared" si="649"/>
        <v>2.7626944995587724E-2</v>
      </c>
      <c r="BM572" s="210">
        <v>633958</v>
      </c>
      <c r="BN572" s="251">
        <f t="shared" si="650"/>
        <v>2.737627801493462E-2</v>
      </c>
      <c r="BT572" s="210">
        <f>'Detailed Budget'!$AD$12</f>
        <v>194045122715</v>
      </c>
      <c r="BU572" s="210">
        <f>'Detailed Budget'!$AD$24</f>
        <v>194045122715</v>
      </c>
      <c r="BV572" s="596">
        <f>AV572/34743979</f>
        <v>0</v>
      </c>
      <c r="BW572" s="278"/>
      <c r="BX572" s="613">
        <f t="shared" si="698"/>
        <v>0</v>
      </c>
      <c r="BY572" s="613">
        <f t="shared" si="699"/>
        <v>0</v>
      </c>
      <c r="CA572" s="210">
        <f>'Detailed Budget'!$AD$96</f>
        <v>71050111380.677719</v>
      </c>
      <c r="CB572" s="613">
        <f t="shared" si="651"/>
        <v>2059580399.0093975</v>
      </c>
      <c r="CE572" s="210">
        <f>'Detailed Budget'!$AD$175</f>
        <v>4330586076.5988197</v>
      </c>
      <c r="CF572" s="613">
        <f>SUM(CF574:CF600)</f>
        <v>0</v>
      </c>
      <c r="CG572" s="632">
        <f>'Detailed Budget'!$AD$176</f>
        <v>20662817754.37001</v>
      </c>
      <c r="CH572" s="613">
        <f>SUM(CH574:CH600)</f>
        <v>0</v>
      </c>
      <c r="CI572" s="613">
        <f>SUM(CI574:CI600)</f>
        <v>0</v>
      </c>
      <c r="CJ572" s="275">
        <f>'Detailed Budget'!$AD$178</f>
        <v>46025131033.061455</v>
      </c>
      <c r="CK572" s="613">
        <f>SUM(CK574:CK600)</f>
        <v>0</v>
      </c>
      <c r="CL572" s="613">
        <f>SUM(CL574:CL600)</f>
        <v>0</v>
      </c>
      <c r="CM572" s="278">
        <f>'Detailed Budget'!$AD$189</f>
        <v>77498869683.252869</v>
      </c>
      <c r="CN572" s="275">
        <f t="shared" si="652"/>
        <v>0</v>
      </c>
      <c r="CO572" s="140">
        <f>'Detailed Budget'!$AD$191</f>
        <v>2684962805.4134097</v>
      </c>
      <c r="CP572" s="616">
        <f t="shared" si="653"/>
        <v>0</v>
      </c>
      <c r="CQ572" s="616">
        <f t="shared" si="654"/>
        <v>0</v>
      </c>
      <c r="CR572" s="210">
        <f>'Detailed Budget'!$AD$195</f>
        <v>18734176418</v>
      </c>
      <c r="CS572" s="275">
        <f>BN572*CR572</f>
        <v>512872022</v>
      </c>
      <c r="CW572" s="278"/>
      <c r="DH572" s="140">
        <f>'Detailed Budget'!$AD$163</f>
        <v>4928560000</v>
      </c>
      <c r="DI572" s="616">
        <f t="shared" si="694"/>
        <v>170800000</v>
      </c>
    </row>
    <row r="573" spans="1:113" s="213" customFormat="1">
      <c r="A573" s="214" t="s">
        <v>2343</v>
      </c>
      <c r="B573" s="215" t="s">
        <v>2318</v>
      </c>
      <c r="C573" s="208"/>
      <c r="D573" s="208"/>
      <c r="E573" s="208"/>
      <c r="F573" s="208"/>
      <c r="G573" s="208"/>
      <c r="H573" s="208"/>
      <c r="I573" s="208"/>
      <c r="J573" s="208"/>
      <c r="K573" s="208"/>
      <c r="L573" s="208"/>
      <c r="M573" s="208"/>
      <c r="N573" s="208"/>
      <c r="O573" s="208"/>
      <c r="P573" s="208"/>
      <c r="Q573" s="208"/>
      <c r="R573" s="208"/>
      <c r="S573" s="208"/>
      <c r="T573" s="208"/>
      <c r="U573" s="209"/>
      <c r="V573" s="866"/>
      <c r="W573" s="210"/>
      <c r="X573" s="211"/>
      <c r="Y573" s="212"/>
      <c r="Z573" s="210"/>
      <c r="AA573" s="212"/>
      <c r="AB573" s="210"/>
      <c r="AD573" s="210"/>
      <c r="AE573" s="210"/>
      <c r="AF573" s="199"/>
      <c r="AG573" s="614">
        <f t="shared" si="656"/>
        <v>0</v>
      </c>
      <c r="AH573" s="210"/>
      <c r="AI573" s="252"/>
      <c r="AJ573" s="199"/>
      <c r="AK573" s="199">
        <f t="shared" si="662"/>
        <v>0</v>
      </c>
      <c r="AL573" s="199">
        <f t="shared" si="663"/>
        <v>0</v>
      </c>
      <c r="AM573" s="199">
        <f t="shared" si="641"/>
        <v>0</v>
      </c>
      <c r="AN573" s="645">
        <f t="shared" si="642"/>
        <v>0</v>
      </c>
      <c r="AO573" s="210"/>
      <c r="AP573" s="250"/>
      <c r="AQ573" s="210"/>
      <c r="AR573" s="210"/>
      <c r="AS573" s="210"/>
      <c r="AT573" s="210"/>
      <c r="AU573" s="199"/>
      <c r="AV573" s="199"/>
      <c r="AW573" s="250">
        <f t="shared" si="644"/>
        <v>0</v>
      </c>
      <c r="AX573" s="199"/>
      <c r="AY573" s="210"/>
      <c r="AZ573" s="199"/>
      <c r="BA573" s="252">
        <f t="shared" si="646"/>
        <v>0</v>
      </c>
      <c r="BB573" s="284"/>
      <c r="BC573" s="199"/>
      <c r="BD573" s="270">
        <f t="shared" si="669"/>
        <v>0</v>
      </c>
      <c r="BE573" s="199"/>
      <c r="BF573" s="251">
        <f t="shared" si="671"/>
        <v>0</v>
      </c>
      <c r="BH573"/>
      <c r="BI573" s="199">
        <f t="shared" si="647"/>
        <v>0</v>
      </c>
      <c r="BJ573" s="199">
        <f t="shared" si="648"/>
        <v>0</v>
      </c>
      <c r="BK573" s="199">
        <f t="shared" si="655"/>
        <v>0</v>
      </c>
      <c r="BL573" s="251">
        <f t="shared" si="649"/>
        <v>0</v>
      </c>
      <c r="BM573" s="210"/>
      <c r="BN573" s="251">
        <f t="shared" si="650"/>
        <v>0</v>
      </c>
      <c r="BT573" s="210"/>
      <c r="BU573" s="210">
        <f>'Detailed Budget'!$AD$24</f>
        <v>194045122715</v>
      </c>
      <c r="BV573" s="596"/>
      <c r="BW573" s="278"/>
      <c r="BX573" s="275"/>
      <c r="BY573" s="275"/>
      <c r="CA573" s="210">
        <f>'Detailed Budget'!$AD$96</f>
        <v>71050111380.677719</v>
      </c>
      <c r="CB573" s="275"/>
      <c r="CE573" s="210"/>
      <c r="CF573" s="275"/>
      <c r="CG573" s="240"/>
      <c r="CH573" s="275"/>
      <c r="CI573" s="275"/>
      <c r="CJ573" s="275"/>
      <c r="CK573" s="275"/>
      <c r="CL573" s="275"/>
      <c r="CM573" s="278">
        <f>'Detailed Budget'!$AD$189</f>
        <v>77498869683.252869</v>
      </c>
      <c r="CN573" s="275">
        <f t="shared" si="652"/>
        <v>0</v>
      </c>
      <c r="CO573" s="140">
        <f>'Detailed Budget'!$AD$191</f>
        <v>2684962805.4134097</v>
      </c>
      <c r="CP573" s="616">
        <f t="shared" si="653"/>
        <v>0</v>
      </c>
      <c r="CQ573" s="616">
        <f t="shared" si="654"/>
        <v>0</v>
      </c>
      <c r="CR573" s="210"/>
      <c r="CS573" s="275"/>
      <c r="CW573" s="278"/>
      <c r="DH573" s="140"/>
      <c r="DI573" s="616"/>
    </row>
    <row r="574" spans="1:113" outlineLevel="1">
      <c r="A574" s="214" t="s">
        <v>1235</v>
      </c>
      <c r="B574" s="215" t="s">
        <v>1236</v>
      </c>
      <c r="C574" s="216" t="s">
        <v>234</v>
      </c>
      <c r="D574" s="217"/>
      <c r="E574" s="216"/>
      <c r="F574" s="216"/>
      <c r="G574" s="216" t="s">
        <v>234</v>
      </c>
      <c r="H574" s="216" t="s">
        <v>234</v>
      </c>
      <c r="I574" s="217" t="s">
        <v>234</v>
      </c>
      <c r="J574" s="217"/>
      <c r="K574" s="216"/>
      <c r="L574" s="216"/>
      <c r="M574" s="217" t="s">
        <v>234</v>
      </c>
      <c r="N574" s="216"/>
      <c r="O574" s="217"/>
      <c r="P574" s="216"/>
      <c r="Q574" s="217"/>
      <c r="R574" s="217" t="s">
        <v>234</v>
      </c>
      <c r="S574" s="217"/>
      <c r="T574" s="217"/>
      <c r="U574" s="218">
        <f>COUNTA(C574:T574)</f>
        <v>6</v>
      </c>
      <c r="V574" s="867" t="s">
        <v>235</v>
      </c>
      <c r="W574" s="219">
        <v>194779</v>
      </c>
      <c r="X574" s="220">
        <v>3.19</v>
      </c>
      <c r="Y574" s="221">
        <f t="shared" si="700"/>
        <v>1.0319</v>
      </c>
      <c r="Z574" s="199">
        <v>19</v>
      </c>
      <c r="AA574" s="221">
        <f t="shared" si="701"/>
        <v>1.8159949505681734</v>
      </c>
      <c r="AB574" s="199">
        <f t="shared" si="696"/>
        <v>353717.68047671823</v>
      </c>
      <c r="AC574">
        <v>11.8</v>
      </c>
      <c r="AD574" s="199">
        <f t="shared" si="697"/>
        <v>41738.686296252752</v>
      </c>
      <c r="AE574" s="199">
        <f t="shared" si="702"/>
        <v>39651.751981440109</v>
      </c>
      <c r="AF574" s="199">
        <f t="shared" si="658"/>
        <v>0</v>
      </c>
      <c r="AG574" s="614">
        <f t="shared" si="656"/>
        <v>1.833322937168909E-3</v>
      </c>
      <c r="AH574" s="199">
        <f>AB574*0.05</f>
        <v>17685.884023835912</v>
      </c>
      <c r="AI574" s="252">
        <f t="shared" si="639"/>
        <v>1.3700986385948698E-3</v>
      </c>
      <c r="AJ574" s="199">
        <f t="shared" si="640"/>
        <v>59424.570320088664</v>
      </c>
      <c r="AK574" s="199">
        <f t="shared" si="662"/>
        <v>14148.70721906873</v>
      </c>
      <c r="AL574" s="199">
        <f t="shared" si="663"/>
        <v>14148.70721906873</v>
      </c>
      <c r="AM574" s="199">
        <f t="shared" si="641"/>
        <v>28297.414438137461</v>
      </c>
      <c r="AN574" s="645">
        <f t="shared" si="642"/>
        <v>1.3700986385948698E-3</v>
      </c>
      <c r="AO574" s="199">
        <v>12</v>
      </c>
      <c r="AP574" s="250"/>
      <c r="AQ574" s="199">
        <v>12</v>
      </c>
      <c r="AU574" s="199">
        <v>0</v>
      </c>
      <c r="AW574" s="250">
        <f t="shared" si="644"/>
        <v>0</v>
      </c>
      <c r="AX574" s="199">
        <v>1</v>
      </c>
      <c r="AY574" s="199">
        <f t="shared" ref="AY574:AY600" si="704">AJ574/1198249*368770</f>
        <v>18288.351416891728</v>
      </c>
      <c r="AZ574" s="199">
        <f t="shared" si="645"/>
        <v>18288.351416891728</v>
      </c>
      <c r="BA574" s="252">
        <f t="shared" si="646"/>
        <v>1.4375831001779752E-3</v>
      </c>
      <c r="BB574" s="284">
        <v>0</v>
      </c>
      <c r="BC574" s="199">
        <f t="shared" ref="BC574:BC600" si="705">AD574*BB574*0.18*4</f>
        <v>0</v>
      </c>
      <c r="BD574" s="270">
        <f t="shared" si="669"/>
        <v>0</v>
      </c>
      <c r="BE574" s="199">
        <f t="shared" ref="BE574:BE600" si="706">AD574*BB574*0.77*4</f>
        <v>0</v>
      </c>
      <c r="BF574" s="251">
        <f t="shared" si="671"/>
        <v>0</v>
      </c>
      <c r="BG574" s="204">
        <f t="shared" ref="BG574:BG600" si="707">BC574+BE574</f>
        <v>0</v>
      </c>
      <c r="BH574" s="636">
        <v>1</v>
      </c>
      <c r="BI574" s="199">
        <f t="shared" si="647"/>
        <v>108237.61022587577</v>
      </c>
      <c r="BJ574" s="199">
        <f t="shared" si="648"/>
        <v>216475.22045175155</v>
      </c>
      <c r="BK574" s="199">
        <f t="shared" si="655"/>
        <v>324712.83067762735</v>
      </c>
      <c r="BL574" s="251">
        <f t="shared" si="649"/>
        <v>1.3700986385948698E-3</v>
      </c>
      <c r="BM574" s="199">
        <f t="shared" ref="BM574:BM600" si="708">AH574/356622*633958</f>
        <v>31439.753195212204</v>
      </c>
      <c r="BN574" s="251">
        <f t="shared" si="650"/>
        <v>1.3576663188934572E-3</v>
      </c>
      <c r="BT574" s="199">
        <f>'Detailed Budget'!$AD$12</f>
        <v>194045122715</v>
      </c>
      <c r="BU574" s="199">
        <f>'Detailed Budget'!$AD$24</f>
        <v>194045122715</v>
      </c>
      <c r="BV574" s="596">
        <f t="shared" ref="BV574:BV603" si="709">AV574/34743979</f>
        <v>0</v>
      </c>
      <c r="BW574" s="278"/>
      <c r="BX574" s="275">
        <f t="shared" si="698"/>
        <v>0</v>
      </c>
      <c r="BY574" s="275">
        <f t="shared" si="699"/>
        <v>0</v>
      </c>
      <c r="CA574" s="199">
        <f>'Detailed Budget'!$AD$96</f>
        <v>71050111380.677719</v>
      </c>
      <c r="CB574" s="275">
        <f t="shared" si="651"/>
        <v>102140439.38662511</v>
      </c>
      <c r="CE574" s="199">
        <f>'Detailed Budget'!$AD$175</f>
        <v>4330586076.5988197</v>
      </c>
      <c r="CF574" s="275">
        <f t="shared" ref="CF574:CF601" si="710">BB574*BD574*CE574</f>
        <v>0</v>
      </c>
      <c r="CG574" s="199">
        <f>'Detailed Budget'!$AD$176</f>
        <v>20662817754.37001</v>
      </c>
      <c r="CH574" s="275">
        <f t="shared" ref="CH574:CH601" si="711">BB574*BF574*CG574</f>
        <v>0</v>
      </c>
      <c r="CI574" s="275">
        <f t="shared" si="657"/>
        <v>0</v>
      </c>
      <c r="CJ574" s="275">
        <f>'Detailed Budget'!$AD$178</f>
        <v>46025131033.061455</v>
      </c>
      <c r="CK574" s="275">
        <f t="shared" ref="CK574:CK601" si="712">BB574*AG574*CJ574</f>
        <v>0</v>
      </c>
      <c r="CL574" s="275">
        <f t="shared" si="661"/>
        <v>0</v>
      </c>
      <c r="CM574" s="278">
        <f>'Detailed Budget'!$AD$189</f>
        <v>77498869683.252869</v>
      </c>
      <c r="CN574" s="275">
        <f t="shared" si="652"/>
        <v>106181095.84566599</v>
      </c>
      <c r="CO574" s="140">
        <f>'Detailed Budget'!$AD$191</f>
        <v>2684962805.4134097</v>
      </c>
      <c r="CP574" s="616">
        <f t="shared" si="653"/>
        <v>3678663.884374775</v>
      </c>
      <c r="CQ574" s="616">
        <f t="shared" si="654"/>
        <v>109859759.73004076</v>
      </c>
      <c r="CR574" s="199">
        <f>'Detailed Budget'!$AD$195</f>
        <v>18734176418</v>
      </c>
      <c r="CS574" s="275">
        <f t="shared" ref="CS574:CS600" si="713">BN574*CR574</f>
        <v>25434760.334926672</v>
      </c>
      <c r="CW574" s="278"/>
      <c r="DH574" s="140"/>
      <c r="DI574" s="616"/>
    </row>
    <row r="575" spans="1:113" outlineLevel="1">
      <c r="A575" s="214" t="s">
        <v>1237</v>
      </c>
      <c r="B575" s="215" t="s">
        <v>1238</v>
      </c>
      <c r="C575" s="216" t="s">
        <v>234</v>
      </c>
      <c r="D575" s="217"/>
      <c r="E575" s="216"/>
      <c r="F575" s="216"/>
      <c r="G575" s="216" t="s">
        <v>234</v>
      </c>
      <c r="H575" s="216" t="s">
        <v>234</v>
      </c>
      <c r="I575" s="217" t="s">
        <v>234</v>
      </c>
      <c r="J575" s="217"/>
      <c r="K575" s="216"/>
      <c r="L575" s="216"/>
      <c r="M575" s="217" t="s">
        <v>234</v>
      </c>
      <c r="N575" s="216"/>
      <c r="O575" s="217"/>
      <c r="P575" s="216"/>
      <c r="Q575" s="217"/>
      <c r="R575" s="217" t="s">
        <v>234</v>
      </c>
      <c r="S575" s="217"/>
      <c r="T575" s="217"/>
      <c r="U575" s="218">
        <f>COUNTA(C575:T575)</f>
        <v>6</v>
      </c>
      <c r="V575" s="867" t="s">
        <v>235</v>
      </c>
      <c r="W575" s="219">
        <v>170824</v>
      </c>
      <c r="X575" s="220">
        <v>3.19</v>
      </c>
      <c r="Y575" s="221">
        <f t="shared" si="700"/>
        <v>1.0319</v>
      </c>
      <c r="Z575" s="199">
        <v>19</v>
      </c>
      <c r="AA575" s="221">
        <f t="shared" si="701"/>
        <v>1.8159949505681734</v>
      </c>
      <c r="AB575" s="199">
        <f t="shared" si="696"/>
        <v>310215.52143585763</v>
      </c>
      <c r="AC575">
        <v>11.8</v>
      </c>
      <c r="AD575" s="199">
        <f t="shared" si="697"/>
        <v>36605.431529431204</v>
      </c>
      <c r="AE575" s="199">
        <f t="shared" si="702"/>
        <v>34775.159952959642</v>
      </c>
      <c r="AF575" s="199">
        <f t="shared" si="658"/>
        <v>0</v>
      </c>
      <c r="AG575" s="614">
        <f t="shared" si="656"/>
        <v>1.6078507304121172E-3</v>
      </c>
      <c r="AH575" s="199">
        <f t="shared" ref="AH575:AH600" si="714">AB575*0.05</f>
        <v>15510.776071792883</v>
      </c>
      <c r="AI575" s="252">
        <f t="shared" si="639"/>
        <v>1.2015963211605464E-3</v>
      </c>
      <c r="AJ575" s="199">
        <f t="shared" si="640"/>
        <v>52116.207601224087</v>
      </c>
      <c r="AK575" s="199">
        <f t="shared" si="662"/>
        <v>12408.620857434305</v>
      </c>
      <c r="AL575" s="199">
        <f t="shared" si="663"/>
        <v>12408.620857434305</v>
      </c>
      <c r="AM575" s="199">
        <f t="shared" si="641"/>
        <v>24817.241714868611</v>
      </c>
      <c r="AN575" s="645">
        <f t="shared" si="642"/>
        <v>1.2015963211605462E-3</v>
      </c>
      <c r="AO575" s="199">
        <v>12</v>
      </c>
      <c r="AP575" s="250"/>
      <c r="AQ575" s="199">
        <v>12</v>
      </c>
      <c r="AU575" s="199">
        <v>0</v>
      </c>
      <c r="AW575" s="250">
        <f t="shared" si="644"/>
        <v>0</v>
      </c>
      <c r="AX575" s="199">
        <v>1</v>
      </c>
      <c r="AY575" s="199">
        <f t="shared" si="704"/>
        <v>16039.148688714455</v>
      </c>
      <c r="AZ575" s="199">
        <f t="shared" si="645"/>
        <v>16039.148688714455</v>
      </c>
      <c r="BA575" s="252">
        <f t="shared" si="646"/>
        <v>1.2607811699659739E-3</v>
      </c>
      <c r="BB575" s="284">
        <v>0</v>
      </c>
      <c r="BC575" s="199">
        <f t="shared" si="705"/>
        <v>0</v>
      </c>
      <c r="BD575" s="270">
        <f t="shared" si="669"/>
        <v>0</v>
      </c>
      <c r="BE575" s="199">
        <f t="shared" si="706"/>
        <v>0</v>
      </c>
      <c r="BF575" s="251">
        <f t="shared" si="671"/>
        <v>0</v>
      </c>
      <c r="BG575" s="204">
        <f t="shared" si="707"/>
        <v>0</v>
      </c>
      <c r="BH575" s="636">
        <v>1</v>
      </c>
      <c r="BI575" s="199">
        <f t="shared" si="647"/>
        <v>94925.949559372413</v>
      </c>
      <c r="BJ575" s="199">
        <f t="shared" si="648"/>
        <v>189851.89911874483</v>
      </c>
      <c r="BK575" s="199">
        <f t="shared" si="655"/>
        <v>284777.84867811727</v>
      </c>
      <c r="BL575" s="251">
        <f t="shared" si="649"/>
        <v>1.2015963211605459E-3</v>
      </c>
      <c r="BM575" s="199">
        <f t="shared" si="708"/>
        <v>27573.118251037999</v>
      </c>
      <c r="BN575" s="251">
        <f t="shared" si="650"/>
        <v>1.1906929969794278E-3</v>
      </c>
      <c r="BT575" s="199">
        <f>'Detailed Budget'!$AD$12</f>
        <v>194045122715</v>
      </c>
      <c r="BU575" s="199">
        <f>'Detailed Budget'!$AD$24</f>
        <v>194045122715</v>
      </c>
      <c r="BV575" s="596">
        <f t="shared" si="709"/>
        <v>0</v>
      </c>
      <c r="BW575" s="278"/>
      <c r="BX575" s="275">
        <f t="shared" si="698"/>
        <v>0</v>
      </c>
      <c r="BY575" s="275">
        <f t="shared" si="699"/>
        <v>0</v>
      </c>
      <c r="CA575" s="199">
        <f>'Detailed Budget'!$AD$96</f>
        <v>71050111380.677719</v>
      </c>
      <c r="CB575" s="275">
        <f t="shared" si="651"/>
        <v>89578642.552743614</v>
      </c>
      <c r="CE575" s="199">
        <f>'Detailed Budget'!$AD$175</f>
        <v>4330586076.5988197</v>
      </c>
      <c r="CF575" s="275">
        <f t="shared" si="710"/>
        <v>0</v>
      </c>
      <c r="CG575" s="199">
        <f>'Detailed Budget'!$AD$176</f>
        <v>20662817754.37001</v>
      </c>
      <c r="CH575" s="275">
        <f t="shared" si="711"/>
        <v>0</v>
      </c>
      <c r="CI575" s="275">
        <f t="shared" si="657"/>
        <v>0</v>
      </c>
      <c r="CJ575" s="275">
        <f>'Detailed Budget'!$AD$178</f>
        <v>46025131033.061455</v>
      </c>
      <c r="CK575" s="275">
        <f t="shared" si="712"/>
        <v>0</v>
      </c>
      <c r="CL575" s="275">
        <f t="shared" si="661"/>
        <v>0</v>
      </c>
      <c r="CM575" s="278">
        <f>'Detailed Budget'!$AD$189</f>
        <v>77498869683.252869</v>
      </c>
      <c r="CN575" s="275">
        <f t="shared" si="652"/>
        <v>93122356.705497205</v>
      </c>
      <c r="CO575" s="140">
        <f>'Detailed Budget'!$AD$191</f>
        <v>2684962805.4134097</v>
      </c>
      <c r="CP575" s="616">
        <f t="shared" si="653"/>
        <v>3226241.4294376527</v>
      </c>
      <c r="CQ575" s="616">
        <f t="shared" si="654"/>
        <v>96348598.134934857</v>
      </c>
      <c r="CR575" s="199">
        <f>'Detailed Budget'!$AD$195</f>
        <v>18734176418</v>
      </c>
      <c r="CS575" s="275">
        <f t="shared" si="713"/>
        <v>22306652.665089741</v>
      </c>
      <c r="CW575" s="278"/>
      <c r="DH575" s="140"/>
      <c r="DI575" s="616"/>
    </row>
    <row r="576" spans="1:113" outlineLevel="1">
      <c r="A576" s="214" t="s">
        <v>1239</v>
      </c>
      <c r="B576" s="215" t="s">
        <v>1240</v>
      </c>
      <c r="C576" s="216" t="s">
        <v>234</v>
      </c>
      <c r="D576" s="217"/>
      <c r="E576" s="216"/>
      <c r="F576" s="216"/>
      <c r="G576" s="216" t="s">
        <v>234</v>
      </c>
      <c r="H576" s="216" t="s">
        <v>234</v>
      </c>
      <c r="I576" s="217" t="s">
        <v>234</v>
      </c>
      <c r="J576" s="217"/>
      <c r="K576" s="216"/>
      <c r="L576" s="216"/>
      <c r="M576" s="217" t="s">
        <v>234</v>
      </c>
      <c r="N576" s="216"/>
      <c r="O576" s="217"/>
      <c r="P576" s="216"/>
      <c r="Q576" s="217"/>
      <c r="R576" s="217" t="s">
        <v>234</v>
      </c>
      <c r="S576" s="217"/>
      <c r="T576" s="217"/>
      <c r="U576" s="218">
        <f>COUNTA(C576:T576)</f>
        <v>6</v>
      </c>
      <c r="V576" s="867" t="s">
        <v>235</v>
      </c>
      <c r="W576" s="219">
        <v>130575</v>
      </c>
      <c r="X576" s="220">
        <v>3.19</v>
      </c>
      <c r="Y576" s="221">
        <f t="shared" si="700"/>
        <v>1.0319</v>
      </c>
      <c r="Z576" s="199">
        <v>19</v>
      </c>
      <c r="AA576" s="221">
        <f t="shared" si="701"/>
        <v>1.8159949505681734</v>
      </c>
      <c r="AB576" s="199">
        <f t="shared" si="696"/>
        <v>237123.54067043925</v>
      </c>
      <c r="AC576">
        <v>11.8</v>
      </c>
      <c r="AD576" s="199">
        <f t="shared" si="697"/>
        <v>27980.577799111834</v>
      </c>
      <c r="AE576" s="199">
        <f t="shared" si="702"/>
        <v>26581.548909156241</v>
      </c>
      <c r="AF576" s="199">
        <f t="shared" si="658"/>
        <v>0</v>
      </c>
      <c r="AG576" s="614">
        <f t="shared" si="656"/>
        <v>1.2290141263731221E-3</v>
      </c>
      <c r="AH576" s="199">
        <f t="shared" si="714"/>
        <v>11856.177033521963</v>
      </c>
      <c r="AI576" s="252">
        <f t="shared" si="639"/>
        <v>9.1848007092409933E-4</v>
      </c>
      <c r="AJ576" s="199">
        <f t="shared" si="640"/>
        <v>39836.7548326338</v>
      </c>
      <c r="AK576" s="199">
        <f t="shared" si="662"/>
        <v>9484.9416268175701</v>
      </c>
      <c r="AL576" s="199">
        <f t="shared" si="663"/>
        <v>9484.9416268175701</v>
      </c>
      <c r="AM576" s="199">
        <f t="shared" si="641"/>
        <v>18969.88325363514</v>
      </c>
      <c r="AN576" s="645">
        <f t="shared" si="642"/>
        <v>9.1848007092409933E-4</v>
      </c>
      <c r="AO576" s="199">
        <v>11</v>
      </c>
      <c r="AP576" s="250"/>
      <c r="AQ576" s="199">
        <v>11</v>
      </c>
      <c r="AU576" s="199">
        <v>0</v>
      </c>
      <c r="AW576" s="250">
        <f t="shared" si="644"/>
        <v>0</v>
      </c>
      <c r="AX576" s="199">
        <v>1</v>
      </c>
      <c r="AY576" s="199">
        <f t="shared" si="704"/>
        <v>12260.056198361413</v>
      </c>
      <c r="AZ576" s="199">
        <f t="shared" si="645"/>
        <v>12260.056198361413</v>
      </c>
      <c r="BA576" s="252">
        <f t="shared" si="646"/>
        <v>9.637199765156364E-4</v>
      </c>
      <c r="BB576" s="284">
        <v>0</v>
      </c>
      <c r="BC576" s="199">
        <f t="shared" si="705"/>
        <v>0</v>
      </c>
      <c r="BD576" s="270">
        <f t="shared" si="669"/>
        <v>0</v>
      </c>
      <c r="BE576" s="199">
        <f t="shared" si="706"/>
        <v>0</v>
      </c>
      <c r="BF576" s="251">
        <f t="shared" si="671"/>
        <v>0</v>
      </c>
      <c r="BG576" s="204">
        <f t="shared" si="707"/>
        <v>0</v>
      </c>
      <c r="BH576" s="636">
        <v>1</v>
      </c>
      <c r="BI576" s="199">
        <f t="shared" si="647"/>
        <v>72559.803445154423</v>
      </c>
      <c r="BJ576" s="199">
        <f t="shared" si="648"/>
        <v>145119.60689030885</v>
      </c>
      <c r="BK576" s="199">
        <f t="shared" si="655"/>
        <v>217679.41033546327</v>
      </c>
      <c r="BL576" s="251">
        <f t="shared" si="649"/>
        <v>9.1848007092409944E-4</v>
      </c>
      <c r="BM576" s="199">
        <f t="shared" si="708"/>
        <v>21076.42904761208</v>
      </c>
      <c r="BN576" s="251">
        <f t="shared" si="650"/>
        <v>9.1014575282506412E-4</v>
      </c>
      <c r="BT576" s="199">
        <f>'Detailed Budget'!$AD$12</f>
        <v>194045122715</v>
      </c>
      <c r="BU576" s="199">
        <f>'Detailed Budget'!$AD$24</f>
        <v>194045122715</v>
      </c>
      <c r="BV576" s="596">
        <f t="shared" si="709"/>
        <v>0</v>
      </c>
      <c r="BW576" s="278"/>
      <c r="BX576" s="275">
        <f t="shared" si="698"/>
        <v>0</v>
      </c>
      <c r="BY576" s="275">
        <f t="shared" si="699"/>
        <v>0</v>
      </c>
      <c r="CA576" s="199">
        <f>'Detailed Budget'!$AD$96</f>
        <v>71050111380.677719</v>
      </c>
      <c r="CB576" s="275">
        <f t="shared" si="651"/>
        <v>68472411.671220079</v>
      </c>
      <c r="CE576" s="199">
        <f>'Detailed Budget'!$AD$175</f>
        <v>4330586076.5988197</v>
      </c>
      <c r="CF576" s="275">
        <f t="shared" si="710"/>
        <v>0</v>
      </c>
      <c r="CG576" s="199">
        <f>'Detailed Budget'!$AD$176</f>
        <v>20662817754.37001</v>
      </c>
      <c r="CH576" s="275">
        <f t="shared" si="711"/>
        <v>0</v>
      </c>
      <c r="CI576" s="275">
        <f t="shared" si="657"/>
        <v>0</v>
      </c>
      <c r="CJ576" s="275">
        <f>'Detailed Budget'!$AD$178</f>
        <v>46025131033.061455</v>
      </c>
      <c r="CK576" s="275">
        <f t="shared" si="712"/>
        <v>0</v>
      </c>
      <c r="CL576" s="275">
        <f t="shared" si="661"/>
        <v>0</v>
      </c>
      <c r="CM576" s="278">
        <f>'Detailed Budget'!$AD$189</f>
        <v>77498869683.252869</v>
      </c>
      <c r="CN576" s="275">
        <f t="shared" si="652"/>
        <v>71181167.32321164</v>
      </c>
      <c r="CO576" s="140">
        <f>'Detailed Budget'!$AD$191</f>
        <v>2684962805.4134097</v>
      </c>
      <c r="CP576" s="616">
        <f t="shared" si="653"/>
        <v>2466084.8279446773</v>
      </c>
      <c r="CQ576" s="616">
        <f t="shared" si="654"/>
        <v>73647252.151156321</v>
      </c>
      <c r="CR576" s="199">
        <f>'Detailed Budget'!$AD$195</f>
        <v>18734176418</v>
      </c>
      <c r="CS576" s="275">
        <f t="shared" si="713"/>
        <v>17050831.099518172</v>
      </c>
      <c r="CW576" s="278"/>
      <c r="DH576" s="140"/>
      <c r="DI576" s="616"/>
    </row>
    <row r="577" spans="1:113" outlineLevel="1">
      <c r="A577" s="214" t="s">
        <v>1241</v>
      </c>
      <c r="B577" s="215" t="s">
        <v>1242</v>
      </c>
      <c r="C577" s="216" t="s">
        <v>234</v>
      </c>
      <c r="D577" s="217"/>
      <c r="E577" s="216"/>
      <c r="F577" s="216"/>
      <c r="G577" s="216" t="s">
        <v>234</v>
      </c>
      <c r="H577" s="216" t="s">
        <v>234</v>
      </c>
      <c r="I577" s="217" t="s">
        <v>234</v>
      </c>
      <c r="J577" s="217"/>
      <c r="K577" s="216"/>
      <c r="L577" s="216"/>
      <c r="M577" s="217" t="s">
        <v>234</v>
      </c>
      <c r="N577" s="216"/>
      <c r="O577" s="217"/>
      <c r="P577" s="216"/>
      <c r="Q577" s="217"/>
      <c r="R577" s="217" t="s">
        <v>234</v>
      </c>
      <c r="S577" s="217"/>
      <c r="T577" s="217"/>
      <c r="U577" s="218">
        <f>COUNTA(C577:T577)</f>
        <v>6</v>
      </c>
      <c r="V577" s="867" t="s">
        <v>235</v>
      </c>
      <c r="W577" s="219">
        <v>168767</v>
      </c>
      <c r="X577" s="220">
        <v>3.19</v>
      </c>
      <c r="Y577" s="221">
        <f t="shared" si="700"/>
        <v>1.0319</v>
      </c>
      <c r="Z577" s="199">
        <v>19</v>
      </c>
      <c r="AA577" s="221">
        <f t="shared" si="701"/>
        <v>1.8159949505681734</v>
      </c>
      <c r="AB577" s="199">
        <f t="shared" si="696"/>
        <v>306480.01982253895</v>
      </c>
      <c r="AC577">
        <v>11.8</v>
      </c>
      <c r="AD577" s="199">
        <f t="shared" si="697"/>
        <v>36164.642339059596</v>
      </c>
      <c r="AE577" s="199">
        <f t="shared" si="702"/>
        <v>34356.410222106613</v>
      </c>
      <c r="AF577" s="199">
        <f t="shared" si="658"/>
        <v>0</v>
      </c>
      <c r="AG577" s="614">
        <f t="shared" si="656"/>
        <v>1.588489581203237E-3</v>
      </c>
      <c r="AH577" s="199">
        <f t="shared" si="714"/>
        <v>15324.000991126948</v>
      </c>
      <c r="AI577" s="252">
        <f t="shared" si="639"/>
        <v>1.1871271386532452E-3</v>
      </c>
      <c r="AJ577" s="199">
        <f t="shared" si="640"/>
        <v>51488.643330186547</v>
      </c>
      <c r="AK577" s="199">
        <f t="shared" si="662"/>
        <v>12259.200792901558</v>
      </c>
      <c r="AL577" s="199">
        <f t="shared" si="663"/>
        <v>12259.200792901558</v>
      </c>
      <c r="AM577" s="199">
        <f t="shared" si="641"/>
        <v>24518.401585803116</v>
      </c>
      <c r="AN577" s="645">
        <f t="shared" si="642"/>
        <v>1.187127138653245E-3</v>
      </c>
      <c r="AO577" s="199">
        <v>12</v>
      </c>
      <c r="AP577" s="250"/>
      <c r="AQ577" s="199">
        <v>12</v>
      </c>
      <c r="AU577" s="199">
        <v>0</v>
      </c>
      <c r="AW577" s="250">
        <f t="shared" si="644"/>
        <v>0</v>
      </c>
      <c r="AX577" s="199">
        <v>1</v>
      </c>
      <c r="AY577" s="199">
        <f t="shared" si="704"/>
        <v>15846.01113864722</v>
      </c>
      <c r="AZ577" s="199">
        <f t="shared" si="645"/>
        <v>15846.01113864722</v>
      </c>
      <c r="BA577" s="252">
        <f t="shared" si="646"/>
        <v>1.2455993052009528E-3</v>
      </c>
      <c r="BB577" s="284">
        <v>0</v>
      </c>
      <c r="BC577" s="199">
        <f t="shared" si="705"/>
        <v>0</v>
      </c>
      <c r="BD577" s="270">
        <f t="shared" si="669"/>
        <v>0</v>
      </c>
      <c r="BE577" s="199">
        <f t="shared" si="706"/>
        <v>0</v>
      </c>
      <c r="BF577" s="251">
        <f t="shared" si="671"/>
        <v>0</v>
      </c>
      <c r="BG577" s="204">
        <f t="shared" si="707"/>
        <v>0</v>
      </c>
      <c r="BH577" s="636">
        <v>1</v>
      </c>
      <c r="BI577" s="199">
        <f t="shared" si="647"/>
        <v>93782.886065696919</v>
      </c>
      <c r="BJ577" s="199">
        <f t="shared" si="648"/>
        <v>187565.77213139384</v>
      </c>
      <c r="BK577" s="199">
        <f t="shared" si="655"/>
        <v>281348.65819709073</v>
      </c>
      <c r="BL577" s="251">
        <f t="shared" si="649"/>
        <v>1.187127138653245E-3</v>
      </c>
      <c r="BM577" s="199">
        <f t="shared" si="708"/>
        <v>27241.092866768897</v>
      </c>
      <c r="BN577" s="251">
        <f t="shared" si="650"/>
        <v>1.176355108305783E-3</v>
      </c>
      <c r="BT577" s="199">
        <f>'Detailed Budget'!$AD$12</f>
        <v>194045122715</v>
      </c>
      <c r="BU577" s="199">
        <f>'Detailed Budget'!$AD$24</f>
        <v>194045122715</v>
      </c>
      <c r="BV577" s="596">
        <f t="shared" si="709"/>
        <v>0</v>
      </c>
      <c r="BW577" s="278"/>
      <c r="BX577" s="275">
        <f t="shared" si="698"/>
        <v>0</v>
      </c>
      <c r="BY577" s="275">
        <f t="shared" si="699"/>
        <v>0</v>
      </c>
      <c r="CA577" s="199">
        <f>'Detailed Budget'!$AD$96</f>
        <v>71050111380.677719</v>
      </c>
      <c r="CB577" s="275">
        <f t="shared" si="651"/>
        <v>88499969.370222479</v>
      </c>
      <c r="CE577" s="199">
        <f>'Detailed Budget'!$AD$175</f>
        <v>4330586076.5988197</v>
      </c>
      <c r="CF577" s="275">
        <f t="shared" si="710"/>
        <v>0</v>
      </c>
      <c r="CG577" s="199">
        <f>'Detailed Budget'!$AD$176</f>
        <v>20662817754.37001</v>
      </c>
      <c r="CH577" s="275">
        <f t="shared" si="711"/>
        <v>0</v>
      </c>
      <c r="CI577" s="275">
        <f t="shared" si="657"/>
        <v>0</v>
      </c>
      <c r="CJ577" s="275">
        <f>'Detailed Budget'!$AD$178</f>
        <v>46025131033.061455</v>
      </c>
      <c r="CK577" s="275">
        <f t="shared" si="712"/>
        <v>0</v>
      </c>
      <c r="CL577" s="275">
        <f t="shared" si="661"/>
        <v>0</v>
      </c>
      <c r="CM577" s="278">
        <f>'Detailed Budget'!$AD$189</f>
        <v>77498869683.252869</v>
      </c>
      <c r="CN577" s="275">
        <f t="shared" si="652"/>
        <v>92001011.415940687</v>
      </c>
      <c r="CO577" s="140">
        <f>'Detailed Budget'!$AD$191</f>
        <v>2684962805.4134097</v>
      </c>
      <c r="CP577" s="616">
        <f t="shared" si="653"/>
        <v>3187392.2125808103</v>
      </c>
      <c r="CQ577" s="616">
        <f t="shared" si="654"/>
        <v>95188403.628521502</v>
      </c>
      <c r="CR577" s="199">
        <f>'Detailed Budget'!$AD$195</f>
        <v>18734176418</v>
      </c>
      <c r="CS577" s="275">
        <f t="shared" si="713"/>
        <v>22038044.129216034</v>
      </c>
      <c r="CW577" s="278"/>
      <c r="DH577" s="140"/>
      <c r="DI577" s="616"/>
    </row>
    <row r="578" spans="1:113" outlineLevel="1">
      <c r="A578" s="214" t="s">
        <v>1243</v>
      </c>
      <c r="B578" s="215" t="s">
        <v>1244</v>
      </c>
      <c r="C578" s="216" t="s">
        <v>234</v>
      </c>
      <c r="D578" s="217"/>
      <c r="E578" s="216"/>
      <c r="F578" s="216"/>
      <c r="G578" s="216" t="s">
        <v>234</v>
      </c>
      <c r="H578" s="216" t="s">
        <v>234</v>
      </c>
      <c r="I578" s="217" t="s">
        <v>234</v>
      </c>
      <c r="J578" s="217"/>
      <c r="K578" s="216"/>
      <c r="L578" s="216"/>
      <c r="M578" s="217" t="s">
        <v>234</v>
      </c>
      <c r="N578" s="216"/>
      <c r="O578" s="217"/>
      <c r="P578" s="216"/>
      <c r="Q578" s="217"/>
      <c r="R578" s="217" t="s">
        <v>234</v>
      </c>
      <c r="S578" s="217"/>
      <c r="T578" s="217"/>
      <c r="U578" s="218">
        <f t="shared" ref="U578:U600" si="715">COUNTA(C578:T578)</f>
        <v>6</v>
      </c>
      <c r="V578" s="867" t="s">
        <v>235</v>
      </c>
      <c r="W578" s="219">
        <v>156161</v>
      </c>
      <c r="X578" s="220">
        <v>3.19</v>
      </c>
      <c r="Y578" s="221">
        <f t="shared" si="700"/>
        <v>1.0319</v>
      </c>
      <c r="Z578" s="199">
        <v>19</v>
      </c>
      <c r="AA578" s="221">
        <f t="shared" si="701"/>
        <v>1.8159949505681734</v>
      </c>
      <c r="AB578" s="199">
        <f t="shared" si="696"/>
        <v>283587.5874756765</v>
      </c>
      <c r="AC578">
        <v>11.8</v>
      </c>
      <c r="AD578" s="199">
        <f t="shared" si="697"/>
        <v>33463.335322129831</v>
      </c>
      <c r="AE578" s="199">
        <f t="shared" si="702"/>
        <v>31790.168556023338</v>
      </c>
      <c r="AF578" s="199">
        <f t="shared" si="658"/>
        <v>0</v>
      </c>
      <c r="AG578" s="614">
        <f t="shared" si="656"/>
        <v>1.469837832575555E-3</v>
      </c>
      <c r="AH578" s="199">
        <f t="shared" si="714"/>
        <v>14179.379373783826</v>
      </c>
      <c r="AI578" s="252">
        <f t="shared" si="639"/>
        <v>1.0984550362288206E-3</v>
      </c>
      <c r="AJ578" s="199">
        <f t="shared" si="640"/>
        <v>47642.714695913659</v>
      </c>
      <c r="AK578" s="199">
        <f t="shared" si="662"/>
        <v>11343.50349902706</v>
      </c>
      <c r="AL578" s="199">
        <f t="shared" si="663"/>
        <v>11343.50349902706</v>
      </c>
      <c r="AM578" s="199">
        <f t="shared" si="641"/>
        <v>22687.006998054119</v>
      </c>
      <c r="AN578" s="645">
        <f t="shared" si="642"/>
        <v>1.0984550362288206E-3</v>
      </c>
      <c r="AO578" s="199">
        <v>14</v>
      </c>
      <c r="AP578" s="250"/>
      <c r="AQ578" s="199">
        <v>14</v>
      </c>
      <c r="AU578" s="199">
        <v>0</v>
      </c>
      <c r="AW578" s="250">
        <f t="shared" si="644"/>
        <v>0</v>
      </c>
      <c r="AX578" s="199">
        <v>1</v>
      </c>
      <c r="AY578" s="199">
        <f t="shared" si="704"/>
        <v>14662.398131283298</v>
      </c>
      <c r="AZ578" s="199">
        <f t="shared" si="645"/>
        <v>14662.398131283298</v>
      </c>
      <c r="BA578" s="252">
        <f t="shared" si="646"/>
        <v>1.1525596419885758E-3</v>
      </c>
      <c r="BB578" s="284">
        <v>0</v>
      </c>
      <c r="BC578" s="199">
        <f t="shared" si="705"/>
        <v>0</v>
      </c>
      <c r="BD578" s="270">
        <f t="shared" si="669"/>
        <v>0</v>
      </c>
      <c r="BE578" s="199">
        <f t="shared" si="706"/>
        <v>0</v>
      </c>
      <c r="BF578" s="251">
        <f t="shared" si="671"/>
        <v>0</v>
      </c>
      <c r="BG578" s="204">
        <f t="shared" si="707"/>
        <v>0</v>
      </c>
      <c r="BH578" s="636">
        <v>1</v>
      </c>
      <c r="BI578" s="199">
        <f t="shared" si="647"/>
        <v>86777.801767556986</v>
      </c>
      <c r="BJ578" s="199">
        <f t="shared" si="648"/>
        <v>173555.60353511397</v>
      </c>
      <c r="BK578" s="199">
        <f t="shared" si="655"/>
        <v>260333.40530267096</v>
      </c>
      <c r="BL578" s="251">
        <f t="shared" si="649"/>
        <v>1.0984550362288202E-3</v>
      </c>
      <c r="BM578" s="199">
        <f t="shared" si="708"/>
        <v>25206.327677611716</v>
      </c>
      <c r="BN578" s="251">
        <f t="shared" si="650"/>
        <v>1.0884876194287945E-3</v>
      </c>
      <c r="BT578" s="199">
        <f>'Detailed Budget'!$AD$12</f>
        <v>194045122715</v>
      </c>
      <c r="BU578" s="199">
        <f>'Detailed Budget'!$AD$24</f>
        <v>194045122715</v>
      </c>
      <c r="BV578" s="596">
        <f t="shared" si="709"/>
        <v>0</v>
      </c>
      <c r="BW578" s="278"/>
      <c r="BX578" s="275">
        <f t="shared" si="698"/>
        <v>0</v>
      </c>
      <c r="BY578" s="275">
        <f t="shared" si="699"/>
        <v>0</v>
      </c>
      <c r="CA578" s="199">
        <f>'Detailed Budget'!$AD$96</f>
        <v>71050111380.677719</v>
      </c>
      <c r="CB578" s="275">
        <f t="shared" si="651"/>
        <v>81889490.936162353</v>
      </c>
      <c r="CE578" s="199">
        <f>'Detailed Budget'!$AD$175</f>
        <v>4330586076.5988197</v>
      </c>
      <c r="CF578" s="275">
        <f t="shared" si="710"/>
        <v>0</v>
      </c>
      <c r="CG578" s="199">
        <f>'Detailed Budget'!$AD$176</f>
        <v>20662817754.37001</v>
      </c>
      <c r="CH578" s="275">
        <f t="shared" si="711"/>
        <v>0</v>
      </c>
      <c r="CI578" s="275">
        <f t="shared" si="657"/>
        <v>0</v>
      </c>
      <c r="CJ578" s="275">
        <f>'Detailed Budget'!$AD$178</f>
        <v>46025131033.061455</v>
      </c>
      <c r="CK578" s="275">
        <f t="shared" si="712"/>
        <v>0</v>
      </c>
      <c r="CL578" s="275">
        <f t="shared" si="661"/>
        <v>0</v>
      </c>
      <c r="CM578" s="278">
        <f>'Detailed Budget'!$AD$189</f>
        <v>77498869683.252869</v>
      </c>
      <c r="CN578" s="275">
        <f t="shared" si="652"/>
        <v>85129023.705610141</v>
      </c>
      <c r="CO578" s="140">
        <f>'Detailed Budget'!$AD$191</f>
        <v>2684962805.4134097</v>
      </c>
      <c r="CP578" s="616">
        <f t="shared" si="653"/>
        <v>2949310.9156934228</v>
      </c>
      <c r="CQ578" s="616">
        <f t="shared" si="654"/>
        <v>88078334.621303558</v>
      </c>
      <c r="CR578" s="199">
        <f>'Detailed Budget'!$AD$195</f>
        <v>18734176418</v>
      </c>
      <c r="CS578" s="275">
        <f t="shared" si="713"/>
        <v>20391919.091187879</v>
      </c>
      <c r="CW578" s="278"/>
      <c r="DH578" s="140"/>
      <c r="DI578" s="616"/>
    </row>
    <row r="579" spans="1:113" outlineLevel="1">
      <c r="A579" s="214" t="s">
        <v>1245</v>
      </c>
      <c r="B579" s="215" t="s">
        <v>1246</v>
      </c>
      <c r="C579" s="216" t="s">
        <v>234</v>
      </c>
      <c r="D579" s="217"/>
      <c r="E579" s="216"/>
      <c r="F579" s="216"/>
      <c r="G579" s="216" t="s">
        <v>234</v>
      </c>
      <c r="H579" s="216" t="s">
        <v>234</v>
      </c>
      <c r="I579" s="217" t="s">
        <v>234</v>
      </c>
      <c r="J579" s="217"/>
      <c r="K579" s="216"/>
      <c r="L579" s="216"/>
      <c r="M579" s="217" t="s">
        <v>234</v>
      </c>
      <c r="N579" s="216"/>
      <c r="O579" s="217"/>
      <c r="P579" s="216"/>
      <c r="Q579" s="217"/>
      <c r="R579" s="217" t="s">
        <v>234</v>
      </c>
      <c r="S579" s="217"/>
      <c r="T579" s="217"/>
      <c r="U579" s="218">
        <f t="shared" si="715"/>
        <v>6</v>
      </c>
      <c r="V579" s="867" t="s">
        <v>235</v>
      </c>
      <c r="W579" s="219">
        <v>159654</v>
      </c>
      <c r="X579" s="220">
        <v>3.19</v>
      </c>
      <c r="Y579" s="221">
        <f t="shared" si="700"/>
        <v>1.0319</v>
      </c>
      <c r="Z579" s="199">
        <v>19</v>
      </c>
      <c r="AA579" s="221">
        <f t="shared" si="701"/>
        <v>1.8159949505681734</v>
      </c>
      <c r="AB579" s="199">
        <f t="shared" si="696"/>
        <v>289930.85783801117</v>
      </c>
      <c r="AC579">
        <v>11.8</v>
      </c>
      <c r="AD579" s="199">
        <f t="shared" si="697"/>
        <v>34211.84122488532</v>
      </c>
      <c r="AE579" s="199">
        <f t="shared" si="702"/>
        <v>32501.249163641052</v>
      </c>
      <c r="AF579" s="199">
        <f t="shared" si="658"/>
        <v>0</v>
      </c>
      <c r="AG579" s="614">
        <f t="shared" si="656"/>
        <v>1.5027150781694385E-3</v>
      </c>
      <c r="AH579" s="199">
        <f t="shared" si="714"/>
        <v>14496.542891900559</v>
      </c>
      <c r="AI579" s="252">
        <f t="shared" si="639"/>
        <v>1.1230252134276557E-3</v>
      </c>
      <c r="AJ579" s="199">
        <f t="shared" si="640"/>
        <v>48708.384116785877</v>
      </c>
      <c r="AK579" s="199">
        <f t="shared" si="662"/>
        <v>11597.234313520446</v>
      </c>
      <c r="AL579" s="199">
        <f t="shared" si="663"/>
        <v>11597.234313520446</v>
      </c>
      <c r="AM579" s="199">
        <f t="shared" si="641"/>
        <v>23194.468627040893</v>
      </c>
      <c r="AN579" s="645">
        <f t="shared" si="642"/>
        <v>1.1230252134276557E-3</v>
      </c>
      <c r="AO579" s="199">
        <v>13</v>
      </c>
      <c r="AP579" s="250"/>
      <c r="AQ579" s="199">
        <v>13</v>
      </c>
      <c r="AU579" s="199">
        <v>0</v>
      </c>
      <c r="AW579" s="250">
        <f t="shared" si="644"/>
        <v>0</v>
      </c>
      <c r="AX579" s="199">
        <v>1</v>
      </c>
      <c r="AY579" s="199">
        <f t="shared" si="704"/>
        <v>14990.365784362957</v>
      </c>
      <c r="AZ579" s="199">
        <f t="shared" si="645"/>
        <v>14990.365784362957</v>
      </c>
      <c r="BA579" s="252">
        <f t="shared" si="646"/>
        <v>1.1783400278049198E-3</v>
      </c>
      <c r="BB579" s="284">
        <v>0</v>
      </c>
      <c r="BC579" s="199">
        <f t="shared" si="705"/>
        <v>0</v>
      </c>
      <c r="BD579" s="270">
        <f t="shared" si="669"/>
        <v>0</v>
      </c>
      <c r="BE579" s="199">
        <f t="shared" si="706"/>
        <v>0</v>
      </c>
      <c r="BF579" s="251">
        <f t="shared" si="671"/>
        <v>0</v>
      </c>
      <c r="BG579" s="204">
        <f t="shared" si="707"/>
        <v>0</v>
      </c>
      <c r="BH579" s="636">
        <v>1</v>
      </c>
      <c r="BI579" s="199">
        <f t="shared" si="647"/>
        <v>88718.842498431419</v>
      </c>
      <c r="BJ579" s="199">
        <f t="shared" si="648"/>
        <v>177437.68499686284</v>
      </c>
      <c r="BK579" s="199">
        <f t="shared" si="655"/>
        <v>266156.52749529423</v>
      </c>
      <c r="BL579" s="251">
        <f t="shared" si="649"/>
        <v>1.1230252134276557E-3</v>
      </c>
      <c r="BM579" s="199">
        <f t="shared" si="708"/>
        <v>25770.141322362317</v>
      </c>
      <c r="BN579" s="251">
        <f t="shared" si="650"/>
        <v>1.1128348460389262E-3</v>
      </c>
      <c r="BT579" s="199">
        <f>'Detailed Budget'!$AD$12</f>
        <v>194045122715</v>
      </c>
      <c r="BU579" s="199">
        <f>'Detailed Budget'!$AD$24</f>
        <v>194045122715</v>
      </c>
      <c r="BV579" s="596">
        <f t="shared" si="709"/>
        <v>0</v>
      </c>
      <c r="BW579" s="278"/>
      <c r="BX579" s="275">
        <f t="shared" si="698"/>
        <v>0</v>
      </c>
      <c r="BY579" s="275">
        <f t="shared" si="699"/>
        <v>0</v>
      </c>
      <c r="CA579" s="199">
        <f>'Detailed Budget'!$AD$96</f>
        <v>71050111380.677719</v>
      </c>
      <c r="CB579" s="275">
        <f t="shared" si="651"/>
        <v>83721190.219850436</v>
      </c>
      <c r="CE579" s="199">
        <f>'Detailed Budget'!$AD$175</f>
        <v>4330586076.5988197</v>
      </c>
      <c r="CF579" s="275">
        <f t="shared" si="710"/>
        <v>0</v>
      </c>
      <c r="CG579" s="199">
        <f>'Detailed Budget'!$AD$176</f>
        <v>20662817754.37001</v>
      </c>
      <c r="CH579" s="275">
        <f t="shared" si="711"/>
        <v>0</v>
      </c>
      <c r="CI579" s="275">
        <f t="shared" si="657"/>
        <v>0</v>
      </c>
      <c r="CJ579" s="275">
        <f>'Detailed Budget'!$AD$178</f>
        <v>46025131033.061455</v>
      </c>
      <c r="CK579" s="275">
        <f t="shared" si="712"/>
        <v>0</v>
      </c>
      <c r="CL579" s="275">
        <f t="shared" si="661"/>
        <v>0</v>
      </c>
      <c r="CM579" s="278">
        <f>'Detailed Budget'!$AD$189</f>
        <v>77498869683.252869</v>
      </c>
      <c r="CN579" s="275">
        <f t="shared" si="652"/>
        <v>87033184.666437134</v>
      </c>
      <c r="CO579" s="140">
        <f>'Detailed Budget'!$AD$191</f>
        <v>2684962805.4134097</v>
      </c>
      <c r="CP579" s="616">
        <f t="shared" si="653"/>
        <v>3015280.9275947115</v>
      </c>
      <c r="CQ579" s="616">
        <f t="shared" si="654"/>
        <v>90048465.594031841</v>
      </c>
      <c r="CR579" s="199">
        <f>'Detailed Budget'!$AD$195</f>
        <v>18734176418</v>
      </c>
      <c r="CS579" s="275">
        <f t="shared" si="713"/>
        <v>20848044.329791114</v>
      </c>
      <c r="CW579" s="278"/>
      <c r="DH579" s="140"/>
      <c r="DI579" s="616"/>
    </row>
    <row r="580" spans="1:113" outlineLevel="1">
      <c r="A580" s="214" t="s">
        <v>1247</v>
      </c>
      <c r="B580" s="215" t="s">
        <v>1248</v>
      </c>
      <c r="C580" s="216" t="s">
        <v>234</v>
      </c>
      <c r="D580" s="217"/>
      <c r="E580" s="216"/>
      <c r="F580" s="216"/>
      <c r="G580" s="216" t="s">
        <v>234</v>
      </c>
      <c r="H580" s="216" t="s">
        <v>234</v>
      </c>
      <c r="I580" s="217" t="s">
        <v>234</v>
      </c>
      <c r="J580" s="217"/>
      <c r="K580" s="216"/>
      <c r="L580" s="216"/>
      <c r="M580" s="217" t="s">
        <v>234</v>
      </c>
      <c r="N580" s="216"/>
      <c r="O580" s="217"/>
      <c r="P580" s="216"/>
      <c r="Q580" s="217"/>
      <c r="R580" s="217" t="s">
        <v>234</v>
      </c>
      <c r="S580" s="217"/>
      <c r="T580" s="217"/>
      <c r="U580" s="218">
        <f t="shared" si="715"/>
        <v>6</v>
      </c>
      <c r="V580" s="867" t="s">
        <v>235</v>
      </c>
      <c r="W580" s="219">
        <v>119419</v>
      </c>
      <c r="X580" s="220">
        <v>3.19</v>
      </c>
      <c r="Y580" s="221">
        <f t="shared" si="700"/>
        <v>1.0319</v>
      </c>
      <c r="Z580" s="199">
        <v>19</v>
      </c>
      <c r="AA580" s="221">
        <f t="shared" si="701"/>
        <v>1.8159949505681734</v>
      </c>
      <c r="AB580" s="199">
        <f t="shared" si="696"/>
        <v>216864.30100190069</v>
      </c>
      <c r="AC580">
        <v>11.8</v>
      </c>
      <c r="AD580" s="199">
        <f t="shared" si="697"/>
        <v>25589.987518224283</v>
      </c>
      <c r="AE580" s="199">
        <f t="shared" si="702"/>
        <v>24310.488142313068</v>
      </c>
      <c r="AF580" s="199">
        <f t="shared" si="658"/>
        <v>0</v>
      </c>
      <c r="AG580" s="614">
        <f t="shared" si="656"/>
        <v>1.1240102466578738E-3</v>
      </c>
      <c r="AH580" s="199">
        <f t="shared" si="714"/>
        <v>10843.215050095036</v>
      </c>
      <c r="AI580" s="252">
        <f t="shared" si="639"/>
        <v>8.4000744085533231E-4</v>
      </c>
      <c r="AJ580" s="199">
        <f t="shared" si="640"/>
        <v>36433.202568319321</v>
      </c>
      <c r="AK580" s="199">
        <f t="shared" si="662"/>
        <v>8674.5720400760274</v>
      </c>
      <c r="AL580" s="199">
        <f t="shared" si="663"/>
        <v>8674.5720400760274</v>
      </c>
      <c r="AM580" s="199">
        <f t="shared" si="641"/>
        <v>17349.144080152055</v>
      </c>
      <c r="AN580" s="645">
        <f t="shared" si="642"/>
        <v>8.400074408553322E-4</v>
      </c>
      <c r="AO580" s="199">
        <v>10</v>
      </c>
      <c r="AP580" s="250"/>
      <c r="AQ580" s="199">
        <v>10</v>
      </c>
      <c r="AU580" s="199">
        <v>0</v>
      </c>
      <c r="AW580" s="250">
        <f t="shared" si="644"/>
        <v>0</v>
      </c>
      <c r="AX580" s="199">
        <v>1</v>
      </c>
      <c r="AY580" s="199">
        <f t="shared" si="704"/>
        <v>11212.587793621455</v>
      </c>
      <c r="AZ580" s="199">
        <f t="shared" si="645"/>
        <v>11212.587793621455</v>
      </c>
      <c r="BA580" s="252">
        <f t="shared" si="646"/>
        <v>8.8138216255424675E-4</v>
      </c>
      <c r="BB580" s="284">
        <v>0</v>
      </c>
      <c r="BC580" s="199">
        <f t="shared" si="705"/>
        <v>0</v>
      </c>
      <c r="BD580" s="270">
        <f t="shared" si="669"/>
        <v>0</v>
      </c>
      <c r="BE580" s="199">
        <f t="shared" si="706"/>
        <v>0</v>
      </c>
      <c r="BF580" s="251">
        <f t="shared" si="671"/>
        <v>0</v>
      </c>
      <c r="BG580" s="204">
        <f t="shared" si="707"/>
        <v>0</v>
      </c>
      <c r="BH580" s="636">
        <v>1</v>
      </c>
      <c r="BI580" s="199">
        <f t="shared" si="647"/>
        <v>66360.476106581598</v>
      </c>
      <c r="BJ580" s="199">
        <f t="shared" si="648"/>
        <v>132720.9522131632</v>
      </c>
      <c r="BK580" s="199">
        <f t="shared" si="655"/>
        <v>199081.42831974479</v>
      </c>
      <c r="BL580" s="251">
        <f t="shared" si="649"/>
        <v>8.4000744085533209E-4</v>
      </c>
      <c r="BM580" s="199">
        <f t="shared" si="708"/>
        <v>19275.711893063661</v>
      </c>
      <c r="BN580" s="251">
        <f t="shared" si="650"/>
        <v>8.3238518595915264E-4</v>
      </c>
      <c r="BT580" s="199">
        <f>'Detailed Budget'!$AD$12</f>
        <v>194045122715</v>
      </c>
      <c r="BU580" s="199">
        <f>'Detailed Budget'!$AD$24</f>
        <v>194045122715</v>
      </c>
      <c r="BV580" s="596">
        <f t="shared" si="709"/>
        <v>0</v>
      </c>
      <c r="BW580" s="278"/>
      <c r="BX580" s="275">
        <f t="shared" si="698"/>
        <v>0</v>
      </c>
      <c r="BY580" s="275">
        <f t="shared" si="699"/>
        <v>0</v>
      </c>
      <c r="CA580" s="199">
        <f>'Detailed Budget'!$AD$96</f>
        <v>71050111380.677719</v>
      </c>
      <c r="CB580" s="275">
        <f t="shared" si="651"/>
        <v>62622300.818421826</v>
      </c>
      <c r="CE580" s="199">
        <f>'Detailed Budget'!$AD$175</f>
        <v>4330586076.5988197</v>
      </c>
      <c r="CF580" s="275">
        <f t="shared" si="710"/>
        <v>0</v>
      </c>
      <c r="CG580" s="199">
        <f>'Detailed Budget'!$AD$176</f>
        <v>20662817754.37001</v>
      </c>
      <c r="CH580" s="275">
        <f t="shared" si="711"/>
        <v>0</v>
      </c>
      <c r="CI580" s="275">
        <f t="shared" si="657"/>
        <v>0</v>
      </c>
      <c r="CJ580" s="275">
        <f>'Detailed Budget'!$AD$178</f>
        <v>46025131033.061455</v>
      </c>
      <c r="CK580" s="275">
        <f t="shared" si="712"/>
        <v>0</v>
      </c>
      <c r="CL580" s="275">
        <f t="shared" si="661"/>
        <v>0</v>
      </c>
      <c r="CM580" s="278">
        <f>'Detailed Budget'!$AD$189</f>
        <v>77498869683.252869</v>
      </c>
      <c r="CN580" s="275">
        <f t="shared" si="652"/>
        <v>65099627.191810124</v>
      </c>
      <c r="CO580" s="140">
        <f>'Detailed Budget'!$AD$191</f>
        <v>2684962805.4134097</v>
      </c>
      <c r="CP580" s="616">
        <f t="shared" si="653"/>
        <v>2255388.7349670716</v>
      </c>
      <c r="CQ580" s="616">
        <f t="shared" si="654"/>
        <v>67355015.926777199</v>
      </c>
      <c r="CR580" s="199">
        <f>'Detailed Budget'!$AD$195</f>
        <v>18734176418</v>
      </c>
      <c r="CS580" s="275">
        <f t="shared" si="713"/>
        <v>15594050.921488501</v>
      </c>
      <c r="CW580" s="278"/>
      <c r="DH580" s="140"/>
      <c r="DI580" s="616"/>
    </row>
    <row r="581" spans="1:113" outlineLevel="1">
      <c r="A581" s="214" t="s">
        <v>1249</v>
      </c>
      <c r="B581" s="215" t="s">
        <v>1250</v>
      </c>
      <c r="C581" s="216" t="s">
        <v>234</v>
      </c>
      <c r="D581" s="217"/>
      <c r="E581" s="216"/>
      <c r="F581" s="216"/>
      <c r="G581" s="216" t="s">
        <v>234</v>
      </c>
      <c r="H581" s="216" t="s">
        <v>234</v>
      </c>
      <c r="I581" s="217" t="s">
        <v>234</v>
      </c>
      <c r="J581" s="217"/>
      <c r="K581" s="216"/>
      <c r="L581" s="216"/>
      <c r="M581" s="217" t="s">
        <v>234</v>
      </c>
      <c r="N581" s="216"/>
      <c r="O581" s="217"/>
      <c r="P581" s="216"/>
      <c r="Q581" s="217"/>
      <c r="R581" s="217" t="s">
        <v>234</v>
      </c>
      <c r="S581" s="217"/>
      <c r="T581" s="217"/>
      <c r="U581" s="218">
        <f t="shared" si="715"/>
        <v>6</v>
      </c>
      <c r="V581" s="867" t="s">
        <v>235</v>
      </c>
      <c r="W581" s="219">
        <v>149737</v>
      </c>
      <c r="X581" s="220">
        <v>3.19</v>
      </c>
      <c r="Y581" s="221">
        <f t="shared" si="700"/>
        <v>1.0319</v>
      </c>
      <c r="Z581" s="199">
        <v>19</v>
      </c>
      <c r="AA581" s="221">
        <f t="shared" si="701"/>
        <v>1.8159949505681734</v>
      </c>
      <c r="AB581" s="199">
        <f t="shared" si="696"/>
        <v>271921.63591322658</v>
      </c>
      <c r="AC581">
        <v>11.8</v>
      </c>
      <c r="AD581" s="199">
        <f t="shared" si="697"/>
        <v>32086.753037760736</v>
      </c>
      <c r="AE581" s="199">
        <f t="shared" si="702"/>
        <v>30482.415385872697</v>
      </c>
      <c r="AF581" s="199">
        <f t="shared" si="658"/>
        <v>0</v>
      </c>
      <c r="AG581" s="614">
        <f t="shared" si="656"/>
        <v>1.4093730671317797E-3</v>
      </c>
      <c r="AH581" s="199">
        <f t="shared" si="714"/>
        <v>13596.08179566133</v>
      </c>
      <c r="AI581" s="252">
        <f t="shared" si="639"/>
        <v>1.0532678566338262E-3</v>
      </c>
      <c r="AJ581" s="199">
        <f t="shared" si="640"/>
        <v>45682.834833422065</v>
      </c>
      <c r="AK581" s="199">
        <f t="shared" si="662"/>
        <v>10876.865436529064</v>
      </c>
      <c r="AL581" s="199">
        <f t="shared" si="663"/>
        <v>10876.865436529064</v>
      </c>
      <c r="AM581" s="199">
        <f t="shared" si="641"/>
        <v>21753.730873058128</v>
      </c>
      <c r="AN581" s="645">
        <f t="shared" si="642"/>
        <v>1.0532678566338262E-3</v>
      </c>
      <c r="AO581" s="199">
        <v>12</v>
      </c>
      <c r="AP581" s="250"/>
      <c r="AQ581" s="199">
        <v>12</v>
      </c>
      <c r="AU581" s="199">
        <v>0</v>
      </c>
      <c r="AW581" s="250">
        <f t="shared" si="644"/>
        <v>0</v>
      </c>
      <c r="AX581" s="199">
        <v>1</v>
      </c>
      <c r="AY581" s="199">
        <f t="shared" si="704"/>
        <v>14059.23059524444</v>
      </c>
      <c r="AZ581" s="199">
        <f t="shared" si="645"/>
        <v>14059.23059524444</v>
      </c>
      <c r="BA581" s="252">
        <f t="shared" si="646"/>
        <v>1.1051467595138565E-3</v>
      </c>
      <c r="BB581" s="284">
        <v>0</v>
      </c>
      <c r="BC581" s="199">
        <f t="shared" si="705"/>
        <v>0</v>
      </c>
      <c r="BD581" s="270">
        <f t="shared" si="669"/>
        <v>0</v>
      </c>
      <c r="BE581" s="199">
        <f t="shared" si="706"/>
        <v>0</v>
      </c>
      <c r="BF581" s="251">
        <f t="shared" si="671"/>
        <v>0</v>
      </c>
      <c r="BG581" s="204">
        <f t="shared" si="707"/>
        <v>0</v>
      </c>
      <c r="BH581" s="636">
        <v>1</v>
      </c>
      <c r="BI581" s="199">
        <f t="shared" si="647"/>
        <v>83208.020589447333</v>
      </c>
      <c r="BJ581" s="199">
        <f t="shared" si="648"/>
        <v>166416.04117889467</v>
      </c>
      <c r="BK581" s="199">
        <f t="shared" si="655"/>
        <v>249624.06176834198</v>
      </c>
      <c r="BL581" s="251">
        <f t="shared" si="649"/>
        <v>1.053267856633826E-3</v>
      </c>
      <c r="BM581" s="199">
        <f t="shared" si="708"/>
        <v>24169.414178076131</v>
      </c>
      <c r="BN581" s="251">
        <f t="shared" si="650"/>
        <v>1.0437104697742037E-3</v>
      </c>
      <c r="BT581" s="199">
        <f>'Detailed Budget'!$AD$12</f>
        <v>194045122715</v>
      </c>
      <c r="BU581" s="199">
        <f>'Detailed Budget'!$AD$24</f>
        <v>194045122715</v>
      </c>
      <c r="BV581" s="596">
        <f t="shared" si="709"/>
        <v>0</v>
      </c>
      <c r="BW581" s="278"/>
      <c r="BX581" s="275">
        <f t="shared" si="698"/>
        <v>0</v>
      </c>
      <c r="BY581" s="275">
        <f t="shared" si="699"/>
        <v>0</v>
      </c>
      <c r="CA581" s="199">
        <f>'Detailed Budget'!$AD$96</f>
        <v>71050111380.677719</v>
      </c>
      <c r="CB581" s="275">
        <f t="shared" si="651"/>
        <v>78520800.355454564</v>
      </c>
      <c r="CE581" s="199">
        <f>'Detailed Budget'!$AD$175</f>
        <v>4330586076.5988197</v>
      </c>
      <c r="CF581" s="275">
        <f t="shared" si="710"/>
        <v>0</v>
      </c>
      <c r="CG581" s="199">
        <f>'Detailed Budget'!$AD$176</f>
        <v>20662817754.37001</v>
      </c>
      <c r="CH581" s="275">
        <f t="shared" si="711"/>
        <v>0</v>
      </c>
      <c r="CI581" s="275">
        <f t="shared" si="657"/>
        <v>0</v>
      </c>
      <c r="CJ581" s="275">
        <f>'Detailed Budget'!$AD$178</f>
        <v>46025131033.061455</v>
      </c>
      <c r="CK581" s="275">
        <f t="shared" si="712"/>
        <v>0</v>
      </c>
      <c r="CL581" s="275">
        <f t="shared" si="661"/>
        <v>0</v>
      </c>
      <c r="CM581" s="278">
        <f>'Detailed Budget'!$AD$189</f>
        <v>77498869683.252869</v>
      </c>
      <c r="CN581" s="275">
        <f t="shared" si="652"/>
        <v>81627068.362823948</v>
      </c>
      <c r="CO581" s="140">
        <f>'Detailed Budget'!$AD$191</f>
        <v>2684962805.4134097</v>
      </c>
      <c r="CP581" s="616">
        <f t="shared" si="653"/>
        <v>2827985.0191993271</v>
      </c>
      <c r="CQ581" s="616">
        <f t="shared" si="654"/>
        <v>84455053.382023275</v>
      </c>
      <c r="CR581" s="199">
        <f>'Detailed Budget'!$AD$195</f>
        <v>18734176418</v>
      </c>
      <c r="CS581" s="275">
        <f t="shared" si="713"/>
        <v>19553056.070063587</v>
      </c>
      <c r="CW581" s="278"/>
      <c r="DH581" s="140"/>
      <c r="DI581" s="616"/>
    </row>
    <row r="582" spans="1:113" outlineLevel="1">
      <c r="A582" s="214" t="s">
        <v>1251</v>
      </c>
      <c r="B582" s="215" t="s">
        <v>1252</v>
      </c>
      <c r="C582" s="216" t="s">
        <v>234</v>
      </c>
      <c r="D582" s="217"/>
      <c r="E582" s="216"/>
      <c r="F582" s="216"/>
      <c r="G582" s="216" t="s">
        <v>234</v>
      </c>
      <c r="H582" s="216" t="s">
        <v>234</v>
      </c>
      <c r="I582" s="217" t="s">
        <v>234</v>
      </c>
      <c r="J582" s="217"/>
      <c r="K582" s="216"/>
      <c r="L582" s="216"/>
      <c r="M582" s="217" t="s">
        <v>234</v>
      </c>
      <c r="N582" s="216"/>
      <c r="O582" s="217"/>
      <c r="P582" s="216"/>
      <c r="Q582" s="217"/>
      <c r="R582" s="217" t="s">
        <v>234</v>
      </c>
      <c r="S582" s="217"/>
      <c r="T582" s="217"/>
      <c r="U582" s="218">
        <f t="shared" si="715"/>
        <v>6</v>
      </c>
      <c r="V582" s="867" t="s">
        <v>235</v>
      </c>
      <c r="W582" s="219">
        <v>197921</v>
      </c>
      <c r="X582" s="220">
        <v>3.19</v>
      </c>
      <c r="Y582" s="221">
        <f t="shared" si="700"/>
        <v>1.0319</v>
      </c>
      <c r="Z582" s="199">
        <v>19</v>
      </c>
      <c r="AA582" s="221">
        <f t="shared" si="701"/>
        <v>1.8159949505681734</v>
      </c>
      <c r="AB582" s="199">
        <f t="shared" si="696"/>
        <v>359423.53661140346</v>
      </c>
      <c r="AC582">
        <v>11.8</v>
      </c>
      <c r="AD582" s="199">
        <f t="shared" si="697"/>
        <v>42411.977320145612</v>
      </c>
      <c r="AE582" s="199">
        <f t="shared" si="702"/>
        <v>40291.378454138328</v>
      </c>
      <c r="AF582" s="199">
        <f t="shared" si="658"/>
        <v>0</v>
      </c>
      <c r="AG582" s="614">
        <f t="shared" si="656"/>
        <v>1.8628964572536448E-3</v>
      </c>
      <c r="AH582" s="199">
        <f t="shared" si="714"/>
        <v>17971.176830570173</v>
      </c>
      <c r="AI582" s="252">
        <f t="shared" ref="AI582:AI645" si="716">AH582/12908475</f>
        <v>1.3921998400717494E-3</v>
      </c>
      <c r="AJ582" s="199">
        <f t="shared" si="640"/>
        <v>60383.154150715782</v>
      </c>
      <c r="AK582" s="199">
        <f t="shared" si="662"/>
        <v>14376.941464456138</v>
      </c>
      <c r="AL582" s="199">
        <f t="shared" si="663"/>
        <v>14376.941464456138</v>
      </c>
      <c r="AM582" s="199">
        <f t="shared" si="641"/>
        <v>28753.882928912277</v>
      </c>
      <c r="AN582" s="645">
        <f t="shared" si="642"/>
        <v>1.3921998400717491E-3</v>
      </c>
      <c r="AO582" s="199">
        <v>12</v>
      </c>
      <c r="AP582" s="250"/>
      <c r="AQ582" s="199">
        <v>12</v>
      </c>
      <c r="AU582" s="199">
        <v>0</v>
      </c>
      <c r="AW582" s="250">
        <f t="shared" si="644"/>
        <v>0</v>
      </c>
      <c r="AX582" s="199">
        <v>1</v>
      </c>
      <c r="AY582" s="199">
        <f t="shared" si="704"/>
        <v>18583.362686853452</v>
      </c>
      <c r="AZ582" s="199">
        <f t="shared" si="645"/>
        <v>18583.362686853452</v>
      </c>
      <c r="BA582" s="252">
        <f t="shared" si="646"/>
        <v>1.4607729004170115E-3</v>
      </c>
      <c r="BB582" s="284">
        <v>0</v>
      </c>
      <c r="BC582" s="199">
        <f t="shared" si="705"/>
        <v>0</v>
      </c>
      <c r="BD582" s="270">
        <f t="shared" si="669"/>
        <v>0</v>
      </c>
      <c r="BE582" s="199">
        <f t="shared" si="706"/>
        <v>0</v>
      </c>
      <c r="BF582" s="251">
        <f t="shared" si="671"/>
        <v>0</v>
      </c>
      <c r="BG582" s="204">
        <f t="shared" si="707"/>
        <v>0</v>
      </c>
      <c r="BH582" s="636">
        <v>1</v>
      </c>
      <c r="BI582" s="199">
        <f t="shared" si="647"/>
        <v>109983.60220308947</v>
      </c>
      <c r="BJ582" s="199">
        <f t="shared" si="648"/>
        <v>219967.20440617893</v>
      </c>
      <c r="BK582" s="199">
        <f t="shared" si="655"/>
        <v>329950.80660926842</v>
      </c>
      <c r="BL582" s="251">
        <f t="shared" si="649"/>
        <v>1.3921998400717494E-3</v>
      </c>
      <c r="BM582" s="199">
        <f t="shared" si="708"/>
        <v>31946.91107434372</v>
      </c>
      <c r="BN582" s="251">
        <f t="shared" si="650"/>
        <v>1.3795669733478043E-3</v>
      </c>
      <c r="BT582" s="199">
        <f>'Detailed Budget'!$AD$12</f>
        <v>194045122715</v>
      </c>
      <c r="BU582" s="199">
        <f>'Detailed Budget'!$AD$24</f>
        <v>194045122715</v>
      </c>
      <c r="BV582" s="596">
        <f t="shared" si="709"/>
        <v>0</v>
      </c>
      <c r="BW582" s="278"/>
      <c r="BX582" s="275">
        <f t="shared" si="698"/>
        <v>0</v>
      </c>
      <c r="BY582" s="275">
        <f t="shared" si="699"/>
        <v>0</v>
      </c>
      <c r="CA582" s="199">
        <f>'Detailed Budget'!$AD$96</f>
        <v>71050111380.677719</v>
      </c>
      <c r="CB582" s="275">
        <f t="shared" si="651"/>
        <v>103788077.27650431</v>
      </c>
      <c r="CE582" s="199">
        <f>'Detailed Budget'!$AD$175</f>
        <v>4330586076.5988197</v>
      </c>
      <c r="CF582" s="275">
        <f t="shared" si="710"/>
        <v>0</v>
      </c>
      <c r="CG582" s="199">
        <f>'Detailed Budget'!$AD$176</f>
        <v>20662817754.37001</v>
      </c>
      <c r="CH582" s="275">
        <f t="shared" si="711"/>
        <v>0</v>
      </c>
      <c r="CI582" s="275">
        <f t="shared" si="657"/>
        <v>0</v>
      </c>
      <c r="CJ582" s="275">
        <f>'Detailed Budget'!$AD$178</f>
        <v>46025131033.061455</v>
      </c>
      <c r="CK582" s="275">
        <f t="shared" si="712"/>
        <v>0</v>
      </c>
      <c r="CL582" s="275">
        <f t="shared" si="661"/>
        <v>0</v>
      </c>
      <c r="CM582" s="278">
        <f>'Detailed Budget'!$AD$189</f>
        <v>77498869683.252869</v>
      </c>
      <c r="CN582" s="275">
        <f t="shared" si="652"/>
        <v>107893913.97876599</v>
      </c>
      <c r="CO582" s="140">
        <f>'Detailed Budget'!$AD$191</f>
        <v>2684962805.4134097</v>
      </c>
      <c r="CP582" s="616">
        <f t="shared" si="653"/>
        <v>3738004.7882951437</v>
      </c>
      <c r="CQ582" s="616">
        <f t="shared" si="654"/>
        <v>111631918.76706114</v>
      </c>
      <c r="CR582" s="199">
        <f>'Detailed Budget'!$AD$195</f>
        <v>18734176418</v>
      </c>
      <c r="CS582" s="275">
        <f t="shared" si="713"/>
        <v>25845051.059144069</v>
      </c>
      <c r="CW582" s="278"/>
      <c r="DH582" s="140"/>
      <c r="DI582" s="616"/>
    </row>
    <row r="583" spans="1:113" outlineLevel="1">
      <c r="A583" s="214" t="s">
        <v>1253</v>
      </c>
      <c r="B583" s="215" t="s">
        <v>1254</v>
      </c>
      <c r="C583" s="216" t="s">
        <v>234</v>
      </c>
      <c r="D583" s="217"/>
      <c r="E583" s="216"/>
      <c r="F583" s="216"/>
      <c r="G583" s="216" t="s">
        <v>234</v>
      </c>
      <c r="H583" s="216" t="s">
        <v>234</v>
      </c>
      <c r="I583" s="217" t="s">
        <v>234</v>
      </c>
      <c r="J583" s="217"/>
      <c r="K583" s="216"/>
      <c r="L583" s="216"/>
      <c r="M583" s="217" t="s">
        <v>234</v>
      </c>
      <c r="N583" s="216"/>
      <c r="O583" s="217"/>
      <c r="P583" s="216"/>
      <c r="Q583" s="217"/>
      <c r="R583" s="217" t="s">
        <v>234</v>
      </c>
      <c r="S583" s="217"/>
      <c r="T583" s="217"/>
      <c r="U583" s="218">
        <f t="shared" si="715"/>
        <v>6</v>
      </c>
      <c r="V583" s="867" t="s">
        <v>235</v>
      </c>
      <c r="W583" s="219">
        <v>164328</v>
      </c>
      <c r="X583" s="220">
        <v>3.19</v>
      </c>
      <c r="Y583" s="221">
        <f t="shared" si="700"/>
        <v>1.0319</v>
      </c>
      <c r="Z583" s="199">
        <v>19</v>
      </c>
      <c r="AA583" s="221">
        <f t="shared" si="701"/>
        <v>1.8159949505681734</v>
      </c>
      <c r="AB583" s="199">
        <f t="shared" si="696"/>
        <v>298418.81823696679</v>
      </c>
      <c r="AC583">
        <v>11.8</v>
      </c>
      <c r="AD583" s="199">
        <f t="shared" si="697"/>
        <v>35213.420551962081</v>
      </c>
      <c r="AE583" s="199">
        <f t="shared" si="702"/>
        <v>33452.749524363979</v>
      </c>
      <c r="AF583" s="199">
        <f t="shared" si="658"/>
        <v>0</v>
      </c>
      <c r="AG583" s="614">
        <f t="shared" si="656"/>
        <v>1.5467082776844142E-3</v>
      </c>
      <c r="AH583" s="199">
        <f t="shared" si="714"/>
        <v>14920.94091184834</v>
      </c>
      <c r="AI583" s="252">
        <f t="shared" si="716"/>
        <v>1.1559026850072019E-3</v>
      </c>
      <c r="AJ583" s="199">
        <f t="shared" ref="AJ583:AJ646" si="717">AD583+AH583</f>
        <v>50134.361463810419</v>
      </c>
      <c r="AK583" s="199">
        <f t="shared" si="662"/>
        <v>11936.752729478672</v>
      </c>
      <c r="AL583" s="199">
        <f t="shared" si="663"/>
        <v>11936.752729478672</v>
      </c>
      <c r="AM583" s="199">
        <f t="shared" ref="AM583:AM646" si="718">AK583+AL583</f>
        <v>23873.505458957345</v>
      </c>
      <c r="AN583" s="645">
        <f t="shared" ref="AN583:AN646" si="719">AM583/20653560</f>
        <v>1.1559026850072019E-3</v>
      </c>
      <c r="AO583" s="199">
        <v>11</v>
      </c>
      <c r="AP583" s="250"/>
      <c r="AQ583" s="199">
        <v>11</v>
      </c>
      <c r="AU583" s="199">
        <v>0</v>
      </c>
      <c r="AW583" s="250">
        <f t="shared" ref="AW583:AW646" si="720">AV583/34743979</f>
        <v>0</v>
      </c>
      <c r="AX583" s="199">
        <v>1</v>
      </c>
      <c r="AY583" s="199">
        <f t="shared" si="704"/>
        <v>15429.220868959095</v>
      </c>
      <c r="AZ583" s="199">
        <f t="shared" ref="AZ583:AZ646" si="721">AX583*AY583</f>
        <v>15429.220868959095</v>
      </c>
      <c r="BA583" s="252">
        <f t="shared" ref="BA583:BA646" si="722">AZ583/12721596</f>
        <v>1.2128368853215506E-3</v>
      </c>
      <c r="BB583" s="284">
        <v>0</v>
      </c>
      <c r="BC583" s="199">
        <f t="shared" si="705"/>
        <v>0</v>
      </c>
      <c r="BD583" s="270">
        <f t="shared" si="669"/>
        <v>0</v>
      </c>
      <c r="BE583" s="199">
        <f t="shared" si="706"/>
        <v>0</v>
      </c>
      <c r="BF583" s="251">
        <f t="shared" si="671"/>
        <v>0</v>
      </c>
      <c r="BG583" s="204">
        <f t="shared" si="707"/>
        <v>0</v>
      </c>
      <c r="BH583" s="636">
        <v>1</v>
      </c>
      <c r="BI583" s="199">
        <f t="shared" ref="BI583:BI646" si="723">AK583*0.85*0.75*12</f>
        <v>91316.158380511843</v>
      </c>
      <c r="BJ583" s="199">
        <f t="shared" ref="BJ583:BJ646" si="724">AL583*0.85*0.75*2*12</f>
        <v>182632.31676102369</v>
      </c>
      <c r="BK583" s="199">
        <f t="shared" si="655"/>
        <v>273948.47514153551</v>
      </c>
      <c r="BL583" s="251">
        <f t="shared" ref="BL583:BL646" si="725">BK583/236999601</f>
        <v>1.1559026850072019E-3</v>
      </c>
      <c r="BM583" s="199">
        <f t="shared" si="708"/>
        <v>26524.583055990795</v>
      </c>
      <c r="BN583" s="251">
        <f t="shared" ref="BN583:BN646" si="726">BM583/23157202</f>
        <v>1.1454139863698038E-3</v>
      </c>
      <c r="BT583" s="199">
        <f>'Detailed Budget'!$AD$12</f>
        <v>194045122715</v>
      </c>
      <c r="BU583" s="199">
        <f>'Detailed Budget'!$AD$24</f>
        <v>194045122715</v>
      </c>
      <c r="BV583" s="596">
        <f t="shared" si="709"/>
        <v>0</v>
      </c>
      <c r="BW583" s="278"/>
      <c r="BX583" s="275">
        <f t="shared" si="698"/>
        <v>0</v>
      </c>
      <c r="BY583" s="275">
        <f t="shared" si="699"/>
        <v>0</v>
      </c>
      <c r="CA583" s="199">
        <f>'Detailed Budget'!$AD$96</f>
        <v>71050111380.677719</v>
      </c>
      <c r="CB583" s="275">
        <f t="shared" ref="CB583:CB646" si="727">BA583*CA583</f>
        <v>86172195.788690418</v>
      </c>
      <c r="CE583" s="199">
        <f>'Detailed Budget'!$AD$175</f>
        <v>4330586076.5988197</v>
      </c>
      <c r="CF583" s="275">
        <f t="shared" si="710"/>
        <v>0</v>
      </c>
      <c r="CG583" s="199">
        <f>'Detailed Budget'!$AD$176</f>
        <v>20662817754.37001</v>
      </c>
      <c r="CH583" s="275">
        <f t="shared" si="711"/>
        <v>0</v>
      </c>
      <c r="CI583" s="275">
        <f t="shared" si="657"/>
        <v>0</v>
      </c>
      <c r="CJ583" s="275">
        <f>'Detailed Budget'!$AD$178</f>
        <v>46025131033.061455</v>
      </c>
      <c r="CK583" s="275">
        <f t="shared" si="712"/>
        <v>0</v>
      </c>
      <c r="CL583" s="275">
        <f t="shared" si="661"/>
        <v>0</v>
      </c>
      <c r="CM583" s="278">
        <f>'Detailed Budget'!$AD$189</f>
        <v>77498869683.252869</v>
      </c>
      <c r="CN583" s="275">
        <f t="shared" ref="CN583:CN646" si="728">BH583*BL583*CM583</f>
        <v>89581151.551895231</v>
      </c>
      <c r="CO583" s="140">
        <f>'Detailed Budget'!$AD$191</f>
        <v>2684962805.4134097</v>
      </c>
      <c r="CP583" s="616">
        <f t="shared" ref="CP583:CP646" si="729">BH583*AN583*CO583</f>
        <v>3103555.7159218295</v>
      </c>
      <c r="CQ583" s="616">
        <f t="shared" ref="CQ583:CQ646" si="730">CN583+CP583</f>
        <v>92684707.267817065</v>
      </c>
      <c r="CR583" s="199">
        <f>'Detailed Budget'!$AD$195</f>
        <v>18734176418</v>
      </c>
      <c r="CS583" s="275">
        <f t="shared" si="713"/>
        <v>21458387.692296553</v>
      </c>
      <c r="CW583" s="278"/>
      <c r="DH583" s="140"/>
      <c r="DI583" s="616"/>
    </row>
    <row r="584" spans="1:113" outlineLevel="1">
      <c r="A584" s="214" t="s">
        <v>1255</v>
      </c>
      <c r="B584" s="215" t="s">
        <v>1256</v>
      </c>
      <c r="C584" s="216" t="s">
        <v>234</v>
      </c>
      <c r="D584" s="217"/>
      <c r="E584" s="216"/>
      <c r="F584" s="216"/>
      <c r="G584" s="216" t="s">
        <v>234</v>
      </c>
      <c r="H584" s="216" t="s">
        <v>234</v>
      </c>
      <c r="I584" s="217" t="s">
        <v>234</v>
      </c>
      <c r="J584" s="217"/>
      <c r="K584" s="216"/>
      <c r="L584" s="216"/>
      <c r="M584" s="217" t="s">
        <v>234</v>
      </c>
      <c r="N584" s="216"/>
      <c r="O584" s="217"/>
      <c r="P584" s="216"/>
      <c r="Q584" s="217"/>
      <c r="R584" s="217" t="s">
        <v>234</v>
      </c>
      <c r="S584" s="217"/>
      <c r="T584" s="217"/>
      <c r="U584" s="218">
        <f t="shared" si="715"/>
        <v>6</v>
      </c>
      <c r="V584" s="867" t="s">
        <v>235</v>
      </c>
      <c r="W584" s="219">
        <v>237474</v>
      </c>
      <c r="X584" s="220">
        <v>3.19</v>
      </c>
      <c r="Y584" s="221">
        <f t="shared" si="700"/>
        <v>1.0319</v>
      </c>
      <c r="Z584" s="199">
        <v>19</v>
      </c>
      <c r="AA584" s="221">
        <f t="shared" si="701"/>
        <v>1.8159949505681734</v>
      </c>
      <c r="AB584" s="199">
        <f t="shared" si="696"/>
        <v>431251.58489122643</v>
      </c>
      <c r="AC584">
        <v>11.8</v>
      </c>
      <c r="AD584" s="199">
        <f t="shared" si="697"/>
        <v>50887.687017164724</v>
      </c>
      <c r="AE584" s="199">
        <f t="shared" si="702"/>
        <v>48343.302666306488</v>
      </c>
      <c r="AF584" s="199">
        <f t="shared" si="658"/>
        <v>0</v>
      </c>
      <c r="AG584" s="614">
        <f t="shared" si="656"/>
        <v>2.2351820842146722E-3</v>
      </c>
      <c r="AH584" s="199">
        <f t="shared" si="714"/>
        <v>21562.579244561322</v>
      </c>
      <c r="AI584" s="252">
        <f t="shared" si="716"/>
        <v>1.6704203435774809E-3</v>
      </c>
      <c r="AJ584" s="199">
        <f t="shared" si="717"/>
        <v>72450.26626172605</v>
      </c>
      <c r="AK584" s="199">
        <f t="shared" si="662"/>
        <v>17250.063395649056</v>
      </c>
      <c r="AL584" s="199">
        <f t="shared" si="663"/>
        <v>17250.063395649056</v>
      </c>
      <c r="AM584" s="199">
        <f t="shared" si="718"/>
        <v>34500.126791298113</v>
      </c>
      <c r="AN584" s="645">
        <f t="shared" si="719"/>
        <v>1.6704203435774806E-3</v>
      </c>
      <c r="AO584" s="199">
        <v>12</v>
      </c>
      <c r="AP584" s="250"/>
      <c r="AQ584" s="199">
        <v>12</v>
      </c>
      <c r="AU584" s="199">
        <v>0</v>
      </c>
      <c r="AW584" s="250">
        <f t="shared" si="720"/>
        <v>0</v>
      </c>
      <c r="AX584" s="199">
        <v>1</v>
      </c>
      <c r="AY584" s="199">
        <f t="shared" si="704"/>
        <v>22297.105767946992</v>
      </c>
      <c r="AZ584" s="199">
        <f t="shared" si="721"/>
        <v>22297.105767946992</v>
      </c>
      <c r="BA584" s="252">
        <f t="shared" si="722"/>
        <v>1.7526972062268753E-3</v>
      </c>
      <c r="BB584" s="284">
        <v>0</v>
      </c>
      <c r="BC584" s="199">
        <f t="shared" si="705"/>
        <v>0</v>
      </c>
      <c r="BD584" s="270">
        <f t="shared" si="669"/>
        <v>0</v>
      </c>
      <c r="BE584" s="199">
        <f t="shared" si="706"/>
        <v>0</v>
      </c>
      <c r="BF584" s="251">
        <f t="shared" si="671"/>
        <v>0</v>
      </c>
      <c r="BG584" s="204">
        <f t="shared" si="707"/>
        <v>0</v>
      </c>
      <c r="BH584" s="636">
        <v>1</v>
      </c>
      <c r="BI584" s="199">
        <f t="shared" si="723"/>
        <v>131962.98497671526</v>
      </c>
      <c r="BJ584" s="199">
        <f t="shared" si="724"/>
        <v>263925.96995343053</v>
      </c>
      <c r="BK584" s="199">
        <f t="shared" ref="BK584:BK647" si="731">BI584+BJ584</f>
        <v>395888.95493014576</v>
      </c>
      <c r="BL584" s="251">
        <f t="shared" si="725"/>
        <v>1.6704203435774804E-3</v>
      </c>
      <c r="BM584" s="199">
        <f t="shared" si="708"/>
        <v>38331.257221157437</v>
      </c>
      <c r="BN584" s="251">
        <f t="shared" si="726"/>
        <v>1.655262894936851E-3</v>
      </c>
      <c r="BT584" s="199">
        <f>'Detailed Budget'!$AD$12</f>
        <v>194045122715</v>
      </c>
      <c r="BU584" s="199">
        <f>'Detailed Budget'!$AD$24</f>
        <v>194045122715</v>
      </c>
      <c r="BV584" s="596">
        <f t="shared" si="709"/>
        <v>0</v>
      </c>
      <c r="BW584" s="278"/>
      <c r="BX584" s="275">
        <f t="shared" si="698"/>
        <v>0</v>
      </c>
      <c r="BY584" s="275">
        <f t="shared" si="699"/>
        <v>0</v>
      </c>
      <c r="CA584" s="199">
        <f>'Detailed Budget'!$AD$96</f>
        <v>71050111380.677719</v>
      </c>
      <c r="CB584" s="275">
        <f t="shared" si="727"/>
        <v>124529331.71902215</v>
      </c>
      <c r="CE584" s="199">
        <f>'Detailed Budget'!$AD$175</f>
        <v>4330586076.5988197</v>
      </c>
      <c r="CF584" s="275">
        <f t="shared" si="710"/>
        <v>0</v>
      </c>
      <c r="CG584" s="199">
        <f>'Detailed Budget'!$AD$176</f>
        <v>20662817754.37001</v>
      </c>
      <c r="CH584" s="275">
        <f t="shared" si="711"/>
        <v>0</v>
      </c>
      <c r="CI584" s="275">
        <f t="shared" si="657"/>
        <v>0</v>
      </c>
      <c r="CJ584" s="275">
        <f>'Detailed Budget'!$AD$178</f>
        <v>46025131033.061455</v>
      </c>
      <c r="CK584" s="275">
        <f t="shared" si="712"/>
        <v>0</v>
      </c>
      <c r="CL584" s="275">
        <f t="shared" si="661"/>
        <v>0</v>
      </c>
      <c r="CM584" s="278">
        <f>'Detailed Budget'!$AD$189</f>
        <v>77498869683.252869</v>
      </c>
      <c r="CN584" s="275">
        <f t="shared" si="728"/>
        <v>129455688.52316564</v>
      </c>
      <c r="CO584" s="140">
        <f>'Detailed Budget'!$AD$191</f>
        <v>2684962805.4134097</v>
      </c>
      <c r="CP584" s="616">
        <f t="shared" si="729"/>
        <v>4485016.4919114243</v>
      </c>
      <c r="CQ584" s="616">
        <f t="shared" si="730"/>
        <v>133940705.01507707</v>
      </c>
      <c r="CR584" s="199">
        <f>'Detailed Budget'!$AD$195</f>
        <v>18734176418</v>
      </c>
      <c r="CS584" s="275">
        <f t="shared" si="713"/>
        <v>31009987.091916364</v>
      </c>
      <c r="CW584" s="278"/>
      <c r="DH584" s="140"/>
      <c r="DI584" s="616"/>
    </row>
    <row r="585" spans="1:113" outlineLevel="1">
      <c r="A585" s="214" t="s">
        <v>1257</v>
      </c>
      <c r="B585" s="215" t="s">
        <v>1258</v>
      </c>
      <c r="C585" s="216" t="s">
        <v>234</v>
      </c>
      <c r="D585" s="217"/>
      <c r="E585" s="216"/>
      <c r="F585" s="216"/>
      <c r="G585" s="216" t="s">
        <v>234</v>
      </c>
      <c r="H585" s="216" t="s">
        <v>234</v>
      </c>
      <c r="I585" s="217" t="s">
        <v>234</v>
      </c>
      <c r="J585" s="217"/>
      <c r="K585" s="216"/>
      <c r="L585" s="216"/>
      <c r="M585" s="217" t="s">
        <v>234</v>
      </c>
      <c r="N585" s="216"/>
      <c r="O585" s="217"/>
      <c r="P585" s="216"/>
      <c r="Q585" s="217"/>
      <c r="R585" s="217" t="s">
        <v>234</v>
      </c>
      <c r="S585" s="217"/>
      <c r="T585" s="217"/>
      <c r="U585" s="218">
        <f t="shared" si="715"/>
        <v>6</v>
      </c>
      <c r="V585" s="867" t="s">
        <v>235</v>
      </c>
      <c r="W585" s="219">
        <v>157858</v>
      </c>
      <c r="X585" s="220">
        <v>3.19</v>
      </c>
      <c r="Y585" s="221">
        <f t="shared" si="700"/>
        <v>1.0319</v>
      </c>
      <c r="Z585" s="199">
        <v>19</v>
      </c>
      <c r="AA585" s="221">
        <f t="shared" si="701"/>
        <v>1.8159949505681734</v>
      </c>
      <c r="AB585" s="199">
        <f t="shared" si="696"/>
        <v>286669.33090679074</v>
      </c>
      <c r="AC585">
        <v>11.8</v>
      </c>
      <c r="AD585" s="199">
        <f t="shared" si="697"/>
        <v>33826.981047001311</v>
      </c>
      <c r="AE585" s="199">
        <f t="shared" si="702"/>
        <v>32135.631994651245</v>
      </c>
      <c r="AF585" s="199">
        <f t="shared" si="658"/>
        <v>0</v>
      </c>
      <c r="AG585" s="614">
        <f t="shared" ref="AG585:AG648" si="732">AE585/21628351</f>
        <v>1.4858105453647967E-3</v>
      </c>
      <c r="AH585" s="199">
        <f t="shared" si="714"/>
        <v>14333.466545339537</v>
      </c>
      <c r="AI585" s="252">
        <f t="shared" si="716"/>
        <v>1.1103919359443729E-3</v>
      </c>
      <c r="AJ585" s="199">
        <f t="shared" si="717"/>
        <v>48160.447592340846</v>
      </c>
      <c r="AK585" s="199">
        <f t="shared" si="662"/>
        <v>11466.773236271631</v>
      </c>
      <c r="AL585" s="199">
        <f t="shared" si="663"/>
        <v>11466.773236271631</v>
      </c>
      <c r="AM585" s="199">
        <f t="shared" si="718"/>
        <v>22933.546472543261</v>
      </c>
      <c r="AN585" s="645">
        <f t="shared" si="719"/>
        <v>1.1103919359443729E-3</v>
      </c>
      <c r="AO585" s="199">
        <v>11</v>
      </c>
      <c r="AP585" s="250"/>
      <c r="AQ585" s="199">
        <v>11</v>
      </c>
      <c r="AU585" s="199">
        <v>0</v>
      </c>
      <c r="AW585" s="250">
        <f t="shared" si="720"/>
        <v>0</v>
      </c>
      <c r="AX585" s="199">
        <v>1</v>
      </c>
      <c r="AY585" s="199">
        <f t="shared" si="704"/>
        <v>14821.734262768034</v>
      </c>
      <c r="AZ585" s="199">
        <f t="shared" si="721"/>
        <v>14821.734262768034</v>
      </c>
      <c r="BA585" s="252">
        <f t="shared" si="722"/>
        <v>1.1650844959050762E-3</v>
      </c>
      <c r="BB585" s="284">
        <v>0</v>
      </c>
      <c r="BC585" s="199">
        <f t="shared" si="705"/>
        <v>0</v>
      </c>
      <c r="BD585" s="270">
        <f t="shared" si="669"/>
        <v>0</v>
      </c>
      <c r="BE585" s="199">
        <f t="shared" si="706"/>
        <v>0</v>
      </c>
      <c r="BF585" s="251">
        <f t="shared" si="671"/>
        <v>0</v>
      </c>
      <c r="BG585" s="204">
        <f t="shared" si="707"/>
        <v>0</v>
      </c>
      <c r="BH585" s="636">
        <v>1</v>
      </c>
      <c r="BI585" s="199">
        <f t="shared" si="723"/>
        <v>87720.815257477967</v>
      </c>
      <c r="BJ585" s="199">
        <f t="shared" si="724"/>
        <v>175441.63051495593</v>
      </c>
      <c r="BK585" s="199">
        <f t="shared" si="731"/>
        <v>263162.44577243389</v>
      </c>
      <c r="BL585" s="251">
        <f t="shared" si="725"/>
        <v>1.1103919359443726E-3</v>
      </c>
      <c r="BM585" s="199">
        <f t="shared" si="708"/>
        <v>25480.244584322791</v>
      </c>
      <c r="BN585" s="251">
        <f t="shared" si="726"/>
        <v>1.1003162033272754E-3</v>
      </c>
      <c r="BT585" s="199">
        <f>'Detailed Budget'!$AD$12</f>
        <v>194045122715</v>
      </c>
      <c r="BU585" s="199">
        <f>'Detailed Budget'!$AD$24</f>
        <v>194045122715</v>
      </c>
      <c r="BV585" s="596">
        <f t="shared" si="709"/>
        <v>0</v>
      </c>
      <c r="BW585" s="278"/>
      <c r="BX585" s="275">
        <f t="shared" si="698"/>
        <v>0</v>
      </c>
      <c r="BY585" s="275">
        <f t="shared" si="699"/>
        <v>0</v>
      </c>
      <c r="CA585" s="199">
        <f>'Detailed Budget'!$AD$96</f>
        <v>71050111380.677719</v>
      </c>
      <c r="CB585" s="275">
        <f t="shared" si="727"/>
        <v>82779383.201956421</v>
      </c>
      <c r="CE585" s="199">
        <f>'Detailed Budget'!$AD$175</f>
        <v>4330586076.5988197</v>
      </c>
      <c r="CF585" s="275">
        <f t="shared" si="710"/>
        <v>0</v>
      </c>
      <c r="CG585" s="199">
        <f>'Detailed Budget'!$AD$176</f>
        <v>20662817754.37001</v>
      </c>
      <c r="CH585" s="275">
        <f t="shared" si="711"/>
        <v>0</v>
      </c>
      <c r="CI585" s="275">
        <f t="shared" si="657"/>
        <v>0</v>
      </c>
      <c r="CJ585" s="275">
        <f>'Detailed Budget'!$AD$178</f>
        <v>46025131033.061455</v>
      </c>
      <c r="CK585" s="275">
        <f t="shared" si="712"/>
        <v>0</v>
      </c>
      <c r="CL585" s="275">
        <f t="shared" si="661"/>
        <v>0</v>
      </c>
      <c r="CM585" s="278">
        <f>'Detailed Budget'!$AD$189</f>
        <v>77498869683.252869</v>
      </c>
      <c r="CN585" s="275">
        <f t="shared" si="728"/>
        <v>86054119.941087797</v>
      </c>
      <c r="CO585" s="140">
        <f>'Detailed Budget'!$AD$191</f>
        <v>2684962805.4134097</v>
      </c>
      <c r="CP585" s="616">
        <f t="shared" si="729"/>
        <v>2981361.0474416306</v>
      </c>
      <c r="CQ585" s="616">
        <f t="shared" si="730"/>
        <v>89035480.988529429</v>
      </c>
      <c r="CR585" s="199">
        <f>'Detailed Budget'!$AD$195</f>
        <v>18734176418</v>
      </c>
      <c r="CS585" s="275">
        <f t="shared" si="713"/>
        <v>20613517.868717138</v>
      </c>
      <c r="CW585" s="278"/>
      <c r="DH585" s="140"/>
      <c r="DI585" s="616"/>
    </row>
    <row r="586" spans="1:113" outlineLevel="1">
      <c r="A586" s="214" t="s">
        <v>1259</v>
      </c>
      <c r="B586" s="215" t="s">
        <v>1260</v>
      </c>
      <c r="C586" s="216" t="s">
        <v>234</v>
      </c>
      <c r="D586" s="217"/>
      <c r="E586" s="216"/>
      <c r="F586" s="216"/>
      <c r="G586" s="216" t="s">
        <v>234</v>
      </c>
      <c r="H586" s="216" t="s">
        <v>234</v>
      </c>
      <c r="I586" s="217" t="s">
        <v>234</v>
      </c>
      <c r="J586" s="217"/>
      <c r="K586" s="216"/>
      <c r="L586" s="216"/>
      <c r="M586" s="217" t="s">
        <v>234</v>
      </c>
      <c r="N586" s="216"/>
      <c r="O586" s="217"/>
      <c r="P586" s="216"/>
      <c r="Q586" s="217"/>
      <c r="R586" s="217" t="s">
        <v>234</v>
      </c>
      <c r="S586" s="217"/>
      <c r="T586" s="217"/>
      <c r="U586" s="218">
        <f t="shared" si="715"/>
        <v>6</v>
      </c>
      <c r="V586" s="867" t="s">
        <v>235</v>
      </c>
      <c r="W586" s="219">
        <v>143485</v>
      </c>
      <c r="X586" s="220">
        <v>3.19</v>
      </c>
      <c r="Y586" s="221">
        <f t="shared" si="700"/>
        <v>1.0319</v>
      </c>
      <c r="Z586" s="199">
        <v>19</v>
      </c>
      <c r="AA586" s="221">
        <f t="shared" si="701"/>
        <v>1.8159949505681734</v>
      </c>
      <c r="AB586" s="199">
        <f t="shared" si="696"/>
        <v>260568.03548227437</v>
      </c>
      <c r="AC586">
        <v>11.8</v>
      </c>
      <c r="AD586" s="199">
        <f t="shared" si="697"/>
        <v>30747.028186908377</v>
      </c>
      <c r="AE586" s="199">
        <f t="shared" si="702"/>
        <v>29209.676777562956</v>
      </c>
      <c r="AF586" s="199">
        <f t="shared" si="658"/>
        <v>0</v>
      </c>
      <c r="AG586" s="614">
        <f t="shared" si="732"/>
        <v>1.3505272213107211E-3</v>
      </c>
      <c r="AH586" s="199">
        <f t="shared" si="714"/>
        <v>13028.40177411372</v>
      </c>
      <c r="AI586" s="252">
        <f t="shared" si="716"/>
        <v>1.0092905454837787E-3</v>
      </c>
      <c r="AJ586" s="199">
        <f t="shared" si="717"/>
        <v>43775.429961022099</v>
      </c>
      <c r="AK586" s="199">
        <f t="shared" si="662"/>
        <v>10422.721419290974</v>
      </c>
      <c r="AL586" s="199">
        <f t="shared" si="663"/>
        <v>10422.721419290974</v>
      </c>
      <c r="AM586" s="199">
        <f t="shared" si="718"/>
        <v>20845.442838581948</v>
      </c>
      <c r="AN586" s="645">
        <f t="shared" si="719"/>
        <v>1.0092905454837785E-3</v>
      </c>
      <c r="AO586" s="199">
        <v>11</v>
      </c>
      <c r="AP586" s="250"/>
      <c r="AQ586" s="199">
        <v>11</v>
      </c>
      <c r="AU586" s="199">
        <v>0</v>
      </c>
      <c r="AW586" s="250">
        <f t="shared" si="720"/>
        <v>0</v>
      </c>
      <c r="AX586" s="199">
        <v>1</v>
      </c>
      <c r="AY586" s="199">
        <f t="shared" si="704"/>
        <v>13472.212625861668</v>
      </c>
      <c r="AZ586" s="199">
        <f t="shared" si="721"/>
        <v>13472.212625861668</v>
      </c>
      <c r="BA586" s="252">
        <f t="shared" si="722"/>
        <v>1.0590033377778753E-3</v>
      </c>
      <c r="BB586" s="284">
        <v>0</v>
      </c>
      <c r="BC586" s="199">
        <f t="shared" si="705"/>
        <v>0</v>
      </c>
      <c r="BD586" s="270">
        <f t="shared" si="669"/>
        <v>0</v>
      </c>
      <c r="BE586" s="199">
        <f t="shared" si="706"/>
        <v>0</v>
      </c>
      <c r="BF586" s="251">
        <f t="shared" si="671"/>
        <v>0</v>
      </c>
      <c r="BG586" s="204">
        <f t="shared" si="707"/>
        <v>0</v>
      </c>
      <c r="BH586" s="636">
        <v>1</v>
      </c>
      <c r="BI586" s="199">
        <f t="shared" si="723"/>
        <v>79733.818857575956</v>
      </c>
      <c r="BJ586" s="199">
        <f t="shared" si="724"/>
        <v>159467.63771515191</v>
      </c>
      <c r="BK586" s="199">
        <f t="shared" si="731"/>
        <v>239201.45657272788</v>
      </c>
      <c r="BL586" s="251">
        <f t="shared" si="725"/>
        <v>1.0092905454837785E-3</v>
      </c>
      <c r="BM586" s="199">
        <f t="shared" si="708"/>
        <v>23160.263617818266</v>
      </c>
      <c r="BN586" s="251">
        <f t="shared" si="726"/>
        <v>1.0001322101788578E-3</v>
      </c>
      <c r="BT586" s="199">
        <f>'Detailed Budget'!$AD$12</f>
        <v>194045122715</v>
      </c>
      <c r="BU586" s="199">
        <f>'Detailed Budget'!$AD$24</f>
        <v>194045122715</v>
      </c>
      <c r="BV586" s="596">
        <f t="shared" si="709"/>
        <v>0</v>
      </c>
      <c r="BW586" s="278"/>
      <c r="BX586" s="275">
        <f t="shared" si="698"/>
        <v>0</v>
      </c>
      <c r="BY586" s="275">
        <f t="shared" si="699"/>
        <v>0</v>
      </c>
      <c r="CA586" s="199">
        <f>'Detailed Budget'!$AD$96</f>
        <v>71050111380.677719</v>
      </c>
      <c r="CB586" s="275">
        <f t="shared" si="727"/>
        <v>75242305.101627514</v>
      </c>
      <c r="CE586" s="199">
        <f>'Detailed Budget'!$AD$175</f>
        <v>4330586076.5988197</v>
      </c>
      <c r="CF586" s="275">
        <f t="shared" si="710"/>
        <v>0</v>
      </c>
      <c r="CG586" s="199">
        <f>'Detailed Budget'!$AD$176</f>
        <v>20662817754.37001</v>
      </c>
      <c r="CH586" s="275">
        <f t="shared" si="711"/>
        <v>0</v>
      </c>
      <c r="CI586" s="275">
        <f t="shared" si="657"/>
        <v>0</v>
      </c>
      <c r="CJ586" s="275">
        <f>'Detailed Budget'!$AD$178</f>
        <v>46025131033.061455</v>
      </c>
      <c r="CK586" s="275">
        <f t="shared" si="712"/>
        <v>0</v>
      </c>
      <c r="CL586" s="275">
        <f t="shared" si="661"/>
        <v>0</v>
      </c>
      <c r="CM586" s="278">
        <f>'Detailed Budget'!$AD$189</f>
        <v>77498869683.252869</v>
      </c>
      <c r="CN586" s="275">
        <f t="shared" si="728"/>
        <v>78218876.456986547</v>
      </c>
      <c r="CO586" s="140">
        <f>'Detailed Budget'!$AD$191</f>
        <v>2684962805.4134097</v>
      </c>
      <c r="CP586" s="616">
        <f t="shared" si="729"/>
        <v>2709907.5744793564</v>
      </c>
      <c r="CQ586" s="616">
        <f t="shared" si="730"/>
        <v>80928784.031465903</v>
      </c>
      <c r="CR586" s="199">
        <f>'Detailed Budget'!$AD$195</f>
        <v>18734176418</v>
      </c>
      <c r="CS586" s="275">
        <f t="shared" si="713"/>
        <v>18736653.266814977</v>
      </c>
      <c r="CW586" s="278"/>
      <c r="DH586" s="140"/>
      <c r="DI586" s="616"/>
    </row>
    <row r="587" spans="1:113" outlineLevel="1">
      <c r="A587" s="214" t="s">
        <v>1261</v>
      </c>
      <c r="B587" s="215" t="s">
        <v>1262</v>
      </c>
      <c r="C587" s="216" t="s">
        <v>234</v>
      </c>
      <c r="D587" s="217"/>
      <c r="E587" s="216"/>
      <c r="F587" s="216"/>
      <c r="G587" s="216" t="s">
        <v>234</v>
      </c>
      <c r="H587" s="216" t="s">
        <v>234</v>
      </c>
      <c r="I587" s="217" t="s">
        <v>234</v>
      </c>
      <c r="J587" s="217"/>
      <c r="K587" s="216"/>
      <c r="L587" s="216"/>
      <c r="M587" s="217" t="s">
        <v>234</v>
      </c>
      <c r="N587" s="216"/>
      <c r="O587" s="217"/>
      <c r="P587" s="216"/>
      <c r="Q587" s="217"/>
      <c r="R587" s="217" t="s">
        <v>234</v>
      </c>
      <c r="S587" s="217"/>
      <c r="T587" s="217"/>
      <c r="U587" s="218">
        <f t="shared" si="715"/>
        <v>6</v>
      </c>
      <c r="V587" s="867" t="s">
        <v>235</v>
      </c>
      <c r="W587" s="219">
        <v>80270</v>
      </c>
      <c r="X587" s="220">
        <v>3.19</v>
      </c>
      <c r="Y587" s="221">
        <f t="shared" si="700"/>
        <v>1.0319</v>
      </c>
      <c r="Z587" s="199">
        <v>19</v>
      </c>
      <c r="AA587" s="221">
        <f t="shared" si="701"/>
        <v>1.8159949505681734</v>
      </c>
      <c r="AB587" s="199">
        <f t="shared" si="696"/>
        <v>145769.91468210728</v>
      </c>
      <c r="AC587">
        <v>11.8</v>
      </c>
      <c r="AD587" s="199">
        <f t="shared" si="697"/>
        <v>17200.849932488658</v>
      </c>
      <c r="AE587" s="199">
        <f t="shared" si="702"/>
        <v>16340.807435864224</v>
      </c>
      <c r="AF587" s="199">
        <f t="shared" si="658"/>
        <v>0</v>
      </c>
      <c r="AG587" s="614">
        <f t="shared" si="732"/>
        <v>7.5552719834555231E-4</v>
      </c>
      <c r="AH587" s="199">
        <f t="shared" si="714"/>
        <v>7288.4957341053641</v>
      </c>
      <c r="AI587" s="252">
        <f t="shared" si="716"/>
        <v>5.6462872137145277E-4</v>
      </c>
      <c r="AJ587" s="199">
        <f t="shared" si="717"/>
        <v>24489.345666594021</v>
      </c>
      <c r="AK587" s="199">
        <f t="shared" si="662"/>
        <v>5830.7965872842915</v>
      </c>
      <c r="AL587" s="199">
        <f t="shared" si="663"/>
        <v>5830.7965872842915</v>
      </c>
      <c r="AM587" s="199">
        <f t="shared" si="718"/>
        <v>11661.593174568583</v>
      </c>
      <c r="AN587" s="645">
        <f t="shared" si="719"/>
        <v>5.6462872137145277E-4</v>
      </c>
      <c r="AO587" s="199">
        <v>10</v>
      </c>
      <c r="AP587" s="250"/>
      <c r="AQ587" s="199">
        <v>10</v>
      </c>
      <c r="AU587" s="199">
        <v>0</v>
      </c>
      <c r="AW587" s="250">
        <f t="shared" si="720"/>
        <v>0</v>
      </c>
      <c r="AX587" s="199">
        <v>1</v>
      </c>
      <c r="AY587" s="199">
        <f t="shared" si="704"/>
        <v>7536.7774156038331</v>
      </c>
      <c r="AZ587" s="199">
        <f t="shared" si="721"/>
        <v>7536.7774156038331</v>
      </c>
      <c r="BA587" s="252">
        <f t="shared" si="722"/>
        <v>5.9243961336327873E-4</v>
      </c>
      <c r="BB587" s="284">
        <v>0</v>
      </c>
      <c r="BC587" s="199">
        <f t="shared" si="705"/>
        <v>0</v>
      </c>
      <c r="BD587" s="270">
        <f t="shared" si="669"/>
        <v>0</v>
      </c>
      <c r="BE587" s="199">
        <f t="shared" si="706"/>
        <v>0</v>
      </c>
      <c r="BF587" s="251">
        <f t="shared" si="671"/>
        <v>0</v>
      </c>
      <c r="BG587" s="204">
        <f t="shared" si="707"/>
        <v>0</v>
      </c>
      <c r="BH587" s="636">
        <v>1</v>
      </c>
      <c r="BI587" s="199">
        <f t="shared" si="723"/>
        <v>44605.593892724828</v>
      </c>
      <c r="BJ587" s="199">
        <f t="shared" si="724"/>
        <v>89211.187785449656</v>
      </c>
      <c r="BK587" s="199">
        <f t="shared" si="731"/>
        <v>133816.78167817448</v>
      </c>
      <c r="BL587" s="251">
        <f t="shared" si="725"/>
        <v>5.6462872137145277E-4</v>
      </c>
      <c r="BM587" s="199">
        <f t="shared" si="708"/>
        <v>12956.576371065074</v>
      </c>
      <c r="BN587" s="251">
        <f t="shared" si="726"/>
        <v>5.5950526195112319E-4</v>
      </c>
      <c r="BT587" s="199">
        <f>'Detailed Budget'!$AD$12</f>
        <v>194045122715</v>
      </c>
      <c r="BU587" s="199">
        <f>'Detailed Budget'!$AD$24</f>
        <v>194045122715</v>
      </c>
      <c r="BV587" s="596">
        <f t="shared" si="709"/>
        <v>0</v>
      </c>
      <c r="BW587" s="278"/>
      <c r="BX587" s="275">
        <f t="shared" si="698"/>
        <v>0</v>
      </c>
      <c r="BY587" s="275">
        <f t="shared" si="699"/>
        <v>0</v>
      </c>
      <c r="CA587" s="199">
        <f>'Detailed Budget'!$AD$96</f>
        <v>71050111380.677719</v>
      </c>
      <c r="CB587" s="275">
        <f t="shared" si="727"/>
        <v>42092900.515786596</v>
      </c>
      <c r="CE587" s="199">
        <f>'Detailed Budget'!$AD$175</f>
        <v>4330586076.5988197</v>
      </c>
      <c r="CF587" s="275">
        <f t="shared" si="710"/>
        <v>0</v>
      </c>
      <c r="CG587" s="199">
        <f>'Detailed Budget'!$AD$176</f>
        <v>20662817754.37001</v>
      </c>
      <c r="CH587" s="275">
        <f t="shared" si="711"/>
        <v>0</v>
      </c>
      <c r="CI587" s="275">
        <f t="shared" si="657"/>
        <v>0</v>
      </c>
      <c r="CJ587" s="275">
        <f>'Detailed Budget'!$AD$178</f>
        <v>46025131033.061455</v>
      </c>
      <c r="CK587" s="275">
        <f t="shared" si="712"/>
        <v>0</v>
      </c>
      <c r="CL587" s="275">
        <f t="shared" si="661"/>
        <v>0</v>
      </c>
      <c r="CM587" s="278">
        <f>'Detailed Budget'!$AD$189</f>
        <v>77498869683.252869</v>
      </c>
      <c r="CN587" s="275">
        <f t="shared" si="728"/>
        <v>43758087.696987912</v>
      </c>
      <c r="CO587" s="140">
        <f>'Detailed Budget'!$AD$191</f>
        <v>2684962805.4134097</v>
      </c>
      <c r="CP587" s="616">
        <f t="shared" si="729"/>
        <v>1516007.1157504823</v>
      </c>
      <c r="CQ587" s="616">
        <f t="shared" si="730"/>
        <v>45274094.812738396</v>
      </c>
      <c r="CR587" s="199">
        <f>'Detailed Budget'!$AD$195</f>
        <v>18734176418</v>
      </c>
      <c r="CS587" s="275">
        <f t="shared" si="713"/>
        <v>10481870.284191646</v>
      </c>
      <c r="CW587" s="278"/>
      <c r="DH587" s="140"/>
      <c r="DI587" s="616"/>
    </row>
    <row r="588" spans="1:113" outlineLevel="1">
      <c r="A588" s="214" t="s">
        <v>1263</v>
      </c>
      <c r="B588" s="215" t="s">
        <v>1264</v>
      </c>
      <c r="C588" s="216" t="s">
        <v>234</v>
      </c>
      <c r="D588" s="217"/>
      <c r="E588" s="216"/>
      <c r="F588" s="216"/>
      <c r="G588" s="216" t="s">
        <v>234</v>
      </c>
      <c r="H588" s="216" t="s">
        <v>234</v>
      </c>
      <c r="I588" s="217" t="s">
        <v>234</v>
      </c>
      <c r="J588" s="217"/>
      <c r="K588" s="216"/>
      <c r="L588" s="216"/>
      <c r="M588" s="217" t="s">
        <v>234</v>
      </c>
      <c r="N588" s="216"/>
      <c r="O588" s="217"/>
      <c r="P588" s="216"/>
      <c r="Q588" s="217"/>
      <c r="R588" s="217" t="s">
        <v>234</v>
      </c>
      <c r="S588" s="217"/>
      <c r="T588" s="217"/>
      <c r="U588" s="218">
        <f t="shared" si="715"/>
        <v>6</v>
      </c>
      <c r="V588" s="867" t="s">
        <v>235</v>
      </c>
      <c r="W588" s="219">
        <v>127691</v>
      </c>
      <c r="X588" s="220">
        <v>3.19</v>
      </c>
      <c r="Y588" s="221">
        <f t="shared" si="700"/>
        <v>1.0319</v>
      </c>
      <c r="Z588" s="199">
        <v>19</v>
      </c>
      <c r="AA588" s="221">
        <f t="shared" si="701"/>
        <v>1.8159949505681734</v>
      </c>
      <c r="AB588" s="199">
        <f t="shared" si="696"/>
        <v>231886.21123300062</v>
      </c>
      <c r="AC588">
        <v>11.8</v>
      </c>
      <c r="AD588" s="199">
        <f t="shared" si="697"/>
        <v>27362.572925494074</v>
      </c>
      <c r="AE588" s="199">
        <f t="shared" si="702"/>
        <v>25994.444279219369</v>
      </c>
      <c r="AF588" s="199">
        <f t="shared" ref="AF588:AF651" si="733">AE588*BB588</f>
        <v>0</v>
      </c>
      <c r="AG588" s="614">
        <f t="shared" si="732"/>
        <v>1.2018689857224607E-3</v>
      </c>
      <c r="AH588" s="199">
        <f t="shared" si="714"/>
        <v>11594.310561650032</v>
      </c>
      <c r="AI588" s="252">
        <f t="shared" si="716"/>
        <v>8.9819367211464035E-4</v>
      </c>
      <c r="AJ588" s="199">
        <f t="shared" si="717"/>
        <v>38956.883487144107</v>
      </c>
      <c r="AK588" s="199">
        <f t="shared" si="662"/>
        <v>9275.4484493200252</v>
      </c>
      <c r="AL588" s="199">
        <f t="shared" si="663"/>
        <v>9275.4484493200252</v>
      </c>
      <c r="AM588" s="199">
        <f t="shared" si="718"/>
        <v>18550.89689864005</v>
      </c>
      <c r="AN588" s="645">
        <f t="shared" si="719"/>
        <v>8.9819367211464035E-4</v>
      </c>
      <c r="AO588" s="199">
        <v>11</v>
      </c>
      <c r="AP588" s="250"/>
      <c r="AQ588" s="199">
        <v>11</v>
      </c>
      <c r="AU588" s="199">
        <v>0</v>
      </c>
      <c r="AW588" s="250">
        <f t="shared" si="720"/>
        <v>0</v>
      </c>
      <c r="AX588" s="199">
        <v>1</v>
      </c>
      <c r="AY588" s="199">
        <f t="shared" si="704"/>
        <v>11989.269278383819</v>
      </c>
      <c r="AZ588" s="199">
        <f t="shared" si="721"/>
        <v>11989.269278383819</v>
      </c>
      <c r="BA588" s="252">
        <f t="shared" si="722"/>
        <v>9.4243436738470699E-4</v>
      </c>
      <c r="BB588" s="284">
        <v>0</v>
      </c>
      <c r="BC588" s="199">
        <f t="shared" si="705"/>
        <v>0</v>
      </c>
      <c r="BD588" s="270">
        <f t="shared" si="669"/>
        <v>0</v>
      </c>
      <c r="BE588" s="199">
        <f t="shared" si="706"/>
        <v>0</v>
      </c>
      <c r="BF588" s="251">
        <f t="shared" si="671"/>
        <v>0</v>
      </c>
      <c r="BG588" s="204">
        <f t="shared" si="707"/>
        <v>0</v>
      </c>
      <c r="BH588" s="636">
        <v>1</v>
      </c>
      <c r="BI588" s="199">
        <f t="shared" si="723"/>
        <v>70957.180637298181</v>
      </c>
      <c r="BJ588" s="199">
        <f t="shared" si="724"/>
        <v>141914.36127459636</v>
      </c>
      <c r="BK588" s="199">
        <f t="shared" si="731"/>
        <v>212871.54191189454</v>
      </c>
      <c r="BL588" s="251">
        <f t="shared" si="725"/>
        <v>8.9819367211464013E-4</v>
      </c>
      <c r="BM588" s="199">
        <f t="shared" si="708"/>
        <v>20610.915577397162</v>
      </c>
      <c r="BN588" s="251">
        <f t="shared" si="726"/>
        <v>8.9004343345958472E-4</v>
      </c>
      <c r="BT588" s="199">
        <f>'Detailed Budget'!$AD$12</f>
        <v>194045122715</v>
      </c>
      <c r="BU588" s="199">
        <f>'Detailed Budget'!$AD$24</f>
        <v>194045122715</v>
      </c>
      <c r="BV588" s="596">
        <f t="shared" si="709"/>
        <v>0</v>
      </c>
      <c r="BW588" s="278"/>
      <c r="BX588" s="275">
        <f t="shared" si="698"/>
        <v>0</v>
      </c>
      <c r="BY588" s="275">
        <f t="shared" si="699"/>
        <v>0</v>
      </c>
      <c r="CA588" s="199">
        <f>'Detailed Budget'!$AD$96</f>
        <v>71050111380.677719</v>
      </c>
      <c r="CB588" s="275">
        <f t="shared" si="727"/>
        <v>66960066.771661974</v>
      </c>
      <c r="CE588" s="199">
        <f>'Detailed Budget'!$AD$175</f>
        <v>4330586076.5988197</v>
      </c>
      <c r="CF588" s="275">
        <f t="shared" si="710"/>
        <v>0</v>
      </c>
      <c r="CG588" s="199">
        <f>'Detailed Budget'!$AD$176</f>
        <v>20662817754.37001</v>
      </c>
      <c r="CH588" s="275">
        <f t="shared" si="711"/>
        <v>0</v>
      </c>
      <c r="CI588" s="275">
        <f t="shared" si="657"/>
        <v>0</v>
      </c>
      <c r="CJ588" s="275">
        <f>'Detailed Budget'!$AD$178</f>
        <v>46025131033.061455</v>
      </c>
      <c r="CK588" s="275">
        <f t="shared" si="712"/>
        <v>0</v>
      </c>
      <c r="CL588" s="275">
        <f t="shared" si="661"/>
        <v>0</v>
      </c>
      <c r="CM588" s="278">
        <f>'Detailed Budget'!$AD$189</f>
        <v>77498869683.252869</v>
      </c>
      <c r="CN588" s="275">
        <f t="shared" si="728"/>
        <v>69608994.345534846</v>
      </c>
      <c r="CO588" s="140">
        <f>'Detailed Budget'!$AD$191</f>
        <v>2684962805.4134097</v>
      </c>
      <c r="CP588" s="616">
        <f t="shared" si="729"/>
        <v>2411616.601685497</v>
      </c>
      <c r="CQ588" s="616">
        <f t="shared" si="730"/>
        <v>72020610.94722034</v>
      </c>
      <c r="CR588" s="199">
        <f>'Detailed Budget'!$AD$195</f>
        <v>18734176418</v>
      </c>
      <c r="CS588" s="275">
        <f t="shared" si="713"/>
        <v>16674230.702114305</v>
      </c>
      <c r="CW588" s="278"/>
      <c r="DH588" s="140"/>
      <c r="DI588" s="616"/>
    </row>
    <row r="589" spans="1:113" outlineLevel="1">
      <c r="A589" s="214" t="s">
        <v>1265</v>
      </c>
      <c r="B589" s="215" t="s">
        <v>1266</v>
      </c>
      <c r="C589" s="216" t="s">
        <v>234</v>
      </c>
      <c r="D589" s="217"/>
      <c r="E589" s="216"/>
      <c r="F589" s="216"/>
      <c r="G589" s="216" t="s">
        <v>234</v>
      </c>
      <c r="H589" s="216" t="s">
        <v>234</v>
      </c>
      <c r="I589" s="217" t="s">
        <v>234</v>
      </c>
      <c r="J589" s="217"/>
      <c r="K589" s="216"/>
      <c r="L589" s="216"/>
      <c r="M589" s="217" t="s">
        <v>234</v>
      </c>
      <c r="N589" s="216"/>
      <c r="O589" s="217"/>
      <c r="P589" s="216"/>
      <c r="Q589" s="217"/>
      <c r="R589" s="217" t="s">
        <v>234</v>
      </c>
      <c r="S589" s="217"/>
      <c r="T589" s="217"/>
      <c r="U589" s="218">
        <f t="shared" si="715"/>
        <v>6</v>
      </c>
      <c r="V589" s="867" t="s">
        <v>235</v>
      </c>
      <c r="W589" s="219">
        <v>117432</v>
      </c>
      <c r="X589" s="220">
        <v>3.19</v>
      </c>
      <c r="Y589" s="221">
        <f t="shared" si="700"/>
        <v>1.0319</v>
      </c>
      <c r="Z589" s="199">
        <v>19</v>
      </c>
      <c r="AA589" s="221">
        <f t="shared" si="701"/>
        <v>1.8159949505681734</v>
      </c>
      <c r="AB589" s="199">
        <f t="shared" si="696"/>
        <v>213255.91903512174</v>
      </c>
      <c r="AC589">
        <v>11.8</v>
      </c>
      <c r="AD589" s="199">
        <f t="shared" si="697"/>
        <v>25164.198446144368</v>
      </c>
      <c r="AE589" s="199">
        <f t="shared" si="702"/>
        <v>23905.98852383715</v>
      </c>
      <c r="AF589" s="199">
        <f t="shared" si="733"/>
        <v>0</v>
      </c>
      <c r="AG589" s="614">
        <f t="shared" si="732"/>
        <v>1.1053079600861458E-3</v>
      </c>
      <c r="AH589" s="199">
        <f t="shared" si="714"/>
        <v>10662.795951756088</v>
      </c>
      <c r="AI589" s="252">
        <f t="shared" si="716"/>
        <v>8.2603064666864892E-4</v>
      </c>
      <c r="AJ589" s="199">
        <f t="shared" si="717"/>
        <v>35826.99439790046</v>
      </c>
      <c r="AK589" s="199">
        <f t="shared" si="662"/>
        <v>8530.236761404869</v>
      </c>
      <c r="AL589" s="199">
        <f t="shared" si="663"/>
        <v>8530.236761404869</v>
      </c>
      <c r="AM589" s="199">
        <f t="shared" si="718"/>
        <v>17060.473522809738</v>
      </c>
      <c r="AN589" s="645">
        <f t="shared" si="719"/>
        <v>8.2603064666864881E-4</v>
      </c>
      <c r="AO589" s="199">
        <v>10</v>
      </c>
      <c r="AP589" s="250"/>
      <c r="AQ589" s="199">
        <v>10</v>
      </c>
      <c r="AU589" s="199">
        <v>0</v>
      </c>
      <c r="AW589" s="250">
        <f t="shared" si="720"/>
        <v>0</v>
      </c>
      <c r="AX589" s="199">
        <v>1</v>
      </c>
      <c r="AY589" s="199">
        <f t="shared" si="704"/>
        <v>11026.022741611929</v>
      </c>
      <c r="AZ589" s="199">
        <f t="shared" si="721"/>
        <v>11026.022741611929</v>
      </c>
      <c r="BA589" s="252">
        <f t="shared" si="722"/>
        <v>8.6671693878754901E-4</v>
      </c>
      <c r="BB589" s="284">
        <v>0</v>
      </c>
      <c r="BC589" s="199">
        <f t="shared" si="705"/>
        <v>0</v>
      </c>
      <c r="BD589" s="270">
        <f t="shared" si="669"/>
        <v>0</v>
      </c>
      <c r="BE589" s="199">
        <f t="shared" si="706"/>
        <v>0</v>
      </c>
      <c r="BF589" s="251">
        <f t="shared" si="671"/>
        <v>0</v>
      </c>
      <c r="BG589" s="204">
        <f t="shared" si="707"/>
        <v>0</v>
      </c>
      <c r="BH589" s="636">
        <v>1</v>
      </c>
      <c r="BI589" s="199">
        <f t="shared" si="723"/>
        <v>65256.311224747245</v>
      </c>
      <c r="BJ589" s="199">
        <f t="shared" si="724"/>
        <v>130512.62244949449</v>
      </c>
      <c r="BK589" s="199">
        <f t="shared" si="731"/>
        <v>195768.93367424174</v>
      </c>
      <c r="BL589" s="251">
        <f t="shared" si="725"/>
        <v>8.2603064666864881E-4</v>
      </c>
      <c r="BM589" s="199">
        <f t="shared" si="708"/>
        <v>18954.985379430844</v>
      </c>
      <c r="BN589" s="251">
        <f t="shared" si="726"/>
        <v>8.1853521765845648E-4</v>
      </c>
      <c r="BT589" s="199">
        <f>'Detailed Budget'!$AD$12</f>
        <v>194045122715</v>
      </c>
      <c r="BU589" s="199">
        <f>'Detailed Budget'!$AD$24</f>
        <v>194045122715</v>
      </c>
      <c r="BV589" s="596">
        <f t="shared" si="709"/>
        <v>0</v>
      </c>
      <c r="BW589" s="278"/>
      <c r="BX589" s="275">
        <f t="shared" si="698"/>
        <v>0</v>
      </c>
      <c r="BY589" s="275">
        <f t="shared" si="699"/>
        <v>0</v>
      </c>
      <c r="CA589" s="199">
        <f>'Detailed Budget'!$AD$96</f>
        <v>71050111380.677719</v>
      </c>
      <c r="CB589" s="275">
        <f t="shared" si="727"/>
        <v>61580335.036375389</v>
      </c>
      <c r="CE589" s="199">
        <f>'Detailed Budget'!$AD$175</f>
        <v>4330586076.5988197</v>
      </c>
      <c r="CF589" s="275">
        <f t="shared" si="710"/>
        <v>0</v>
      </c>
      <c r="CG589" s="199">
        <f>'Detailed Budget'!$AD$176</f>
        <v>20662817754.37001</v>
      </c>
      <c r="CH589" s="275">
        <f t="shared" si="711"/>
        <v>0</v>
      </c>
      <c r="CI589" s="275">
        <f t="shared" si="657"/>
        <v>0</v>
      </c>
      <c r="CJ589" s="275">
        <f>'Detailed Budget'!$AD$178</f>
        <v>46025131033.061455</v>
      </c>
      <c r="CK589" s="275">
        <f t="shared" si="712"/>
        <v>0</v>
      </c>
      <c r="CL589" s="275">
        <f t="shared" si="661"/>
        <v>0</v>
      </c>
      <c r="CM589" s="278">
        <f>'Detailed Budget'!$AD$189</f>
        <v>77498869683.252869</v>
      </c>
      <c r="CN589" s="275">
        <f t="shared" si="728"/>
        <v>64016441.440546706</v>
      </c>
      <c r="CO589" s="140">
        <f>'Detailed Budget'!$AD$191</f>
        <v>2684962805.4134097</v>
      </c>
      <c r="CP589" s="616">
        <f t="shared" si="729"/>
        <v>2217861.5624369085</v>
      </c>
      <c r="CQ589" s="616">
        <f t="shared" si="730"/>
        <v>66234303.002983615</v>
      </c>
      <c r="CR589" s="199">
        <f>'Detailed Budget'!$AD$195</f>
        <v>18734176418</v>
      </c>
      <c r="CS589" s="275">
        <f t="shared" si="713"/>
        <v>15334583.171959553</v>
      </c>
      <c r="CW589" s="278"/>
      <c r="DH589" s="140"/>
      <c r="DI589" s="616"/>
    </row>
    <row r="590" spans="1:113" outlineLevel="1">
      <c r="A590" s="214" t="s">
        <v>1267</v>
      </c>
      <c r="B590" s="215" t="s">
        <v>1268</v>
      </c>
      <c r="C590" s="216" t="s">
        <v>234</v>
      </c>
      <c r="D590" s="217"/>
      <c r="E590" s="216"/>
      <c r="F590" s="216"/>
      <c r="G590" s="216" t="s">
        <v>234</v>
      </c>
      <c r="H590" s="216" t="s">
        <v>234</v>
      </c>
      <c r="I590" s="217" t="s">
        <v>234</v>
      </c>
      <c r="J590" s="217"/>
      <c r="K590" s="216"/>
      <c r="L590" s="216"/>
      <c r="M590" s="217" t="s">
        <v>234</v>
      </c>
      <c r="N590" s="216"/>
      <c r="O590" s="217"/>
      <c r="P590" s="216"/>
      <c r="Q590" s="217"/>
      <c r="R590" s="217" t="s">
        <v>234</v>
      </c>
      <c r="S590" s="217"/>
      <c r="T590" s="217"/>
      <c r="U590" s="218">
        <f t="shared" si="715"/>
        <v>6</v>
      </c>
      <c r="V590" s="867" t="s">
        <v>235</v>
      </c>
      <c r="W590" s="219">
        <v>142340</v>
      </c>
      <c r="X590" s="220">
        <v>3.19</v>
      </c>
      <c r="Y590" s="221">
        <f t="shared" si="700"/>
        <v>1.0319</v>
      </c>
      <c r="Z590" s="199">
        <v>19</v>
      </c>
      <c r="AA590" s="221">
        <f t="shared" si="701"/>
        <v>1.8159949505681734</v>
      </c>
      <c r="AB590" s="199">
        <f t="shared" si="696"/>
        <v>258488.7212638738</v>
      </c>
      <c r="AC590">
        <v>11.8</v>
      </c>
      <c r="AD590" s="199">
        <f t="shared" si="697"/>
        <v>30501.66910913711</v>
      </c>
      <c r="AE590" s="199">
        <f t="shared" si="702"/>
        <v>28976.585653680253</v>
      </c>
      <c r="AF590" s="199">
        <f t="shared" si="733"/>
        <v>0</v>
      </c>
      <c r="AG590" s="614">
        <f t="shared" si="732"/>
        <v>1.3397501110315924E-3</v>
      </c>
      <c r="AH590" s="199">
        <f t="shared" si="714"/>
        <v>12924.436063193691</v>
      </c>
      <c r="AI590" s="252">
        <f t="shared" si="716"/>
        <v>1.0012364793822424E-3</v>
      </c>
      <c r="AJ590" s="199">
        <f t="shared" si="717"/>
        <v>43426.105172330805</v>
      </c>
      <c r="AK590" s="199">
        <f t="shared" si="662"/>
        <v>10339.548850554953</v>
      </c>
      <c r="AL590" s="199">
        <f t="shared" si="663"/>
        <v>10339.548850554953</v>
      </c>
      <c r="AM590" s="199">
        <f t="shared" si="718"/>
        <v>20679.097701109906</v>
      </c>
      <c r="AN590" s="645">
        <f t="shared" si="719"/>
        <v>1.0012364793822424E-3</v>
      </c>
      <c r="AO590" s="199">
        <v>11</v>
      </c>
      <c r="AP590" s="250"/>
      <c r="AQ590" s="199">
        <v>11</v>
      </c>
      <c r="AU590" s="199">
        <v>0</v>
      </c>
      <c r="AW590" s="250">
        <f t="shared" si="720"/>
        <v>0</v>
      </c>
      <c r="AX590" s="199">
        <v>1</v>
      </c>
      <c r="AY590" s="199">
        <f t="shared" si="704"/>
        <v>13364.705336203435</v>
      </c>
      <c r="AZ590" s="199">
        <f t="shared" si="721"/>
        <v>13364.705336203435</v>
      </c>
      <c r="BA590" s="252">
        <f t="shared" si="722"/>
        <v>1.0505525671624404E-3</v>
      </c>
      <c r="BB590" s="284">
        <v>0</v>
      </c>
      <c r="BC590" s="199">
        <f t="shared" si="705"/>
        <v>0</v>
      </c>
      <c r="BD590" s="270">
        <f t="shared" si="669"/>
        <v>0</v>
      </c>
      <c r="BE590" s="199">
        <f t="shared" si="706"/>
        <v>0</v>
      </c>
      <c r="BF590" s="251">
        <f t="shared" si="671"/>
        <v>0</v>
      </c>
      <c r="BG590" s="204">
        <f t="shared" si="707"/>
        <v>0</v>
      </c>
      <c r="BH590" s="636">
        <v>1</v>
      </c>
      <c r="BI590" s="199">
        <f t="shared" si="723"/>
        <v>79097.548706745394</v>
      </c>
      <c r="BJ590" s="199">
        <f t="shared" si="724"/>
        <v>158195.09741349079</v>
      </c>
      <c r="BK590" s="199">
        <f t="shared" si="731"/>
        <v>237292.6461202362</v>
      </c>
      <c r="BL590" s="251">
        <f t="shared" si="725"/>
        <v>1.0012364793822424E-3</v>
      </c>
      <c r="BM590" s="199">
        <f t="shared" si="708"/>
        <v>22975.446376696182</v>
      </c>
      <c r="BN590" s="251">
        <f t="shared" si="726"/>
        <v>9.921512269356282E-4</v>
      </c>
      <c r="BT590" s="199">
        <f>'Detailed Budget'!$AD$12</f>
        <v>194045122715</v>
      </c>
      <c r="BU590" s="199">
        <f>'Detailed Budget'!$AD$24</f>
        <v>194045122715</v>
      </c>
      <c r="BV590" s="596">
        <f t="shared" si="709"/>
        <v>0</v>
      </c>
      <c r="BW590" s="278"/>
      <c r="BX590" s="275">
        <f t="shared" si="698"/>
        <v>0</v>
      </c>
      <c r="BY590" s="275">
        <f t="shared" si="699"/>
        <v>0</v>
      </c>
      <c r="CA590" s="199">
        <f>'Detailed Budget'!$AD$96</f>
        <v>71050111380.677719</v>
      </c>
      <c r="CB590" s="275">
        <f t="shared" si="727"/>
        <v>74641876.908148304</v>
      </c>
      <c r="CE590" s="199">
        <f>'Detailed Budget'!$AD$175</f>
        <v>4330586076.5988197</v>
      </c>
      <c r="CF590" s="275">
        <f t="shared" si="710"/>
        <v>0</v>
      </c>
      <c r="CG590" s="199">
        <f>'Detailed Budget'!$AD$176</f>
        <v>20662817754.37001</v>
      </c>
      <c r="CH590" s="275">
        <f t="shared" si="711"/>
        <v>0</v>
      </c>
      <c r="CI590" s="275">
        <f t="shared" si="657"/>
        <v>0</v>
      </c>
      <c r="CJ590" s="275">
        <f>'Detailed Budget'!$AD$178</f>
        <v>46025131033.061455</v>
      </c>
      <c r="CK590" s="275">
        <f t="shared" si="712"/>
        <v>0</v>
      </c>
      <c r="CL590" s="275">
        <f t="shared" si="661"/>
        <v>0</v>
      </c>
      <c r="CM590" s="278">
        <f>'Detailed Budget'!$AD$189</f>
        <v>77498869683.252869</v>
      </c>
      <c r="CN590" s="275">
        <f t="shared" si="728"/>
        <v>77594695.437763304</v>
      </c>
      <c r="CO590" s="140">
        <f>'Detailed Budget'!$AD$191</f>
        <v>2684962805.4134097</v>
      </c>
      <c r="CP590" s="616">
        <f t="shared" si="729"/>
        <v>2688282.706564391</v>
      </c>
      <c r="CQ590" s="616">
        <f t="shared" si="730"/>
        <v>80282978.1443277</v>
      </c>
      <c r="CR590" s="199">
        <f>'Detailed Budget'!$AD$195</f>
        <v>18734176418</v>
      </c>
      <c r="CS590" s="275">
        <f t="shared" si="713"/>
        <v>18587136.118747212</v>
      </c>
      <c r="CW590" s="278"/>
      <c r="DH590" s="140"/>
      <c r="DI590" s="616"/>
    </row>
    <row r="591" spans="1:113" outlineLevel="1">
      <c r="A591" s="214" t="s">
        <v>1269</v>
      </c>
      <c r="B591" s="215" t="s">
        <v>1270</v>
      </c>
      <c r="C591" s="216" t="s">
        <v>234</v>
      </c>
      <c r="D591" s="217"/>
      <c r="E591" s="216"/>
      <c r="F591" s="216"/>
      <c r="G591" s="216" t="s">
        <v>234</v>
      </c>
      <c r="H591" s="216" t="s">
        <v>234</v>
      </c>
      <c r="I591" s="217" t="s">
        <v>234</v>
      </c>
      <c r="J591" s="217"/>
      <c r="K591" s="216"/>
      <c r="L591" s="216"/>
      <c r="M591" s="217" t="s">
        <v>234</v>
      </c>
      <c r="N591" s="216"/>
      <c r="O591" s="217"/>
      <c r="P591" s="216"/>
      <c r="Q591" s="217"/>
      <c r="R591" s="217" t="s">
        <v>234</v>
      </c>
      <c r="S591" s="217"/>
      <c r="T591" s="217"/>
      <c r="U591" s="218">
        <f t="shared" si="715"/>
        <v>6</v>
      </c>
      <c r="V591" s="867" t="s">
        <v>235</v>
      </c>
      <c r="W591" s="219">
        <v>182891</v>
      </c>
      <c r="X591" s="220">
        <v>3.19</v>
      </c>
      <c r="Y591" s="221">
        <f t="shared" si="700"/>
        <v>1.0319</v>
      </c>
      <c r="Z591" s="199">
        <v>19</v>
      </c>
      <c r="AA591" s="221">
        <f t="shared" si="701"/>
        <v>1.8159949505681734</v>
      </c>
      <c r="AB591" s="199">
        <f t="shared" si="696"/>
        <v>332129.13250436378</v>
      </c>
      <c r="AC591">
        <v>11.8</v>
      </c>
      <c r="AD591" s="199">
        <f t="shared" si="697"/>
        <v>39191.237635514924</v>
      </c>
      <c r="AE591" s="199">
        <f t="shared" si="702"/>
        <v>37231.675753739175</v>
      </c>
      <c r="AF591" s="199">
        <f t="shared" si="733"/>
        <v>0</v>
      </c>
      <c r="AG591" s="614">
        <f t="shared" si="732"/>
        <v>1.7214292367337286E-3</v>
      </c>
      <c r="AH591" s="199">
        <f t="shared" si="714"/>
        <v>16606.45662521819</v>
      </c>
      <c r="AI591" s="252">
        <f t="shared" si="716"/>
        <v>1.2864770335162124E-3</v>
      </c>
      <c r="AJ591" s="199">
        <f t="shared" si="717"/>
        <v>55797.694260733115</v>
      </c>
      <c r="AK591" s="199">
        <f t="shared" si="662"/>
        <v>13285.165300174551</v>
      </c>
      <c r="AL591" s="199">
        <f t="shared" si="663"/>
        <v>13285.165300174551</v>
      </c>
      <c r="AM591" s="199">
        <f t="shared" si="718"/>
        <v>26570.330600349102</v>
      </c>
      <c r="AN591" s="645">
        <f t="shared" si="719"/>
        <v>1.2864770335162122E-3</v>
      </c>
      <c r="AO591" s="199">
        <v>12</v>
      </c>
      <c r="AP591" s="250"/>
      <c r="AQ591" s="199">
        <v>12</v>
      </c>
      <c r="AU591" s="199">
        <v>0</v>
      </c>
      <c r="AW591" s="250">
        <f t="shared" si="720"/>
        <v>0</v>
      </c>
      <c r="AX591" s="199">
        <v>1</v>
      </c>
      <c r="AY591" s="199">
        <f t="shared" si="704"/>
        <v>17172.153461034017</v>
      </c>
      <c r="AZ591" s="199">
        <f t="shared" si="721"/>
        <v>17172.153461034017</v>
      </c>
      <c r="BA591" s="252">
        <f t="shared" si="722"/>
        <v>1.3498426974912596E-3</v>
      </c>
      <c r="BB591" s="284">
        <v>0</v>
      </c>
      <c r="BC591" s="199">
        <f t="shared" si="705"/>
        <v>0</v>
      </c>
      <c r="BD591" s="270">
        <f t="shared" si="669"/>
        <v>0</v>
      </c>
      <c r="BE591" s="199">
        <f t="shared" si="706"/>
        <v>0</v>
      </c>
      <c r="BF591" s="251">
        <f t="shared" si="671"/>
        <v>0</v>
      </c>
      <c r="BG591" s="204">
        <f t="shared" si="707"/>
        <v>0</v>
      </c>
      <c r="BH591" s="636">
        <v>1</v>
      </c>
      <c r="BI591" s="199">
        <f t="shared" si="723"/>
        <v>101631.5145463353</v>
      </c>
      <c r="BJ591" s="199">
        <f t="shared" si="724"/>
        <v>203263.02909267059</v>
      </c>
      <c r="BK591" s="199">
        <f t="shared" si="731"/>
        <v>304894.54363900586</v>
      </c>
      <c r="BL591" s="251">
        <f t="shared" si="725"/>
        <v>1.286477033516212E-3</v>
      </c>
      <c r="BM591" s="199">
        <f t="shared" si="708"/>
        <v>29520.882136295779</v>
      </c>
      <c r="BN591" s="251">
        <f t="shared" si="726"/>
        <v>1.2748034989847124E-3</v>
      </c>
      <c r="BT591" s="199">
        <f>'Detailed Budget'!$AD$12</f>
        <v>194045122715</v>
      </c>
      <c r="BU591" s="199">
        <f>'Detailed Budget'!$AD$24</f>
        <v>194045122715</v>
      </c>
      <c r="BV591" s="596">
        <f t="shared" si="709"/>
        <v>0</v>
      </c>
      <c r="BW591" s="278"/>
      <c r="BX591" s="275">
        <f t="shared" si="698"/>
        <v>0</v>
      </c>
      <c r="BY591" s="275">
        <f t="shared" si="699"/>
        <v>0</v>
      </c>
      <c r="CA591" s="199">
        <f>'Detailed Budget'!$AD$96</f>
        <v>71050111380.677719</v>
      </c>
      <c r="CB591" s="275">
        <f t="shared" si="727"/>
        <v>95906474.003148451</v>
      </c>
      <c r="CE591" s="199">
        <f>'Detailed Budget'!$AD$175</f>
        <v>4330586076.5988197</v>
      </c>
      <c r="CF591" s="275">
        <f t="shared" si="710"/>
        <v>0</v>
      </c>
      <c r="CG591" s="199">
        <f>'Detailed Budget'!$AD$176</f>
        <v>20662817754.37001</v>
      </c>
      <c r="CH591" s="275">
        <f t="shared" si="711"/>
        <v>0</v>
      </c>
      <c r="CI591" s="275">
        <f t="shared" ref="CI591:CI659" si="734">CF591+CH591</f>
        <v>0</v>
      </c>
      <c r="CJ591" s="275">
        <f>'Detailed Budget'!$AD$178</f>
        <v>46025131033.061455</v>
      </c>
      <c r="CK591" s="275">
        <f t="shared" si="712"/>
        <v>0</v>
      </c>
      <c r="CL591" s="275">
        <f t="shared" si="661"/>
        <v>0</v>
      </c>
      <c r="CM591" s="278">
        <f>'Detailed Budget'!$AD$189</f>
        <v>77498869683.252869</v>
      </c>
      <c r="CN591" s="275">
        <f t="shared" si="728"/>
        <v>99700515.970970646</v>
      </c>
      <c r="CO591" s="140">
        <f>'Detailed Budget'!$AD$191</f>
        <v>2684962805.4134097</v>
      </c>
      <c r="CP591" s="616">
        <f t="shared" si="729"/>
        <v>3454142.9850096102</v>
      </c>
      <c r="CQ591" s="616">
        <f t="shared" si="730"/>
        <v>103154658.95598026</v>
      </c>
      <c r="CR591" s="199">
        <f>'Detailed Budget'!$AD$195</f>
        <v>18734176418</v>
      </c>
      <c r="CS591" s="275">
        <f t="shared" si="713"/>
        <v>23882393.648263287</v>
      </c>
      <c r="CW591" s="278"/>
      <c r="DH591" s="140"/>
      <c r="DI591" s="616"/>
    </row>
    <row r="592" spans="1:113" outlineLevel="1">
      <c r="A592" s="214" t="s">
        <v>1271</v>
      </c>
      <c r="B592" s="215" t="s">
        <v>1272</v>
      </c>
      <c r="C592" s="216" t="s">
        <v>234</v>
      </c>
      <c r="D592" s="217"/>
      <c r="E592" s="216"/>
      <c r="F592" s="216"/>
      <c r="G592" s="216" t="s">
        <v>234</v>
      </c>
      <c r="H592" s="216" t="s">
        <v>234</v>
      </c>
      <c r="I592" s="217" t="s">
        <v>234</v>
      </c>
      <c r="J592" s="217"/>
      <c r="K592" s="216"/>
      <c r="L592" s="216"/>
      <c r="M592" s="217" t="s">
        <v>234</v>
      </c>
      <c r="N592" s="216"/>
      <c r="O592" s="217"/>
      <c r="P592" s="216"/>
      <c r="Q592" s="217"/>
      <c r="R592" s="217" t="s">
        <v>234</v>
      </c>
      <c r="S592" s="217"/>
      <c r="T592" s="217"/>
      <c r="U592" s="218">
        <f t="shared" si="715"/>
        <v>6</v>
      </c>
      <c r="V592" s="867" t="s">
        <v>235</v>
      </c>
      <c r="W592" s="219">
        <v>132701</v>
      </c>
      <c r="X592" s="220">
        <v>3.19</v>
      </c>
      <c r="Y592" s="221">
        <f t="shared" si="700"/>
        <v>1.0319</v>
      </c>
      <c r="Z592" s="199">
        <v>19</v>
      </c>
      <c r="AA592" s="221">
        <f t="shared" si="701"/>
        <v>1.8159949505681734</v>
      </c>
      <c r="AB592" s="199">
        <f t="shared" si="696"/>
        <v>240984.34593534717</v>
      </c>
      <c r="AC592">
        <v>11.8</v>
      </c>
      <c r="AD592" s="199">
        <f t="shared" si="697"/>
        <v>28436.152820370964</v>
      </c>
      <c r="AE592" s="199">
        <f t="shared" si="702"/>
        <v>27014.345179352415</v>
      </c>
      <c r="AF592" s="199">
        <f t="shared" si="733"/>
        <v>0</v>
      </c>
      <c r="AG592" s="614">
        <f t="shared" si="732"/>
        <v>1.2490247258957659E-3</v>
      </c>
      <c r="AH592" s="199">
        <f t="shared" si="714"/>
        <v>12049.21729676736</v>
      </c>
      <c r="AI592" s="252">
        <f t="shared" si="716"/>
        <v>9.3343460763315258E-4</v>
      </c>
      <c r="AJ592" s="199">
        <f t="shared" si="717"/>
        <v>40485.370117138322</v>
      </c>
      <c r="AK592" s="199">
        <f t="shared" si="662"/>
        <v>9639.3738374138866</v>
      </c>
      <c r="AL592" s="199">
        <f t="shared" si="663"/>
        <v>9639.3738374138866</v>
      </c>
      <c r="AM592" s="199">
        <f t="shared" si="718"/>
        <v>19278.747674827773</v>
      </c>
      <c r="AN592" s="645">
        <f t="shared" si="719"/>
        <v>9.3343460763315247E-4</v>
      </c>
      <c r="AO592" s="199">
        <v>11</v>
      </c>
      <c r="AP592" s="250"/>
      <c r="AQ592" s="199">
        <v>11</v>
      </c>
      <c r="AU592" s="199">
        <v>0</v>
      </c>
      <c r="AW592" s="250">
        <f t="shared" si="720"/>
        <v>0</v>
      </c>
      <c r="AX592" s="199">
        <v>1</v>
      </c>
      <c r="AY592" s="199">
        <f t="shared" si="704"/>
        <v>12459.672353656959</v>
      </c>
      <c r="AZ592" s="199">
        <f t="shared" si="721"/>
        <v>12459.672353656959</v>
      </c>
      <c r="BA592" s="252">
        <f t="shared" si="722"/>
        <v>9.7941110169329063E-4</v>
      </c>
      <c r="BB592" s="284">
        <v>0</v>
      </c>
      <c r="BC592" s="199">
        <f t="shared" si="705"/>
        <v>0</v>
      </c>
      <c r="BD592" s="270">
        <f t="shared" si="669"/>
        <v>0</v>
      </c>
      <c r="BE592" s="199">
        <f t="shared" si="706"/>
        <v>0</v>
      </c>
      <c r="BF592" s="251">
        <f t="shared" si="671"/>
        <v>0</v>
      </c>
      <c r="BG592" s="204">
        <f t="shared" si="707"/>
        <v>0</v>
      </c>
      <c r="BH592" s="636">
        <v>1</v>
      </c>
      <c r="BI592" s="199">
        <f t="shared" si="723"/>
        <v>73741.209856216228</v>
      </c>
      <c r="BJ592" s="199">
        <f t="shared" si="724"/>
        <v>147482.41971243246</v>
      </c>
      <c r="BK592" s="199">
        <f t="shared" si="731"/>
        <v>221223.6295686487</v>
      </c>
      <c r="BL592" s="251">
        <f t="shared" si="725"/>
        <v>9.3343460763315247E-4</v>
      </c>
      <c r="BM592" s="199">
        <f t="shared" si="708"/>
        <v>21419.591890079806</v>
      </c>
      <c r="BN592" s="251">
        <f t="shared" si="726"/>
        <v>9.2496459158061524E-4</v>
      </c>
      <c r="BT592" s="199">
        <f>'Detailed Budget'!$AD$12</f>
        <v>194045122715</v>
      </c>
      <c r="BU592" s="199">
        <f>'Detailed Budget'!$AD$24</f>
        <v>194045122715</v>
      </c>
      <c r="BV592" s="596">
        <f t="shared" si="709"/>
        <v>0</v>
      </c>
      <c r="BW592" s="278"/>
      <c r="BX592" s="275">
        <f t="shared" si="698"/>
        <v>0</v>
      </c>
      <c r="BY592" s="275">
        <f t="shared" si="699"/>
        <v>0</v>
      </c>
      <c r="CA592" s="199">
        <f>'Detailed Budget'!$AD$96</f>
        <v>71050111380.677719</v>
      </c>
      <c r="CB592" s="275">
        <f t="shared" si="727"/>
        <v>69587267.862780571</v>
      </c>
      <c r="CE592" s="199">
        <f>'Detailed Budget'!$AD$175</f>
        <v>4330586076.5988197</v>
      </c>
      <c r="CF592" s="275">
        <f t="shared" si="710"/>
        <v>0</v>
      </c>
      <c r="CG592" s="199">
        <f>'Detailed Budget'!$AD$176</f>
        <v>20662817754.37001</v>
      </c>
      <c r="CH592" s="275">
        <f t="shared" si="711"/>
        <v>0</v>
      </c>
      <c r="CI592" s="275">
        <f t="shared" si="734"/>
        <v>0</v>
      </c>
      <c r="CJ592" s="275">
        <f>'Detailed Budget'!$AD$178</f>
        <v>46025131033.061455</v>
      </c>
      <c r="CK592" s="275">
        <f t="shared" si="712"/>
        <v>0</v>
      </c>
      <c r="CL592" s="275">
        <f t="shared" si="661"/>
        <v>0</v>
      </c>
      <c r="CM592" s="278">
        <f>'Detailed Budget'!$AD$189</f>
        <v>77498869683.252869</v>
      </c>
      <c r="CN592" s="275">
        <f t="shared" si="728"/>
        <v>72340127.014799953</v>
      </c>
      <c r="CO592" s="140">
        <f>'Detailed Budget'!$AD$191</f>
        <v>2684962805.4134097</v>
      </c>
      <c r="CP592" s="616">
        <f t="shared" si="729"/>
        <v>2506237.2027806742</v>
      </c>
      <c r="CQ592" s="616">
        <f t="shared" si="730"/>
        <v>74846364.217580631</v>
      </c>
      <c r="CR592" s="199">
        <f>'Detailed Budget'!$AD$195</f>
        <v>18734176418</v>
      </c>
      <c r="CS592" s="275">
        <f t="shared" si="713"/>
        <v>17328449.839074563</v>
      </c>
      <c r="CW592" s="278"/>
      <c r="DH592" s="140"/>
      <c r="DI592" s="616"/>
    </row>
    <row r="593" spans="1:113" outlineLevel="1">
      <c r="A593" s="214" t="s">
        <v>1273</v>
      </c>
      <c r="B593" s="215" t="s">
        <v>1274</v>
      </c>
      <c r="C593" s="216" t="s">
        <v>234</v>
      </c>
      <c r="D593" s="217"/>
      <c r="E593" s="216"/>
      <c r="F593" s="216"/>
      <c r="G593" s="216" t="s">
        <v>234</v>
      </c>
      <c r="H593" s="216" t="s">
        <v>234</v>
      </c>
      <c r="I593" s="217" t="s">
        <v>234</v>
      </c>
      <c r="J593" s="217"/>
      <c r="K593" s="216"/>
      <c r="L593" s="216"/>
      <c r="M593" s="217" t="s">
        <v>234</v>
      </c>
      <c r="N593" s="216"/>
      <c r="O593" s="217"/>
      <c r="P593" s="216"/>
      <c r="Q593" s="217"/>
      <c r="R593" s="217" t="s">
        <v>234</v>
      </c>
      <c r="S593" s="217"/>
      <c r="T593" s="217"/>
      <c r="U593" s="218">
        <f t="shared" si="715"/>
        <v>6</v>
      </c>
      <c r="V593" s="867" t="s">
        <v>235</v>
      </c>
      <c r="W593" s="219">
        <v>142792</v>
      </c>
      <c r="X593" s="220">
        <v>3.19</v>
      </c>
      <c r="Y593" s="221">
        <f t="shared" si="700"/>
        <v>1.0319</v>
      </c>
      <c r="Z593" s="199">
        <v>19</v>
      </c>
      <c r="AA593" s="221">
        <f t="shared" si="701"/>
        <v>1.8159949505681734</v>
      </c>
      <c r="AB593" s="199">
        <f t="shared" si="696"/>
        <v>259309.55098153063</v>
      </c>
      <c r="AC593">
        <v>11.8</v>
      </c>
      <c r="AD593" s="199">
        <f t="shared" si="697"/>
        <v>30598.527015820615</v>
      </c>
      <c r="AE593" s="199">
        <f t="shared" si="702"/>
        <v>29068.600665029582</v>
      </c>
      <c r="AF593" s="199">
        <f t="shared" si="733"/>
        <v>0</v>
      </c>
      <c r="AG593" s="614">
        <f t="shared" si="732"/>
        <v>1.3440044812029167E-3</v>
      </c>
      <c r="AH593" s="199">
        <f t="shared" si="714"/>
        <v>12965.477549076531</v>
      </c>
      <c r="AI593" s="252">
        <f t="shared" si="716"/>
        <v>1.0044159011096611E-3</v>
      </c>
      <c r="AJ593" s="199">
        <f t="shared" si="717"/>
        <v>43564.004564897143</v>
      </c>
      <c r="AK593" s="199">
        <f t="shared" ref="AK593:AK656" si="735">AB593*0.04</f>
        <v>10372.382039261225</v>
      </c>
      <c r="AL593" s="199">
        <f t="shared" ref="AL593:AL656" si="736">AB593*0.04</f>
        <v>10372.382039261225</v>
      </c>
      <c r="AM593" s="199">
        <f t="shared" si="718"/>
        <v>20744.76407852245</v>
      </c>
      <c r="AN593" s="645">
        <f t="shared" si="719"/>
        <v>1.0044159011096611E-3</v>
      </c>
      <c r="AO593" s="199">
        <v>13</v>
      </c>
      <c r="AP593" s="250"/>
      <c r="AQ593" s="199">
        <v>13</v>
      </c>
      <c r="AU593" s="199">
        <v>0</v>
      </c>
      <c r="AW593" s="250">
        <f t="shared" si="720"/>
        <v>0</v>
      </c>
      <c r="AX593" s="199">
        <v>1</v>
      </c>
      <c r="AY593" s="199">
        <f t="shared" si="704"/>
        <v>13407.144895090352</v>
      </c>
      <c r="AZ593" s="199">
        <f t="shared" si="721"/>
        <v>13407.144895090352</v>
      </c>
      <c r="BA593" s="252">
        <f t="shared" si="722"/>
        <v>1.0538885918944725E-3</v>
      </c>
      <c r="BB593" s="284">
        <v>0</v>
      </c>
      <c r="BC593" s="199">
        <f t="shared" si="705"/>
        <v>0</v>
      </c>
      <c r="BD593" s="270">
        <f t="shared" si="669"/>
        <v>0</v>
      </c>
      <c r="BE593" s="199">
        <f t="shared" si="706"/>
        <v>0</v>
      </c>
      <c r="BF593" s="251">
        <f t="shared" si="671"/>
        <v>0</v>
      </c>
      <c r="BG593" s="204">
        <f t="shared" si="707"/>
        <v>0</v>
      </c>
      <c r="BH593" s="636">
        <v>1</v>
      </c>
      <c r="BI593" s="199">
        <f t="shared" si="723"/>
        <v>79348.722600348381</v>
      </c>
      <c r="BJ593" s="199">
        <f t="shared" si="724"/>
        <v>158697.44520069676</v>
      </c>
      <c r="BK593" s="199">
        <f t="shared" si="731"/>
        <v>238046.16780104514</v>
      </c>
      <c r="BL593" s="251">
        <f t="shared" si="725"/>
        <v>1.0044159011096611E-3</v>
      </c>
      <c r="BM593" s="199">
        <f t="shared" si="708"/>
        <v>23048.404798519048</v>
      </c>
      <c r="BN593" s="251">
        <f t="shared" si="726"/>
        <v>9.9530179848666728E-4</v>
      </c>
      <c r="BT593" s="199">
        <f>'Detailed Budget'!$AD$12</f>
        <v>194045122715</v>
      </c>
      <c r="BU593" s="199">
        <f>'Detailed Budget'!$AD$24</f>
        <v>194045122715</v>
      </c>
      <c r="BV593" s="596">
        <f t="shared" si="709"/>
        <v>0</v>
      </c>
      <c r="BW593" s="278"/>
      <c r="BX593" s="275">
        <f t="shared" si="698"/>
        <v>0</v>
      </c>
      <c r="BY593" s="275">
        <f t="shared" si="699"/>
        <v>0</v>
      </c>
      <c r="CA593" s="199">
        <f>'Detailed Budget'!$AD$96</f>
        <v>71050111380.677719</v>
      </c>
      <c r="CB593" s="275">
        <f t="shared" si="727"/>
        <v>74878901.836927876</v>
      </c>
      <c r="CE593" s="199">
        <f>'Detailed Budget'!$AD$175</f>
        <v>4330586076.5988197</v>
      </c>
      <c r="CF593" s="275">
        <f t="shared" si="710"/>
        <v>0</v>
      </c>
      <c r="CG593" s="199">
        <f>'Detailed Budget'!$AD$176</f>
        <v>20662817754.37001</v>
      </c>
      <c r="CH593" s="275">
        <f t="shared" si="711"/>
        <v>0</v>
      </c>
      <c r="CI593" s="275">
        <f t="shared" si="734"/>
        <v>0</v>
      </c>
      <c r="CJ593" s="275">
        <f>'Detailed Budget'!$AD$178</f>
        <v>46025131033.061455</v>
      </c>
      <c r="CK593" s="275">
        <f t="shared" si="712"/>
        <v>0</v>
      </c>
      <c r="CL593" s="275">
        <f t="shared" si="661"/>
        <v>0</v>
      </c>
      <c r="CM593" s="278">
        <f>'Detailed Budget'!$AD$189</f>
        <v>77498869683.252869</v>
      </c>
      <c r="CN593" s="275">
        <f t="shared" si="728"/>
        <v>77841097.027884632</v>
      </c>
      <c r="CO593" s="140">
        <f>'Detailed Budget'!$AD$191</f>
        <v>2684962805.4134097</v>
      </c>
      <c r="CP593" s="616">
        <f t="shared" si="729"/>
        <v>2696819.3356452337</v>
      </c>
      <c r="CQ593" s="616">
        <f t="shared" si="730"/>
        <v>80537916.363529861</v>
      </c>
      <c r="CR593" s="199">
        <f>'Detailed Budget'!$AD$195</f>
        <v>18734176418</v>
      </c>
      <c r="CS593" s="275">
        <f t="shared" si="713"/>
        <v>18646159.482001912</v>
      </c>
      <c r="CW593" s="278"/>
      <c r="DH593" s="140"/>
      <c r="DI593" s="616"/>
    </row>
    <row r="594" spans="1:113" outlineLevel="1">
      <c r="A594" s="214" t="s">
        <v>1275</v>
      </c>
      <c r="B594" s="215" t="s">
        <v>1276</v>
      </c>
      <c r="C594" s="216" t="s">
        <v>234</v>
      </c>
      <c r="D594" s="217"/>
      <c r="E594" s="216"/>
      <c r="F594" s="216"/>
      <c r="G594" s="216" t="s">
        <v>234</v>
      </c>
      <c r="H594" s="216" t="s">
        <v>234</v>
      </c>
      <c r="I594" s="217" t="s">
        <v>234</v>
      </c>
      <c r="J594" s="217"/>
      <c r="K594" s="216"/>
      <c r="L594" s="216"/>
      <c r="M594" s="217" t="s">
        <v>234</v>
      </c>
      <c r="N594" s="216"/>
      <c r="O594" s="217"/>
      <c r="P594" s="216"/>
      <c r="Q594" s="217"/>
      <c r="R594" s="217" t="s">
        <v>234</v>
      </c>
      <c r="S594" s="217"/>
      <c r="T594" s="217"/>
      <c r="U594" s="218">
        <f t="shared" si="715"/>
        <v>6</v>
      </c>
      <c r="V594" s="867" t="s">
        <v>235</v>
      </c>
      <c r="W594" s="219">
        <v>120224</v>
      </c>
      <c r="X594" s="220">
        <v>3.19</v>
      </c>
      <c r="Y594" s="221">
        <f t="shared" si="700"/>
        <v>1.0319</v>
      </c>
      <c r="Z594" s="199">
        <v>19</v>
      </c>
      <c r="AA594" s="221">
        <f t="shared" si="701"/>
        <v>1.8159949505681734</v>
      </c>
      <c r="AB594" s="199">
        <f t="shared" si="696"/>
        <v>218326.17693710807</v>
      </c>
      <c r="AC594">
        <v>11.8</v>
      </c>
      <c r="AD594" s="199">
        <f t="shared" si="697"/>
        <v>25762.488878578752</v>
      </c>
      <c r="AE594" s="199">
        <f t="shared" si="702"/>
        <v>24474.364434649811</v>
      </c>
      <c r="AF594" s="199">
        <f t="shared" si="733"/>
        <v>0</v>
      </c>
      <c r="AG594" s="614">
        <f t="shared" si="732"/>
        <v>1.1315871669851211E-3</v>
      </c>
      <c r="AH594" s="199">
        <f t="shared" si="714"/>
        <v>10916.308846855405</v>
      </c>
      <c r="AI594" s="252">
        <f t="shared" si="716"/>
        <v>8.4566990654243862E-4</v>
      </c>
      <c r="AJ594" s="199">
        <f t="shared" si="717"/>
        <v>36678.797725434153</v>
      </c>
      <c r="AK594" s="199">
        <f t="shared" si="735"/>
        <v>8733.0470774843234</v>
      </c>
      <c r="AL594" s="199">
        <f t="shared" si="736"/>
        <v>8733.0470774843234</v>
      </c>
      <c r="AM594" s="199">
        <f t="shared" si="718"/>
        <v>17466.094154968647</v>
      </c>
      <c r="AN594" s="645">
        <f t="shared" si="719"/>
        <v>8.4566990654243851E-4</v>
      </c>
      <c r="AO594" s="199">
        <v>11</v>
      </c>
      <c r="AP594" s="250"/>
      <c r="AQ594" s="199">
        <v>11</v>
      </c>
      <c r="AU594" s="199">
        <v>0</v>
      </c>
      <c r="AW594" s="250">
        <f t="shared" si="720"/>
        <v>0</v>
      </c>
      <c r="AX594" s="199">
        <v>1</v>
      </c>
      <c r="AY594" s="199">
        <f t="shared" si="704"/>
        <v>11288.171521285101</v>
      </c>
      <c r="AZ594" s="199">
        <f t="shared" si="721"/>
        <v>11288.171521285101</v>
      </c>
      <c r="BA594" s="252">
        <f t="shared" si="722"/>
        <v>8.8732353403496705E-4</v>
      </c>
      <c r="BB594" s="284">
        <v>0</v>
      </c>
      <c r="BC594" s="199">
        <f t="shared" si="705"/>
        <v>0</v>
      </c>
      <c r="BD594" s="270">
        <f t="shared" si="669"/>
        <v>0</v>
      </c>
      <c r="BE594" s="199">
        <f t="shared" si="706"/>
        <v>0</v>
      </c>
      <c r="BF594" s="251">
        <f t="shared" si="671"/>
        <v>0</v>
      </c>
      <c r="BG594" s="204">
        <f t="shared" si="707"/>
        <v>0</v>
      </c>
      <c r="BH594" s="636">
        <v>1</v>
      </c>
      <c r="BI594" s="199">
        <f t="shared" si="723"/>
        <v>66807.810142755072</v>
      </c>
      <c r="BJ594" s="199">
        <f t="shared" si="724"/>
        <v>133615.62028551014</v>
      </c>
      <c r="BK594" s="199">
        <f t="shared" si="731"/>
        <v>200423.43042826522</v>
      </c>
      <c r="BL594" s="251">
        <f t="shared" si="725"/>
        <v>8.4566990654243851E-4</v>
      </c>
      <c r="BM594" s="199">
        <f t="shared" si="708"/>
        <v>19405.648905380931</v>
      </c>
      <c r="BN594" s="251">
        <f t="shared" si="726"/>
        <v>8.3799627024806062E-4</v>
      </c>
      <c r="BT594" s="199">
        <f>'Detailed Budget'!$AD$12</f>
        <v>194045122715</v>
      </c>
      <c r="BU594" s="199">
        <f>'Detailed Budget'!$AD$24</f>
        <v>194045122715</v>
      </c>
      <c r="BV594" s="596">
        <f t="shared" si="709"/>
        <v>0</v>
      </c>
      <c r="BW594" s="278"/>
      <c r="BX594" s="275">
        <f t="shared" si="698"/>
        <v>0</v>
      </c>
      <c r="BY594" s="275">
        <f t="shared" si="699"/>
        <v>0</v>
      </c>
      <c r="CA594" s="199">
        <f>'Detailed Budget'!$AD$96</f>
        <v>71050111380.677719</v>
      </c>
      <c r="CB594" s="275">
        <f t="shared" si="727"/>
        <v>63044435.923880987</v>
      </c>
      <c r="CE594" s="199">
        <f>'Detailed Budget'!$AD$175</f>
        <v>4330586076.5988197</v>
      </c>
      <c r="CF594" s="275">
        <f t="shared" si="710"/>
        <v>0</v>
      </c>
      <c r="CG594" s="199">
        <f>'Detailed Budget'!$AD$176</f>
        <v>20662817754.37001</v>
      </c>
      <c r="CH594" s="275">
        <f t="shared" si="711"/>
        <v>0</v>
      </c>
      <c r="CI594" s="275">
        <f t="shared" si="734"/>
        <v>0</v>
      </c>
      <c r="CJ594" s="275">
        <f>'Detailed Budget'!$AD$178</f>
        <v>46025131033.061455</v>
      </c>
      <c r="CK594" s="275">
        <f t="shared" si="712"/>
        <v>0</v>
      </c>
      <c r="CL594" s="275">
        <f t="shared" si="661"/>
        <v>0</v>
      </c>
      <c r="CM594" s="278">
        <f>'Detailed Budget'!$AD$189</f>
        <v>77498869683.252869</v>
      </c>
      <c r="CN594" s="275">
        <f t="shared" si="728"/>
        <v>65538461.882181078</v>
      </c>
      <c r="CO594" s="140">
        <f>'Detailed Budget'!$AD$191</f>
        <v>2684962805.4134097</v>
      </c>
      <c r="CP594" s="616">
        <f t="shared" si="729"/>
        <v>2270592.2447238816</v>
      </c>
      <c r="CQ594" s="616">
        <f t="shared" si="730"/>
        <v>67809054.126904964</v>
      </c>
      <c r="CR594" s="199">
        <f>'Detailed Budget'!$AD$195</f>
        <v>18734176418</v>
      </c>
      <c r="CS594" s="275">
        <f t="shared" si="713"/>
        <v>15699169.964453172</v>
      </c>
      <c r="CW594" s="278"/>
      <c r="DH594" s="140"/>
      <c r="DI594" s="616"/>
    </row>
    <row r="595" spans="1:113" outlineLevel="1">
      <c r="A595" s="214" t="s">
        <v>1277</v>
      </c>
      <c r="B595" s="215" t="s">
        <v>1278</v>
      </c>
      <c r="C595" s="216" t="s">
        <v>234</v>
      </c>
      <c r="D595" s="217"/>
      <c r="E595" s="216"/>
      <c r="F595" s="216"/>
      <c r="G595" s="216" t="s">
        <v>234</v>
      </c>
      <c r="H595" s="216" t="s">
        <v>234</v>
      </c>
      <c r="I595" s="217" t="s">
        <v>234</v>
      </c>
      <c r="J595" s="217"/>
      <c r="K595" s="216"/>
      <c r="L595" s="216"/>
      <c r="M595" s="217" t="s">
        <v>234</v>
      </c>
      <c r="N595" s="216"/>
      <c r="O595" s="217"/>
      <c r="P595" s="216"/>
      <c r="Q595" s="217"/>
      <c r="R595" s="217" t="s">
        <v>234</v>
      </c>
      <c r="S595" s="217"/>
      <c r="T595" s="217"/>
      <c r="U595" s="218">
        <f t="shared" si="715"/>
        <v>6</v>
      </c>
      <c r="V595" s="867" t="s">
        <v>235</v>
      </c>
      <c r="W595" s="219">
        <v>111743</v>
      </c>
      <c r="X595" s="220">
        <v>3.19</v>
      </c>
      <c r="Y595" s="221">
        <f t="shared" si="700"/>
        <v>1.0319</v>
      </c>
      <c r="Z595" s="199">
        <v>19</v>
      </c>
      <c r="AA595" s="221">
        <f t="shared" si="701"/>
        <v>1.8159949505681734</v>
      </c>
      <c r="AB595" s="199">
        <f t="shared" si="696"/>
        <v>202924.72376133941</v>
      </c>
      <c r="AC595">
        <v>11.8</v>
      </c>
      <c r="AD595" s="199">
        <f t="shared" si="697"/>
        <v>23945.117403838052</v>
      </c>
      <c r="AE595" s="199">
        <f t="shared" si="702"/>
        <v>22747.861533646148</v>
      </c>
      <c r="AF595" s="199">
        <f t="shared" si="733"/>
        <v>0</v>
      </c>
      <c r="AG595" s="614">
        <f t="shared" si="732"/>
        <v>1.0517612523324661E-3</v>
      </c>
      <c r="AH595" s="199">
        <f t="shared" si="714"/>
        <v>10146.23618806697</v>
      </c>
      <c r="AI595" s="252">
        <f t="shared" si="716"/>
        <v>7.8601354444014261E-4</v>
      </c>
      <c r="AJ595" s="199">
        <f t="shared" si="717"/>
        <v>34091.353591905019</v>
      </c>
      <c r="AK595" s="199">
        <f t="shared" si="735"/>
        <v>8116.9889504535768</v>
      </c>
      <c r="AL595" s="199">
        <f t="shared" si="736"/>
        <v>8116.9889504535768</v>
      </c>
      <c r="AM595" s="199">
        <f t="shared" si="718"/>
        <v>16233.977900907154</v>
      </c>
      <c r="AN595" s="645">
        <f t="shared" si="719"/>
        <v>7.8601354444014272E-4</v>
      </c>
      <c r="AO595" s="199">
        <v>10</v>
      </c>
      <c r="AP595" s="250"/>
      <c r="AQ595" s="199">
        <v>10</v>
      </c>
      <c r="AU595" s="199">
        <v>0</v>
      </c>
      <c r="AW595" s="250">
        <f t="shared" si="720"/>
        <v>0</v>
      </c>
      <c r="AX595" s="199">
        <v>1</v>
      </c>
      <c r="AY595" s="199">
        <f t="shared" si="704"/>
        <v>10491.86643517901</v>
      </c>
      <c r="AZ595" s="199">
        <f t="shared" si="721"/>
        <v>10491.86643517901</v>
      </c>
      <c r="BA595" s="252">
        <f t="shared" si="722"/>
        <v>8.2472878679522678E-4</v>
      </c>
      <c r="BB595" s="284">
        <v>0</v>
      </c>
      <c r="BC595" s="199">
        <f t="shared" si="705"/>
        <v>0</v>
      </c>
      <c r="BD595" s="270">
        <f t="shared" si="669"/>
        <v>0</v>
      </c>
      <c r="BE595" s="199">
        <f t="shared" si="706"/>
        <v>0</v>
      </c>
      <c r="BF595" s="251">
        <f t="shared" si="671"/>
        <v>0</v>
      </c>
      <c r="BG595" s="204">
        <f t="shared" si="707"/>
        <v>0</v>
      </c>
      <c r="BH595" s="636">
        <v>1</v>
      </c>
      <c r="BI595" s="199">
        <f t="shared" si="723"/>
        <v>62094.965470969866</v>
      </c>
      <c r="BJ595" s="199">
        <f t="shared" si="724"/>
        <v>124189.93094193973</v>
      </c>
      <c r="BK595" s="199">
        <f t="shared" si="731"/>
        <v>186284.89641290961</v>
      </c>
      <c r="BL595" s="251">
        <f t="shared" si="725"/>
        <v>7.8601354444014283E-4</v>
      </c>
      <c r="BM595" s="199">
        <f t="shared" si="708"/>
        <v>18036.710021576237</v>
      </c>
      <c r="BN595" s="251">
        <f t="shared" si="726"/>
        <v>7.7888123191982507E-4</v>
      </c>
      <c r="BT595" s="199">
        <f>'Detailed Budget'!$AD$12</f>
        <v>194045122715</v>
      </c>
      <c r="BU595" s="199">
        <f>'Detailed Budget'!$AD$24</f>
        <v>194045122715</v>
      </c>
      <c r="BV595" s="596">
        <f t="shared" si="709"/>
        <v>0</v>
      </c>
      <c r="BW595" s="278"/>
      <c r="BX595" s="275">
        <f t="shared" si="698"/>
        <v>0</v>
      </c>
      <c r="BY595" s="275">
        <f t="shared" si="699"/>
        <v>0</v>
      </c>
      <c r="CA595" s="199">
        <f>'Detailed Budget'!$AD$96</f>
        <v>71050111380.677719</v>
      </c>
      <c r="CB595" s="275">
        <f t="shared" si="727"/>
        <v>58597072.160652071</v>
      </c>
      <c r="CE595" s="199">
        <f>'Detailed Budget'!$AD$175</f>
        <v>4330586076.5988197</v>
      </c>
      <c r="CF595" s="275">
        <f t="shared" si="710"/>
        <v>0</v>
      </c>
      <c r="CG595" s="199">
        <f>'Detailed Budget'!$AD$176</f>
        <v>20662817754.37001</v>
      </c>
      <c r="CH595" s="275">
        <f t="shared" si="711"/>
        <v>0</v>
      </c>
      <c r="CI595" s="275">
        <f t="shared" si="734"/>
        <v>0</v>
      </c>
      <c r="CJ595" s="275">
        <f>'Detailed Budget'!$AD$178</f>
        <v>46025131033.061455</v>
      </c>
      <c r="CK595" s="275">
        <f t="shared" si="712"/>
        <v>0</v>
      </c>
      <c r="CL595" s="275">
        <f t="shared" ref="CL595:CL660" si="737">CI595+CK595</f>
        <v>0</v>
      </c>
      <c r="CM595" s="278">
        <f>'Detailed Budget'!$AD$189</f>
        <v>77498869683.252869</v>
      </c>
      <c r="CN595" s="275">
        <f t="shared" si="728"/>
        <v>60915161.249838315</v>
      </c>
      <c r="CO595" s="140">
        <f>'Detailed Budget'!$AD$191</f>
        <v>2684962805.4134097</v>
      </c>
      <c r="CP595" s="616">
        <f t="shared" si="729"/>
        <v>2110417.1313729435</v>
      </c>
      <c r="CQ595" s="616">
        <f t="shared" si="730"/>
        <v>63025578.381211258</v>
      </c>
      <c r="CR595" s="199">
        <f>'Detailed Budget'!$AD$195</f>
        <v>18734176418</v>
      </c>
      <c r="CS595" s="275">
        <f t="shared" si="713"/>
        <v>14591698.407455176</v>
      </c>
      <c r="CW595" s="278"/>
      <c r="DH595" s="140"/>
      <c r="DI595" s="616"/>
    </row>
    <row r="596" spans="1:113" outlineLevel="1">
      <c r="A596" s="214" t="s">
        <v>1279</v>
      </c>
      <c r="B596" s="215" t="s">
        <v>1280</v>
      </c>
      <c r="C596" s="216" t="s">
        <v>234</v>
      </c>
      <c r="D596" s="217"/>
      <c r="E596" s="216"/>
      <c r="F596" s="216"/>
      <c r="G596" s="216" t="s">
        <v>234</v>
      </c>
      <c r="H596" s="216" t="s">
        <v>234</v>
      </c>
      <c r="I596" s="217" t="s">
        <v>234</v>
      </c>
      <c r="J596" s="217"/>
      <c r="K596" s="216"/>
      <c r="L596" s="216"/>
      <c r="M596" s="217" t="s">
        <v>234</v>
      </c>
      <c r="N596" s="216"/>
      <c r="O596" s="217"/>
      <c r="P596" s="216"/>
      <c r="Q596" s="217"/>
      <c r="R596" s="217" t="s">
        <v>234</v>
      </c>
      <c r="S596" s="217"/>
      <c r="T596" s="217"/>
      <c r="U596" s="218">
        <f t="shared" si="715"/>
        <v>6</v>
      </c>
      <c r="V596" s="867" t="s">
        <v>235</v>
      </c>
      <c r="W596" s="219">
        <v>115704</v>
      </c>
      <c r="X596" s="220">
        <v>3.19</v>
      </c>
      <c r="Y596" s="221">
        <f t="shared" si="700"/>
        <v>1.0319</v>
      </c>
      <c r="Z596" s="199">
        <v>19</v>
      </c>
      <c r="AA596" s="221">
        <f t="shared" si="701"/>
        <v>1.8159949505681734</v>
      </c>
      <c r="AB596" s="199">
        <f t="shared" si="696"/>
        <v>210117.87976053994</v>
      </c>
      <c r="AC596">
        <v>11.8</v>
      </c>
      <c r="AD596" s="199">
        <f t="shared" si="697"/>
        <v>24793.909811743717</v>
      </c>
      <c r="AE596" s="199">
        <f t="shared" si="702"/>
        <v>23554.214321156531</v>
      </c>
      <c r="AF596" s="199">
        <f t="shared" si="733"/>
        <v>0</v>
      </c>
      <c r="AG596" s="614">
        <f t="shared" si="732"/>
        <v>1.0890434652718801E-3</v>
      </c>
      <c r="AH596" s="199">
        <f t="shared" si="714"/>
        <v>10505.893988026997</v>
      </c>
      <c r="AI596" s="252">
        <f t="shared" si="716"/>
        <v>8.1387568926825189E-4</v>
      </c>
      <c r="AJ596" s="199">
        <f t="shared" si="717"/>
        <v>35299.803799770714</v>
      </c>
      <c r="AK596" s="199">
        <f t="shared" si="735"/>
        <v>8404.7151904215971</v>
      </c>
      <c r="AL596" s="199">
        <f t="shared" si="736"/>
        <v>8404.7151904215971</v>
      </c>
      <c r="AM596" s="199">
        <f t="shared" si="718"/>
        <v>16809.430380843194</v>
      </c>
      <c r="AN596" s="645">
        <f t="shared" si="719"/>
        <v>8.1387568926825178E-4</v>
      </c>
      <c r="AO596" s="199">
        <v>10</v>
      </c>
      <c r="AP596" s="250"/>
      <c r="AQ596" s="199">
        <v>10</v>
      </c>
      <c r="AU596" s="199">
        <v>0</v>
      </c>
      <c r="AW596" s="250">
        <f t="shared" si="720"/>
        <v>0</v>
      </c>
      <c r="AX596" s="199">
        <v>1</v>
      </c>
      <c r="AY596" s="199">
        <f t="shared" si="704"/>
        <v>10863.775932415923</v>
      </c>
      <c r="AZ596" s="199">
        <f t="shared" si="721"/>
        <v>10863.775932415923</v>
      </c>
      <c r="BA596" s="252">
        <f t="shared" si="722"/>
        <v>8.5396328671464834E-4</v>
      </c>
      <c r="BB596" s="284">
        <v>0</v>
      </c>
      <c r="BC596" s="199">
        <f t="shared" si="705"/>
        <v>0</v>
      </c>
      <c r="BD596" s="270">
        <f t="shared" si="669"/>
        <v>0</v>
      </c>
      <c r="BE596" s="199">
        <f t="shared" si="706"/>
        <v>0</v>
      </c>
      <c r="BF596" s="251">
        <f t="shared" si="671"/>
        <v>0</v>
      </c>
      <c r="BG596" s="204">
        <f t="shared" si="707"/>
        <v>0</v>
      </c>
      <c r="BH596" s="636">
        <v>1</v>
      </c>
      <c r="BI596" s="199">
        <f t="shared" si="723"/>
        <v>64296.071206725217</v>
      </c>
      <c r="BJ596" s="199">
        <f t="shared" si="724"/>
        <v>128592.14241345043</v>
      </c>
      <c r="BK596" s="199">
        <f t="shared" si="731"/>
        <v>192888.21362017567</v>
      </c>
      <c r="BL596" s="251">
        <f t="shared" si="725"/>
        <v>8.1387568926825178E-4</v>
      </c>
      <c r="BM596" s="199">
        <f t="shared" si="708"/>
        <v>18676.064687152277</v>
      </c>
      <c r="BN596" s="251">
        <f t="shared" si="726"/>
        <v>8.0649055473766985E-4</v>
      </c>
      <c r="BT596" s="199">
        <f>'Detailed Budget'!$AD$12</f>
        <v>194045122715</v>
      </c>
      <c r="BU596" s="199">
        <f>'Detailed Budget'!$AD$24</f>
        <v>194045122715</v>
      </c>
      <c r="BV596" s="596">
        <f t="shared" si="709"/>
        <v>0</v>
      </c>
      <c r="BW596" s="278"/>
      <c r="BX596" s="275">
        <f t="shared" si="698"/>
        <v>0</v>
      </c>
      <c r="BY596" s="275">
        <f t="shared" si="699"/>
        <v>0</v>
      </c>
      <c r="CA596" s="199">
        <f>'Detailed Budget'!$AD$96</f>
        <v>71050111380.677719</v>
      </c>
      <c r="CB596" s="275">
        <f t="shared" si="727"/>
        <v>60674186.636085384</v>
      </c>
      <c r="CE596" s="199">
        <f>'Detailed Budget'!$AD$175</f>
        <v>4330586076.5988197</v>
      </c>
      <c r="CF596" s="275">
        <f t="shared" si="710"/>
        <v>0</v>
      </c>
      <c r="CG596" s="199">
        <f>'Detailed Budget'!$AD$176</f>
        <v>20662817754.37001</v>
      </c>
      <c r="CH596" s="275">
        <f t="shared" si="711"/>
        <v>0</v>
      </c>
      <c r="CI596" s="275">
        <f t="shared" si="734"/>
        <v>0</v>
      </c>
      <c r="CJ596" s="275">
        <f>'Detailed Budget'!$AD$178</f>
        <v>46025131033.061455</v>
      </c>
      <c r="CK596" s="275">
        <f t="shared" si="712"/>
        <v>0</v>
      </c>
      <c r="CL596" s="275">
        <f t="shared" si="737"/>
        <v>0</v>
      </c>
      <c r="CM596" s="278">
        <f>'Detailed Budget'!$AD$189</f>
        <v>77498869683.252869</v>
      </c>
      <c r="CN596" s="275">
        <f t="shared" si="728"/>
        <v>63074445.980967849</v>
      </c>
      <c r="CO596" s="140">
        <f>'Detailed Budget'!$AD$191</f>
        <v>2684962805.4134097</v>
      </c>
      <c r="CP596" s="616">
        <f t="shared" si="729"/>
        <v>2185225.9539154577</v>
      </c>
      <c r="CQ596" s="616">
        <f t="shared" si="730"/>
        <v>65259671.934883304</v>
      </c>
      <c r="CR596" s="199">
        <f>'Detailed Budget'!$AD$195</f>
        <v>18734176418</v>
      </c>
      <c r="CS596" s="275">
        <f t="shared" si="713"/>
        <v>15108936.331906192</v>
      </c>
      <c r="CW596" s="278"/>
      <c r="DH596" s="140"/>
      <c r="DI596" s="616"/>
    </row>
    <row r="597" spans="1:113" outlineLevel="1">
      <c r="A597" s="214" t="s">
        <v>1281</v>
      </c>
      <c r="B597" s="215" t="s">
        <v>1282</v>
      </c>
      <c r="C597" s="216" t="s">
        <v>234</v>
      </c>
      <c r="D597" s="217"/>
      <c r="E597" s="216"/>
      <c r="F597" s="216"/>
      <c r="G597" s="216" t="s">
        <v>234</v>
      </c>
      <c r="H597" s="216" t="s">
        <v>234</v>
      </c>
      <c r="I597" s="217" t="s">
        <v>234</v>
      </c>
      <c r="J597" s="217"/>
      <c r="K597" s="216"/>
      <c r="L597" s="216"/>
      <c r="M597" s="217" t="s">
        <v>234</v>
      </c>
      <c r="N597" s="216"/>
      <c r="O597" s="217"/>
      <c r="P597" s="216"/>
      <c r="Q597" s="217" t="s">
        <v>234</v>
      </c>
      <c r="R597" s="217"/>
      <c r="S597" s="217"/>
      <c r="T597" s="217"/>
      <c r="U597" s="218">
        <f t="shared" si="715"/>
        <v>6</v>
      </c>
      <c r="V597" s="867" t="s">
        <v>1096</v>
      </c>
      <c r="W597" s="219">
        <v>176334</v>
      </c>
      <c r="X597" s="220">
        <v>3.19</v>
      </c>
      <c r="Y597" s="221">
        <f t="shared" si="700"/>
        <v>1.0319</v>
      </c>
      <c r="Z597" s="199">
        <v>19</v>
      </c>
      <c r="AA597" s="221">
        <f t="shared" si="701"/>
        <v>1.8159949505681734</v>
      </c>
      <c r="AB597" s="199">
        <f t="shared" ref="AB597:AB600" si="738">W597*AA597</f>
        <v>320221.65361348831</v>
      </c>
      <c r="AC597">
        <v>11.8</v>
      </c>
      <c r="AD597" s="199">
        <f t="shared" ref="AD597:AD600" si="739">AB597*AC597/100</f>
        <v>37786.155126391619</v>
      </c>
      <c r="AE597" s="199">
        <f t="shared" si="702"/>
        <v>35896.847370072035</v>
      </c>
      <c r="AF597" s="199">
        <f t="shared" si="733"/>
        <v>0</v>
      </c>
      <c r="AG597" s="614">
        <f t="shared" si="732"/>
        <v>1.659712632279365E-3</v>
      </c>
      <c r="AH597" s="199">
        <f t="shared" si="714"/>
        <v>16011.082680674415</v>
      </c>
      <c r="AI597" s="252">
        <f t="shared" si="716"/>
        <v>1.2403543161120438E-3</v>
      </c>
      <c r="AJ597" s="199">
        <f t="shared" si="717"/>
        <v>53797.237807066034</v>
      </c>
      <c r="AK597" s="199">
        <f t="shared" si="735"/>
        <v>12808.866144539532</v>
      </c>
      <c r="AL597" s="199">
        <f t="shared" si="736"/>
        <v>12808.866144539532</v>
      </c>
      <c r="AM597" s="199">
        <f t="shared" si="718"/>
        <v>25617.732289079064</v>
      </c>
      <c r="AN597" s="645">
        <f t="shared" si="719"/>
        <v>1.2403543161120438E-3</v>
      </c>
      <c r="AO597" s="199">
        <v>12</v>
      </c>
      <c r="AP597" s="250"/>
      <c r="AQ597" s="199">
        <v>12</v>
      </c>
      <c r="AU597" s="199">
        <v>0</v>
      </c>
      <c r="AW597" s="250">
        <f t="shared" si="720"/>
        <v>0</v>
      </c>
      <c r="AX597" s="199">
        <v>1</v>
      </c>
      <c r="AY597" s="199">
        <f t="shared" si="704"/>
        <v>16556.498178685517</v>
      </c>
      <c r="AZ597" s="199">
        <f t="shared" si="721"/>
        <v>16556.498178685517</v>
      </c>
      <c r="BA597" s="252">
        <f t="shared" si="722"/>
        <v>1.3014481971197259E-3</v>
      </c>
      <c r="BB597" s="284">
        <v>0</v>
      </c>
      <c r="BC597" s="199">
        <f t="shared" si="705"/>
        <v>0</v>
      </c>
      <c r="BD597" s="270">
        <f t="shared" si="669"/>
        <v>0</v>
      </c>
      <c r="BE597" s="199">
        <f t="shared" si="706"/>
        <v>0</v>
      </c>
      <c r="BF597" s="251">
        <f t="shared" si="671"/>
        <v>0</v>
      </c>
      <c r="BG597" s="204">
        <f t="shared" si="707"/>
        <v>0</v>
      </c>
      <c r="BH597" s="636">
        <v>1</v>
      </c>
      <c r="BI597" s="199">
        <f t="shared" si="723"/>
        <v>97987.826005727416</v>
      </c>
      <c r="BJ597" s="199">
        <f t="shared" si="724"/>
        <v>195975.65201145483</v>
      </c>
      <c r="BK597" s="199">
        <f t="shared" si="731"/>
        <v>293963.47801718226</v>
      </c>
      <c r="BL597" s="251">
        <f t="shared" si="725"/>
        <v>1.2403543161120438E-3</v>
      </c>
      <c r="BM597" s="199">
        <f t="shared" si="708"/>
        <v>28462.500782551248</v>
      </c>
      <c r="BN597" s="251">
        <f t="shared" si="726"/>
        <v>1.2290993006215192E-3</v>
      </c>
      <c r="BT597" s="199">
        <f>'Detailed Budget'!$AD$12</f>
        <v>194045122715</v>
      </c>
      <c r="BU597" s="199">
        <f>'Detailed Budget'!$AD$24</f>
        <v>194045122715</v>
      </c>
      <c r="BV597" s="596">
        <f t="shared" si="709"/>
        <v>0</v>
      </c>
      <c r="BW597" s="278"/>
      <c r="BX597" s="275">
        <f t="shared" si="698"/>
        <v>0</v>
      </c>
      <c r="BY597" s="275">
        <f t="shared" si="699"/>
        <v>0</v>
      </c>
      <c r="CA597" s="199">
        <f>'Detailed Budget'!$AD$96</f>
        <v>71050111380.677719</v>
      </c>
      <c r="CB597" s="275">
        <f t="shared" si="727"/>
        <v>92468039.361538738</v>
      </c>
      <c r="CE597" s="199">
        <f>'Detailed Budget'!$AD$175</f>
        <v>4330586076.5988197</v>
      </c>
      <c r="CF597" s="275">
        <f t="shared" si="710"/>
        <v>0</v>
      </c>
      <c r="CG597" s="199">
        <f>'Detailed Budget'!$AD$176</f>
        <v>20662817754.37001</v>
      </c>
      <c r="CH597" s="275">
        <f t="shared" si="711"/>
        <v>0</v>
      </c>
      <c r="CI597" s="275">
        <f t="shared" si="734"/>
        <v>0</v>
      </c>
      <c r="CJ597" s="275">
        <f>'Detailed Budget'!$AD$178</f>
        <v>46025131033.061455</v>
      </c>
      <c r="CK597" s="275">
        <f t="shared" si="712"/>
        <v>0</v>
      </c>
      <c r="CL597" s="275">
        <f t="shared" si="737"/>
        <v>0</v>
      </c>
      <c r="CM597" s="278">
        <f>'Detailed Budget'!$AD$189</f>
        <v>77498869683.252869</v>
      </c>
      <c r="CN597" s="275">
        <f t="shared" si="728"/>
        <v>96126057.505427524</v>
      </c>
      <c r="CO597" s="140">
        <f>'Detailed Budget'!$AD$191</f>
        <v>2684962805.4134097</v>
      </c>
      <c r="CP597" s="616">
        <f t="shared" si="729"/>
        <v>3330305.2042948245</v>
      </c>
      <c r="CQ597" s="616">
        <f t="shared" si="730"/>
        <v>99456362.709722355</v>
      </c>
      <c r="CR597" s="199">
        <f>'Detailed Budget'!$AD$195</f>
        <v>18734176418</v>
      </c>
      <c r="CS597" s="275">
        <f t="shared" si="713"/>
        <v>23026163.133083958</v>
      </c>
      <c r="CW597" s="278"/>
      <c r="DH597" s="140"/>
      <c r="DI597" s="616"/>
    </row>
    <row r="598" spans="1:113" outlineLevel="1">
      <c r="A598" s="214" t="s">
        <v>1283</v>
      </c>
      <c r="B598" s="215" t="s">
        <v>1284</v>
      </c>
      <c r="C598" s="216" t="s">
        <v>234</v>
      </c>
      <c r="D598" s="217"/>
      <c r="E598" s="216"/>
      <c r="F598" s="216"/>
      <c r="G598" s="216" t="s">
        <v>234</v>
      </c>
      <c r="H598" s="216" t="s">
        <v>234</v>
      </c>
      <c r="I598" s="217" t="s">
        <v>234</v>
      </c>
      <c r="J598" s="217"/>
      <c r="K598" s="216"/>
      <c r="L598" s="216"/>
      <c r="M598" s="217" t="s">
        <v>234</v>
      </c>
      <c r="N598" s="216"/>
      <c r="O598" s="217"/>
      <c r="P598" s="216"/>
      <c r="Q598" s="217" t="s">
        <v>234</v>
      </c>
      <c r="R598" s="217"/>
      <c r="S598" s="217"/>
      <c r="T598" s="217"/>
      <c r="U598" s="218">
        <f t="shared" si="715"/>
        <v>6</v>
      </c>
      <c r="V598" s="867" t="s">
        <v>1096</v>
      </c>
      <c r="W598" s="219">
        <v>101754</v>
      </c>
      <c r="X598" s="220">
        <v>3.19</v>
      </c>
      <c r="Y598" s="221">
        <f t="shared" si="700"/>
        <v>1.0319</v>
      </c>
      <c r="Z598" s="199">
        <v>19</v>
      </c>
      <c r="AA598" s="221">
        <f t="shared" si="701"/>
        <v>1.8159949505681734</v>
      </c>
      <c r="AB598" s="199">
        <f t="shared" si="738"/>
        <v>184784.75020011392</v>
      </c>
      <c r="AC598">
        <v>11.8</v>
      </c>
      <c r="AD598" s="199">
        <f t="shared" si="739"/>
        <v>21804.600523613444</v>
      </c>
      <c r="AE598" s="199">
        <f t="shared" si="702"/>
        <v>20714.37049743277</v>
      </c>
      <c r="AF598" s="199">
        <f t="shared" si="733"/>
        <v>0</v>
      </c>
      <c r="AG598" s="614">
        <f t="shared" si="732"/>
        <v>9.5774155401087994E-4</v>
      </c>
      <c r="AH598" s="199">
        <f t="shared" si="714"/>
        <v>9239.2375100056961</v>
      </c>
      <c r="AI598" s="252">
        <f t="shared" si="716"/>
        <v>7.1574973108796318E-4</v>
      </c>
      <c r="AJ598" s="199">
        <f t="shared" si="717"/>
        <v>31043.83803361914</v>
      </c>
      <c r="AK598" s="199">
        <f t="shared" si="735"/>
        <v>7391.3900080045569</v>
      </c>
      <c r="AL598" s="199">
        <f t="shared" si="736"/>
        <v>7391.3900080045569</v>
      </c>
      <c r="AM598" s="199">
        <f t="shared" si="718"/>
        <v>14782.780016009114</v>
      </c>
      <c r="AN598" s="645">
        <f t="shared" si="719"/>
        <v>7.1574973108796318E-4</v>
      </c>
      <c r="AO598" s="199">
        <v>10</v>
      </c>
      <c r="AP598" s="250"/>
      <c r="AQ598" s="199">
        <v>10</v>
      </c>
      <c r="AU598" s="199">
        <v>0</v>
      </c>
      <c r="AW598" s="250">
        <f t="shared" si="720"/>
        <v>0</v>
      </c>
      <c r="AX598" s="199">
        <v>1</v>
      </c>
      <c r="AY598" s="199">
        <f t="shared" si="704"/>
        <v>9553.9709623439958</v>
      </c>
      <c r="AZ598" s="199">
        <f t="shared" si="721"/>
        <v>9553.9709623439958</v>
      </c>
      <c r="BA598" s="252">
        <f t="shared" si="722"/>
        <v>7.5100411633445964E-4</v>
      </c>
      <c r="BB598" s="284">
        <v>0</v>
      </c>
      <c r="BC598" s="199">
        <f t="shared" si="705"/>
        <v>0</v>
      </c>
      <c r="BD598" s="270">
        <f t="shared" si="669"/>
        <v>0</v>
      </c>
      <c r="BE598" s="199">
        <f t="shared" si="706"/>
        <v>0</v>
      </c>
      <c r="BF598" s="251">
        <f t="shared" si="671"/>
        <v>0</v>
      </c>
      <c r="BG598" s="204">
        <f t="shared" si="707"/>
        <v>0</v>
      </c>
      <c r="BH598" s="636">
        <v>1</v>
      </c>
      <c r="BI598" s="199">
        <f t="shared" si="723"/>
        <v>56544.133561234856</v>
      </c>
      <c r="BJ598" s="199">
        <f t="shared" si="724"/>
        <v>113088.26712246971</v>
      </c>
      <c r="BK598" s="199">
        <f t="shared" si="731"/>
        <v>169632.40068370456</v>
      </c>
      <c r="BL598" s="251">
        <f t="shared" si="725"/>
        <v>7.1574973108796318E-4</v>
      </c>
      <c r="BM598" s="199">
        <f t="shared" si="708"/>
        <v>16424.36118177844</v>
      </c>
      <c r="BN598" s="251">
        <f t="shared" si="726"/>
        <v>7.0925499470006958E-4</v>
      </c>
      <c r="BT598" s="199">
        <f>'Detailed Budget'!$AD$12</f>
        <v>194045122715</v>
      </c>
      <c r="BU598" s="199">
        <f>'Detailed Budget'!$AD$24</f>
        <v>194045122715</v>
      </c>
      <c r="BV598" s="596">
        <f t="shared" si="709"/>
        <v>0</v>
      </c>
      <c r="BW598" s="278"/>
      <c r="BX598" s="275">
        <f t="shared" si="698"/>
        <v>0</v>
      </c>
      <c r="BY598" s="275">
        <f t="shared" si="699"/>
        <v>0</v>
      </c>
      <c r="CA598" s="199">
        <f>'Detailed Budget'!$AD$96</f>
        <v>71050111380.677719</v>
      </c>
      <c r="CB598" s="275">
        <f t="shared" si="727"/>
        <v>53358926.112910807</v>
      </c>
      <c r="CE598" s="199">
        <f>'Detailed Budget'!$AD$175</f>
        <v>4330586076.5988197</v>
      </c>
      <c r="CF598" s="275">
        <f t="shared" si="710"/>
        <v>0</v>
      </c>
      <c r="CG598" s="199">
        <f>'Detailed Budget'!$AD$176</f>
        <v>20662817754.37001</v>
      </c>
      <c r="CH598" s="275">
        <f t="shared" si="711"/>
        <v>0</v>
      </c>
      <c r="CI598" s="275">
        <f t="shared" si="734"/>
        <v>0</v>
      </c>
      <c r="CJ598" s="275">
        <f>'Detailed Budget'!$AD$178</f>
        <v>46025131033.061455</v>
      </c>
      <c r="CK598" s="275">
        <f t="shared" si="712"/>
        <v>0</v>
      </c>
      <c r="CL598" s="275">
        <f t="shared" si="737"/>
        <v>0</v>
      </c>
      <c r="CM598" s="278">
        <f>'Detailed Budget'!$AD$189</f>
        <v>77498869683.252869</v>
      </c>
      <c r="CN598" s="275">
        <f t="shared" si="728"/>
        <v>55469795.13540934</v>
      </c>
      <c r="CO598" s="140">
        <f>'Detailed Budget'!$AD$191</f>
        <v>2684962805.4134097</v>
      </c>
      <c r="CP598" s="616">
        <f t="shared" si="729"/>
        <v>1921761.4059558313</v>
      </c>
      <c r="CQ598" s="616">
        <f t="shared" si="730"/>
        <v>57391556.541365169</v>
      </c>
      <c r="CR598" s="199">
        <f>'Detailed Budget'!$AD$195</f>
        <v>18734176418</v>
      </c>
      <c r="CS598" s="275">
        <f t="shared" si="713"/>
        <v>13287308.196058759</v>
      </c>
      <c r="CW598" s="278"/>
      <c r="DH598" s="140"/>
      <c r="DI598" s="616"/>
    </row>
    <row r="599" spans="1:113" outlineLevel="1">
      <c r="A599" s="214" t="s">
        <v>1285</v>
      </c>
      <c r="B599" s="215" t="s">
        <v>1286</v>
      </c>
      <c r="C599" s="216" t="s">
        <v>234</v>
      </c>
      <c r="D599" s="217"/>
      <c r="E599" s="216"/>
      <c r="F599" s="216"/>
      <c r="G599" s="216" t="s">
        <v>234</v>
      </c>
      <c r="H599" s="216" t="s">
        <v>234</v>
      </c>
      <c r="I599" s="217" t="s">
        <v>234</v>
      </c>
      <c r="J599" s="217"/>
      <c r="K599" s="216"/>
      <c r="L599" s="216"/>
      <c r="M599" s="217" t="s">
        <v>234</v>
      </c>
      <c r="N599" s="216"/>
      <c r="O599" s="217"/>
      <c r="P599" s="216"/>
      <c r="Q599" s="217" t="s">
        <v>234</v>
      </c>
      <c r="R599" s="217"/>
      <c r="S599" s="217"/>
      <c r="T599" s="217"/>
      <c r="U599" s="218">
        <f t="shared" si="715"/>
        <v>6</v>
      </c>
      <c r="V599" s="867" t="s">
        <v>1096</v>
      </c>
      <c r="W599" s="219">
        <v>125337</v>
      </c>
      <c r="X599" s="220">
        <v>3.19</v>
      </c>
      <c r="Y599" s="221">
        <f t="shared" si="700"/>
        <v>1.0319</v>
      </c>
      <c r="Z599" s="199">
        <v>19</v>
      </c>
      <c r="AA599" s="221">
        <f t="shared" si="701"/>
        <v>1.8159949505681734</v>
      </c>
      <c r="AB599" s="199">
        <f t="shared" si="738"/>
        <v>227611.35911936316</v>
      </c>
      <c r="AC599">
        <v>11.8</v>
      </c>
      <c r="AD599" s="199">
        <f t="shared" si="739"/>
        <v>26858.140376084852</v>
      </c>
      <c r="AE599" s="199">
        <f t="shared" si="702"/>
        <v>25515.233357280609</v>
      </c>
      <c r="AF599" s="199">
        <f t="shared" si="733"/>
        <v>0</v>
      </c>
      <c r="AG599" s="614">
        <f t="shared" si="732"/>
        <v>1.1797123764673788E-3</v>
      </c>
      <c r="AH599" s="199">
        <f t="shared" si="714"/>
        <v>11380.567955968159</v>
      </c>
      <c r="AI599" s="252">
        <f t="shared" si="716"/>
        <v>8.8163535630414588E-4</v>
      </c>
      <c r="AJ599" s="199">
        <f t="shared" si="717"/>
        <v>38238.708332053007</v>
      </c>
      <c r="AK599" s="199">
        <f t="shared" si="735"/>
        <v>9104.4543647745268</v>
      </c>
      <c r="AL599" s="199">
        <f t="shared" si="736"/>
        <v>9104.4543647745268</v>
      </c>
      <c r="AM599" s="199">
        <f t="shared" si="718"/>
        <v>18208.908729549054</v>
      </c>
      <c r="AN599" s="645">
        <f t="shared" si="719"/>
        <v>8.8163535630414577E-4</v>
      </c>
      <c r="AO599" s="199">
        <v>11</v>
      </c>
      <c r="AP599" s="250"/>
      <c r="AQ599" s="199">
        <v>11</v>
      </c>
      <c r="AU599" s="199">
        <v>0</v>
      </c>
      <c r="AW599" s="250">
        <f t="shared" si="720"/>
        <v>0</v>
      </c>
      <c r="AX599" s="199">
        <v>1</v>
      </c>
      <c r="AY599" s="199">
        <f t="shared" si="704"/>
        <v>11768.245557986018</v>
      </c>
      <c r="AZ599" s="199">
        <f t="shared" si="721"/>
        <v>11768.245557986018</v>
      </c>
      <c r="BA599" s="252">
        <f t="shared" si="722"/>
        <v>9.2506046866965572E-4</v>
      </c>
      <c r="BB599" s="284">
        <v>0</v>
      </c>
      <c r="BC599" s="199">
        <f t="shared" si="705"/>
        <v>0</v>
      </c>
      <c r="BD599" s="270">
        <f t="shared" si="669"/>
        <v>0</v>
      </c>
      <c r="BE599" s="199">
        <f t="shared" si="706"/>
        <v>0</v>
      </c>
      <c r="BF599" s="251">
        <f t="shared" si="671"/>
        <v>0</v>
      </c>
      <c r="BG599" s="204">
        <f t="shared" si="707"/>
        <v>0</v>
      </c>
      <c r="BH599" s="636">
        <v>1</v>
      </c>
      <c r="BI599" s="199">
        <f t="shared" si="723"/>
        <v>69649.075890525128</v>
      </c>
      <c r="BJ599" s="199">
        <f t="shared" si="724"/>
        <v>139298.15178105026</v>
      </c>
      <c r="BK599" s="199">
        <f t="shared" si="731"/>
        <v>208947.22767157538</v>
      </c>
      <c r="BL599" s="251">
        <f t="shared" si="725"/>
        <v>8.8163535630414577E-4</v>
      </c>
      <c r="BM599" s="199">
        <f t="shared" si="708"/>
        <v>20230.950699142682</v>
      </c>
      <c r="BN599" s="251">
        <f t="shared" si="726"/>
        <v>8.7363536834642985E-4</v>
      </c>
      <c r="BT599" s="199">
        <f>'Detailed Budget'!$AD$12</f>
        <v>194045122715</v>
      </c>
      <c r="BU599" s="199">
        <f>'Detailed Budget'!$AD$24</f>
        <v>194045122715</v>
      </c>
      <c r="BV599" s="596">
        <f t="shared" si="709"/>
        <v>0</v>
      </c>
      <c r="BW599" s="278"/>
      <c r="BX599" s="275">
        <f t="shared" si="698"/>
        <v>0</v>
      </c>
      <c r="BY599" s="275">
        <f t="shared" si="699"/>
        <v>0</v>
      </c>
      <c r="CA599" s="199">
        <f>'Detailed Budget'!$AD$96</f>
        <v>71050111380.677719</v>
      </c>
      <c r="CB599" s="275">
        <f t="shared" si="727"/>
        <v>65725649.332840972</v>
      </c>
      <c r="CE599" s="199">
        <f>'Detailed Budget'!$AD$175</f>
        <v>4330586076.5988197</v>
      </c>
      <c r="CF599" s="275">
        <f t="shared" si="710"/>
        <v>0</v>
      </c>
      <c r="CG599" s="199">
        <f>'Detailed Budget'!$AD$176</f>
        <v>20662817754.37001</v>
      </c>
      <c r="CH599" s="275">
        <f t="shared" si="711"/>
        <v>0</v>
      </c>
      <c r="CI599" s="275">
        <f t="shared" si="734"/>
        <v>0</v>
      </c>
      <c r="CJ599" s="275">
        <f>'Detailed Budget'!$AD$178</f>
        <v>46025131033.061455</v>
      </c>
      <c r="CK599" s="275">
        <f t="shared" si="712"/>
        <v>0</v>
      </c>
      <c r="CL599" s="275">
        <f t="shared" si="737"/>
        <v>0</v>
      </c>
      <c r="CM599" s="278">
        <f>'Detailed Budget'!$AD$189</f>
        <v>77498869683.252869</v>
      </c>
      <c r="CN599" s="275">
        <f t="shared" si="728"/>
        <v>68325743.586363196</v>
      </c>
      <c r="CO599" s="140">
        <f>'Detailed Budget'!$AD$191</f>
        <v>2684962805.4134097</v>
      </c>
      <c r="CP599" s="616">
        <f t="shared" si="729"/>
        <v>2367158.1396140303</v>
      </c>
      <c r="CQ599" s="616">
        <f t="shared" si="730"/>
        <v>70692901.725977227</v>
      </c>
      <c r="CR599" s="199">
        <f>'Detailed Budget'!$AD$195</f>
        <v>18734176418</v>
      </c>
      <c r="CS599" s="275">
        <f t="shared" si="713"/>
        <v>16366839.115606429</v>
      </c>
      <c r="CW599" s="278"/>
      <c r="DH599" s="140"/>
      <c r="DI599" s="616"/>
    </row>
    <row r="600" spans="1:113" outlineLevel="1">
      <c r="A600" s="214" t="s">
        <v>1287</v>
      </c>
      <c r="B600" s="215" t="s">
        <v>1288</v>
      </c>
      <c r="C600" s="216" t="s">
        <v>234</v>
      </c>
      <c r="D600" s="217"/>
      <c r="E600" s="216"/>
      <c r="F600" s="216"/>
      <c r="G600" s="216" t="s">
        <v>234</v>
      </c>
      <c r="H600" s="216" t="s">
        <v>234</v>
      </c>
      <c r="I600" s="217" t="s">
        <v>234</v>
      </c>
      <c r="J600" s="217"/>
      <c r="K600" s="216"/>
      <c r="L600" s="216"/>
      <c r="M600" s="217" t="s">
        <v>234</v>
      </c>
      <c r="N600" s="216"/>
      <c r="O600" s="217"/>
      <c r="P600" s="216"/>
      <c r="Q600" s="217"/>
      <c r="R600" s="217" t="s">
        <v>234</v>
      </c>
      <c r="S600" s="217"/>
      <c r="T600" s="217"/>
      <c r="U600" s="218">
        <f t="shared" si="715"/>
        <v>6</v>
      </c>
      <c r="V600" s="867" t="s">
        <v>235</v>
      </c>
      <c r="W600" s="219">
        <v>99368</v>
      </c>
      <c r="X600" s="220">
        <v>3.19</v>
      </c>
      <c r="Y600" s="221">
        <f t="shared" si="700"/>
        <v>1.0319</v>
      </c>
      <c r="Z600" s="199">
        <v>19</v>
      </c>
      <c r="AA600" s="221">
        <f t="shared" si="701"/>
        <v>1.8159949505681734</v>
      </c>
      <c r="AB600" s="199">
        <f t="shared" si="738"/>
        <v>180451.78624805826</v>
      </c>
      <c r="AC600">
        <v>11.8</v>
      </c>
      <c r="AD600" s="199">
        <f t="shared" si="739"/>
        <v>21293.310777270879</v>
      </c>
      <c r="AE600" s="199">
        <f t="shared" si="702"/>
        <v>20228.645238407335</v>
      </c>
      <c r="AF600" s="199">
        <f t="shared" si="733"/>
        <v>0</v>
      </c>
      <c r="AG600" s="614">
        <f t="shared" si="732"/>
        <v>9.3528375040738583E-4</v>
      </c>
      <c r="AH600" s="199">
        <f t="shared" si="714"/>
        <v>9022.5893124029135</v>
      </c>
      <c r="AI600" s="252">
        <f t="shared" si="716"/>
        <v>6.9896632347375763E-4</v>
      </c>
      <c r="AJ600" s="199">
        <f t="shared" si="717"/>
        <v>30315.900089673793</v>
      </c>
      <c r="AK600" s="199">
        <f t="shared" si="735"/>
        <v>7218.0714499223304</v>
      </c>
      <c r="AL600" s="199">
        <f t="shared" si="736"/>
        <v>7218.0714499223304</v>
      </c>
      <c r="AM600" s="199">
        <f t="shared" si="718"/>
        <v>14436.142899844661</v>
      </c>
      <c r="AN600" s="645">
        <f t="shared" si="719"/>
        <v>6.9896632347375763E-4</v>
      </c>
      <c r="AO600" s="199">
        <v>10</v>
      </c>
      <c r="AP600" s="250"/>
      <c r="AQ600" s="199">
        <v>10</v>
      </c>
      <c r="AU600" s="199">
        <v>0</v>
      </c>
      <c r="AW600" s="250">
        <f t="shared" si="720"/>
        <v>0</v>
      </c>
      <c r="AX600" s="199">
        <v>1</v>
      </c>
      <c r="AY600" s="199">
        <f t="shared" si="704"/>
        <v>9329.9426714055298</v>
      </c>
      <c r="AZ600" s="199">
        <f t="shared" si="721"/>
        <v>9329.9426714055298</v>
      </c>
      <c r="BA600" s="252">
        <f t="shared" si="722"/>
        <v>7.3339403887731777E-4</v>
      </c>
      <c r="BB600" s="284">
        <v>0</v>
      </c>
      <c r="BC600" s="199">
        <f t="shared" si="705"/>
        <v>0</v>
      </c>
      <c r="BD600" s="270">
        <f t="shared" si="669"/>
        <v>0</v>
      </c>
      <c r="BE600" s="199">
        <f t="shared" si="706"/>
        <v>0</v>
      </c>
      <c r="BF600" s="251">
        <f t="shared" si="671"/>
        <v>0</v>
      </c>
      <c r="BG600" s="204">
        <f t="shared" si="707"/>
        <v>0</v>
      </c>
      <c r="BH600" s="636">
        <v>1</v>
      </c>
      <c r="BI600" s="199">
        <f t="shared" si="723"/>
        <v>55218.246591905823</v>
      </c>
      <c r="BJ600" s="199">
        <f t="shared" si="724"/>
        <v>110436.49318381165</v>
      </c>
      <c r="BK600" s="199">
        <f t="shared" si="731"/>
        <v>165654.73977571746</v>
      </c>
      <c r="BL600" s="251">
        <f t="shared" si="725"/>
        <v>6.9896632347375752E-4</v>
      </c>
      <c r="BM600" s="199">
        <f t="shared" si="708"/>
        <v>16039.231105518802</v>
      </c>
      <c r="BN600" s="251">
        <f t="shared" si="726"/>
        <v>6.9262388027356678E-4</v>
      </c>
      <c r="BT600" s="199">
        <f>'Detailed Budget'!$AD$12</f>
        <v>194045122715</v>
      </c>
      <c r="BU600" s="199">
        <f>'Detailed Budget'!$AD$24</f>
        <v>194045122715</v>
      </c>
      <c r="BV600" s="596">
        <f t="shared" si="709"/>
        <v>0</v>
      </c>
      <c r="BW600" s="278"/>
      <c r="BX600" s="275">
        <f t="shared" si="698"/>
        <v>0</v>
      </c>
      <c r="BY600" s="275">
        <f t="shared" si="699"/>
        <v>0</v>
      </c>
      <c r="CA600" s="199">
        <f>'Detailed Budget'!$AD$96</f>
        <v>71050111380.677719</v>
      </c>
      <c r="CB600" s="275">
        <f t="shared" si="727"/>
        <v>52107728.148158513</v>
      </c>
      <c r="CE600" s="199">
        <f>'Detailed Budget'!$AD$175</f>
        <v>4330586076.5988197</v>
      </c>
      <c r="CF600" s="275">
        <f t="shared" si="710"/>
        <v>0</v>
      </c>
      <c r="CG600" s="199">
        <f>'Detailed Budget'!$AD$176</f>
        <v>20662817754.37001</v>
      </c>
      <c r="CH600" s="275">
        <f t="shared" si="711"/>
        <v>0</v>
      </c>
      <c r="CI600" s="275">
        <f t="shared" si="734"/>
        <v>0</v>
      </c>
      <c r="CJ600" s="275">
        <f>'Detailed Budget'!$AD$178</f>
        <v>46025131033.061455</v>
      </c>
      <c r="CK600" s="275">
        <f t="shared" si="712"/>
        <v>0</v>
      </c>
      <c r="CL600" s="275">
        <f t="shared" si="737"/>
        <v>0</v>
      </c>
      <c r="CM600" s="278">
        <f>'Detailed Budget'!$AD$189</f>
        <v>77498869683.252869</v>
      </c>
      <c r="CN600" s="275">
        <f t="shared" si="728"/>
        <v>54169100.015875101</v>
      </c>
      <c r="CO600" s="140">
        <f>'Detailed Budget'!$AD$191</f>
        <v>2684962805.4134097</v>
      </c>
      <c r="CP600" s="616">
        <f t="shared" si="729"/>
        <v>1876698.580763597</v>
      </c>
      <c r="CQ600" s="616">
        <f t="shared" si="730"/>
        <v>56045798.596638694</v>
      </c>
      <c r="CR600" s="199">
        <f>'Detailed Budget'!$AD$195</f>
        <v>18734176418</v>
      </c>
      <c r="CS600" s="275">
        <f t="shared" si="713"/>
        <v>12975737.964364709</v>
      </c>
      <c r="CW600" s="278"/>
      <c r="DH600" s="140"/>
      <c r="DI600" s="616"/>
    </row>
    <row r="601" spans="1:113">
      <c r="A601" s="224"/>
      <c r="B601" s="225"/>
      <c r="C601" s="226"/>
      <c r="D601" s="226"/>
      <c r="E601" s="226"/>
      <c r="F601" s="226"/>
      <c r="G601" s="226"/>
      <c r="H601" s="226"/>
      <c r="I601" s="226"/>
      <c r="J601" s="226"/>
      <c r="K601" s="226"/>
      <c r="L601" s="226"/>
      <c r="M601" s="226"/>
      <c r="N601" s="226"/>
      <c r="O601" s="226"/>
      <c r="P601" s="226"/>
      <c r="Q601" s="226"/>
      <c r="R601" s="226"/>
      <c r="S601" s="226"/>
      <c r="T601" s="226"/>
      <c r="U601" s="227"/>
      <c r="V601" s="867"/>
      <c r="X601" s="220"/>
      <c r="Y601" s="221"/>
      <c r="Z601" s="199"/>
      <c r="AA601" s="221"/>
      <c r="AG601" s="614">
        <f t="shared" si="732"/>
        <v>0</v>
      </c>
      <c r="AJ601" s="199"/>
      <c r="AK601" s="199">
        <f t="shared" si="735"/>
        <v>0</v>
      </c>
      <c r="AL601" s="199">
        <f t="shared" si="736"/>
        <v>0</v>
      </c>
      <c r="AM601" s="199">
        <f t="shared" si="718"/>
        <v>0</v>
      </c>
      <c r="AN601" s="645">
        <f t="shared" si="719"/>
        <v>0</v>
      </c>
      <c r="AP601" s="250"/>
      <c r="AW601" s="250">
        <f t="shared" si="720"/>
        <v>0</v>
      </c>
      <c r="AX601" s="199"/>
      <c r="BA601" s="252">
        <f t="shared" si="722"/>
        <v>0</v>
      </c>
      <c r="BB601" s="284"/>
      <c r="BD601" s="270">
        <f t="shared" si="669"/>
        <v>0</v>
      </c>
      <c r="BF601" s="251">
        <f t="shared" si="671"/>
        <v>0</v>
      </c>
      <c r="BI601" s="199">
        <f t="shared" si="723"/>
        <v>0</v>
      </c>
      <c r="BJ601" s="199">
        <f t="shared" si="724"/>
        <v>0</v>
      </c>
      <c r="BK601" s="199">
        <f t="shared" si="731"/>
        <v>0</v>
      </c>
      <c r="BL601" s="251">
        <f t="shared" si="725"/>
        <v>0</v>
      </c>
      <c r="BN601" s="251">
        <f t="shared" si="726"/>
        <v>0</v>
      </c>
      <c r="BT601" s="199">
        <f>'Detailed Budget'!$AD$12</f>
        <v>194045122715</v>
      </c>
      <c r="BU601" s="199">
        <f>'Detailed Budget'!$AD$24</f>
        <v>194045122715</v>
      </c>
      <c r="BV601" s="596">
        <f t="shared" si="709"/>
        <v>0</v>
      </c>
      <c r="BW601" s="278"/>
      <c r="BX601" s="275"/>
      <c r="BY601" s="275"/>
      <c r="CA601" s="199"/>
      <c r="CE601" s="199">
        <f>'Detailed Budget'!$AD$175</f>
        <v>4330586076.5988197</v>
      </c>
      <c r="CF601" s="275">
        <f t="shared" si="710"/>
        <v>0</v>
      </c>
      <c r="CG601" s="199">
        <f>'Detailed Budget'!$AD$176</f>
        <v>20662817754.37001</v>
      </c>
      <c r="CH601" s="275">
        <f t="shared" si="711"/>
        <v>0</v>
      </c>
      <c r="CI601" s="275">
        <f t="shared" si="734"/>
        <v>0</v>
      </c>
      <c r="CJ601" s="275">
        <f>'Detailed Budget'!$AD$178</f>
        <v>46025131033.061455</v>
      </c>
      <c r="CK601" s="275">
        <f t="shared" si="712"/>
        <v>0</v>
      </c>
      <c r="CL601" s="275">
        <f t="shared" si="737"/>
        <v>0</v>
      </c>
      <c r="CM601" s="278">
        <f>'Detailed Budget'!$AD$189</f>
        <v>77498869683.252869</v>
      </c>
      <c r="CN601" s="275">
        <f t="shared" si="728"/>
        <v>0</v>
      </c>
      <c r="CO601" s="140">
        <f>'Detailed Budget'!$AD$191</f>
        <v>2684962805.4134097</v>
      </c>
      <c r="CP601" s="616">
        <f t="shared" si="729"/>
        <v>0</v>
      </c>
      <c r="CQ601" s="616">
        <f t="shared" si="730"/>
        <v>0</v>
      </c>
      <c r="CR601" s="199"/>
      <c r="CS601" s="275"/>
      <c r="CW601" s="278"/>
      <c r="DH601" s="140"/>
      <c r="DI601" s="616"/>
    </row>
    <row r="602" spans="1:113" s="4" customFormat="1">
      <c r="A602" s="201">
        <v>5</v>
      </c>
      <c r="B602" s="202" t="s">
        <v>2360</v>
      </c>
      <c r="C602" s="200">
        <f t="shared" ref="C602:T602" si="740">C718+C697+C669+C648+C637+C603</f>
        <v>123</v>
      </c>
      <c r="D602" s="200">
        <f t="shared" si="740"/>
        <v>0</v>
      </c>
      <c r="E602" s="200">
        <f t="shared" si="740"/>
        <v>0</v>
      </c>
      <c r="F602" s="200">
        <f t="shared" si="740"/>
        <v>0</v>
      </c>
      <c r="G602" s="200">
        <f t="shared" si="740"/>
        <v>123</v>
      </c>
      <c r="H602" s="200">
        <f t="shared" si="740"/>
        <v>123</v>
      </c>
      <c r="I602" s="200">
        <f t="shared" si="740"/>
        <v>116</v>
      </c>
      <c r="J602" s="200">
        <f t="shared" si="740"/>
        <v>7</v>
      </c>
      <c r="K602" s="200">
        <f t="shared" si="740"/>
        <v>6</v>
      </c>
      <c r="L602" s="200">
        <f t="shared" si="740"/>
        <v>7</v>
      </c>
      <c r="M602" s="200">
        <f t="shared" si="740"/>
        <v>92</v>
      </c>
      <c r="N602" s="200">
        <f t="shared" si="740"/>
        <v>18</v>
      </c>
      <c r="O602" s="200">
        <f t="shared" si="740"/>
        <v>0</v>
      </c>
      <c r="P602" s="200">
        <f t="shared" si="740"/>
        <v>0</v>
      </c>
      <c r="Q602" s="200">
        <f t="shared" si="740"/>
        <v>7</v>
      </c>
      <c r="R602" s="200">
        <f t="shared" si="740"/>
        <v>116</v>
      </c>
      <c r="S602" s="200">
        <f t="shared" si="740"/>
        <v>0</v>
      </c>
      <c r="T602" s="200">
        <f t="shared" si="740"/>
        <v>0</v>
      </c>
      <c r="U602" s="203">
        <f>SUM(C602:T602)</f>
        <v>738</v>
      </c>
      <c r="V602" s="865"/>
      <c r="W602" s="204">
        <f>W603+W637+W648+W669+W697+W718</f>
        <v>21044081</v>
      </c>
      <c r="X602" s="205">
        <f>AVERAGE(X603,X637,X648,X669,X697,X718)</f>
        <v>3.1033333333333335</v>
      </c>
      <c r="Y602" s="221"/>
      <c r="Z602" s="199"/>
      <c r="AA602" s="221"/>
      <c r="AB602" s="204">
        <f>AB603+AB637+AB648+AB669+AB697+AB718</f>
        <v>38033293.320425712</v>
      </c>
      <c r="AC602" s="4">
        <v>12.4</v>
      </c>
      <c r="AD602" s="204">
        <f>AD603+AD637+AD648+AD669+AD697+AD718</f>
        <v>4719034.5637757499</v>
      </c>
      <c r="AE602" s="204">
        <f t="shared" si="702"/>
        <v>4483082.8355869623</v>
      </c>
      <c r="AF602" s="204">
        <f>AF603+AF637+AF648+AF669+AF697+AF718</f>
        <v>0</v>
      </c>
      <c r="AG602" s="614">
        <f t="shared" si="732"/>
        <v>0.20727806921512243</v>
      </c>
      <c r="AH602" s="204">
        <f>AH603+AH637+AH648+AH669+AH697+AH718</f>
        <v>1901664.6660212856</v>
      </c>
      <c r="AI602" s="252">
        <f t="shared" si="716"/>
        <v>0.14731908037326527</v>
      </c>
      <c r="AJ602" s="204">
        <f>AJ603+AJ637+AJ648+AJ669+AJ697+AJ718</f>
        <v>6620699.2297970355</v>
      </c>
      <c r="AK602" s="199">
        <f t="shared" si="735"/>
        <v>1521331.7328170284</v>
      </c>
      <c r="AL602" s="199">
        <f t="shared" si="736"/>
        <v>1521331.7328170284</v>
      </c>
      <c r="AM602" s="199">
        <f t="shared" si="718"/>
        <v>3042663.4656340568</v>
      </c>
      <c r="AN602" s="645">
        <f t="shared" si="719"/>
        <v>0.14731908037326527</v>
      </c>
      <c r="AO602" s="204">
        <f t="shared" ref="AO602:AQ602" si="741">AO603+AO637+AO648+AO669+AO697+AO718</f>
        <v>1408</v>
      </c>
      <c r="AP602" s="250">
        <f t="shared" ref="AP602:AP646" si="742">AO602/8801</f>
        <v>0.15998182024769914</v>
      </c>
      <c r="AQ602" s="204">
        <f t="shared" si="741"/>
        <v>1408</v>
      </c>
      <c r="AR602" s="204"/>
      <c r="AS602" s="204"/>
      <c r="AT602" s="204"/>
      <c r="AU602" s="199"/>
      <c r="AV602" s="204">
        <f>AV603+AV637+AV648+AV669+AV697+AV718</f>
        <v>8233762</v>
      </c>
      <c r="AW602" s="250">
        <f t="shared" si="720"/>
        <v>0.23698385265544858</v>
      </c>
      <c r="AX602" s="199"/>
      <c r="AY602" s="204">
        <f>AY603+AY637+AY648+AY669+AY697+AY718</f>
        <v>2078618</v>
      </c>
      <c r="AZ602" s="204">
        <f>AZ603+AZ637+AZ648+AZ669+AZ697+AZ718</f>
        <v>1363506.6971283774</v>
      </c>
      <c r="BA602" s="252">
        <f t="shared" si="722"/>
        <v>0.10718047461406394</v>
      </c>
      <c r="BB602" s="284"/>
      <c r="BC602" s="210">
        <f>SUM(BC603,BC637,BC648,BC669,BC697,BC718)</f>
        <v>0</v>
      </c>
      <c r="BD602" s="652">
        <f t="shared" si="669"/>
        <v>0</v>
      </c>
      <c r="BE602" s="210">
        <f>SUM(BE603,BE637,BE648,BE669,BE697,BE718)</f>
        <v>0</v>
      </c>
      <c r="BF602" s="653">
        <f t="shared" si="671"/>
        <v>0</v>
      </c>
      <c r="BG602" s="213">
        <f>SUM(BG603,BG637,BG648,BG669,BG697,BG718)</f>
        <v>0</v>
      </c>
      <c r="BH602"/>
      <c r="BI602" s="199">
        <f t="shared" si="723"/>
        <v>11638187.756050268</v>
      </c>
      <c r="BJ602" s="199">
        <f t="shared" si="724"/>
        <v>23276375.512100536</v>
      </c>
      <c r="BK602" s="199">
        <f t="shared" si="731"/>
        <v>34914563.268150806</v>
      </c>
      <c r="BL602" s="251">
        <f t="shared" si="725"/>
        <v>0.1473190803732653</v>
      </c>
      <c r="BM602" s="204">
        <f t="shared" ref="BM602" si="743">BM603+BM637+BM648+BM669+BM697+BM718</f>
        <v>2866861</v>
      </c>
      <c r="BN602" s="251">
        <f t="shared" si="726"/>
        <v>0.12379997376194239</v>
      </c>
      <c r="BT602" s="204">
        <f>'Detailed Budget'!$AD$12</f>
        <v>194045122715</v>
      </c>
      <c r="BU602" s="204">
        <f>'Detailed Budget'!$AD$24</f>
        <v>194045122715</v>
      </c>
      <c r="BV602" s="596">
        <f t="shared" si="709"/>
        <v>0.23698385265544858</v>
      </c>
      <c r="BW602" s="278"/>
      <c r="BX602" s="616">
        <f t="shared" si="698"/>
        <v>45985560770</v>
      </c>
      <c r="BY602" s="616">
        <f t="shared" si="699"/>
        <v>45985560770</v>
      </c>
      <c r="BZ602" s="616">
        <f>BX602+BY602</f>
        <v>91971121540</v>
      </c>
      <c r="CA602" s="204">
        <f>'Detailed Budget'!$AD$96</f>
        <v>71050111380.677719</v>
      </c>
      <c r="CB602" s="616">
        <f t="shared" si="727"/>
        <v>7615184659.1631432</v>
      </c>
      <c r="CE602" s="204">
        <f>'Detailed Budget'!$AD$175</f>
        <v>4330586076.5988197</v>
      </c>
      <c r="CF602" s="616">
        <f t="shared" ref="CF602" si="744">CF603+CF637+CF648+CF669+CF697+CF718</f>
        <v>0</v>
      </c>
      <c r="CG602" s="275">
        <f>'Detailed Budget'!$AD$176</f>
        <v>20662817754.37001</v>
      </c>
      <c r="CH602" s="616">
        <f t="shared" ref="CH602:CI602" si="745">CH603+CH637+CH648+CH669+CH697+CH718</f>
        <v>0</v>
      </c>
      <c r="CI602" s="616">
        <f t="shared" si="745"/>
        <v>0</v>
      </c>
      <c r="CJ602" s="275">
        <f>'Detailed Budget'!$AD$178</f>
        <v>46025131033.061455</v>
      </c>
      <c r="CK602" s="616">
        <f t="shared" ref="CK602" si="746">CK603+CK637+CK648+CK669+CK697+CK718</f>
        <v>0</v>
      </c>
      <c r="CL602" s="616">
        <f t="shared" ref="CL602" si="747">CL603+CL637+CL648+CL669+CL697+CL718</f>
        <v>0</v>
      </c>
      <c r="CM602" s="278">
        <f>'Detailed Budget'!$AD$189</f>
        <v>77498869683.252869</v>
      </c>
      <c r="CN602" s="275">
        <f t="shared" si="728"/>
        <v>0</v>
      </c>
      <c r="CO602" s="140">
        <f>'Detailed Budget'!$AD$191</f>
        <v>2684962805.4134097</v>
      </c>
      <c r="CP602" s="616">
        <f t="shared" si="729"/>
        <v>0</v>
      </c>
      <c r="CQ602" s="616">
        <f t="shared" si="730"/>
        <v>0</v>
      </c>
      <c r="CR602" s="204">
        <f>'Detailed Budget'!$AD$195</f>
        <v>18734176418</v>
      </c>
      <c r="CS602" s="275">
        <f>BN602*CR602</f>
        <v>2319290549</v>
      </c>
      <c r="CW602" s="278"/>
      <c r="DH602" s="140">
        <f>'Detailed Budget'!$AD$163</f>
        <v>4928560000</v>
      </c>
      <c r="DI602" s="616">
        <f>AP602*DH602</f>
        <v>788480000</v>
      </c>
    </row>
    <row r="603" spans="1:113" s="213" customFormat="1" collapsed="1">
      <c r="A603" s="206">
        <v>5.0999999999999996</v>
      </c>
      <c r="B603" s="207" t="s">
        <v>1289</v>
      </c>
      <c r="C603" s="208">
        <f>COUNTA(C605:C635)</f>
        <v>31</v>
      </c>
      <c r="D603" s="208">
        <f t="shared" ref="D603:T603" si="748">COUNTA(D605:D635)</f>
        <v>0</v>
      </c>
      <c r="E603" s="208">
        <f t="shared" si="748"/>
        <v>0</v>
      </c>
      <c r="F603" s="208">
        <f t="shared" si="748"/>
        <v>0</v>
      </c>
      <c r="G603" s="208">
        <f t="shared" si="748"/>
        <v>31</v>
      </c>
      <c r="H603" s="208">
        <f t="shared" si="748"/>
        <v>31</v>
      </c>
      <c r="I603" s="208">
        <f t="shared" si="748"/>
        <v>31</v>
      </c>
      <c r="J603" s="208">
        <f t="shared" si="748"/>
        <v>0</v>
      </c>
      <c r="K603" s="208">
        <f t="shared" si="748"/>
        <v>0</v>
      </c>
      <c r="L603" s="208">
        <f t="shared" si="748"/>
        <v>0</v>
      </c>
      <c r="M603" s="208">
        <f t="shared" si="748"/>
        <v>31</v>
      </c>
      <c r="N603" s="208">
        <f t="shared" si="748"/>
        <v>0</v>
      </c>
      <c r="O603" s="208">
        <f t="shared" si="748"/>
        <v>0</v>
      </c>
      <c r="P603" s="208">
        <f t="shared" si="748"/>
        <v>0</v>
      </c>
      <c r="Q603" s="208">
        <f t="shared" si="748"/>
        <v>0</v>
      </c>
      <c r="R603" s="208">
        <f>COUNTA(R605:R635)</f>
        <v>31</v>
      </c>
      <c r="S603" s="208">
        <f t="shared" si="748"/>
        <v>0</v>
      </c>
      <c r="T603" s="208">
        <f t="shared" si="748"/>
        <v>0</v>
      </c>
      <c r="U603" s="209">
        <f>SUM(C603:T603)</f>
        <v>186</v>
      </c>
      <c r="V603" s="866"/>
      <c r="W603" s="210">
        <f>SUM(W605:W635)</f>
        <v>3902051</v>
      </c>
      <c r="X603" s="211">
        <v>3.36</v>
      </c>
      <c r="Y603" s="212">
        <f t="shared" si="700"/>
        <v>1.0336000000000001</v>
      </c>
      <c r="Z603" s="210">
        <v>19</v>
      </c>
      <c r="AA603" s="212">
        <f t="shared" si="701"/>
        <v>1.873689022502546</v>
      </c>
      <c r="AB603" s="210">
        <f t="shared" ref="AB603:AB635" si="749">W603*AA603</f>
        <v>7311230.1239450816</v>
      </c>
      <c r="AC603" s="213">
        <v>12.2</v>
      </c>
      <c r="AD603" s="210">
        <f t="shared" ref="AD603:AD635" si="750">AB603*AC603/100</f>
        <v>891970.07512129995</v>
      </c>
      <c r="AE603" s="210">
        <f t="shared" si="702"/>
        <v>847371.57136523491</v>
      </c>
      <c r="AF603" s="210">
        <f>SUM(AF605:AF635)</f>
        <v>0</v>
      </c>
      <c r="AG603" s="614">
        <f t="shared" si="732"/>
        <v>3.917874142902688E-2</v>
      </c>
      <c r="AH603" s="210">
        <f>SUM(AH605:AH635)</f>
        <v>365561.50619725417</v>
      </c>
      <c r="AI603" s="252">
        <f t="shared" si="716"/>
        <v>2.8319496005318533E-2</v>
      </c>
      <c r="AJ603" s="210">
        <f>SUM(AJ605:AJ635)</f>
        <v>1257531.5813185542</v>
      </c>
      <c r="AK603" s="199">
        <f t="shared" si="735"/>
        <v>292449.20495780325</v>
      </c>
      <c r="AL603" s="199">
        <f t="shared" si="736"/>
        <v>292449.20495780325</v>
      </c>
      <c r="AM603" s="199">
        <f t="shared" si="718"/>
        <v>584898.40991560649</v>
      </c>
      <c r="AN603" s="645">
        <f t="shared" si="719"/>
        <v>2.8319496005318526E-2</v>
      </c>
      <c r="AO603" s="210">
        <f>SUM(AO605:AO635)</f>
        <v>329</v>
      </c>
      <c r="AP603" s="250">
        <f t="shared" si="742"/>
        <v>3.7382115668674012E-2</v>
      </c>
      <c r="AQ603" s="210">
        <f>SUM(AQ605:AQ635)</f>
        <v>329</v>
      </c>
      <c r="AR603" s="210"/>
      <c r="AS603" s="210"/>
      <c r="AT603" s="210"/>
      <c r="AU603" s="199"/>
      <c r="AV603" s="210">
        <v>4061795</v>
      </c>
      <c r="AW603" s="250">
        <f t="shared" si="720"/>
        <v>0.11690644298397716</v>
      </c>
      <c r="AX603" s="199"/>
      <c r="AY603" s="210">
        <v>329840</v>
      </c>
      <c r="AZ603" s="210">
        <f>SUM(AZ605:AZ635)</f>
        <v>0</v>
      </c>
      <c r="BA603" s="252">
        <f t="shared" si="722"/>
        <v>0</v>
      </c>
      <c r="BB603" s="284"/>
      <c r="BC603" s="210">
        <v>0</v>
      </c>
      <c r="BD603" s="270">
        <f t="shared" si="669"/>
        <v>0</v>
      </c>
      <c r="BE603" s="210">
        <v>0</v>
      </c>
      <c r="BF603" s="251">
        <f t="shared" si="671"/>
        <v>0</v>
      </c>
      <c r="BG603" s="213">
        <v>0</v>
      </c>
      <c r="BH603"/>
      <c r="BI603" s="199">
        <f t="shared" si="723"/>
        <v>2237236.4179271949</v>
      </c>
      <c r="BJ603" s="199">
        <f t="shared" si="724"/>
        <v>4474472.8358543897</v>
      </c>
      <c r="BK603" s="199">
        <f t="shared" si="731"/>
        <v>6711709.253781585</v>
      </c>
      <c r="BL603" s="251">
        <f t="shared" si="725"/>
        <v>2.8319496005318526E-2</v>
      </c>
      <c r="BM603" s="210">
        <v>500961</v>
      </c>
      <c r="BN603" s="251">
        <f t="shared" si="726"/>
        <v>2.163305394149086E-2</v>
      </c>
      <c r="BT603" s="210">
        <f>'Detailed Budget'!$AD$12</f>
        <v>194045122715</v>
      </c>
      <c r="BU603" s="210">
        <f>'Detailed Budget'!$AD$24</f>
        <v>194045122715</v>
      </c>
      <c r="BV603" s="596">
        <f t="shared" si="709"/>
        <v>0.11690644298397716</v>
      </c>
      <c r="BW603" s="278">
        <v>1</v>
      </c>
      <c r="BX603" s="613">
        <f t="shared" si="698"/>
        <v>22685125075</v>
      </c>
      <c r="BY603" s="613">
        <f t="shared" si="699"/>
        <v>22685125075</v>
      </c>
      <c r="BZ603" s="613">
        <f>BX603+BY603</f>
        <v>45370250150</v>
      </c>
      <c r="CA603" s="210">
        <f>'Detailed Budget'!$AD$96</f>
        <v>71050111380.677719</v>
      </c>
      <c r="CB603" s="613">
        <f t="shared" si="727"/>
        <v>0</v>
      </c>
      <c r="CE603" s="210">
        <f>'Detailed Budget'!$AD$175</f>
        <v>4330586076.5988197</v>
      </c>
      <c r="CF603" s="613">
        <f>SUM(CF605:CF635)</f>
        <v>0</v>
      </c>
      <c r="CG603" s="632">
        <f>'Detailed Budget'!$AD$176</f>
        <v>20662817754.37001</v>
      </c>
      <c r="CH603" s="613">
        <f>SUM(CH605:CH635)</f>
        <v>0</v>
      </c>
      <c r="CI603" s="613">
        <f>SUM(CI605:CI635)</f>
        <v>0</v>
      </c>
      <c r="CJ603" s="275">
        <f>'Detailed Budget'!$AD$178</f>
        <v>46025131033.061455</v>
      </c>
      <c r="CK603" s="613">
        <f t="shared" ref="CK603:CL603" si="751">SUM(CK605:CK635)</f>
        <v>0</v>
      </c>
      <c r="CL603" s="613">
        <f t="shared" si="751"/>
        <v>0</v>
      </c>
      <c r="CM603" s="278">
        <f>'Detailed Budget'!$AD$189</f>
        <v>77498869683.252869</v>
      </c>
      <c r="CN603" s="275">
        <f t="shared" si="728"/>
        <v>0</v>
      </c>
      <c r="CO603" s="140">
        <f>'Detailed Budget'!$AD$191</f>
        <v>2684962805.4134097</v>
      </c>
      <c r="CP603" s="616">
        <f t="shared" si="729"/>
        <v>0</v>
      </c>
      <c r="CQ603" s="616">
        <f t="shared" si="730"/>
        <v>0</v>
      </c>
      <c r="CR603" s="210">
        <f>'Detailed Budget'!$AD$195</f>
        <v>18734176418</v>
      </c>
      <c r="CS603" s="275">
        <f>BN603*CR603</f>
        <v>405277449</v>
      </c>
      <c r="CW603" s="278"/>
      <c r="DH603" s="140">
        <f>'Detailed Budget'!$AD$163</f>
        <v>4928560000</v>
      </c>
      <c r="DI603" s="616">
        <f>AP603*DH603</f>
        <v>184240000</v>
      </c>
    </row>
    <row r="604" spans="1:113" s="213" customFormat="1">
      <c r="A604" s="214" t="s">
        <v>2344</v>
      </c>
      <c r="B604" s="215" t="s">
        <v>2318</v>
      </c>
      <c r="C604" s="208"/>
      <c r="D604" s="208"/>
      <c r="E604" s="208"/>
      <c r="F604" s="208"/>
      <c r="G604" s="208"/>
      <c r="H604" s="208"/>
      <c r="I604" s="208"/>
      <c r="J604" s="208"/>
      <c r="K604" s="208"/>
      <c r="L604" s="208"/>
      <c r="M604" s="208"/>
      <c r="N604" s="208"/>
      <c r="O604" s="208"/>
      <c r="P604" s="208"/>
      <c r="Q604" s="208"/>
      <c r="R604" s="208"/>
      <c r="S604" s="208"/>
      <c r="T604" s="208"/>
      <c r="U604" s="209"/>
      <c r="V604" s="866"/>
      <c r="W604" s="210"/>
      <c r="X604" s="211"/>
      <c r="Y604" s="212"/>
      <c r="Z604" s="210"/>
      <c r="AA604" s="212"/>
      <c r="AB604" s="210"/>
      <c r="AD604" s="210"/>
      <c r="AE604" s="199"/>
      <c r="AF604" s="199"/>
      <c r="AG604" s="614">
        <f t="shared" si="732"/>
        <v>0</v>
      </c>
      <c r="AH604" s="210"/>
      <c r="AI604" s="252"/>
      <c r="AJ604" s="199"/>
      <c r="AK604" s="199">
        <f t="shared" si="735"/>
        <v>0</v>
      </c>
      <c r="AL604" s="199">
        <f t="shared" si="736"/>
        <v>0</v>
      </c>
      <c r="AM604" s="199">
        <f t="shared" si="718"/>
        <v>0</v>
      </c>
      <c r="AN604" s="645">
        <f t="shared" si="719"/>
        <v>0</v>
      </c>
      <c r="AO604" s="210"/>
      <c r="AP604" s="250"/>
      <c r="AQ604" s="210"/>
      <c r="AR604" s="210"/>
      <c r="AS604" s="210"/>
      <c r="AT604" s="210"/>
      <c r="AU604" s="199"/>
      <c r="AV604" s="240"/>
      <c r="AW604" s="250">
        <f t="shared" si="720"/>
        <v>0</v>
      </c>
      <c r="AX604" s="199"/>
      <c r="AY604" s="210"/>
      <c r="AZ604" s="199"/>
      <c r="BA604" s="252">
        <f t="shared" si="722"/>
        <v>0</v>
      </c>
      <c r="BB604" s="284"/>
      <c r="BC604" s="210"/>
      <c r="BD604" s="270">
        <f t="shared" ref="BD604:BD670" si="752">BC604/11104067</f>
        <v>0</v>
      </c>
      <c r="BE604" s="210"/>
      <c r="BF604" s="251">
        <f t="shared" ref="BF604:BF670" si="753">BE604/47500730</f>
        <v>0</v>
      </c>
      <c r="BH604"/>
      <c r="BI604" s="199">
        <f t="shared" si="723"/>
        <v>0</v>
      </c>
      <c r="BJ604" s="199">
        <f t="shared" si="724"/>
        <v>0</v>
      </c>
      <c r="BK604" s="199">
        <f t="shared" si="731"/>
        <v>0</v>
      </c>
      <c r="BL604" s="251">
        <f t="shared" si="725"/>
        <v>0</v>
      </c>
      <c r="BM604" s="210"/>
      <c r="BN604" s="251">
        <f t="shared" si="726"/>
        <v>0</v>
      </c>
      <c r="BT604" s="210"/>
      <c r="BU604" s="210">
        <f>'Detailed Budget'!$AD$24</f>
        <v>194045122715</v>
      </c>
      <c r="BV604" s="596"/>
      <c r="BW604" s="278"/>
      <c r="BX604" s="275"/>
      <c r="BY604" s="275"/>
      <c r="CA604" s="210">
        <f>'Detailed Budget'!$AD$96</f>
        <v>71050111380.677719</v>
      </c>
      <c r="CB604" s="275"/>
      <c r="CE604" s="210"/>
      <c r="CF604" s="275"/>
      <c r="CG604" s="240"/>
      <c r="CH604" s="275"/>
      <c r="CI604" s="275"/>
      <c r="CJ604" s="275"/>
      <c r="CK604" s="275"/>
      <c r="CL604" s="275"/>
      <c r="CM604" s="278">
        <f>'Detailed Budget'!$AD$189</f>
        <v>77498869683.252869</v>
      </c>
      <c r="CN604" s="275">
        <f t="shared" si="728"/>
        <v>0</v>
      </c>
      <c r="CO604" s="140">
        <f>'Detailed Budget'!$AD$191</f>
        <v>2684962805.4134097</v>
      </c>
      <c r="CP604" s="616">
        <f t="shared" si="729"/>
        <v>0</v>
      </c>
      <c r="CQ604" s="616">
        <f t="shared" si="730"/>
        <v>0</v>
      </c>
      <c r="CR604" s="210"/>
      <c r="CS604" s="275"/>
      <c r="CW604" s="278"/>
      <c r="DH604" s="140"/>
      <c r="DI604" s="616"/>
    </row>
    <row r="605" spans="1:113" outlineLevel="1">
      <c r="A605" s="214" t="s">
        <v>1290</v>
      </c>
      <c r="B605" s="215" t="s">
        <v>1291</v>
      </c>
      <c r="C605" s="216" t="s">
        <v>234</v>
      </c>
      <c r="D605" s="217"/>
      <c r="E605" s="216"/>
      <c r="F605" s="216"/>
      <c r="G605" s="216" t="s">
        <v>234</v>
      </c>
      <c r="H605" s="216" t="s">
        <v>234</v>
      </c>
      <c r="I605" s="217" t="s">
        <v>234</v>
      </c>
      <c r="J605" s="217"/>
      <c r="K605" s="216"/>
      <c r="L605" s="216"/>
      <c r="M605" s="217" t="s">
        <v>234</v>
      </c>
      <c r="N605" s="216"/>
      <c r="O605" s="217"/>
      <c r="P605" s="216"/>
      <c r="Q605" s="217"/>
      <c r="R605" s="217" t="s">
        <v>234</v>
      </c>
      <c r="S605" s="217"/>
      <c r="T605" s="217"/>
      <c r="U605" s="218">
        <f t="shared" ref="U605:U635" si="754">COUNTA(C605:T605)</f>
        <v>6</v>
      </c>
      <c r="V605" s="867" t="s">
        <v>235</v>
      </c>
      <c r="W605" s="219">
        <v>139069</v>
      </c>
      <c r="X605" s="220">
        <v>3.36</v>
      </c>
      <c r="Y605" s="221">
        <f t="shared" si="700"/>
        <v>1.0336000000000001</v>
      </c>
      <c r="Z605" s="199">
        <v>19</v>
      </c>
      <c r="AA605" s="221">
        <f t="shared" si="701"/>
        <v>1.873689022502546</v>
      </c>
      <c r="AB605" s="199">
        <f t="shared" si="749"/>
        <v>260572.05867040658</v>
      </c>
      <c r="AC605">
        <v>12.2</v>
      </c>
      <c r="AD605" s="199">
        <f t="shared" si="750"/>
        <v>31789.791157789601</v>
      </c>
      <c r="AE605" s="199">
        <f t="shared" si="702"/>
        <v>30200.301599900118</v>
      </c>
      <c r="AF605" s="199">
        <f t="shared" si="733"/>
        <v>0</v>
      </c>
      <c r="AG605" s="614">
        <f t="shared" si="732"/>
        <v>1.3963293641711344E-3</v>
      </c>
      <c r="AH605" s="199">
        <f>AB605*0.05</f>
        <v>13028.602933520329</v>
      </c>
      <c r="AI605" s="252">
        <f t="shared" si="716"/>
        <v>1.0093061289982224E-3</v>
      </c>
      <c r="AJ605" s="199">
        <f t="shared" si="717"/>
        <v>44818.394091309929</v>
      </c>
      <c r="AK605" s="199">
        <f t="shared" si="735"/>
        <v>10422.882346816263</v>
      </c>
      <c r="AL605" s="199">
        <f t="shared" si="736"/>
        <v>10422.882346816263</v>
      </c>
      <c r="AM605" s="199">
        <f t="shared" si="718"/>
        <v>20845.764693632525</v>
      </c>
      <c r="AN605" s="645">
        <f t="shared" si="719"/>
        <v>1.0093061289982224E-3</v>
      </c>
      <c r="AO605" s="199">
        <v>11</v>
      </c>
      <c r="AP605" s="250">
        <f t="shared" si="742"/>
        <v>1.2498579706851495E-3</v>
      </c>
      <c r="AQ605" s="199">
        <v>11</v>
      </c>
      <c r="AU605" s="199">
        <v>1</v>
      </c>
      <c r="AV605" s="199">
        <f t="shared" ref="AV605:AV635" si="755">W605/3902051*4061795</f>
        <v>144762.27216276774</v>
      </c>
      <c r="AW605" s="250">
        <f t="shared" si="720"/>
        <v>4.1665427026296477E-3</v>
      </c>
      <c r="AX605" s="199">
        <v>0</v>
      </c>
      <c r="AY605" s="199">
        <f t="shared" ref="AY605:AY635" si="756">AJ605/1257532*329840</f>
        <v>11755.485432639223</v>
      </c>
      <c r="AZ605" s="199">
        <f t="shared" si="721"/>
        <v>0</v>
      </c>
      <c r="BA605" s="252">
        <f t="shared" si="722"/>
        <v>0</v>
      </c>
      <c r="BB605" s="284">
        <v>0</v>
      </c>
      <c r="BC605" s="199">
        <f t="shared" ref="BC605:BC635" si="757">AD605*BB605*0.18*4</f>
        <v>0</v>
      </c>
      <c r="BD605" s="270">
        <f t="shared" si="752"/>
        <v>0</v>
      </c>
      <c r="BE605" s="199">
        <f t="shared" ref="BE605:BE635" si="758">AD605*BB605*0.77*4</f>
        <v>0</v>
      </c>
      <c r="BF605" s="251">
        <f t="shared" si="753"/>
        <v>0</v>
      </c>
      <c r="BG605" s="204">
        <f t="shared" ref="BG605:BG635" si="759">BC605+BE605</f>
        <v>0</v>
      </c>
      <c r="BH605" s="636">
        <v>1</v>
      </c>
      <c r="BI605" s="199">
        <f t="shared" si="723"/>
        <v>79735.049953144422</v>
      </c>
      <c r="BJ605" s="199">
        <f t="shared" si="724"/>
        <v>159470.09990628884</v>
      </c>
      <c r="BK605" s="199">
        <f t="shared" si="731"/>
        <v>239205.14985943327</v>
      </c>
      <c r="BL605" s="251">
        <f t="shared" si="725"/>
        <v>1.0093061289982224E-3</v>
      </c>
      <c r="BM605" s="199">
        <f t="shared" ref="BM605:BM635" si="760">AH605/365562*500961</f>
        <v>17854.213387002143</v>
      </c>
      <c r="BN605" s="251">
        <f t="shared" si="726"/>
        <v>7.7100045968429788E-4</v>
      </c>
      <c r="BT605" s="199">
        <f>'Detailed Budget'!$AD$12</f>
        <v>194045122715</v>
      </c>
      <c r="BU605" s="199">
        <f>'Detailed Budget'!$AD$24</f>
        <v>194045122715</v>
      </c>
      <c r="BV605" s="596">
        <f t="shared" ref="BV605:BV635" si="761">AV605/34743979</f>
        <v>4.1665427026296477E-3</v>
      </c>
      <c r="BW605" s="278"/>
      <c r="BX605" s="275">
        <f t="shared" si="698"/>
        <v>808497290.02905774</v>
      </c>
      <c r="BY605" s="275">
        <f t="shared" si="699"/>
        <v>808497290.02905774</v>
      </c>
      <c r="CA605" s="199">
        <f>'Detailed Budget'!$AD$96</f>
        <v>71050111380.677719</v>
      </c>
      <c r="CB605" s="275">
        <f t="shared" si="727"/>
        <v>0</v>
      </c>
      <c r="CE605" s="199">
        <f>'Detailed Budget'!$AD$175</f>
        <v>4330586076.5988197</v>
      </c>
      <c r="CF605" s="275">
        <f t="shared" ref="CF605:CF635" si="762">BB605*BD605*CE605</f>
        <v>0</v>
      </c>
      <c r="CG605" s="199">
        <f>'Detailed Budget'!$AD$176</f>
        <v>20662817754.37001</v>
      </c>
      <c r="CH605" s="275">
        <f t="shared" ref="CH605:CH635" si="763">BB605*BF605*CG605</f>
        <v>0</v>
      </c>
      <c r="CI605" s="275">
        <f t="shared" si="734"/>
        <v>0</v>
      </c>
      <c r="CJ605" s="275">
        <f>'Detailed Budget'!$AD$178</f>
        <v>46025131033.061455</v>
      </c>
      <c r="CK605" s="275">
        <f t="shared" ref="CK605:CK635" si="764">BB605*AG605*CJ605</f>
        <v>0</v>
      </c>
      <c r="CL605" s="275">
        <f t="shared" si="737"/>
        <v>0</v>
      </c>
      <c r="CM605" s="278">
        <f>'Detailed Budget'!$AD$189</f>
        <v>77498869683.252869</v>
      </c>
      <c r="CN605" s="275">
        <f t="shared" si="728"/>
        <v>78220084.161741644</v>
      </c>
      <c r="CO605" s="140">
        <f>'Detailed Budget'!$AD$191</f>
        <v>2684962805.4134097</v>
      </c>
      <c r="CP605" s="616">
        <f t="shared" si="729"/>
        <v>2709949.4156360161</v>
      </c>
      <c r="CQ605" s="616">
        <f t="shared" si="730"/>
        <v>80930033.577377662</v>
      </c>
      <c r="CR605" s="199">
        <f>'Detailed Budget'!$AD$195</f>
        <v>18734176418</v>
      </c>
      <c r="CS605" s="275">
        <f t="shared" ref="CS605:CS635" si="765">BN605*CR605</f>
        <v>14444058.630084733</v>
      </c>
      <c r="CW605" s="278"/>
      <c r="DH605" s="140">
        <f>'Detailed Budget'!$AD$163</f>
        <v>4928560000</v>
      </c>
      <c r="DI605" s="616">
        <f t="shared" ref="DI605:DI637" si="766">AP605*DH605</f>
        <v>6160000</v>
      </c>
    </row>
    <row r="606" spans="1:113" outlineLevel="1">
      <c r="A606" s="214" t="s">
        <v>1292</v>
      </c>
      <c r="B606" s="215" t="s">
        <v>1293</v>
      </c>
      <c r="C606" s="216" t="s">
        <v>234</v>
      </c>
      <c r="D606" s="217"/>
      <c r="E606" s="216"/>
      <c r="F606" s="216"/>
      <c r="G606" s="216" t="s">
        <v>234</v>
      </c>
      <c r="H606" s="216" t="s">
        <v>234</v>
      </c>
      <c r="I606" s="217" t="s">
        <v>234</v>
      </c>
      <c r="J606" s="217"/>
      <c r="K606" s="216"/>
      <c r="L606" s="216"/>
      <c r="M606" s="217" t="s">
        <v>234</v>
      </c>
      <c r="N606" s="216"/>
      <c r="O606" s="217"/>
      <c r="P606" s="216"/>
      <c r="Q606" s="217"/>
      <c r="R606" s="217" t="s">
        <v>234</v>
      </c>
      <c r="S606" s="217"/>
      <c r="T606" s="217"/>
      <c r="U606" s="218">
        <f t="shared" si="754"/>
        <v>6</v>
      </c>
      <c r="V606" s="867" t="s">
        <v>235</v>
      </c>
      <c r="W606" s="219">
        <v>59970</v>
      </c>
      <c r="X606" s="220">
        <v>3.36</v>
      </c>
      <c r="Y606" s="221">
        <f t="shared" si="700"/>
        <v>1.0336000000000001</v>
      </c>
      <c r="Z606" s="199">
        <v>19</v>
      </c>
      <c r="AA606" s="221">
        <f t="shared" si="701"/>
        <v>1.873689022502546</v>
      </c>
      <c r="AB606" s="199">
        <f t="shared" si="749"/>
        <v>112365.13067947768</v>
      </c>
      <c r="AC606">
        <v>12.2</v>
      </c>
      <c r="AD606" s="199">
        <f t="shared" si="750"/>
        <v>13708.545942896277</v>
      </c>
      <c r="AE606" s="199">
        <f t="shared" si="702"/>
        <v>13023.118645751463</v>
      </c>
      <c r="AF606" s="199">
        <f t="shared" si="733"/>
        <v>0</v>
      </c>
      <c r="AG606" s="614">
        <f t="shared" si="732"/>
        <v>6.0213183361743409E-4</v>
      </c>
      <c r="AH606" s="199">
        <f t="shared" ref="AH606:AH635" si="767">AB606*0.05</f>
        <v>5618.256533973884</v>
      </c>
      <c r="AI606" s="252">
        <f t="shared" si="716"/>
        <v>4.3523782119684039E-4</v>
      </c>
      <c r="AJ606" s="199">
        <f t="shared" si="717"/>
        <v>19326.802476870162</v>
      </c>
      <c r="AK606" s="199">
        <f t="shared" si="735"/>
        <v>4494.6052271791068</v>
      </c>
      <c r="AL606" s="199">
        <f t="shared" si="736"/>
        <v>4494.6052271791068</v>
      </c>
      <c r="AM606" s="199">
        <f t="shared" si="718"/>
        <v>8989.2104543582136</v>
      </c>
      <c r="AN606" s="645">
        <f t="shared" si="719"/>
        <v>4.3523782119684034E-4</v>
      </c>
      <c r="AO606" s="199">
        <v>10</v>
      </c>
      <c r="AP606" s="250">
        <f t="shared" si="742"/>
        <v>1.1362345188046814E-3</v>
      </c>
      <c r="AQ606" s="199">
        <v>10</v>
      </c>
      <c r="AU606" s="199">
        <v>1</v>
      </c>
      <c r="AV606" s="199">
        <f t="shared" si="755"/>
        <v>62425.080079681175</v>
      </c>
      <c r="AW606" s="250">
        <f t="shared" si="720"/>
        <v>1.7967164923649412E-3</v>
      </c>
      <c r="AX606" s="199">
        <v>0</v>
      </c>
      <c r="AY606" s="199">
        <f t="shared" si="756"/>
        <v>5069.2567099452372</v>
      </c>
      <c r="AZ606" s="199">
        <f t="shared" si="721"/>
        <v>0</v>
      </c>
      <c r="BA606" s="252">
        <f t="shared" si="722"/>
        <v>0</v>
      </c>
      <c r="BB606" s="284">
        <v>0</v>
      </c>
      <c r="BC606" s="199">
        <f t="shared" si="757"/>
        <v>0</v>
      </c>
      <c r="BD606" s="270">
        <f t="shared" si="752"/>
        <v>0</v>
      </c>
      <c r="BE606" s="199">
        <f t="shared" si="758"/>
        <v>0</v>
      </c>
      <c r="BF606" s="251">
        <f t="shared" si="753"/>
        <v>0</v>
      </c>
      <c r="BG606" s="204">
        <f t="shared" si="759"/>
        <v>0</v>
      </c>
      <c r="BH606" s="636">
        <v>1</v>
      </c>
      <c r="BI606" s="199">
        <f t="shared" si="723"/>
        <v>34383.729987920167</v>
      </c>
      <c r="BJ606" s="199">
        <f t="shared" si="724"/>
        <v>68767.459975840335</v>
      </c>
      <c r="BK606" s="199">
        <f t="shared" si="731"/>
        <v>103151.18996376049</v>
      </c>
      <c r="BL606" s="251">
        <f t="shared" si="725"/>
        <v>4.3523782119684029E-4</v>
      </c>
      <c r="BM606" s="199">
        <f t="shared" si="760"/>
        <v>7699.1793772768806</v>
      </c>
      <c r="BN606" s="251">
        <f t="shared" si="726"/>
        <v>3.3247450954035297E-4</v>
      </c>
      <c r="BT606" s="199">
        <f>'Detailed Budget'!$AD$12</f>
        <v>194045122715</v>
      </c>
      <c r="BU606" s="199">
        <f>'Detailed Budget'!$AD$24</f>
        <v>194045122715</v>
      </c>
      <c r="BV606" s="596">
        <f t="shared" si="761"/>
        <v>1.7967164923649412E-3</v>
      </c>
      <c r="BW606" s="278"/>
      <c r="BX606" s="275">
        <f t="shared" si="698"/>
        <v>348644072.24501938</v>
      </c>
      <c r="BY606" s="275">
        <f t="shared" si="699"/>
        <v>348644072.24501938</v>
      </c>
      <c r="CA606" s="199">
        <f>'Detailed Budget'!$AD$96</f>
        <v>71050111380.677719</v>
      </c>
      <c r="CB606" s="275">
        <f t="shared" si="727"/>
        <v>0</v>
      </c>
      <c r="CE606" s="199">
        <f>'Detailed Budget'!$AD$175</f>
        <v>4330586076.5988197</v>
      </c>
      <c r="CF606" s="275">
        <f t="shared" si="762"/>
        <v>0</v>
      </c>
      <c r="CG606" s="199">
        <f>'Detailed Budget'!$AD$176</f>
        <v>20662817754.37001</v>
      </c>
      <c r="CH606" s="275">
        <f t="shared" si="763"/>
        <v>0</v>
      </c>
      <c r="CI606" s="275">
        <f t="shared" si="734"/>
        <v>0</v>
      </c>
      <c r="CJ606" s="275">
        <f>'Detailed Budget'!$AD$178</f>
        <v>46025131033.061455</v>
      </c>
      <c r="CK606" s="275">
        <f t="shared" si="764"/>
        <v>0</v>
      </c>
      <c r="CL606" s="275">
        <f t="shared" si="737"/>
        <v>0</v>
      </c>
      <c r="CM606" s="278">
        <f>'Detailed Budget'!$AD$189</f>
        <v>77498869683.252869</v>
      </c>
      <c r="CN606" s="275">
        <f t="shared" si="728"/>
        <v>33730439.186156839</v>
      </c>
      <c r="CO606" s="140">
        <f>'Detailed Budget'!$AD$191</f>
        <v>2684962805.4134097</v>
      </c>
      <c r="CP606" s="616">
        <f t="shared" si="729"/>
        <v>1168597.3614226885</v>
      </c>
      <c r="CQ606" s="616">
        <f t="shared" si="730"/>
        <v>34899036.547579527</v>
      </c>
      <c r="CR606" s="199">
        <f>'Detailed Budget'!$AD$195</f>
        <v>18734176418</v>
      </c>
      <c r="CS606" s="275">
        <f t="shared" si="765"/>
        <v>6228636.1162169967</v>
      </c>
      <c r="CW606" s="278"/>
      <c r="DH606" s="140">
        <f>'Detailed Budget'!$AD$163</f>
        <v>4928560000</v>
      </c>
      <c r="DI606" s="616">
        <f t="shared" si="766"/>
        <v>5600000</v>
      </c>
    </row>
    <row r="607" spans="1:113" outlineLevel="1">
      <c r="A607" s="214" t="s">
        <v>1294</v>
      </c>
      <c r="B607" s="215" t="s">
        <v>1295</v>
      </c>
      <c r="C607" s="216" t="s">
        <v>234</v>
      </c>
      <c r="D607" s="217"/>
      <c r="E607" s="216"/>
      <c r="F607" s="216"/>
      <c r="G607" s="216" t="s">
        <v>234</v>
      </c>
      <c r="H607" s="216" t="s">
        <v>234</v>
      </c>
      <c r="I607" s="217" t="s">
        <v>234</v>
      </c>
      <c r="J607" s="217"/>
      <c r="K607" s="216"/>
      <c r="L607" s="216"/>
      <c r="M607" s="217" t="s">
        <v>234</v>
      </c>
      <c r="N607" s="216"/>
      <c r="O607" s="217"/>
      <c r="P607" s="216"/>
      <c r="Q607" s="217"/>
      <c r="R607" s="217" t="s">
        <v>234</v>
      </c>
      <c r="S607" s="217"/>
      <c r="T607" s="217"/>
      <c r="U607" s="218">
        <f t="shared" si="754"/>
        <v>6</v>
      </c>
      <c r="V607" s="867" t="s">
        <v>235</v>
      </c>
      <c r="W607" s="219">
        <v>172856</v>
      </c>
      <c r="X607" s="220">
        <v>3.36</v>
      </c>
      <c r="Y607" s="221">
        <f t="shared" si="700"/>
        <v>1.0336000000000001</v>
      </c>
      <c r="Z607" s="199">
        <v>19</v>
      </c>
      <c r="AA607" s="221">
        <f t="shared" si="701"/>
        <v>1.873689022502546</v>
      </c>
      <c r="AB607" s="199">
        <f t="shared" si="749"/>
        <v>323878.38967370009</v>
      </c>
      <c r="AC607">
        <v>12.2</v>
      </c>
      <c r="AD607" s="199">
        <f t="shared" si="750"/>
        <v>39513.16354019141</v>
      </c>
      <c r="AE607" s="199">
        <f t="shared" si="702"/>
        <v>37537.505363181837</v>
      </c>
      <c r="AF607" s="199">
        <f t="shared" si="733"/>
        <v>0</v>
      </c>
      <c r="AG607" s="614">
        <f t="shared" si="732"/>
        <v>1.7355694552572149E-3</v>
      </c>
      <c r="AH607" s="199">
        <f t="shared" si="767"/>
        <v>16193.919483685006</v>
      </c>
      <c r="AI607" s="252">
        <f t="shared" si="716"/>
        <v>1.2545184062164589E-3</v>
      </c>
      <c r="AJ607" s="199">
        <f t="shared" si="717"/>
        <v>55707.083023876417</v>
      </c>
      <c r="AK607" s="199">
        <f t="shared" si="735"/>
        <v>12955.135586948003</v>
      </c>
      <c r="AL607" s="199">
        <f t="shared" si="736"/>
        <v>12955.135586948003</v>
      </c>
      <c r="AM607" s="199">
        <f t="shared" si="718"/>
        <v>25910.271173896006</v>
      </c>
      <c r="AN607" s="645">
        <f t="shared" si="719"/>
        <v>1.2545184062164589E-3</v>
      </c>
      <c r="AO607" s="199">
        <v>11</v>
      </c>
      <c r="AP607" s="250">
        <f t="shared" si="742"/>
        <v>1.2498579706851495E-3</v>
      </c>
      <c r="AQ607" s="199">
        <v>11</v>
      </c>
      <c r="AU607" s="199">
        <v>1</v>
      </c>
      <c r="AV607" s="199">
        <f t="shared" si="755"/>
        <v>179932.46026769001</v>
      </c>
      <c r="AW607" s="250">
        <f t="shared" si="720"/>
        <v>5.1788098383230667E-3</v>
      </c>
      <c r="AX607" s="199">
        <v>0</v>
      </c>
      <c r="AY607" s="199">
        <f t="shared" si="756"/>
        <v>14611.496379094446</v>
      </c>
      <c r="AZ607" s="199">
        <f t="shared" si="721"/>
        <v>0</v>
      </c>
      <c r="BA607" s="252">
        <f t="shared" si="722"/>
        <v>0</v>
      </c>
      <c r="BB607" s="284">
        <v>0</v>
      </c>
      <c r="BC607" s="199">
        <f t="shared" si="757"/>
        <v>0</v>
      </c>
      <c r="BD607" s="270">
        <f t="shared" si="752"/>
        <v>0</v>
      </c>
      <c r="BE607" s="199">
        <f t="shared" si="758"/>
        <v>0</v>
      </c>
      <c r="BF607" s="251">
        <f t="shared" si="753"/>
        <v>0</v>
      </c>
      <c r="BG607" s="204">
        <f t="shared" si="759"/>
        <v>0</v>
      </c>
      <c r="BH607" s="636">
        <v>1</v>
      </c>
      <c r="BI607" s="199">
        <f t="shared" si="723"/>
        <v>99106.787240152218</v>
      </c>
      <c r="BJ607" s="199">
        <f t="shared" si="724"/>
        <v>198213.57448030444</v>
      </c>
      <c r="BK607" s="199">
        <f t="shared" si="731"/>
        <v>297320.36172045663</v>
      </c>
      <c r="BL607" s="251">
        <f t="shared" si="725"/>
        <v>1.2545184062164587E-3</v>
      </c>
      <c r="BM607" s="199">
        <f t="shared" si="760"/>
        <v>22191.918466542815</v>
      </c>
      <c r="BN607" s="251">
        <f t="shared" si="726"/>
        <v>9.5831605504597729E-4</v>
      </c>
      <c r="BT607" s="199">
        <f>'Detailed Budget'!$AD$12</f>
        <v>194045122715</v>
      </c>
      <c r="BU607" s="199">
        <f>'Detailed Budget'!$AD$24</f>
        <v>194045122715</v>
      </c>
      <c r="BV607" s="596">
        <f t="shared" si="761"/>
        <v>5.1788098383230667E-3</v>
      </c>
      <c r="BW607" s="278"/>
      <c r="BX607" s="275">
        <f t="shared" si="698"/>
        <v>1004922790.5950488</v>
      </c>
      <c r="BY607" s="275">
        <f t="shared" si="699"/>
        <v>1004922790.5950488</v>
      </c>
      <c r="CA607" s="199">
        <f>'Detailed Budget'!$AD$96</f>
        <v>71050111380.677719</v>
      </c>
      <c r="CB607" s="275">
        <f t="shared" si="727"/>
        <v>0</v>
      </c>
      <c r="CE607" s="199">
        <f>'Detailed Budget'!$AD$175</f>
        <v>4330586076.5988197</v>
      </c>
      <c r="CF607" s="275">
        <f t="shared" si="762"/>
        <v>0</v>
      </c>
      <c r="CG607" s="199">
        <f>'Detailed Budget'!$AD$176</f>
        <v>20662817754.37001</v>
      </c>
      <c r="CH607" s="275">
        <f t="shared" si="763"/>
        <v>0</v>
      </c>
      <c r="CI607" s="275">
        <f t="shared" si="734"/>
        <v>0</v>
      </c>
      <c r="CJ607" s="275">
        <f>'Detailed Budget'!$AD$178</f>
        <v>46025131033.061455</v>
      </c>
      <c r="CK607" s="275">
        <f t="shared" si="764"/>
        <v>0</v>
      </c>
      <c r="CL607" s="275">
        <f t="shared" si="737"/>
        <v>0</v>
      </c>
      <c r="CM607" s="278">
        <f>'Detailed Budget'!$AD$189</f>
        <v>77498869683.252869</v>
      </c>
      <c r="CN607" s="275">
        <f t="shared" si="728"/>
        <v>97223758.478611425</v>
      </c>
      <c r="CO607" s="140">
        <f>'Detailed Budget'!$AD$191</f>
        <v>2684962805.4134097</v>
      </c>
      <c r="CP607" s="616">
        <f t="shared" si="729"/>
        <v>3368335.2593977032</v>
      </c>
      <c r="CQ607" s="616">
        <f t="shared" si="730"/>
        <v>100592093.73800912</v>
      </c>
      <c r="CR607" s="199">
        <f>'Detailed Budget'!$AD$195</f>
        <v>18734176418</v>
      </c>
      <c r="CS607" s="275">
        <f t="shared" si="765"/>
        <v>17953262.039433137</v>
      </c>
      <c r="CW607" s="278"/>
      <c r="DH607" s="140">
        <f>'Detailed Budget'!$AD$163</f>
        <v>4928560000</v>
      </c>
      <c r="DI607" s="616">
        <f t="shared" si="766"/>
        <v>6160000</v>
      </c>
    </row>
    <row r="608" spans="1:113" outlineLevel="1">
      <c r="A608" s="214" t="s">
        <v>1296</v>
      </c>
      <c r="B608" s="215" t="s">
        <v>1297</v>
      </c>
      <c r="C608" s="216" t="s">
        <v>234</v>
      </c>
      <c r="D608" s="217"/>
      <c r="E608" s="216"/>
      <c r="F608" s="216"/>
      <c r="G608" s="216" t="s">
        <v>234</v>
      </c>
      <c r="H608" s="216" t="s">
        <v>234</v>
      </c>
      <c r="I608" s="217" t="s">
        <v>234</v>
      </c>
      <c r="J608" s="217"/>
      <c r="K608" s="216"/>
      <c r="L608" s="216"/>
      <c r="M608" s="217" t="s">
        <v>234</v>
      </c>
      <c r="N608" s="216"/>
      <c r="O608" s="217"/>
      <c r="P608" s="216"/>
      <c r="Q608" s="217"/>
      <c r="R608" s="217" t="s">
        <v>234</v>
      </c>
      <c r="S608" s="217"/>
      <c r="T608" s="217"/>
      <c r="U608" s="218">
        <f t="shared" si="754"/>
        <v>6</v>
      </c>
      <c r="V608" s="867" t="s">
        <v>235</v>
      </c>
      <c r="W608" s="219">
        <v>63358</v>
      </c>
      <c r="X608" s="220">
        <v>3.36</v>
      </c>
      <c r="Y608" s="221">
        <f t="shared" si="700"/>
        <v>1.0336000000000001</v>
      </c>
      <c r="Z608" s="199">
        <v>19</v>
      </c>
      <c r="AA608" s="221">
        <f t="shared" si="701"/>
        <v>1.873689022502546</v>
      </c>
      <c r="AB608" s="199">
        <f t="shared" si="749"/>
        <v>118713.18908771631</v>
      </c>
      <c r="AC608">
        <v>12.2</v>
      </c>
      <c r="AD608" s="199">
        <f t="shared" si="750"/>
        <v>14483.009068701389</v>
      </c>
      <c r="AE608" s="199">
        <f t="shared" si="702"/>
        <v>13758.858615266319</v>
      </c>
      <c r="AF608" s="199">
        <f t="shared" si="733"/>
        <v>0</v>
      </c>
      <c r="AG608" s="614">
        <f t="shared" si="732"/>
        <v>6.3614921984881409E-4</v>
      </c>
      <c r="AH608" s="199">
        <f t="shared" si="767"/>
        <v>5935.6594543858155</v>
      </c>
      <c r="AI608" s="252">
        <f t="shared" si="716"/>
        <v>4.5982654452875459E-4</v>
      </c>
      <c r="AJ608" s="199">
        <f t="shared" si="717"/>
        <v>20418.668523087203</v>
      </c>
      <c r="AK608" s="199">
        <f t="shared" si="735"/>
        <v>4748.5275635086527</v>
      </c>
      <c r="AL608" s="199">
        <f t="shared" si="736"/>
        <v>4748.5275635086527</v>
      </c>
      <c r="AM608" s="199">
        <f t="shared" si="718"/>
        <v>9497.0551270173055</v>
      </c>
      <c r="AN608" s="645">
        <f t="shared" si="719"/>
        <v>4.5982654452875465E-4</v>
      </c>
      <c r="AO608" s="199">
        <v>10</v>
      </c>
      <c r="AP608" s="250">
        <f t="shared" si="742"/>
        <v>1.1362345188046814E-3</v>
      </c>
      <c r="AQ608" s="199">
        <v>10</v>
      </c>
      <c r="AU608" s="199">
        <v>1</v>
      </c>
      <c r="AV608" s="199">
        <f t="shared" si="755"/>
        <v>65951.779617949636</v>
      </c>
      <c r="AW608" s="250">
        <f t="shared" si="720"/>
        <v>1.8982218363057851E-3</v>
      </c>
      <c r="AX608" s="199">
        <v>0</v>
      </c>
      <c r="AY608" s="199">
        <f t="shared" si="756"/>
        <v>5355.6439324447274</v>
      </c>
      <c r="AZ608" s="199">
        <f t="shared" si="721"/>
        <v>0</v>
      </c>
      <c r="BA608" s="252">
        <f t="shared" si="722"/>
        <v>0</v>
      </c>
      <c r="BB608" s="284">
        <v>0</v>
      </c>
      <c r="BC608" s="199">
        <f t="shared" si="757"/>
        <v>0</v>
      </c>
      <c r="BD608" s="270">
        <f t="shared" si="752"/>
        <v>0</v>
      </c>
      <c r="BE608" s="199">
        <f t="shared" si="758"/>
        <v>0</v>
      </c>
      <c r="BF608" s="251">
        <f t="shared" si="753"/>
        <v>0</v>
      </c>
      <c r="BG608" s="204">
        <f t="shared" si="759"/>
        <v>0</v>
      </c>
      <c r="BH608" s="636">
        <v>1</v>
      </c>
      <c r="BI608" s="199">
        <f t="shared" si="723"/>
        <v>36326.235860841189</v>
      </c>
      <c r="BJ608" s="199">
        <f t="shared" si="724"/>
        <v>72652.471721682377</v>
      </c>
      <c r="BK608" s="199">
        <f t="shared" si="731"/>
        <v>108978.70758252357</v>
      </c>
      <c r="BL608" s="251">
        <f t="shared" si="725"/>
        <v>4.5982654452875459E-4</v>
      </c>
      <c r="BM608" s="199">
        <f t="shared" si="760"/>
        <v>8134.1438550193188</v>
      </c>
      <c r="BN608" s="251">
        <f t="shared" si="726"/>
        <v>3.512576284051639E-4</v>
      </c>
      <c r="BT608" s="199">
        <f>'Detailed Budget'!$AD$12</f>
        <v>194045122715</v>
      </c>
      <c r="BU608" s="199">
        <f>'Detailed Budget'!$AD$24</f>
        <v>194045122715</v>
      </c>
      <c r="BV608" s="596">
        <f t="shared" si="761"/>
        <v>1.8982218363057851E-3</v>
      </c>
      <c r="BW608" s="278"/>
      <c r="BX608" s="275">
        <f t="shared" si="698"/>
        <v>368340689.16624874</v>
      </c>
      <c r="BY608" s="275">
        <f t="shared" si="699"/>
        <v>368340689.16624874</v>
      </c>
      <c r="CA608" s="199">
        <f>'Detailed Budget'!$AD$96</f>
        <v>71050111380.677719</v>
      </c>
      <c r="CB608" s="275">
        <f t="shared" si="727"/>
        <v>0</v>
      </c>
      <c r="CE608" s="199">
        <f>'Detailed Budget'!$AD$175</f>
        <v>4330586076.5988197</v>
      </c>
      <c r="CF608" s="275">
        <f t="shared" si="762"/>
        <v>0</v>
      </c>
      <c r="CG608" s="199">
        <f>'Detailed Budget'!$AD$176</f>
        <v>20662817754.37001</v>
      </c>
      <c r="CH608" s="275">
        <f t="shared" si="763"/>
        <v>0</v>
      </c>
      <c r="CI608" s="275">
        <f t="shared" si="734"/>
        <v>0</v>
      </c>
      <c r="CJ608" s="275">
        <f>'Detailed Budget'!$AD$178</f>
        <v>46025131033.061455</v>
      </c>
      <c r="CK608" s="275">
        <f t="shared" si="764"/>
        <v>0</v>
      </c>
      <c r="CL608" s="275">
        <f t="shared" si="737"/>
        <v>0</v>
      </c>
      <c r="CM608" s="278">
        <f>'Detailed Budget'!$AD$189</f>
        <v>77498869683.252869</v>
      </c>
      <c r="CN608" s="275">
        <f t="shared" si="728"/>
        <v>35636037.451334424</v>
      </c>
      <c r="CO608" s="140">
        <f>'Detailed Budget'!$AD$191</f>
        <v>2684962805.4134097</v>
      </c>
      <c r="CP608" s="616">
        <f t="shared" si="729"/>
        <v>1234617.1690014792</v>
      </c>
      <c r="CQ608" s="616">
        <f t="shared" si="730"/>
        <v>36870654.620335907</v>
      </c>
      <c r="CR608" s="199">
        <f>'Detailed Budget'!$AD$195</f>
        <v>18734176418</v>
      </c>
      <c r="CS608" s="275">
        <f t="shared" si="765"/>
        <v>6580522.3787106285</v>
      </c>
      <c r="CW608" s="278"/>
      <c r="DH608" s="140">
        <f>'Detailed Budget'!$AD$163</f>
        <v>4928560000</v>
      </c>
      <c r="DI608" s="616">
        <f t="shared" si="766"/>
        <v>5600000</v>
      </c>
    </row>
    <row r="609" spans="1:113" outlineLevel="1">
      <c r="A609" s="214" t="s">
        <v>1298</v>
      </c>
      <c r="B609" s="215" t="s">
        <v>1299</v>
      </c>
      <c r="C609" s="216" t="s">
        <v>234</v>
      </c>
      <c r="D609" s="217"/>
      <c r="E609" s="216"/>
      <c r="F609" s="216"/>
      <c r="G609" s="216" t="s">
        <v>234</v>
      </c>
      <c r="H609" s="216" t="s">
        <v>234</v>
      </c>
      <c r="I609" s="217" t="s">
        <v>234</v>
      </c>
      <c r="J609" s="217"/>
      <c r="K609" s="216"/>
      <c r="L609" s="216"/>
      <c r="M609" s="217" t="s">
        <v>234</v>
      </c>
      <c r="N609" s="216"/>
      <c r="O609" s="217"/>
      <c r="P609" s="216"/>
      <c r="Q609" s="217"/>
      <c r="R609" s="217" t="s">
        <v>234</v>
      </c>
      <c r="S609" s="217"/>
      <c r="T609" s="217"/>
      <c r="U609" s="218">
        <f t="shared" si="754"/>
        <v>6</v>
      </c>
      <c r="V609" s="867" t="s">
        <v>235</v>
      </c>
      <c r="W609" s="219">
        <v>193257</v>
      </c>
      <c r="X609" s="220">
        <v>3.36</v>
      </c>
      <c r="Y609" s="221">
        <f t="shared" si="700"/>
        <v>1.0336000000000001</v>
      </c>
      <c r="Z609" s="199">
        <v>19</v>
      </c>
      <c r="AA609" s="221">
        <f t="shared" si="701"/>
        <v>1.873689022502546</v>
      </c>
      <c r="AB609" s="199">
        <f t="shared" si="749"/>
        <v>362103.51942177454</v>
      </c>
      <c r="AC609">
        <v>12.2</v>
      </c>
      <c r="AD609" s="199">
        <f t="shared" si="750"/>
        <v>44176.629369456488</v>
      </c>
      <c r="AE609" s="199">
        <f t="shared" si="702"/>
        <v>41967.797900983664</v>
      </c>
      <c r="AF609" s="199">
        <f t="shared" si="733"/>
        <v>0</v>
      </c>
      <c r="AG609" s="614">
        <f t="shared" si="732"/>
        <v>1.9404067328565023E-3</v>
      </c>
      <c r="AH609" s="199">
        <f t="shared" si="767"/>
        <v>18105.175971088727</v>
      </c>
      <c r="AI609" s="252">
        <f t="shared" si="716"/>
        <v>1.4025805504591926E-3</v>
      </c>
      <c r="AJ609" s="199">
        <f t="shared" si="717"/>
        <v>62281.805340545216</v>
      </c>
      <c r="AK609" s="199">
        <f t="shared" si="735"/>
        <v>14484.140776870981</v>
      </c>
      <c r="AL609" s="199">
        <f t="shared" si="736"/>
        <v>14484.140776870981</v>
      </c>
      <c r="AM609" s="199">
        <f t="shared" si="718"/>
        <v>28968.281553741963</v>
      </c>
      <c r="AN609" s="645">
        <f t="shared" si="719"/>
        <v>1.4025805504591926E-3</v>
      </c>
      <c r="AO609" s="199">
        <v>11</v>
      </c>
      <c r="AP609" s="250">
        <f t="shared" si="742"/>
        <v>1.2498579706851495E-3</v>
      </c>
      <c r="AQ609" s="199">
        <v>11</v>
      </c>
      <c r="AU609" s="199">
        <v>1</v>
      </c>
      <c r="AV609" s="199">
        <f t="shared" si="755"/>
        <v>201168.64600565191</v>
      </c>
      <c r="AW609" s="250">
        <f t="shared" si="720"/>
        <v>5.7900290005831493E-3</v>
      </c>
      <c r="AX609" s="199">
        <v>0</v>
      </c>
      <c r="AY609" s="199">
        <f t="shared" si="756"/>
        <v>16335.990395095658</v>
      </c>
      <c r="AZ609" s="199">
        <f t="shared" si="721"/>
        <v>0</v>
      </c>
      <c r="BA609" s="252">
        <f t="shared" si="722"/>
        <v>0</v>
      </c>
      <c r="BB609" s="284">
        <v>0</v>
      </c>
      <c r="BC609" s="199">
        <f t="shared" si="757"/>
        <v>0</v>
      </c>
      <c r="BD609" s="270">
        <f t="shared" si="752"/>
        <v>0</v>
      </c>
      <c r="BE609" s="199">
        <f t="shared" si="758"/>
        <v>0</v>
      </c>
      <c r="BF609" s="251">
        <f t="shared" si="753"/>
        <v>0</v>
      </c>
      <c r="BG609" s="204">
        <f t="shared" si="759"/>
        <v>0</v>
      </c>
      <c r="BH609" s="636">
        <v>1</v>
      </c>
      <c r="BI609" s="199">
        <f t="shared" si="723"/>
        <v>110803.67694306302</v>
      </c>
      <c r="BJ609" s="199">
        <f t="shared" si="724"/>
        <v>221607.35388612605</v>
      </c>
      <c r="BK609" s="199">
        <f t="shared" si="731"/>
        <v>332411.03082918905</v>
      </c>
      <c r="BL609" s="251">
        <f t="shared" si="725"/>
        <v>1.4025805504591928E-3</v>
      </c>
      <c r="BM609" s="199">
        <f t="shared" si="760"/>
        <v>24811.077353916928</v>
      </c>
      <c r="BN609" s="251">
        <f t="shared" si="726"/>
        <v>1.0714194812446222E-3</v>
      </c>
      <c r="BT609" s="199">
        <f>'Detailed Budget'!$AD$12</f>
        <v>194045122715</v>
      </c>
      <c r="BU609" s="199">
        <f>'Detailed Budget'!$AD$24</f>
        <v>194045122715</v>
      </c>
      <c r="BV609" s="596">
        <f t="shared" si="761"/>
        <v>5.7900290005831493E-3</v>
      </c>
      <c r="BW609" s="278"/>
      <c r="BX609" s="275">
        <f t="shared" si="698"/>
        <v>1123526887.941566</v>
      </c>
      <c r="BY609" s="275">
        <f t="shared" si="699"/>
        <v>1123526887.941566</v>
      </c>
      <c r="CA609" s="199">
        <f>'Detailed Budget'!$AD$96</f>
        <v>71050111380.677719</v>
      </c>
      <c r="CB609" s="275">
        <f t="shared" si="727"/>
        <v>0</v>
      </c>
      <c r="CE609" s="199">
        <f>'Detailed Budget'!$AD$175</f>
        <v>4330586076.5988197</v>
      </c>
      <c r="CF609" s="275">
        <f t="shared" si="762"/>
        <v>0</v>
      </c>
      <c r="CG609" s="199">
        <f>'Detailed Budget'!$AD$176</f>
        <v>20662817754.37001</v>
      </c>
      <c r="CH609" s="275">
        <f t="shared" si="763"/>
        <v>0</v>
      </c>
      <c r="CI609" s="275">
        <f t="shared" si="734"/>
        <v>0</v>
      </c>
      <c r="CJ609" s="275">
        <f>'Detailed Budget'!$AD$178</f>
        <v>46025131033.061455</v>
      </c>
      <c r="CK609" s="275">
        <f t="shared" si="764"/>
        <v>0</v>
      </c>
      <c r="CL609" s="275">
        <f t="shared" si="737"/>
        <v>0</v>
      </c>
      <c r="CM609" s="278">
        <f>'Detailed Budget'!$AD$189</f>
        <v>77498869683.252869</v>
      </c>
      <c r="CN609" s="275">
        <f t="shared" si="728"/>
        <v>108698407.30030206</v>
      </c>
      <c r="CO609" s="140">
        <f>'Detailed Budget'!$AD$191</f>
        <v>2684962805.4134097</v>
      </c>
      <c r="CP609" s="616">
        <f t="shared" si="729"/>
        <v>3765876.6095791981</v>
      </c>
      <c r="CQ609" s="616">
        <f t="shared" si="730"/>
        <v>112464283.90988126</v>
      </c>
      <c r="CR609" s="199">
        <f>'Detailed Budget'!$AD$195</f>
        <v>18734176418</v>
      </c>
      <c r="CS609" s="275">
        <f t="shared" si="765"/>
        <v>20072161.579318795</v>
      </c>
      <c r="CW609" s="278"/>
      <c r="DH609" s="140">
        <f>'Detailed Budget'!$AD$163</f>
        <v>4928560000</v>
      </c>
      <c r="DI609" s="616">
        <f t="shared" si="766"/>
        <v>6160000</v>
      </c>
    </row>
    <row r="610" spans="1:113" outlineLevel="1">
      <c r="A610" s="214" t="s">
        <v>1300</v>
      </c>
      <c r="B610" s="215" t="s">
        <v>1301</v>
      </c>
      <c r="C610" s="216" t="s">
        <v>234</v>
      </c>
      <c r="D610" s="217"/>
      <c r="E610" s="216"/>
      <c r="F610" s="216"/>
      <c r="G610" s="216" t="s">
        <v>234</v>
      </c>
      <c r="H610" s="216" t="s">
        <v>234</v>
      </c>
      <c r="I610" s="217" t="s">
        <v>234</v>
      </c>
      <c r="J610" s="217"/>
      <c r="K610" s="216"/>
      <c r="L610" s="216"/>
      <c r="M610" s="217" t="s">
        <v>234</v>
      </c>
      <c r="N610" s="216"/>
      <c r="O610" s="217"/>
      <c r="P610" s="216"/>
      <c r="Q610" s="217"/>
      <c r="R610" s="217" t="s">
        <v>234</v>
      </c>
      <c r="S610" s="217"/>
      <c r="T610" s="217"/>
      <c r="U610" s="218">
        <f t="shared" si="754"/>
        <v>6</v>
      </c>
      <c r="V610" s="867" t="s">
        <v>235</v>
      </c>
      <c r="W610" s="219">
        <v>105922</v>
      </c>
      <c r="X610" s="220">
        <v>3.36</v>
      </c>
      <c r="Y610" s="221">
        <f t="shared" si="700"/>
        <v>1.0336000000000001</v>
      </c>
      <c r="Z610" s="199">
        <v>19</v>
      </c>
      <c r="AA610" s="221">
        <f t="shared" si="701"/>
        <v>1.873689022502546</v>
      </c>
      <c r="AB610" s="199">
        <f t="shared" si="749"/>
        <v>198464.88864151467</v>
      </c>
      <c r="AC610">
        <v>12.2</v>
      </c>
      <c r="AD610" s="199">
        <f t="shared" si="750"/>
        <v>24212.716414264789</v>
      </c>
      <c r="AE610" s="199">
        <f t="shared" si="702"/>
        <v>23002.080593551549</v>
      </c>
      <c r="AF610" s="199">
        <f t="shared" si="733"/>
        <v>0</v>
      </c>
      <c r="AG610" s="614">
        <f t="shared" si="732"/>
        <v>1.0635152256199074E-3</v>
      </c>
      <c r="AH610" s="199">
        <f t="shared" si="767"/>
        <v>9923.2444320757349</v>
      </c>
      <c r="AI610" s="252">
        <f t="shared" si="716"/>
        <v>7.6873871096901341E-4</v>
      </c>
      <c r="AJ610" s="199">
        <f t="shared" si="717"/>
        <v>34135.960846340524</v>
      </c>
      <c r="AK610" s="199">
        <f t="shared" si="735"/>
        <v>7938.595545660587</v>
      </c>
      <c r="AL610" s="199">
        <f t="shared" si="736"/>
        <v>7938.595545660587</v>
      </c>
      <c r="AM610" s="199">
        <f t="shared" si="718"/>
        <v>15877.191091321174</v>
      </c>
      <c r="AN610" s="645">
        <f t="shared" si="719"/>
        <v>7.687387109690133E-4</v>
      </c>
      <c r="AO610" s="199">
        <v>10</v>
      </c>
      <c r="AP610" s="250">
        <f t="shared" si="742"/>
        <v>1.1362345188046814E-3</v>
      </c>
      <c r="AQ610" s="199">
        <v>10</v>
      </c>
      <c r="AU610" s="199">
        <v>1</v>
      </c>
      <c r="AV610" s="199">
        <f t="shared" si="755"/>
        <v>110258.28467900598</v>
      </c>
      <c r="AW610" s="250">
        <f t="shared" si="720"/>
        <v>3.1734501301363895E-3</v>
      </c>
      <c r="AX610" s="199">
        <v>0</v>
      </c>
      <c r="AY610" s="199">
        <f t="shared" si="756"/>
        <v>8953.5736073173157</v>
      </c>
      <c r="AZ610" s="199">
        <f t="shared" si="721"/>
        <v>0</v>
      </c>
      <c r="BA610" s="252">
        <f t="shared" si="722"/>
        <v>0</v>
      </c>
      <c r="BB610" s="284">
        <v>0</v>
      </c>
      <c r="BC610" s="199">
        <f t="shared" si="757"/>
        <v>0</v>
      </c>
      <c r="BD610" s="270">
        <f t="shared" si="752"/>
        <v>0</v>
      </c>
      <c r="BE610" s="199">
        <f t="shared" si="758"/>
        <v>0</v>
      </c>
      <c r="BF610" s="251">
        <f t="shared" si="753"/>
        <v>0</v>
      </c>
      <c r="BG610" s="204">
        <f t="shared" si="759"/>
        <v>0</v>
      </c>
      <c r="BH610" s="636">
        <v>1</v>
      </c>
      <c r="BI610" s="199">
        <f t="shared" si="723"/>
        <v>60730.255924303492</v>
      </c>
      <c r="BJ610" s="199">
        <f t="shared" si="724"/>
        <v>121460.51184860698</v>
      </c>
      <c r="BK610" s="199">
        <f t="shared" si="731"/>
        <v>182190.76777291048</v>
      </c>
      <c r="BL610" s="251">
        <f t="shared" si="725"/>
        <v>7.687387109690133E-4</v>
      </c>
      <c r="BM610" s="199">
        <f t="shared" si="760"/>
        <v>13598.673970317188</v>
      </c>
      <c r="BN610" s="251">
        <f t="shared" si="726"/>
        <v>5.8723303317547554E-4</v>
      </c>
      <c r="BT610" s="199">
        <f>'Detailed Budget'!$AD$12</f>
        <v>194045122715</v>
      </c>
      <c r="BU610" s="199">
        <f>'Detailed Budget'!$AD$24</f>
        <v>194045122715</v>
      </c>
      <c r="BV610" s="596">
        <f t="shared" si="761"/>
        <v>3.1734501301363895E-3</v>
      </c>
      <c r="BW610" s="278"/>
      <c r="BX610" s="275">
        <f t="shared" si="698"/>
        <v>615792519.93224847</v>
      </c>
      <c r="BY610" s="275">
        <f t="shared" si="699"/>
        <v>615792519.93224847</v>
      </c>
      <c r="CA610" s="199">
        <f>'Detailed Budget'!$AD$96</f>
        <v>71050111380.677719</v>
      </c>
      <c r="CB610" s="275">
        <f t="shared" si="727"/>
        <v>0</v>
      </c>
      <c r="CE610" s="199">
        <f>'Detailed Budget'!$AD$175</f>
        <v>4330586076.5988197</v>
      </c>
      <c r="CF610" s="275">
        <f t="shared" si="762"/>
        <v>0</v>
      </c>
      <c r="CG610" s="199">
        <f>'Detailed Budget'!$AD$176</f>
        <v>20662817754.37001</v>
      </c>
      <c r="CH610" s="275">
        <f t="shared" si="763"/>
        <v>0</v>
      </c>
      <c r="CI610" s="275">
        <f t="shared" si="734"/>
        <v>0</v>
      </c>
      <c r="CJ610" s="275">
        <f>'Detailed Budget'!$AD$178</f>
        <v>46025131033.061455</v>
      </c>
      <c r="CK610" s="275">
        <f t="shared" si="764"/>
        <v>0</v>
      </c>
      <c r="CL610" s="275">
        <f t="shared" si="737"/>
        <v>0</v>
      </c>
      <c r="CM610" s="278">
        <f>'Detailed Budget'!$AD$189</f>
        <v>77498869683.252869</v>
      </c>
      <c r="CN610" s="275">
        <f t="shared" si="728"/>
        <v>59576381.181859352</v>
      </c>
      <c r="CO610" s="140">
        <f>'Detailed Budget'!$AD$191</f>
        <v>2684962805.4134097</v>
      </c>
      <c r="CP610" s="616">
        <f t="shared" si="729"/>
        <v>2064034.8460332502</v>
      </c>
      <c r="CQ610" s="616">
        <f t="shared" si="730"/>
        <v>61640416.027892604</v>
      </c>
      <c r="CR610" s="199">
        <f>'Detailed Budget'!$AD$195</f>
        <v>18734176418</v>
      </c>
      <c r="CS610" s="275">
        <f t="shared" si="765"/>
        <v>11001327.241986606</v>
      </c>
      <c r="CW610" s="278"/>
      <c r="DH610" s="140">
        <f>'Detailed Budget'!$AD$163</f>
        <v>4928560000</v>
      </c>
      <c r="DI610" s="616">
        <f t="shared" si="766"/>
        <v>5600000</v>
      </c>
    </row>
    <row r="611" spans="1:113" outlineLevel="1">
      <c r="A611" s="214" t="s">
        <v>1302</v>
      </c>
      <c r="B611" s="215" t="s">
        <v>1303</v>
      </c>
      <c r="C611" s="216" t="s">
        <v>234</v>
      </c>
      <c r="D611" s="217"/>
      <c r="E611" s="216"/>
      <c r="F611" s="216"/>
      <c r="G611" s="216" t="s">
        <v>234</v>
      </c>
      <c r="H611" s="216" t="s">
        <v>234</v>
      </c>
      <c r="I611" s="217" t="s">
        <v>234</v>
      </c>
      <c r="J611" s="217"/>
      <c r="K611" s="216"/>
      <c r="L611" s="216"/>
      <c r="M611" s="217" t="s">
        <v>234</v>
      </c>
      <c r="N611" s="216"/>
      <c r="O611" s="217"/>
      <c r="P611" s="216"/>
      <c r="Q611" s="217"/>
      <c r="R611" s="217" t="s">
        <v>234</v>
      </c>
      <c r="S611" s="217"/>
      <c r="T611" s="217"/>
      <c r="U611" s="218">
        <f t="shared" si="754"/>
        <v>6</v>
      </c>
      <c r="V611" s="867" t="s">
        <v>235</v>
      </c>
      <c r="W611" s="219">
        <v>168924</v>
      </c>
      <c r="X611" s="220">
        <v>3.36</v>
      </c>
      <c r="Y611" s="221">
        <f t="shared" si="700"/>
        <v>1.0336000000000001</v>
      </c>
      <c r="Z611" s="199">
        <v>19</v>
      </c>
      <c r="AA611" s="221">
        <f t="shared" si="701"/>
        <v>1.873689022502546</v>
      </c>
      <c r="AB611" s="199">
        <f t="shared" si="749"/>
        <v>316511.04443722009</v>
      </c>
      <c r="AC611">
        <v>12.2</v>
      </c>
      <c r="AD611" s="199">
        <f t="shared" si="750"/>
        <v>38614.347421340848</v>
      </c>
      <c r="AE611" s="199">
        <f t="shared" si="702"/>
        <v>36683.630050273801</v>
      </c>
      <c r="AF611" s="199">
        <f t="shared" si="733"/>
        <v>0</v>
      </c>
      <c r="AG611" s="614">
        <f t="shared" si="732"/>
        <v>1.6960900093712092E-3</v>
      </c>
      <c r="AH611" s="199">
        <f t="shared" si="767"/>
        <v>15825.552221861006</v>
      </c>
      <c r="AI611" s="252">
        <f t="shared" si="716"/>
        <v>1.2259815525738715E-3</v>
      </c>
      <c r="AJ611" s="199">
        <f t="shared" si="717"/>
        <v>54439.899643201854</v>
      </c>
      <c r="AK611" s="199">
        <f t="shared" si="735"/>
        <v>12660.441777488804</v>
      </c>
      <c r="AL611" s="199">
        <f t="shared" si="736"/>
        <v>12660.441777488804</v>
      </c>
      <c r="AM611" s="199">
        <f t="shared" si="718"/>
        <v>25320.883554977609</v>
      </c>
      <c r="AN611" s="645">
        <f t="shared" si="719"/>
        <v>1.2259815525738715E-3</v>
      </c>
      <c r="AO611" s="199">
        <v>11</v>
      </c>
      <c r="AP611" s="250">
        <f t="shared" si="742"/>
        <v>1.2498579706851495E-3</v>
      </c>
      <c r="AQ611" s="199">
        <v>11</v>
      </c>
      <c r="AU611" s="199">
        <v>1</v>
      </c>
      <c r="AV611" s="199">
        <f t="shared" si="755"/>
        <v>175839.49020143511</v>
      </c>
      <c r="AW611" s="250">
        <f t="shared" si="720"/>
        <v>5.0610061156620865E-3</v>
      </c>
      <c r="AX611" s="199">
        <v>0</v>
      </c>
      <c r="AY611" s="199">
        <f t="shared" si="756"/>
        <v>14279.124903631637</v>
      </c>
      <c r="AZ611" s="199">
        <f t="shared" si="721"/>
        <v>0</v>
      </c>
      <c r="BA611" s="252">
        <f t="shared" si="722"/>
        <v>0</v>
      </c>
      <c r="BB611" s="284">
        <v>0</v>
      </c>
      <c r="BC611" s="199">
        <f t="shared" si="757"/>
        <v>0</v>
      </c>
      <c r="BD611" s="270">
        <f t="shared" si="752"/>
        <v>0</v>
      </c>
      <c r="BE611" s="199">
        <f t="shared" si="758"/>
        <v>0</v>
      </c>
      <c r="BF611" s="251">
        <f t="shared" si="753"/>
        <v>0</v>
      </c>
      <c r="BG611" s="204">
        <f t="shared" si="759"/>
        <v>0</v>
      </c>
      <c r="BH611" s="636">
        <v>1</v>
      </c>
      <c r="BI611" s="199">
        <f t="shared" si="723"/>
        <v>96852.379597789361</v>
      </c>
      <c r="BJ611" s="199">
        <f t="shared" si="724"/>
        <v>193704.75919557872</v>
      </c>
      <c r="BK611" s="199">
        <f t="shared" si="731"/>
        <v>290557.13879336807</v>
      </c>
      <c r="BL611" s="251">
        <f t="shared" si="725"/>
        <v>1.2259815525738715E-3</v>
      </c>
      <c r="BM611" s="199">
        <f t="shared" si="760"/>
        <v>21687.113175373019</v>
      </c>
      <c r="BN611" s="251">
        <f t="shared" si="726"/>
        <v>9.36516992656238E-4</v>
      </c>
      <c r="BT611" s="199">
        <f>'Detailed Budget'!$AD$12</f>
        <v>194045122715</v>
      </c>
      <c r="BU611" s="199">
        <f>'Detailed Budget'!$AD$24</f>
        <v>194045122715</v>
      </c>
      <c r="BV611" s="596">
        <f t="shared" si="761"/>
        <v>5.0610061156620865E-3</v>
      </c>
      <c r="BW611" s="278"/>
      <c r="BX611" s="275">
        <f t="shared" si="698"/>
        <v>982063552.77501512</v>
      </c>
      <c r="BY611" s="275">
        <f t="shared" si="699"/>
        <v>982063552.77501512</v>
      </c>
      <c r="CA611" s="199">
        <f>'Detailed Budget'!$AD$96</f>
        <v>71050111380.677719</v>
      </c>
      <c r="CB611" s="275">
        <f t="shared" si="727"/>
        <v>0</v>
      </c>
      <c r="CE611" s="199">
        <f>'Detailed Budget'!$AD$175</f>
        <v>4330586076.5988197</v>
      </c>
      <c r="CF611" s="275">
        <f t="shared" si="762"/>
        <v>0</v>
      </c>
      <c r="CG611" s="199">
        <f>'Detailed Budget'!$AD$176</f>
        <v>20662817754.37001</v>
      </c>
      <c r="CH611" s="275">
        <f t="shared" si="763"/>
        <v>0</v>
      </c>
      <c r="CI611" s="275">
        <f t="shared" si="734"/>
        <v>0</v>
      </c>
      <c r="CJ611" s="275">
        <f>'Detailed Budget'!$AD$178</f>
        <v>46025131033.061455</v>
      </c>
      <c r="CK611" s="275">
        <f t="shared" si="764"/>
        <v>0</v>
      </c>
      <c r="CL611" s="275">
        <f t="shared" si="737"/>
        <v>0</v>
      </c>
      <c r="CM611" s="278">
        <f>'Detailed Budget'!$AD$189</f>
        <v>77498869683.252869</v>
      </c>
      <c r="CN611" s="275">
        <f t="shared" si="728"/>
        <v>95012184.576994494</v>
      </c>
      <c r="CO611" s="140">
        <f>'Detailed Budget'!$AD$191</f>
        <v>2684962805.4134097</v>
      </c>
      <c r="CP611" s="616">
        <f t="shared" si="729"/>
        <v>3291714.8687838297</v>
      </c>
      <c r="CQ611" s="616">
        <f t="shared" si="730"/>
        <v>98303899.445778325</v>
      </c>
      <c r="CR611" s="199">
        <f>'Detailed Budget'!$AD$195</f>
        <v>18734176418</v>
      </c>
      <c r="CS611" s="275">
        <f t="shared" si="765"/>
        <v>17544874.558876771</v>
      </c>
      <c r="CW611" s="278"/>
      <c r="DH611" s="140">
        <f>'Detailed Budget'!$AD$163</f>
        <v>4928560000</v>
      </c>
      <c r="DI611" s="616">
        <f t="shared" si="766"/>
        <v>6160000</v>
      </c>
    </row>
    <row r="612" spans="1:113" outlineLevel="1">
      <c r="A612" s="214" t="s">
        <v>1304</v>
      </c>
      <c r="B612" s="215" t="s">
        <v>1305</v>
      </c>
      <c r="C612" s="216" t="s">
        <v>234</v>
      </c>
      <c r="D612" s="217"/>
      <c r="E612" s="216"/>
      <c r="F612" s="216"/>
      <c r="G612" s="216" t="s">
        <v>234</v>
      </c>
      <c r="H612" s="216" t="s">
        <v>234</v>
      </c>
      <c r="I612" s="217" t="s">
        <v>234</v>
      </c>
      <c r="J612" s="217"/>
      <c r="K612" s="216"/>
      <c r="L612" s="216"/>
      <c r="M612" s="217" t="s">
        <v>234</v>
      </c>
      <c r="N612" s="216"/>
      <c r="O612" s="217"/>
      <c r="P612" s="216"/>
      <c r="Q612" s="217"/>
      <c r="R612" s="217" t="s">
        <v>234</v>
      </c>
      <c r="S612" s="217"/>
      <c r="T612" s="217"/>
      <c r="U612" s="218">
        <f t="shared" si="754"/>
        <v>6</v>
      </c>
      <c r="V612" s="867" t="s">
        <v>235</v>
      </c>
      <c r="W612" s="219">
        <v>74840</v>
      </c>
      <c r="X612" s="220">
        <v>3.36</v>
      </c>
      <c r="Y612" s="221">
        <f t="shared" si="700"/>
        <v>1.0336000000000001</v>
      </c>
      <c r="Z612" s="199">
        <v>19</v>
      </c>
      <c r="AA612" s="221">
        <f t="shared" si="701"/>
        <v>1.873689022502546</v>
      </c>
      <c r="AB612" s="199">
        <f t="shared" si="749"/>
        <v>140226.88644409055</v>
      </c>
      <c r="AC612">
        <v>12.2</v>
      </c>
      <c r="AD612" s="199">
        <f t="shared" si="750"/>
        <v>17107.680146179046</v>
      </c>
      <c r="AE612" s="199">
        <f t="shared" si="702"/>
        <v>16252.296138870093</v>
      </c>
      <c r="AF612" s="199">
        <f t="shared" si="733"/>
        <v>0</v>
      </c>
      <c r="AG612" s="614">
        <f t="shared" si="732"/>
        <v>7.5143482454441825E-4</v>
      </c>
      <c r="AH612" s="199">
        <f t="shared" si="767"/>
        <v>7011.344322204528</v>
      </c>
      <c r="AI612" s="252">
        <f t="shared" si="716"/>
        <v>5.4315822141690073E-4</v>
      </c>
      <c r="AJ612" s="199">
        <f t="shared" si="717"/>
        <v>24119.024468383574</v>
      </c>
      <c r="AK612" s="199">
        <f t="shared" si="735"/>
        <v>5609.0754577636217</v>
      </c>
      <c r="AL612" s="199">
        <f t="shared" si="736"/>
        <v>5609.0754577636217</v>
      </c>
      <c r="AM612" s="199">
        <f t="shared" si="718"/>
        <v>11218.150915527243</v>
      </c>
      <c r="AN612" s="645">
        <f t="shared" si="719"/>
        <v>5.4315822141690073E-4</v>
      </c>
      <c r="AO612" s="199">
        <v>10</v>
      </c>
      <c r="AP612" s="250">
        <f t="shared" si="742"/>
        <v>1.1362345188046814E-3</v>
      </c>
      <c r="AQ612" s="199">
        <v>10</v>
      </c>
      <c r="AU612" s="199">
        <v>1</v>
      </c>
      <c r="AV612" s="199">
        <f t="shared" si="755"/>
        <v>77903.835136957467</v>
      </c>
      <c r="AW612" s="250">
        <f t="shared" si="720"/>
        <v>2.2422254842186461E-3</v>
      </c>
      <c r="AX612" s="199">
        <v>0</v>
      </c>
      <c r="AY612" s="199">
        <f t="shared" si="756"/>
        <v>6326.215977527123</v>
      </c>
      <c r="AZ612" s="199">
        <f t="shared" si="721"/>
        <v>0</v>
      </c>
      <c r="BA612" s="252">
        <f t="shared" si="722"/>
        <v>0</v>
      </c>
      <c r="BB612" s="284">
        <v>0</v>
      </c>
      <c r="BC612" s="199">
        <f t="shared" si="757"/>
        <v>0</v>
      </c>
      <c r="BD612" s="270">
        <f t="shared" si="752"/>
        <v>0</v>
      </c>
      <c r="BE612" s="199">
        <f t="shared" si="758"/>
        <v>0</v>
      </c>
      <c r="BF612" s="251">
        <f t="shared" si="753"/>
        <v>0</v>
      </c>
      <c r="BG612" s="204">
        <f t="shared" si="759"/>
        <v>0</v>
      </c>
      <c r="BH612" s="636">
        <v>1</v>
      </c>
      <c r="BI612" s="199">
        <f t="shared" si="723"/>
        <v>42909.427251891706</v>
      </c>
      <c r="BJ612" s="199">
        <f t="shared" si="724"/>
        <v>85818.854503783412</v>
      </c>
      <c r="BK612" s="199">
        <f t="shared" si="731"/>
        <v>128728.28175567513</v>
      </c>
      <c r="BL612" s="251">
        <f t="shared" si="725"/>
        <v>5.4315822141690073E-4</v>
      </c>
      <c r="BM612" s="199">
        <f t="shared" si="760"/>
        <v>9608.247200190126</v>
      </c>
      <c r="BN612" s="251">
        <f t="shared" si="726"/>
        <v>4.1491399523094913E-4</v>
      </c>
      <c r="BT612" s="199">
        <f>'Detailed Budget'!$AD$12</f>
        <v>194045122715</v>
      </c>
      <c r="BU612" s="199">
        <f>'Detailed Budget'!$AD$24</f>
        <v>194045122715</v>
      </c>
      <c r="BV612" s="596">
        <f t="shared" si="761"/>
        <v>2.2422254842186461E-3</v>
      </c>
      <c r="BW612" s="278"/>
      <c r="BX612" s="275">
        <f t="shared" si="698"/>
        <v>435092919.2399075</v>
      </c>
      <c r="BY612" s="275">
        <f t="shared" si="699"/>
        <v>435092919.2399075</v>
      </c>
      <c r="CA612" s="199">
        <f>'Detailed Budget'!$AD$96</f>
        <v>71050111380.677719</v>
      </c>
      <c r="CB612" s="275">
        <f t="shared" si="727"/>
        <v>0</v>
      </c>
      <c r="CE612" s="199">
        <f>'Detailed Budget'!$AD$175</f>
        <v>4330586076.5988197</v>
      </c>
      <c r="CF612" s="275">
        <f t="shared" si="762"/>
        <v>0</v>
      </c>
      <c r="CG612" s="199">
        <f>'Detailed Budget'!$AD$176</f>
        <v>20662817754.37001</v>
      </c>
      <c r="CH612" s="275">
        <f t="shared" si="763"/>
        <v>0</v>
      </c>
      <c r="CI612" s="275">
        <f t="shared" si="734"/>
        <v>0</v>
      </c>
      <c r="CJ612" s="275">
        <f>'Detailed Budget'!$AD$178</f>
        <v>46025131033.061455</v>
      </c>
      <c r="CK612" s="275">
        <f t="shared" si="764"/>
        <v>0</v>
      </c>
      <c r="CL612" s="275">
        <f t="shared" si="737"/>
        <v>0</v>
      </c>
      <c r="CM612" s="278">
        <f>'Detailed Budget'!$AD$189</f>
        <v>77498869683.252869</v>
      </c>
      <c r="CN612" s="275">
        <f t="shared" si="728"/>
        <v>42094148.218975797</v>
      </c>
      <c r="CO612" s="140">
        <f>'Detailed Budget'!$AD$191</f>
        <v>2684962805.4134097</v>
      </c>
      <c r="CP612" s="616">
        <f t="shared" si="729"/>
        <v>1458359.6219588798</v>
      </c>
      <c r="CQ612" s="616">
        <f t="shared" si="730"/>
        <v>43552507.840934679</v>
      </c>
      <c r="CR612" s="199">
        <f>'Detailed Budget'!$AD$195</f>
        <v>18734176418</v>
      </c>
      <c r="CS612" s="275">
        <f t="shared" si="765"/>
        <v>7773071.9849538114</v>
      </c>
      <c r="CW612" s="278"/>
      <c r="DH612" s="140">
        <f>'Detailed Budget'!$AD$163</f>
        <v>4928560000</v>
      </c>
      <c r="DI612" s="616">
        <f t="shared" si="766"/>
        <v>5600000</v>
      </c>
    </row>
    <row r="613" spans="1:113" outlineLevel="1">
      <c r="A613" s="214" t="s">
        <v>1306</v>
      </c>
      <c r="B613" s="215" t="s">
        <v>1307</v>
      </c>
      <c r="C613" s="216" t="s">
        <v>234</v>
      </c>
      <c r="D613" s="217"/>
      <c r="E613" s="216"/>
      <c r="F613" s="216"/>
      <c r="G613" s="216" t="s">
        <v>234</v>
      </c>
      <c r="H613" s="216" t="s">
        <v>234</v>
      </c>
      <c r="I613" s="217" t="s">
        <v>234</v>
      </c>
      <c r="J613" s="217"/>
      <c r="K613" s="216"/>
      <c r="L613" s="216"/>
      <c r="M613" s="217" t="s">
        <v>234</v>
      </c>
      <c r="N613" s="216"/>
      <c r="O613" s="217"/>
      <c r="P613" s="216"/>
      <c r="Q613" s="217"/>
      <c r="R613" s="217" t="s">
        <v>234</v>
      </c>
      <c r="S613" s="217"/>
      <c r="T613" s="217"/>
      <c r="U613" s="218">
        <f t="shared" si="754"/>
        <v>6</v>
      </c>
      <c r="V613" s="867" t="s">
        <v>235</v>
      </c>
      <c r="W613" s="219">
        <v>137127</v>
      </c>
      <c r="X613" s="220">
        <v>3.36</v>
      </c>
      <c r="Y613" s="221">
        <f t="shared" si="700"/>
        <v>1.0336000000000001</v>
      </c>
      <c r="Z613" s="199">
        <v>19</v>
      </c>
      <c r="AA613" s="221">
        <f t="shared" si="701"/>
        <v>1.873689022502546</v>
      </c>
      <c r="AB613" s="199">
        <f t="shared" si="749"/>
        <v>256933.35458870663</v>
      </c>
      <c r="AC613">
        <v>12.2</v>
      </c>
      <c r="AD613" s="199">
        <f t="shared" si="750"/>
        <v>31345.869259822204</v>
      </c>
      <c r="AE613" s="199">
        <f t="shared" si="702"/>
        <v>29778.575796831094</v>
      </c>
      <c r="AF613" s="199">
        <f t="shared" si="733"/>
        <v>0</v>
      </c>
      <c r="AG613" s="614">
        <f t="shared" si="732"/>
        <v>1.3768306144481886E-3</v>
      </c>
      <c r="AH613" s="199">
        <f t="shared" si="767"/>
        <v>12846.667729435332</v>
      </c>
      <c r="AI613" s="252">
        <f t="shared" si="716"/>
        <v>9.9521188439651714E-4</v>
      </c>
      <c r="AJ613" s="199">
        <f t="shared" si="717"/>
        <v>44192.53698925754</v>
      </c>
      <c r="AK613" s="199">
        <f t="shared" si="735"/>
        <v>10277.334183548266</v>
      </c>
      <c r="AL613" s="199">
        <f t="shared" si="736"/>
        <v>10277.334183548266</v>
      </c>
      <c r="AM613" s="199">
        <f t="shared" si="718"/>
        <v>20554.668367096532</v>
      </c>
      <c r="AN613" s="645">
        <f t="shared" si="719"/>
        <v>9.9521188439651714E-4</v>
      </c>
      <c r="AO613" s="199">
        <v>10</v>
      </c>
      <c r="AP613" s="250">
        <f t="shared" si="742"/>
        <v>1.1362345188046814E-3</v>
      </c>
      <c r="AQ613" s="199">
        <v>10</v>
      </c>
      <c r="AU613" s="199">
        <v>1</v>
      </c>
      <c r="AV613" s="199">
        <f t="shared" si="755"/>
        <v>142740.76965293381</v>
      </c>
      <c r="AW613" s="250">
        <f t="shared" si="720"/>
        <v>4.1083598874191649E-3</v>
      </c>
      <c r="AX613" s="199">
        <v>0</v>
      </c>
      <c r="AY613" s="199">
        <f t="shared" si="756"/>
        <v>11591.328411950319</v>
      </c>
      <c r="AZ613" s="199">
        <f t="shared" si="721"/>
        <v>0</v>
      </c>
      <c r="BA613" s="252">
        <f t="shared" si="722"/>
        <v>0</v>
      </c>
      <c r="BB613" s="284">
        <v>0</v>
      </c>
      <c r="BC613" s="199">
        <f t="shared" si="757"/>
        <v>0</v>
      </c>
      <c r="BD613" s="270">
        <f t="shared" si="752"/>
        <v>0</v>
      </c>
      <c r="BE613" s="199">
        <f t="shared" si="758"/>
        <v>0</v>
      </c>
      <c r="BF613" s="251">
        <f t="shared" si="753"/>
        <v>0</v>
      </c>
      <c r="BG613" s="204">
        <f t="shared" si="759"/>
        <v>0</v>
      </c>
      <c r="BH613" s="636">
        <v>1</v>
      </c>
      <c r="BI613" s="199">
        <f t="shared" si="723"/>
        <v>78621.606504144234</v>
      </c>
      <c r="BJ613" s="199">
        <f t="shared" si="724"/>
        <v>157243.21300828847</v>
      </c>
      <c r="BK613" s="199">
        <f t="shared" si="731"/>
        <v>235864.8195124327</v>
      </c>
      <c r="BL613" s="251">
        <f t="shared" si="725"/>
        <v>9.9521188439651714E-4</v>
      </c>
      <c r="BM613" s="199">
        <f t="shared" si="760"/>
        <v>17604.891953774335</v>
      </c>
      <c r="BN613" s="251">
        <f t="shared" si="726"/>
        <v>7.6023398482141043E-4</v>
      </c>
      <c r="BT613" s="199">
        <f>'Detailed Budget'!$AD$12</f>
        <v>194045122715</v>
      </c>
      <c r="BU613" s="199">
        <f>'Detailed Budget'!$AD$24</f>
        <v>194045122715</v>
      </c>
      <c r="BV613" s="596">
        <f t="shared" si="761"/>
        <v>4.1083598874191649E-3</v>
      </c>
      <c r="BW613" s="278"/>
      <c r="BX613" s="275">
        <f t="shared" si="698"/>
        <v>797207198.51163542</v>
      </c>
      <c r="BY613" s="275">
        <f t="shared" si="699"/>
        <v>797207198.51163542</v>
      </c>
      <c r="CA613" s="199">
        <f>'Detailed Budget'!$AD$96</f>
        <v>71050111380.677719</v>
      </c>
      <c r="CB613" s="275">
        <f t="shared" si="727"/>
        <v>0</v>
      </c>
      <c r="CE613" s="199">
        <f>'Detailed Budget'!$AD$175</f>
        <v>4330586076.5988197</v>
      </c>
      <c r="CF613" s="275">
        <f t="shared" si="762"/>
        <v>0</v>
      </c>
      <c r="CG613" s="199">
        <f>'Detailed Budget'!$AD$176</f>
        <v>20662817754.37001</v>
      </c>
      <c r="CH613" s="275">
        <f t="shared" si="763"/>
        <v>0</v>
      </c>
      <c r="CI613" s="275">
        <f t="shared" si="734"/>
        <v>0</v>
      </c>
      <c r="CJ613" s="275">
        <f>'Detailed Budget'!$AD$178</f>
        <v>46025131033.061455</v>
      </c>
      <c r="CK613" s="275">
        <f t="shared" si="764"/>
        <v>0</v>
      </c>
      <c r="CL613" s="275">
        <f t="shared" si="737"/>
        <v>0</v>
      </c>
      <c r="CM613" s="278">
        <f>'Detailed Budget'!$AD$189</f>
        <v>77498869683.252869</v>
      </c>
      <c r="CN613" s="275">
        <f t="shared" si="728"/>
        <v>77127796.136070207</v>
      </c>
      <c r="CO613" s="140">
        <f>'Detailed Budget'!$AD$191</f>
        <v>2684962805.4134097</v>
      </c>
      <c r="CP613" s="616">
        <f t="shared" si="729"/>
        <v>2672106.8931100387</v>
      </c>
      <c r="CQ613" s="616">
        <f t="shared" si="730"/>
        <v>79799903.029180244</v>
      </c>
      <c r="CR613" s="199">
        <f>'Detailed Budget'!$AD$195</f>
        <v>18734176418</v>
      </c>
      <c r="CS613" s="275">
        <f t="shared" si="765"/>
        <v>14242357.590603437</v>
      </c>
      <c r="CW613" s="278"/>
      <c r="DH613" s="140">
        <f>'Detailed Budget'!$AD$163</f>
        <v>4928560000</v>
      </c>
      <c r="DI613" s="616">
        <f t="shared" si="766"/>
        <v>5600000</v>
      </c>
    </row>
    <row r="614" spans="1:113" outlineLevel="1">
      <c r="A614" s="214" t="s">
        <v>1308</v>
      </c>
      <c r="B614" s="215" t="s">
        <v>1309</v>
      </c>
      <c r="C614" s="216" t="s">
        <v>234</v>
      </c>
      <c r="D614" s="217"/>
      <c r="E614" s="216"/>
      <c r="F614" s="216"/>
      <c r="G614" s="216" t="s">
        <v>234</v>
      </c>
      <c r="H614" s="216" t="s">
        <v>234</v>
      </c>
      <c r="I614" s="217" t="s">
        <v>234</v>
      </c>
      <c r="J614" s="217"/>
      <c r="K614" s="216"/>
      <c r="L614" s="216"/>
      <c r="M614" s="217" t="s">
        <v>234</v>
      </c>
      <c r="N614" s="216"/>
      <c r="O614" s="217"/>
      <c r="P614" s="216"/>
      <c r="Q614" s="217"/>
      <c r="R614" s="217" t="s">
        <v>234</v>
      </c>
      <c r="S614" s="217"/>
      <c r="T614" s="217"/>
      <c r="U614" s="218">
        <f t="shared" si="754"/>
        <v>6</v>
      </c>
      <c r="V614" s="867" t="s">
        <v>235</v>
      </c>
      <c r="W614" s="219">
        <v>188605</v>
      </c>
      <c r="X614" s="220">
        <v>3.36</v>
      </c>
      <c r="Y614" s="221">
        <f t="shared" si="700"/>
        <v>1.0336000000000001</v>
      </c>
      <c r="Z614" s="199">
        <v>19</v>
      </c>
      <c r="AA614" s="221">
        <f t="shared" si="701"/>
        <v>1.873689022502546</v>
      </c>
      <c r="AB614" s="199">
        <f t="shared" si="749"/>
        <v>353387.11808909266</v>
      </c>
      <c r="AC614">
        <v>12.2</v>
      </c>
      <c r="AD614" s="199">
        <f t="shared" si="750"/>
        <v>43113.228406869304</v>
      </c>
      <c r="AE614" s="199">
        <f t="shared" si="702"/>
        <v>40957.566986525839</v>
      </c>
      <c r="AF614" s="199">
        <f t="shared" si="733"/>
        <v>0</v>
      </c>
      <c r="AG614" s="614">
        <f t="shared" si="732"/>
        <v>1.8936980903687868E-3</v>
      </c>
      <c r="AH614" s="199">
        <f t="shared" si="767"/>
        <v>17669.355904454635</v>
      </c>
      <c r="AI614" s="252">
        <f t="shared" si="716"/>
        <v>1.3688182302289491E-3</v>
      </c>
      <c r="AJ614" s="199">
        <f t="shared" si="717"/>
        <v>60782.584311323939</v>
      </c>
      <c r="AK614" s="199">
        <f t="shared" si="735"/>
        <v>14135.484723563706</v>
      </c>
      <c r="AL614" s="199">
        <f t="shared" si="736"/>
        <v>14135.484723563706</v>
      </c>
      <c r="AM614" s="199">
        <f t="shared" si="718"/>
        <v>28270.969447127412</v>
      </c>
      <c r="AN614" s="645">
        <f t="shared" si="719"/>
        <v>1.3688182302289491E-3</v>
      </c>
      <c r="AO614" s="199">
        <v>11</v>
      </c>
      <c r="AP614" s="250">
        <f t="shared" si="742"/>
        <v>1.2498579706851495E-3</v>
      </c>
      <c r="AQ614" s="199">
        <v>11</v>
      </c>
      <c r="AU614" s="199">
        <v>1</v>
      </c>
      <c r="AV614" s="199">
        <f t="shared" si="755"/>
        <v>196326.20024059142</v>
      </c>
      <c r="AW614" s="250">
        <f t="shared" si="720"/>
        <v>5.6506538943219891E-3</v>
      </c>
      <c r="AX614" s="199">
        <v>0</v>
      </c>
      <c r="AY614" s="199">
        <f t="shared" si="756"/>
        <v>15942.757408357869</v>
      </c>
      <c r="AZ614" s="199">
        <f t="shared" si="721"/>
        <v>0</v>
      </c>
      <c r="BA614" s="252">
        <f t="shared" si="722"/>
        <v>0</v>
      </c>
      <c r="BB614" s="284">
        <v>0</v>
      </c>
      <c r="BC614" s="199">
        <f t="shared" si="757"/>
        <v>0</v>
      </c>
      <c r="BD614" s="270">
        <f t="shared" si="752"/>
        <v>0</v>
      </c>
      <c r="BE614" s="199">
        <f t="shared" si="758"/>
        <v>0</v>
      </c>
      <c r="BF614" s="251">
        <f t="shared" si="753"/>
        <v>0</v>
      </c>
      <c r="BG614" s="204">
        <f t="shared" si="759"/>
        <v>0</v>
      </c>
      <c r="BH614" s="636">
        <v>1</v>
      </c>
      <c r="BI614" s="199">
        <f t="shared" si="723"/>
        <v>108136.45813526234</v>
      </c>
      <c r="BJ614" s="199">
        <f t="shared" si="724"/>
        <v>216272.91627052467</v>
      </c>
      <c r="BK614" s="199">
        <f t="shared" si="731"/>
        <v>324409.37440578698</v>
      </c>
      <c r="BL614" s="251">
        <f t="shared" si="725"/>
        <v>1.3688182302289487E-3</v>
      </c>
      <c r="BM614" s="199">
        <f t="shared" si="760"/>
        <v>24213.835692034449</v>
      </c>
      <c r="BN614" s="251">
        <f t="shared" si="726"/>
        <v>1.0456287288954187E-3</v>
      </c>
      <c r="BT614" s="199">
        <f>'Detailed Budget'!$AD$12</f>
        <v>194045122715</v>
      </c>
      <c r="BU614" s="199">
        <f>'Detailed Budget'!$AD$24</f>
        <v>194045122715</v>
      </c>
      <c r="BV614" s="596">
        <f t="shared" si="761"/>
        <v>5.6506538943219891E-3</v>
      </c>
      <c r="BW614" s="278"/>
      <c r="BX614" s="275">
        <f t="shared" si="698"/>
        <v>1096481828.343703</v>
      </c>
      <c r="BY614" s="275">
        <f t="shared" si="699"/>
        <v>1096481828.343703</v>
      </c>
      <c r="CA614" s="199">
        <f>'Detailed Budget'!$AD$96</f>
        <v>71050111380.677719</v>
      </c>
      <c r="CB614" s="275">
        <f t="shared" si="727"/>
        <v>0</v>
      </c>
      <c r="CE614" s="199">
        <f>'Detailed Budget'!$AD$175</f>
        <v>4330586076.5988197</v>
      </c>
      <c r="CF614" s="275">
        <f t="shared" si="762"/>
        <v>0</v>
      </c>
      <c r="CG614" s="199">
        <f>'Detailed Budget'!$AD$176</f>
        <v>20662817754.37001</v>
      </c>
      <c r="CH614" s="275">
        <f t="shared" si="763"/>
        <v>0</v>
      </c>
      <c r="CI614" s="275">
        <f t="shared" si="734"/>
        <v>0</v>
      </c>
      <c r="CJ614" s="275">
        <f>'Detailed Budget'!$AD$178</f>
        <v>46025131033.061455</v>
      </c>
      <c r="CK614" s="275">
        <f t="shared" si="764"/>
        <v>0</v>
      </c>
      <c r="CL614" s="275">
        <f t="shared" si="737"/>
        <v>0</v>
      </c>
      <c r="CM614" s="278">
        <f>'Detailed Budget'!$AD$189</f>
        <v>77498869683.252869</v>
      </c>
      <c r="CN614" s="275">
        <f t="shared" si="728"/>
        <v>106081865.64457412</v>
      </c>
      <c r="CO614" s="140">
        <f>'Detailed Budget'!$AD$191</f>
        <v>2684962805.4134097</v>
      </c>
      <c r="CP614" s="616">
        <f t="shared" si="729"/>
        <v>3675226.0355365379</v>
      </c>
      <c r="CQ614" s="616">
        <f t="shared" si="730"/>
        <v>109757091.68011066</v>
      </c>
      <c r="CR614" s="199">
        <f>'Detailed Budget'!$AD$195</f>
        <v>18734176418</v>
      </c>
      <c r="CS614" s="275">
        <f t="shared" si="765"/>
        <v>19588993.074855868</v>
      </c>
      <c r="CW614" s="278"/>
      <c r="DH614" s="140">
        <f>'Detailed Budget'!$AD$163</f>
        <v>4928560000</v>
      </c>
      <c r="DI614" s="616">
        <f t="shared" si="766"/>
        <v>6160000</v>
      </c>
    </row>
    <row r="615" spans="1:113" outlineLevel="1">
      <c r="A615" s="214" t="s">
        <v>1310</v>
      </c>
      <c r="B615" s="215" t="s">
        <v>1311</v>
      </c>
      <c r="C615" s="216" t="s">
        <v>234</v>
      </c>
      <c r="D615" s="217"/>
      <c r="E615" s="216"/>
      <c r="F615" s="216"/>
      <c r="G615" s="216" t="s">
        <v>234</v>
      </c>
      <c r="H615" s="216" t="s">
        <v>234</v>
      </c>
      <c r="I615" s="217" t="s">
        <v>234</v>
      </c>
      <c r="J615" s="217"/>
      <c r="K615" s="216"/>
      <c r="L615" s="216"/>
      <c r="M615" s="217" t="s">
        <v>234</v>
      </c>
      <c r="N615" s="216"/>
      <c r="O615" s="217"/>
      <c r="P615" s="216"/>
      <c r="Q615" s="217"/>
      <c r="R615" s="217" t="s">
        <v>234</v>
      </c>
      <c r="S615" s="217"/>
      <c r="T615" s="217"/>
      <c r="U615" s="218">
        <f t="shared" si="754"/>
        <v>6</v>
      </c>
      <c r="V615" s="867" t="s">
        <v>235</v>
      </c>
      <c r="W615" s="219">
        <v>72772</v>
      </c>
      <c r="X615" s="220">
        <v>3.36</v>
      </c>
      <c r="Y615" s="221">
        <f t="shared" si="700"/>
        <v>1.0336000000000001</v>
      </c>
      <c r="Z615" s="199">
        <v>19</v>
      </c>
      <c r="AA615" s="221">
        <f t="shared" si="701"/>
        <v>1.873689022502546</v>
      </c>
      <c r="AB615" s="199">
        <f t="shared" si="749"/>
        <v>136352.09754555527</v>
      </c>
      <c r="AC615">
        <v>12.2</v>
      </c>
      <c r="AD615" s="199">
        <f t="shared" si="750"/>
        <v>16634.955900557743</v>
      </c>
      <c r="AE615" s="199">
        <f t="shared" si="702"/>
        <v>15803.208105529855</v>
      </c>
      <c r="AF615" s="199">
        <f t="shared" si="733"/>
        <v>0</v>
      </c>
      <c r="AG615" s="614">
        <f t="shared" si="732"/>
        <v>7.3067096541617322E-4</v>
      </c>
      <c r="AH615" s="199">
        <f t="shared" si="767"/>
        <v>6817.604877277764</v>
      </c>
      <c r="AI615" s="252">
        <f t="shared" si="716"/>
        <v>5.2814952016235568E-4</v>
      </c>
      <c r="AJ615" s="199">
        <f t="shared" si="717"/>
        <v>23452.560777835508</v>
      </c>
      <c r="AK615" s="199">
        <f t="shared" si="735"/>
        <v>5454.0839018222105</v>
      </c>
      <c r="AL615" s="199">
        <f t="shared" si="736"/>
        <v>5454.0839018222105</v>
      </c>
      <c r="AM615" s="199">
        <f t="shared" si="718"/>
        <v>10908.167803644421</v>
      </c>
      <c r="AN615" s="645">
        <f t="shared" si="719"/>
        <v>5.2814952016235557E-4</v>
      </c>
      <c r="AO615" s="199">
        <v>10</v>
      </c>
      <c r="AP615" s="250">
        <f t="shared" si="742"/>
        <v>1.1362345188046814E-3</v>
      </c>
      <c r="AQ615" s="199">
        <v>10</v>
      </c>
      <c r="AU615" s="199">
        <v>1</v>
      </c>
      <c r="AV615" s="199">
        <f t="shared" si="755"/>
        <v>75751.174379832562</v>
      </c>
      <c r="AW615" s="250">
        <f t="shared" si="720"/>
        <v>2.1802676768781309E-3</v>
      </c>
      <c r="AX615" s="199">
        <v>0</v>
      </c>
      <c r="AY615" s="199">
        <f t="shared" si="756"/>
        <v>6151.4081923650965</v>
      </c>
      <c r="AZ615" s="199">
        <f t="shared" si="721"/>
        <v>0</v>
      </c>
      <c r="BA615" s="252">
        <f t="shared" si="722"/>
        <v>0</v>
      </c>
      <c r="BB615" s="284">
        <v>0</v>
      </c>
      <c r="BC615" s="199">
        <f t="shared" si="757"/>
        <v>0</v>
      </c>
      <c r="BD615" s="270">
        <f t="shared" si="752"/>
        <v>0</v>
      </c>
      <c r="BE615" s="199">
        <f t="shared" si="758"/>
        <v>0</v>
      </c>
      <c r="BF615" s="251">
        <f t="shared" si="753"/>
        <v>0</v>
      </c>
      <c r="BG615" s="204">
        <f t="shared" si="759"/>
        <v>0</v>
      </c>
      <c r="BH615" s="636">
        <v>1</v>
      </c>
      <c r="BI615" s="199">
        <f t="shared" si="723"/>
        <v>41723.741848939899</v>
      </c>
      <c r="BJ615" s="199">
        <f t="shared" si="724"/>
        <v>83447.483697879798</v>
      </c>
      <c r="BK615" s="199">
        <f t="shared" si="731"/>
        <v>125171.2255468197</v>
      </c>
      <c r="BL615" s="251">
        <f t="shared" si="725"/>
        <v>5.2814952016235546E-4</v>
      </c>
      <c r="BM615" s="199">
        <f t="shared" si="760"/>
        <v>9342.7494020875965</v>
      </c>
      <c r="BN615" s="251">
        <f t="shared" si="726"/>
        <v>4.0344897462515537E-4</v>
      </c>
      <c r="BT615" s="199">
        <f>'Detailed Budget'!$AD$12</f>
        <v>194045122715</v>
      </c>
      <c r="BU615" s="199">
        <f>'Detailed Budget'!$AD$24</f>
        <v>194045122715</v>
      </c>
      <c r="BV615" s="596">
        <f t="shared" si="761"/>
        <v>2.1802676768781309E-3</v>
      </c>
      <c r="BW615" s="278"/>
      <c r="BX615" s="275">
        <f t="shared" si="698"/>
        <v>423070308.91136485</v>
      </c>
      <c r="BY615" s="275">
        <f t="shared" si="699"/>
        <v>423070308.91136485</v>
      </c>
      <c r="CA615" s="199">
        <f>'Detailed Budget'!$AD$96</f>
        <v>71050111380.677719</v>
      </c>
      <c r="CB615" s="275">
        <f t="shared" si="727"/>
        <v>0</v>
      </c>
      <c r="CE615" s="199">
        <f>'Detailed Budget'!$AD$175</f>
        <v>4330586076.5988197</v>
      </c>
      <c r="CF615" s="275">
        <f t="shared" si="762"/>
        <v>0</v>
      </c>
      <c r="CG615" s="199">
        <f>'Detailed Budget'!$AD$176</f>
        <v>20662817754.37001</v>
      </c>
      <c r="CH615" s="275">
        <f t="shared" si="763"/>
        <v>0</v>
      </c>
      <c r="CI615" s="275">
        <f t="shared" si="734"/>
        <v>0</v>
      </c>
      <c r="CJ615" s="275">
        <f>'Detailed Budget'!$AD$178</f>
        <v>46025131033.061455</v>
      </c>
      <c r="CK615" s="275">
        <f t="shared" si="764"/>
        <v>0</v>
      </c>
      <c r="CL615" s="275">
        <f t="shared" si="737"/>
        <v>0</v>
      </c>
      <c r="CM615" s="278">
        <f>'Detailed Budget'!$AD$189</f>
        <v>77498869683.252869</v>
      </c>
      <c r="CN615" s="275">
        <f t="shared" si="728"/>
        <v>40930990.836334921</v>
      </c>
      <c r="CO615" s="140">
        <f>'Detailed Budget'!$AD$191</f>
        <v>2684962805.4134097</v>
      </c>
      <c r="CP615" s="616">
        <f t="shared" si="729"/>
        <v>1418061.8173328645</v>
      </c>
      <c r="CQ615" s="616">
        <f t="shared" si="730"/>
        <v>42349052.653667785</v>
      </c>
      <c r="CR615" s="199">
        <f>'Detailed Budget'!$AD$195</f>
        <v>18734176418</v>
      </c>
      <c r="CS615" s="275">
        <f t="shared" si="765"/>
        <v>7558284.2662888663</v>
      </c>
      <c r="CW615" s="278"/>
      <c r="DH615" s="140">
        <f>'Detailed Budget'!$AD$163</f>
        <v>4928560000</v>
      </c>
      <c r="DI615" s="616">
        <f t="shared" si="766"/>
        <v>5600000</v>
      </c>
    </row>
    <row r="616" spans="1:113" outlineLevel="1">
      <c r="A616" s="214" t="s">
        <v>1312</v>
      </c>
      <c r="B616" s="215" t="s">
        <v>1313</v>
      </c>
      <c r="C616" s="216" t="s">
        <v>234</v>
      </c>
      <c r="D616" s="217"/>
      <c r="E616" s="216"/>
      <c r="F616" s="216"/>
      <c r="G616" s="216" t="s">
        <v>234</v>
      </c>
      <c r="H616" s="216" t="s">
        <v>234</v>
      </c>
      <c r="I616" s="217" t="s">
        <v>234</v>
      </c>
      <c r="J616" s="217"/>
      <c r="K616" s="216"/>
      <c r="L616" s="216"/>
      <c r="M616" s="217" t="s">
        <v>234</v>
      </c>
      <c r="N616" s="216"/>
      <c r="O616" s="217"/>
      <c r="P616" s="216"/>
      <c r="Q616" s="217"/>
      <c r="R616" s="217" t="s">
        <v>234</v>
      </c>
      <c r="S616" s="217"/>
      <c r="T616" s="217"/>
      <c r="U616" s="218">
        <f t="shared" si="754"/>
        <v>6</v>
      </c>
      <c r="V616" s="867" t="s">
        <v>235</v>
      </c>
      <c r="W616" s="219">
        <v>131673</v>
      </c>
      <c r="X616" s="220">
        <v>3.36</v>
      </c>
      <c r="Y616" s="221">
        <f t="shared" si="700"/>
        <v>1.0336000000000001</v>
      </c>
      <c r="Z616" s="199">
        <v>19</v>
      </c>
      <c r="AA616" s="221">
        <f t="shared" si="701"/>
        <v>1.873689022502546</v>
      </c>
      <c r="AB616" s="199">
        <f t="shared" si="749"/>
        <v>246714.25465997774</v>
      </c>
      <c r="AC616">
        <v>12.2</v>
      </c>
      <c r="AD616" s="199">
        <f t="shared" si="750"/>
        <v>30099.139068517285</v>
      </c>
      <c r="AE616" s="199">
        <f t="shared" si="702"/>
        <v>28594.182115091418</v>
      </c>
      <c r="AF616" s="199">
        <f t="shared" si="733"/>
        <v>0</v>
      </c>
      <c r="AG616" s="614">
        <f t="shared" si="732"/>
        <v>1.3220694501902349E-3</v>
      </c>
      <c r="AH616" s="199">
        <f t="shared" si="767"/>
        <v>12335.712732998887</v>
      </c>
      <c r="AI616" s="252">
        <f t="shared" si="716"/>
        <v>9.5562897499502355E-4</v>
      </c>
      <c r="AJ616" s="199">
        <f t="shared" si="717"/>
        <v>42434.851801516168</v>
      </c>
      <c r="AK616" s="199">
        <f t="shared" si="735"/>
        <v>9868.5701863991108</v>
      </c>
      <c r="AL616" s="199">
        <f t="shared" si="736"/>
        <v>9868.5701863991108</v>
      </c>
      <c r="AM616" s="199">
        <f t="shared" si="718"/>
        <v>19737.140372798222</v>
      </c>
      <c r="AN616" s="645">
        <f t="shared" si="719"/>
        <v>9.5562897499502366E-4</v>
      </c>
      <c r="AO616" s="199">
        <v>11</v>
      </c>
      <c r="AP616" s="250">
        <f t="shared" si="742"/>
        <v>1.2498579706851495E-3</v>
      </c>
      <c r="AQ616" s="199">
        <v>11</v>
      </c>
      <c r="AU616" s="199">
        <v>1</v>
      </c>
      <c r="AV616" s="199">
        <f t="shared" si="755"/>
        <v>137063.49123448157</v>
      </c>
      <c r="AW616" s="250">
        <f t="shared" si="720"/>
        <v>3.9449566566478059E-3</v>
      </c>
      <c r="AX616" s="199">
        <v>0</v>
      </c>
      <c r="AY616" s="199">
        <f t="shared" si="756"/>
        <v>11130.302464042341</v>
      </c>
      <c r="AZ616" s="199">
        <f t="shared" si="721"/>
        <v>0</v>
      </c>
      <c r="BA616" s="252">
        <f t="shared" si="722"/>
        <v>0</v>
      </c>
      <c r="BB616" s="284">
        <v>0</v>
      </c>
      <c r="BC616" s="199">
        <f t="shared" si="757"/>
        <v>0</v>
      </c>
      <c r="BD616" s="270">
        <f t="shared" si="752"/>
        <v>0</v>
      </c>
      <c r="BE616" s="199">
        <f t="shared" si="758"/>
        <v>0</v>
      </c>
      <c r="BF616" s="251">
        <f t="shared" si="753"/>
        <v>0</v>
      </c>
      <c r="BG616" s="204">
        <f t="shared" si="759"/>
        <v>0</v>
      </c>
      <c r="BH616" s="636">
        <v>1</v>
      </c>
      <c r="BI616" s="199">
        <f t="shared" si="723"/>
        <v>75494.561925953196</v>
      </c>
      <c r="BJ616" s="199">
        <f t="shared" si="724"/>
        <v>150989.12385190639</v>
      </c>
      <c r="BK616" s="199">
        <f t="shared" si="731"/>
        <v>226483.68577785959</v>
      </c>
      <c r="BL616" s="251">
        <f t="shared" si="725"/>
        <v>9.5562897499502366E-4</v>
      </c>
      <c r="BM616" s="199">
        <f t="shared" si="760"/>
        <v>16904.686445625794</v>
      </c>
      <c r="BN616" s="251">
        <f t="shared" si="726"/>
        <v>7.2999693337847088E-4</v>
      </c>
      <c r="BT616" s="199">
        <f>'Detailed Budget'!$AD$12</f>
        <v>194045122715</v>
      </c>
      <c r="BU616" s="199">
        <f>'Detailed Budget'!$AD$24</f>
        <v>194045122715</v>
      </c>
      <c r="BV616" s="596">
        <f t="shared" si="761"/>
        <v>3.9449566566478059E-3</v>
      </c>
      <c r="BW616" s="278"/>
      <c r="BX616" s="275">
        <f t="shared" si="698"/>
        <v>765499598.54457963</v>
      </c>
      <c r="BY616" s="275">
        <f t="shared" si="699"/>
        <v>765499598.54457963</v>
      </c>
      <c r="CA616" s="199">
        <f>'Detailed Budget'!$AD$96</f>
        <v>71050111380.677719</v>
      </c>
      <c r="CB616" s="275">
        <f t="shared" si="727"/>
        <v>0</v>
      </c>
      <c r="CE616" s="199">
        <f>'Detailed Budget'!$AD$175</f>
        <v>4330586076.5988197</v>
      </c>
      <c r="CF616" s="275">
        <f t="shared" si="762"/>
        <v>0</v>
      </c>
      <c r="CG616" s="199">
        <f>'Detailed Budget'!$AD$176</f>
        <v>20662817754.37001</v>
      </c>
      <c r="CH616" s="275">
        <f t="shared" si="763"/>
        <v>0</v>
      </c>
      <c r="CI616" s="275">
        <f t="shared" si="734"/>
        <v>0</v>
      </c>
      <c r="CJ616" s="275">
        <f>'Detailed Budget'!$AD$178</f>
        <v>46025131033.061455</v>
      </c>
      <c r="CK616" s="275">
        <f t="shared" si="764"/>
        <v>0</v>
      </c>
      <c r="CL616" s="275">
        <f t="shared" si="737"/>
        <v>0</v>
      </c>
      <c r="CM616" s="278">
        <f>'Detailed Budget'!$AD$189</f>
        <v>77498869683.252869</v>
      </c>
      <c r="CN616" s="275">
        <f t="shared" si="728"/>
        <v>74060165.398679852</v>
      </c>
      <c r="CO616" s="140">
        <f>'Detailed Budget'!$AD$191</f>
        <v>2684962805.4134097</v>
      </c>
      <c r="CP616" s="616">
        <f t="shared" si="729"/>
        <v>2565828.25363698</v>
      </c>
      <c r="CQ616" s="616">
        <f t="shared" si="730"/>
        <v>76625993.652316839</v>
      </c>
      <c r="CR616" s="199">
        <f>'Detailed Budget'!$AD$195</f>
        <v>18734176418</v>
      </c>
      <c r="CS616" s="275">
        <f t="shared" si="765"/>
        <v>13675891.334511267</v>
      </c>
      <c r="CW616" s="278"/>
      <c r="DH616" s="140">
        <f>'Detailed Budget'!$AD$163</f>
        <v>4928560000</v>
      </c>
      <c r="DI616" s="616">
        <f t="shared" si="766"/>
        <v>6160000</v>
      </c>
    </row>
    <row r="617" spans="1:113" outlineLevel="1">
      <c r="A617" s="214" t="s">
        <v>1314</v>
      </c>
      <c r="B617" s="215" t="s">
        <v>1315</v>
      </c>
      <c r="C617" s="216" t="s">
        <v>234</v>
      </c>
      <c r="D617" s="217"/>
      <c r="E617" s="216"/>
      <c r="F617" s="216"/>
      <c r="G617" s="216" t="s">
        <v>234</v>
      </c>
      <c r="H617" s="216" t="s">
        <v>234</v>
      </c>
      <c r="I617" s="217" t="s">
        <v>234</v>
      </c>
      <c r="J617" s="217"/>
      <c r="K617" s="216"/>
      <c r="L617" s="216"/>
      <c r="M617" s="217" t="s">
        <v>234</v>
      </c>
      <c r="N617" s="216"/>
      <c r="O617" s="217"/>
      <c r="P617" s="216"/>
      <c r="Q617" s="217"/>
      <c r="R617" s="217" t="s">
        <v>234</v>
      </c>
      <c r="S617" s="217"/>
      <c r="T617" s="217"/>
      <c r="U617" s="218">
        <f t="shared" si="754"/>
        <v>6</v>
      </c>
      <c r="V617" s="867" t="s">
        <v>235</v>
      </c>
      <c r="W617" s="219">
        <v>132608</v>
      </c>
      <c r="X617" s="220">
        <v>3.36</v>
      </c>
      <c r="Y617" s="221">
        <f t="shared" si="700"/>
        <v>1.0336000000000001</v>
      </c>
      <c r="Z617" s="199">
        <v>19</v>
      </c>
      <c r="AA617" s="221">
        <f t="shared" si="701"/>
        <v>1.873689022502546</v>
      </c>
      <c r="AB617" s="199">
        <f t="shared" si="749"/>
        <v>248466.15389601761</v>
      </c>
      <c r="AC617">
        <v>12.2</v>
      </c>
      <c r="AD617" s="199">
        <f t="shared" si="750"/>
        <v>30312.870775314146</v>
      </c>
      <c r="AE617" s="199">
        <f t="shared" si="702"/>
        <v>28797.227236548439</v>
      </c>
      <c r="AF617" s="199">
        <f t="shared" si="733"/>
        <v>0</v>
      </c>
      <c r="AG617" s="614">
        <f t="shared" si="732"/>
        <v>1.3314573652216223E-3</v>
      </c>
      <c r="AH617" s="199">
        <f t="shared" si="767"/>
        <v>12423.307694800882</v>
      </c>
      <c r="AI617" s="252">
        <f t="shared" si="716"/>
        <v>9.6241482396649354E-4</v>
      </c>
      <c r="AJ617" s="199">
        <f t="shared" si="717"/>
        <v>42736.178470115032</v>
      </c>
      <c r="AK617" s="199">
        <f t="shared" si="735"/>
        <v>9938.6461558407045</v>
      </c>
      <c r="AL617" s="199">
        <f t="shared" si="736"/>
        <v>9938.6461558407045</v>
      </c>
      <c r="AM617" s="199">
        <f t="shared" si="718"/>
        <v>19877.292311681409</v>
      </c>
      <c r="AN617" s="645">
        <f t="shared" si="719"/>
        <v>9.6241482396649343E-4</v>
      </c>
      <c r="AO617" s="199">
        <v>10</v>
      </c>
      <c r="AP617" s="250">
        <f t="shared" si="742"/>
        <v>1.1362345188046814E-3</v>
      </c>
      <c r="AQ617" s="199">
        <v>10</v>
      </c>
      <c r="AU617" s="199">
        <v>1</v>
      </c>
      <c r="AV617" s="199">
        <f t="shared" si="755"/>
        <v>138036.76870445823</v>
      </c>
      <c r="AW617" s="250">
        <f t="shared" si="720"/>
        <v>3.9729694950730379E-3</v>
      </c>
      <c r="AX617" s="199">
        <v>0</v>
      </c>
      <c r="AY617" s="199">
        <f t="shared" si="756"/>
        <v>11209.337898823047</v>
      </c>
      <c r="AZ617" s="199">
        <f t="shared" si="721"/>
        <v>0</v>
      </c>
      <c r="BA617" s="252">
        <f t="shared" si="722"/>
        <v>0</v>
      </c>
      <c r="BB617" s="284">
        <v>0</v>
      </c>
      <c r="BC617" s="199">
        <f t="shared" si="757"/>
        <v>0</v>
      </c>
      <c r="BD617" s="270">
        <f t="shared" si="752"/>
        <v>0</v>
      </c>
      <c r="BE617" s="199">
        <f t="shared" si="758"/>
        <v>0</v>
      </c>
      <c r="BF617" s="251">
        <f t="shared" si="753"/>
        <v>0</v>
      </c>
      <c r="BG617" s="204">
        <f t="shared" si="759"/>
        <v>0</v>
      </c>
      <c r="BH617" s="636">
        <v>1</v>
      </c>
      <c r="BI617" s="199">
        <f t="shared" si="723"/>
        <v>76030.643092181388</v>
      </c>
      <c r="BJ617" s="199">
        <f t="shared" si="724"/>
        <v>152061.28618436278</v>
      </c>
      <c r="BK617" s="199">
        <f t="shared" si="731"/>
        <v>228091.92927654416</v>
      </c>
      <c r="BL617" s="251">
        <f t="shared" si="725"/>
        <v>9.6241482396649332E-4</v>
      </c>
      <c r="BM617" s="199">
        <f t="shared" si="760"/>
        <v>17024.725343704064</v>
      </c>
      <c r="BN617" s="251">
        <f t="shared" si="726"/>
        <v>7.3518058631194148E-4</v>
      </c>
      <c r="BT617" s="199">
        <f>'Detailed Budget'!$AD$12</f>
        <v>194045122715</v>
      </c>
      <c r="BU617" s="199">
        <f>'Detailed Budget'!$AD$24</f>
        <v>194045122715</v>
      </c>
      <c r="BV617" s="596">
        <f t="shared" si="761"/>
        <v>3.9729694950730379E-3</v>
      </c>
      <c r="BW617" s="278"/>
      <c r="BX617" s="275">
        <f t="shared" si="698"/>
        <v>770935353.21439922</v>
      </c>
      <c r="BY617" s="275">
        <f t="shared" si="699"/>
        <v>770935353.21439922</v>
      </c>
      <c r="CA617" s="199">
        <f>'Detailed Budget'!$AD$96</f>
        <v>71050111380.677719</v>
      </c>
      <c r="CB617" s="275">
        <f t="shared" si="727"/>
        <v>0</v>
      </c>
      <c r="CE617" s="199">
        <f>'Detailed Budget'!$AD$175</f>
        <v>4330586076.5988197</v>
      </c>
      <c r="CF617" s="275">
        <f t="shared" si="762"/>
        <v>0</v>
      </c>
      <c r="CG617" s="199">
        <f>'Detailed Budget'!$AD$176</f>
        <v>20662817754.37001</v>
      </c>
      <c r="CH617" s="275">
        <f t="shared" si="763"/>
        <v>0</v>
      </c>
      <c r="CI617" s="275">
        <f t="shared" si="734"/>
        <v>0</v>
      </c>
      <c r="CJ617" s="275">
        <f>'Detailed Budget'!$AD$178</f>
        <v>46025131033.061455</v>
      </c>
      <c r="CK617" s="275">
        <f t="shared" si="764"/>
        <v>0</v>
      </c>
      <c r="CL617" s="275">
        <f t="shared" si="737"/>
        <v>0</v>
      </c>
      <c r="CM617" s="278">
        <f>'Detailed Budget'!$AD$189</f>
        <v>77498869683.252869</v>
      </c>
      <c r="CN617" s="275">
        <f t="shared" si="728"/>
        <v>74586061.023810014</v>
      </c>
      <c r="CO617" s="140">
        <f>'Detailed Budget'!$AD$191</f>
        <v>2684962805.4134097</v>
      </c>
      <c r="CP617" s="616">
        <f t="shared" si="729"/>
        <v>2584048.0057285288</v>
      </c>
      <c r="CQ617" s="616">
        <f t="shared" si="730"/>
        <v>77170109.029538542</v>
      </c>
      <c r="CR617" s="199">
        <f>'Detailed Budget'!$AD$195</f>
        <v>18734176418</v>
      </c>
      <c r="CS617" s="275">
        <f t="shared" si="765"/>
        <v>13773002.803056588</v>
      </c>
      <c r="CW617" s="278"/>
      <c r="DH617" s="140">
        <f>'Detailed Budget'!$AD$163</f>
        <v>4928560000</v>
      </c>
      <c r="DI617" s="616">
        <f t="shared" si="766"/>
        <v>5600000</v>
      </c>
    </row>
    <row r="618" spans="1:113" outlineLevel="1">
      <c r="A618" s="214" t="s">
        <v>1316</v>
      </c>
      <c r="B618" s="215" t="s">
        <v>1317</v>
      </c>
      <c r="C618" s="216" t="s">
        <v>234</v>
      </c>
      <c r="D618" s="217"/>
      <c r="E618" s="216"/>
      <c r="F618" s="216"/>
      <c r="G618" s="216" t="s">
        <v>234</v>
      </c>
      <c r="H618" s="216" t="s">
        <v>234</v>
      </c>
      <c r="I618" s="217" t="s">
        <v>234</v>
      </c>
      <c r="J618" s="217"/>
      <c r="K618" s="216"/>
      <c r="L618" s="216"/>
      <c r="M618" s="217" t="s">
        <v>234</v>
      </c>
      <c r="N618" s="216"/>
      <c r="O618" s="217"/>
      <c r="P618" s="216"/>
      <c r="Q618" s="217"/>
      <c r="R618" s="217" t="s">
        <v>234</v>
      </c>
      <c r="S618" s="217"/>
      <c r="T618" s="217"/>
      <c r="U618" s="218">
        <f t="shared" si="754"/>
        <v>6</v>
      </c>
      <c r="V618" s="867" t="s">
        <v>235</v>
      </c>
      <c r="W618" s="219">
        <v>141408</v>
      </c>
      <c r="X618" s="220">
        <v>3.36</v>
      </c>
      <c r="Y618" s="221">
        <f t="shared" si="700"/>
        <v>1.0336000000000001</v>
      </c>
      <c r="Z618" s="199">
        <v>19</v>
      </c>
      <c r="AA618" s="221">
        <f t="shared" si="701"/>
        <v>1.873689022502546</v>
      </c>
      <c r="AB618" s="199">
        <f t="shared" si="749"/>
        <v>264954.61729404004</v>
      </c>
      <c r="AC618">
        <v>12.2</v>
      </c>
      <c r="AD618" s="199">
        <f t="shared" si="750"/>
        <v>32324.463309872881</v>
      </c>
      <c r="AE618" s="199">
        <f t="shared" si="702"/>
        <v>30708.240144379237</v>
      </c>
      <c r="AF618" s="199">
        <f t="shared" si="733"/>
        <v>0</v>
      </c>
      <c r="AG618" s="614">
        <f t="shared" si="732"/>
        <v>1.4198142125758564E-3</v>
      </c>
      <c r="AH618" s="199">
        <f t="shared" si="767"/>
        <v>13247.730864702004</v>
      </c>
      <c r="AI618" s="252">
        <f t="shared" si="716"/>
        <v>1.0262816378156215E-3</v>
      </c>
      <c r="AJ618" s="199">
        <f t="shared" si="717"/>
        <v>45572.194174574885</v>
      </c>
      <c r="AK618" s="199">
        <f t="shared" si="735"/>
        <v>10598.184691761602</v>
      </c>
      <c r="AL618" s="199">
        <f t="shared" si="736"/>
        <v>10598.184691761602</v>
      </c>
      <c r="AM618" s="199">
        <f t="shared" si="718"/>
        <v>21196.369383523204</v>
      </c>
      <c r="AN618" s="645">
        <f t="shared" si="719"/>
        <v>1.0262816378156213E-3</v>
      </c>
      <c r="AO618" s="199">
        <v>11</v>
      </c>
      <c r="AP618" s="250">
        <f t="shared" si="742"/>
        <v>1.2498579706851495E-3</v>
      </c>
      <c r="AQ618" s="199">
        <v>11</v>
      </c>
      <c r="AU618" s="199">
        <v>1</v>
      </c>
      <c r="AV618" s="199">
        <f t="shared" si="755"/>
        <v>147197.02724541532</v>
      </c>
      <c r="AW618" s="250">
        <f t="shared" si="720"/>
        <v>4.2366197390752312E-3</v>
      </c>
      <c r="AX618" s="199">
        <v>0</v>
      </c>
      <c r="AY618" s="199">
        <f t="shared" si="756"/>
        <v>11953.200814406138</v>
      </c>
      <c r="AZ618" s="199">
        <f t="shared" si="721"/>
        <v>0</v>
      </c>
      <c r="BA618" s="252">
        <f t="shared" si="722"/>
        <v>0</v>
      </c>
      <c r="BB618" s="284">
        <v>0</v>
      </c>
      <c r="BC618" s="199">
        <f t="shared" si="757"/>
        <v>0</v>
      </c>
      <c r="BD618" s="270">
        <f t="shared" si="752"/>
        <v>0</v>
      </c>
      <c r="BE618" s="199">
        <f t="shared" si="758"/>
        <v>0</v>
      </c>
      <c r="BF618" s="251">
        <f t="shared" si="753"/>
        <v>0</v>
      </c>
      <c r="BG618" s="204">
        <f t="shared" si="759"/>
        <v>0</v>
      </c>
      <c r="BH618" s="636">
        <v>1</v>
      </c>
      <c r="BI618" s="199">
        <f t="shared" si="723"/>
        <v>81076.112891976256</v>
      </c>
      <c r="BJ618" s="199">
        <f t="shared" si="724"/>
        <v>162152.22578395251</v>
      </c>
      <c r="BK618" s="199">
        <f t="shared" si="731"/>
        <v>243228.33867592877</v>
      </c>
      <c r="BL618" s="251">
        <f t="shared" si="725"/>
        <v>1.0262816378156213E-3</v>
      </c>
      <c r="BM618" s="199">
        <f t="shared" si="760"/>
        <v>18154.503207970138</v>
      </c>
      <c r="BN618" s="251">
        <f t="shared" si="726"/>
        <v>7.839679080387232E-4</v>
      </c>
      <c r="BT618" s="199">
        <f>'Detailed Budget'!$AD$12</f>
        <v>194045122715</v>
      </c>
      <c r="BU618" s="199">
        <f>'Detailed Budget'!$AD$24</f>
        <v>194045122715</v>
      </c>
      <c r="BV618" s="596">
        <f t="shared" si="761"/>
        <v>4.2366197390752312E-3</v>
      </c>
      <c r="BW618" s="278"/>
      <c r="BX618" s="275">
        <f t="shared" si="698"/>
        <v>822095397.16564453</v>
      </c>
      <c r="BY618" s="275">
        <f t="shared" si="699"/>
        <v>822095397.16564453</v>
      </c>
      <c r="CA618" s="199">
        <f>'Detailed Budget'!$AD$96</f>
        <v>71050111380.677719</v>
      </c>
      <c r="CB618" s="275">
        <f t="shared" si="727"/>
        <v>0</v>
      </c>
      <c r="CE618" s="199">
        <f>'Detailed Budget'!$AD$175</f>
        <v>4330586076.5988197</v>
      </c>
      <c r="CF618" s="275">
        <f t="shared" si="762"/>
        <v>0</v>
      </c>
      <c r="CG618" s="199">
        <f>'Detailed Budget'!$AD$176</f>
        <v>20662817754.37001</v>
      </c>
      <c r="CH618" s="275">
        <f t="shared" si="763"/>
        <v>0</v>
      </c>
      <c r="CI618" s="275">
        <f t="shared" si="734"/>
        <v>0</v>
      </c>
      <c r="CJ618" s="275">
        <f>'Detailed Budget'!$AD$178</f>
        <v>46025131033.061455</v>
      </c>
      <c r="CK618" s="275">
        <f t="shared" si="764"/>
        <v>0</v>
      </c>
      <c r="CL618" s="275">
        <f t="shared" si="737"/>
        <v>0</v>
      </c>
      <c r="CM618" s="278">
        <f>'Detailed Budget'!$AD$189</f>
        <v>77498869683.252869</v>
      </c>
      <c r="CN618" s="275">
        <f t="shared" si="728"/>
        <v>79535666.907388151</v>
      </c>
      <c r="CO618" s="140">
        <f>'Detailed Budget'!$AD$191</f>
        <v>2684962805.4134097</v>
      </c>
      <c r="CP618" s="616">
        <f t="shared" si="729"/>
        <v>2755528.0254136994</v>
      </c>
      <c r="CQ618" s="616">
        <f t="shared" si="730"/>
        <v>82291194.932801843</v>
      </c>
      <c r="CR618" s="199">
        <f>'Detailed Budget'!$AD$195</f>
        <v>18734176418</v>
      </c>
      <c r="CS618" s="275">
        <f t="shared" si="765"/>
        <v>14686993.095247841</v>
      </c>
      <c r="CW618" s="278"/>
      <c r="DH618" s="140">
        <f>'Detailed Budget'!$AD$163</f>
        <v>4928560000</v>
      </c>
      <c r="DI618" s="616">
        <f t="shared" si="766"/>
        <v>6160000</v>
      </c>
    </row>
    <row r="619" spans="1:113" outlineLevel="1">
      <c r="A619" s="214" t="s">
        <v>1318</v>
      </c>
      <c r="B619" s="215" t="s">
        <v>1319</v>
      </c>
      <c r="C619" s="216" t="s">
        <v>234</v>
      </c>
      <c r="D619" s="217"/>
      <c r="E619" s="216"/>
      <c r="F619" s="216"/>
      <c r="G619" s="216" t="s">
        <v>234</v>
      </c>
      <c r="H619" s="216" t="s">
        <v>234</v>
      </c>
      <c r="I619" s="217" t="s">
        <v>234</v>
      </c>
      <c r="J619" s="217"/>
      <c r="K619" s="216"/>
      <c r="L619" s="216"/>
      <c r="M619" s="217" t="s">
        <v>234</v>
      </c>
      <c r="N619" s="216"/>
      <c r="O619" s="217"/>
      <c r="P619" s="216"/>
      <c r="Q619" s="217"/>
      <c r="R619" s="217" t="s">
        <v>234</v>
      </c>
      <c r="S619" s="217"/>
      <c r="T619" s="217"/>
      <c r="U619" s="218">
        <f t="shared" si="754"/>
        <v>6</v>
      </c>
      <c r="V619" s="867" t="s">
        <v>235</v>
      </c>
      <c r="W619" s="219">
        <v>99084</v>
      </c>
      <c r="X619" s="220">
        <v>3.36</v>
      </c>
      <c r="Y619" s="221">
        <f t="shared" si="700"/>
        <v>1.0336000000000001</v>
      </c>
      <c r="Z619" s="199">
        <v>19</v>
      </c>
      <c r="AA619" s="221">
        <f t="shared" si="701"/>
        <v>1.873689022502546</v>
      </c>
      <c r="AB619" s="199">
        <f t="shared" si="749"/>
        <v>185652.60310564228</v>
      </c>
      <c r="AC619">
        <v>12.2</v>
      </c>
      <c r="AD619" s="199">
        <f t="shared" si="750"/>
        <v>22649.617578888359</v>
      </c>
      <c r="AE619" s="199">
        <f t="shared" si="702"/>
        <v>21517.136699943941</v>
      </c>
      <c r="AF619" s="199">
        <f t="shared" si="733"/>
        <v>0</v>
      </c>
      <c r="AG619" s="614">
        <f t="shared" si="732"/>
        <v>9.9485793900533337E-4</v>
      </c>
      <c r="AH619" s="199">
        <f t="shared" si="767"/>
        <v>9282.6301552821151</v>
      </c>
      <c r="AI619" s="252">
        <f t="shared" si="716"/>
        <v>7.1911129357124797E-4</v>
      </c>
      <c r="AJ619" s="199">
        <f t="shared" si="717"/>
        <v>31932.247734170473</v>
      </c>
      <c r="AK619" s="199">
        <f t="shared" si="735"/>
        <v>7426.1041242256915</v>
      </c>
      <c r="AL619" s="199">
        <f t="shared" si="736"/>
        <v>7426.1041242256915</v>
      </c>
      <c r="AM619" s="199">
        <f t="shared" si="718"/>
        <v>14852.208248451383</v>
      </c>
      <c r="AN619" s="645">
        <f t="shared" si="719"/>
        <v>7.1911129357124797E-4</v>
      </c>
      <c r="AO619" s="199">
        <v>10</v>
      </c>
      <c r="AP619" s="250">
        <f t="shared" si="742"/>
        <v>1.1362345188046814E-3</v>
      </c>
      <c r="AQ619" s="199">
        <v>10</v>
      </c>
      <c r="AU619" s="199">
        <v>1</v>
      </c>
      <c r="AV619" s="199">
        <f t="shared" si="755"/>
        <v>103140.34741729414</v>
      </c>
      <c r="AW619" s="250">
        <f t="shared" si="720"/>
        <v>2.9685819064446859E-3</v>
      </c>
      <c r="AX619" s="199">
        <v>0</v>
      </c>
      <c r="AY619" s="199">
        <f t="shared" si="756"/>
        <v>8375.5583099585456</v>
      </c>
      <c r="AZ619" s="199">
        <f t="shared" si="721"/>
        <v>0</v>
      </c>
      <c r="BA619" s="252">
        <f t="shared" si="722"/>
        <v>0</v>
      </c>
      <c r="BB619" s="284">
        <v>0</v>
      </c>
      <c r="BC619" s="199">
        <f t="shared" si="757"/>
        <v>0</v>
      </c>
      <c r="BD619" s="270">
        <f t="shared" si="752"/>
        <v>0</v>
      </c>
      <c r="BE619" s="199">
        <f t="shared" si="758"/>
        <v>0</v>
      </c>
      <c r="BF619" s="251">
        <f t="shared" si="753"/>
        <v>0</v>
      </c>
      <c r="BG619" s="204">
        <f t="shared" si="759"/>
        <v>0</v>
      </c>
      <c r="BH619" s="636">
        <v>1</v>
      </c>
      <c r="BI619" s="199">
        <f t="shared" si="723"/>
        <v>56809.696550326531</v>
      </c>
      <c r="BJ619" s="199">
        <f t="shared" si="724"/>
        <v>113619.39310065306</v>
      </c>
      <c r="BK619" s="199">
        <f t="shared" si="731"/>
        <v>170429.08965097959</v>
      </c>
      <c r="BL619" s="251">
        <f t="shared" si="725"/>
        <v>7.1911129357124775E-4</v>
      </c>
      <c r="BM619" s="199">
        <f t="shared" si="760"/>
        <v>12720.785216243163</v>
      </c>
      <c r="BN619" s="251">
        <f t="shared" si="726"/>
        <v>5.4932306658823297E-4</v>
      </c>
      <c r="BT619" s="199">
        <f>'Detailed Budget'!$AD$12</f>
        <v>194045122715</v>
      </c>
      <c r="BU619" s="199">
        <f>'Detailed Budget'!$AD$24</f>
        <v>194045122715</v>
      </c>
      <c r="BV619" s="596">
        <f t="shared" si="761"/>
        <v>2.9685819064446859E-3</v>
      </c>
      <c r="BW619" s="278"/>
      <c r="BX619" s="275">
        <f t="shared" si="698"/>
        <v>576038840.32558775</v>
      </c>
      <c r="BY619" s="275">
        <f t="shared" si="699"/>
        <v>576038840.32558775</v>
      </c>
      <c r="CA619" s="199">
        <f>'Detailed Budget'!$AD$96</f>
        <v>71050111380.677719</v>
      </c>
      <c r="CB619" s="275">
        <f t="shared" si="727"/>
        <v>0</v>
      </c>
      <c r="CE619" s="199">
        <f>'Detailed Budget'!$AD$175</f>
        <v>4330586076.5988197</v>
      </c>
      <c r="CF619" s="275">
        <f t="shared" si="762"/>
        <v>0</v>
      </c>
      <c r="CG619" s="199">
        <f>'Detailed Budget'!$AD$176</f>
        <v>20662817754.37001</v>
      </c>
      <c r="CH619" s="275">
        <f t="shared" si="763"/>
        <v>0</v>
      </c>
      <c r="CI619" s="275">
        <f t="shared" si="734"/>
        <v>0</v>
      </c>
      <c r="CJ619" s="275">
        <f>'Detailed Budget'!$AD$178</f>
        <v>46025131033.061455</v>
      </c>
      <c r="CK619" s="275">
        <f t="shared" si="764"/>
        <v>0</v>
      </c>
      <c r="CL619" s="275">
        <f t="shared" si="737"/>
        <v>0</v>
      </c>
      <c r="CM619" s="278">
        <f>'Detailed Budget'!$AD$189</f>
        <v>77498869683.252869</v>
      </c>
      <c r="CN619" s="275">
        <f t="shared" si="728"/>
        <v>55730312.428233527</v>
      </c>
      <c r="CO619" s="140">
        <f>'Detailed Budget'!$AD$191</f>
        <v>2684962805.4134097</v>
      </c>
      <c r="CP619" s="616">
        <f t="shared" si="729"/>
        <v>1930787.076191524</v>
      </c>
      <c r="CQ619" s="616">
        <f t="shared" si="730"/>
        <v>57661099.504425049</v>
      </c>
      <c r="CR619" s="199">
        <f>'Detailed Budget'!$AD$195</f>
        <v>18734176418</v>
      </c>
      <c r="CS619" s="275">
        <f t="shared" si="765"/>
        <v>10291115.239940718</v>
      </c>
      <c r="CW619" s="278"/>
      <c r="DH619" s="140">
        <f>'Detailed Budget'!$AD$163</f>
        <v>4928560000</v>
      </c>
      <c r="DI619" s="616">
        <f t="shared" si="766"/>
        <v>5600000</v>
      </c>
    </row>
    <row r="620" spans="1:113" outlineLevel="1">
      <c r="A620" s="214" t="s">
        <v>1320</v>
      </c>
      <c r="B620" s="215" t="s">
        <v>1321</v>
      </c>
      <c r="C620" s="216" t="s">
        <v>234</v>
      </c>
      <c r="D620" s="217"/>
      <c r="E620" s="216"/>
      <c r="F620" s="216"/>
      <c r="G620" s="216" t="s">
        <v>234</v>
      </c>
      <c r="H620" s="216" t="s">
        <v>234</v>
      </c>
      <c r="I620" s="217" t="s">
        <v>234</v>
      </c>
      <c r="J620" s="217"/>
      <c r="K620" s="216"/>
      <c r="L620" s="216"/>
      <c r="M620" s="217" t="s">
        <v>234</v>
      </c>
      <c r="N620" s="216"/>
      <c r="O620" s="217"/>
      <c r="P620" s="216"/>
      <c r="Q620" s="217"/>
      <c r="R620" s="217" t="s">
        <v>234</v>
      </c>
      <c r="S620" s="217"/>
      <c r="T620" s="217"/>
      <c r="U620" s="218">
        <f t="shared" si="754"/>
        <v>6</v>
      </c>
      <c r="V620" s="867" t="s">
        <v>235</v>
      </c>
      <c r="W620" s="219">
        <v>127856</v>
      </c>
      <c r="X620" s="220">
        <v>3.36</v>
      </c>
      <c r="Y620" s="221">
        <f t="shared" si="700"/>
        <v>1.0336000000000001</v>
      </c>
      <c r="Z620" s="199">
        <v>19</v>
      </c>
      <c r="AA620" s="221">
        <f t="shared" si="701"/>
        <v>1.873689022502546</v>
      </c>
      <c r="AB620" s="199">
        <f t="shared" si="749"/>
        <v>239562.38366108551</v>
      </c>
      <c r="AC620">
        <v>12.2</v>
      </c>
      <c r="AD620" s="199">
        <f t="shared" si="750"/>
        <v>29226.610806652428</v>
      </c>
      <c r="AE620" s="199">
        <f t="shared" si="702"/>
        <v>27765.280266319805</v>
      </c>
      <c r="AF620" s="199">
        <f t="shared" si="733"/>
        <v>0</v>
      </c>
      <c r="AG620" s="614">
        <f t="shared" si="732"/>
        <v>1.2837446676503357E-3</v>
      </c>
      <c r="AH620" s="199">
        <f t="shared" si="767"/>
        <v>11978.119183054276</v>
      </c>
      <c r="AI620" s="252">
        <f t="shared" si="716"/>
        <v>9.2792674448796437E-4</v>
      </c>
      <c r="AJ620" s="199">
        <f t="shared" si="717"/>
        <v>41204.729989706706</v>
      </c>
      <c r="AK620" s="199">
        <f t="shared" si="735"/>
        <v>9582.4953464434202</v>
      </c>
      <c r="AL620" s="199">
        <f t="shared" si="736"/>
        <v>9582.4953464434202</v>
      </c>
      <c r="AM620" s="199">
        <f t="shared" si="718"/>
        <v>19164.99069288684</v>
      </c>
      <c r="AN620" s="645">
        <f t="shared" si="719"/>
        <v>9.2792674448796437E-4</v>
      </c>
      <c r="AO620" s="199">
        <v>10</v>
      </c>
      <c r="AP620" s="250">
        <f t="shared" si="742"/>
        <v>1.1362345188046814E-3</v>
      </c>
      <c r="AQ620" s="199">
        <v>10</v>
      </c>
      <c r="AU620" s="199">
        <v>1</v>
      </c>
      <c r="AV620" s="199">
        <f t="shared" si="755"/>
        <v>133090.22909234144</v>
      </c>
      <c r="AW620" s="250">
        <f t="shared" si="720"/>
        <v>3.8305983633118543E-3</v>
      </c>
      <c r="AX620" s="199">
        <v>0</v>
      </c>
      <c r="AY620" s="199">
        <f t="shared" si="756"/>
        <v>10807.651924408174</v>
      </c>
      <c r="AZ620" s="199">
        <f t="shared" si="721"/>
        <v>0</v>
      </c>
      <c r="BA620" s="252">
        <f t="shared" si="722"/>
        <v>0</v>
      </c>
      <c r="BB620" s="284">
        <v>0</v>
      </c>
      <c r="BC620" s="199">
        <f t="shared" si="757"/>
        <v>0</v>
      </c>
      <c r="BD620" s="270">
        <f t="shared" si="752"/>
        <v>0</v>
      </c>
      <c r="BE620" s="199">
        <f t="shared" si="758"/>
        <v>0</v>
      </c>
      <c r="BF620" s="251">
        <f t="shared" si="753"/>
        <v>0</v>
      </c>
      <c r="BG620" s="204">
        <f t="shared" si="759"/>
        <v>0</v>
      </c>
      <c r="BH620" s="636">
        <v>1</v>
      </c>
      <c r="BI620" s="199">
        <f t="shared" si="723"/>
        <v>73306.08940029217</v>
      </c>
      <c r="BJ620" s="199">
        <f t="shared" si="724"/>
        <v>146612.17880058434</v>
      </c>
      <c r="BK620" s="199">
        <f t="shared" si="731"/>
        <v>219918.26820087651</v>
      </c>
      <c r="BL620" s="251">
        <f t="shared" si="725"/>
        <v>9.2792674448796437E-4</v>
      </c>
      <c r="BM620" s="199">
        <f t="shared" si="760"/>
        <v>16414.645297000381</v>
      </c>
      <c r="BN620" s="251">
        <f t="shared" si="726"/>
        <v>7.0883543257947918E-4</v>
      </c>
      <c r="BT620" s="199">
        <f>'Detailed Budget'!$AD$12</f>
        <v>194045122715</v>
      </c>
      <c r="BU620" s="199">
        <f>'Detailed Budget'!$AD$24</f>
        <v>194045122715</v>
      </c>
      <c r="BV620" s="596">
        <f t="shared" si="761"/>
        <v>3.8305983633118543E-3</v>
      </c>
      <c r="BW620" s="278"/>
      <c r="BX620" s="275">
        <f t="shared" si="698"/>
        <v>743308929.48072696</v>
      </c>
      <c r="BY620" s="275">
        <f t="shared" si="699"/>
        <v>743308929.48072696</v>
      </c>
      <c r="CA620" s="199">
        <f>'Detailed Budget'!$AD$96</f>
        <v>71050111380.677719</v>
      </c>
      <c r="CB620" s="275">
        <f t="shared" si="727"/>
        <v>0</v>
      </c>
      <c r="CE620" s="199">
        <f>'Detailed Budget'!$AD$175</f>
        <v>4330586076.5988197</v>
      </c>
      <c r="CF620" s="275">
        <f t="shared" si="762"/>
        <v>0</v>
      </c>
      <c r="CG620" s="199">
        <f>'Detailed Budget'!$AD$176</f>
        <v>20662817754.37001</v>
      </c>
      <c r="CH620" s="275">
        <f t="shared" si="763"/>
        <v>0</v>
      </c>
      <c r="CI620" s="275">
        <f t="shared" si="734"/>
        <v>0</v>
      </c>
      <c r="CJ620" s="275">
        <f>'Detailed Budget'!$AD$178</f>
        <v>46025131033.061455</v>
      </c>
      <c r="CK620" s="275">
        <f t="shared" si="764"/>
        <v>0</v>
      </c>
      <c r="CL620" s="275">
        <f t="shared" si="737"/>
        <v>0</v>
      </c>
      <c r="CM620" s="278">
        <f>'Detailed Budget'!$AD$189</f>
        <v>77498869683.252869</v>
      </c>
      <c r="CN620" s="275">
        <f t="shared" si="728"/>
        <v>71913273.84667784</v>
      </c>
      <c r="CO620" s="140">
        <f>'Detailed Budget'!$AD$191</f>
        <v>2684962805.4134097</v>
      </c>
      <c r="CP620" s="616">
        <f t="shared" si="729"/>
        <v>2491448.7950985371</v>
      </c>
      <c r="CQ620" s="616">
        <f t="shared" si="730"/>
        <v>74404722.641776383</v>
      </c>
      <c r="CR620" s="199">
        <f>'Detailed Budget'!$AD$195</f>
        <v>18734176418</v>
      </c>
      <c r="CS620" s="275">
        <f t="shared" si="765"/>
        <v>13279448.045273308</v>
      </c>
      <c r="CW620" s="278"/>
      <c r="DH620" s="140">
        <f>'Detailed Budget'!$AD$163</f>
        <v>4928560000</v>
      </c>
      <c r="DI620" s="616">
        <f t="shared" si="766"/>
        <v>5600000</v>
      </c>
    </row>
    <row r="621" spans="1:113" outlineLevel="1">
      <c r="A621" s="214" t="s">
        <v>1322</v>
      </c>
      <c r="B621" s="215" t="s">
        <v>1323</v>
      </c>
      <c r="C621" s="216" t="s">
        <v>234</v>
      </c>
      <c r="D621" s="217"/>
      <c r="E621" s="216"/>
      <c r="F621" s="216"/>
      <c r="G621" s="216" t="s">
        <v>234</v>
      </c>
      <c r="H621" s="216" t="s">
        <v>234</v>
      </c>
      <c r="I621" s="217" t="s">
        <v>234</v>
      </c>
      <c r="J621" s="217"/>
      <c r="K621" s="216"/>
      <c r="L621" s="216"/>
      <c r="M621" s="217" t="s">
        <v>234</v>
      </c>
      <c r="N621" s="216"/>
      <c r="O621" s="217"/>
      <c r="P621" s="216"/>
      <c r="Q621" s="217"/>
      <c r="R621" s="217" t="s">
        <v>234</v>
      </c>
      <c r="S621" s="217"/>
      <c r="T621" s="217"/>
      <c r="U621" s="218">
        <f t="shared" si="754"/>
        <v>6</v>
      </c>
      <c r="V621" s="867" t="s">
        <v>235</v>
      </c>
      <c r="W621" s="219">
        <v>102173</v>
      </c>
      <c r="X621" s="220">
        <v>3.36</v>
      </c>
      <c r="Y621" s="221">
        <f t="shared" si="700"/>
        <v>1.0336000000000001</v>
      </c>
      <c r="Z621" s="199">
        <v>19</v>
      </c>
      <c r="AA621" s="221">
        <f t="shared" si="701"/>
        <v>1.873689022502546</v>
      </c>
      <c r="AB621" s="199">
        <f t="shared" si="749"/>
        <v>191440.42849615263</v>
      </c>
      <c r="AC621">
        <v>12.2</v>
      </c>
      <c r="AD621" s="199">
        <f t="shared" si="750"/>
        <v>23355.73227653062</v>
      </c>
      <c r="AE621" s="199">
        <f t="shared" si="702"/>
        <v>22187.945662704089</v>
      </c>
      <c r="AF621" s="199">
        <f t="shared" si="733"/>
        <v>0</v>
      </c>
      <c r="AG621" s="614">
        <f t="shared" si="732"/>
        <v>1.0258732005368365E-3</v>
      </c>
      <c r="AH621" s="199">
        <f t="shared" si="767"/>
        <v>9572.0214248076318</v>
      </c>
      <c r="AI621" s="252">
        <f t="shared" si="716"/>
        <v>7.4152999675078824E-4</v>
      </c>
      <c r="AJ621" s="199">
        <f t="shared" si="717"/>
        <v>32927.753701338253</v>
      </c>
      <c r="AK621" s="199">
        <f t="shared" si="735"/>
        <v>7657.6171398461056</v>
      </c>
      <c r="AL621" s="199">
        <f t="shared" si="736"/>
        <v>7657.6171398461056</v>
      </c>
      <c r="AM621" s="199">
        <f t="shared" si="718"/>
        <v>15315.234279692211</v>
      </c>
      <c r="AN621" s="645">
        <f t="shared" si="719"/>
        <v>7.4152999675078835E-4</v>
      </c>
      <c r="AO621" s="199">
        <v>10</v>
      </c>
      <c r="AP621" s="250">
        <f t="shared" si="742"/>
        <v>1.1362345188046814E-3</v>
      </c>
      <c r="AQ621" s="199">
        <v>10</v>
      </c>
      <c r="AU621" s="199">
        <v>1</v>
      </c>
      <c r="AV621" s="199">
        <f t="shared" si="755"/>
        <v>106355.80635286417</v>
      </c>
      <c r="AW621" s="250">
        <f t="shared" si="720"/>
        <v>3.0611291341404554E-3</v>
      </c>
      <c r="AX621" s="199">
        <v>0</v>
      </c>
      <c r="AY621" s="199">
        <f t="shared" si="756"/>
        <v>8636.6710993035649</v>
      </c>
      <c r="AZ621" s="199">
        <f t="shared" si="721"/>
        <v>0</v>
      </c>
      <c r="BA621" s="252">
        <f t="shared" si="722"/>
        <v>0</v>
      </c>
      <c r="BB621" s="284">
        <v>0</v>
      </c>
      <c r="BC621" s="199">
        <f t="shared" si="757"/>
        <v>0</v>
      </c>
      <c r="BD621" s="270">
        <f t="shared" si="752"/>
        <v>0</v>
      </c>
      <c r="BE621" s="199">
        <f t="shared" si="758"/>
        <v>0</v>
      </c>
      <c r="BF621" s="251">
        <f t="shared" si="753"/>
        <v>0</v>
      </c>
      <c r="BG621" s="204">
        <f t="shared" si="759"/>
        <v>0</v>
      </c>
      <c r="BH621" s="636">
        <v>1</v>
      </c>
      <c r="BI621" s="199">
        <f t="shared" si="723"/>
        <v>58580.771119822697</v>
      </c>
      <c r="BJ621" s="199">
        <f t="shared" si="724"/>
        <v>117161.54223964539</v>
      </c>
      <c r="BK621" s="199">
        <f t="shared" si="731"/>
        <v>175742.3133594681</v>
      </c>
      <c r="BL621" s="251">
        <f t="shared" si="725"/>
        <v>7.4152999675078824E-4</v>
      </c>
      <c r="BM621" s="199">
        <f t="shared" si="760"/>
        <v>13117.362923370198</v>
      </c>
      <c r="BN621" s="251">
        <f t="shared" si="726"/>
        <v>5.6644852531709993E-4</v>
      </c>
      <c r="BT621" s="199">
        <f>'Detailed Budget'!$AD$12</f>
        <v>194045122715</v>
      </c>
      <c r="BU621" s="199">
        <f>'Detailed Budget'!$AD$24</f>
        <v>194045122715</v>
      </c>
      <c r="BV621" s="596">
        <f t="shared" si="761"/>
        <v>3.0611291341404554E-3</v>
      </c>
      <c r="BW621" s="278"/>
      <c r="BX621" s="275">
        <f t="shared" si="698"/>
        <v>593997178.48074639</v>
      </c>
      <c r="BY621" s="275">
        <f t="shared" si="699"/>
        <v>593997178.48074639</v>
      </c>
      <c r="CA621" s="199">
        <f>'Detailed Budget'!$AD$96</f>
        <v>71050111380.677719</v>
      </c>
      <c r="CB621" s="275">
        <f t="shared" si="727"/>
        <v>0</v>
      </c>
      <c r="CE621" s="199">
        <f>'Detailed Budget'!$AD$175</f>
        <v>4330586076.5988197</v>
      </c>
      <c r="CF621" s="275">
        <f t="shared" si="762"/>
        <v>0</v>
      </c>
      <c r="CG621" s="199">
        <f>'Detailed Budget'!$AD$176</f>
        <v>20662817754.37001</v>
      </c>
      <c r="CH621" s="275">
        <f t="shared" si="763"/>
        <v>0</v>
      </c>
      <c r="CI621" s="275">
        <f t="shared" si="734"/>
        <v>0</v>
      </c>
      <c r="CJ621" s="275">
        <f>'Detailed Budget'!$AD$178</f>
        <v>46025131033.061455</v>
      </c>
      <c r="CK621" s="275">
        <f t="shared" si="764"/>
        <v>0</v>
      </c>
      <c r="CL621" s="275">
        <f t="shared" si="737"/>
        <v>0</v>
      </c>
      <c r="CM621" s="278">
        <f>'Detailed Budget'!$AD$189</f>
        <v>77498869683.252869</v>
      </c>
      <c r="CN621" s="275">
        <f t="shared" si="728"/>
        <v>57467736.584412262</v>
      </c>
      <c r="CO621" s="140">
        <f>'Detailed Budget'!$AD$191</f>
        <v>2684962805.4134097</v>
      </c>
      <c r="CP621" s="616">
        <f t="shared" si="729"/>
        <v>1990980.4603741933</v>
      </c>
      <c r="CQ621" s="616">
        <f t="shared" si="730"/>
        <v>59458717.044786453</v>
      </c>
      <c r="CR621" s="199">
        <f>'Detailed Budget'!$AD$195</f>
        <v>18734176418</v>
      </c>
      <c r="CS621" s="275">
        <f t="shared" si="765"/>
        <v>10611946.60500649</v>
      </c>
      <c r="CW621" s="278"/>
      <c r="DH621" s="140">
        <f>'Detailed Budget'!$AD$163</f>
        <v>4928560000</v>
      </c>
      <c r="DI621" s="616">
        <f t="shared" si="766"/>
        <v>5600000</v>
      </c>
    </row>
    <row r="622" spans="1:113" outlineLevel="1">
      <c r="A622" s="214" t="s">
        <v>1324</v>
      </c>
      <c r="B622" s="215" t="s">
        <v>1325</v>
      </c>
      <c r="C622" s="216" t="s">
        <v>234</v>
      </c>
      <c r="D622" s="217"/>
      <c r="E622" s="216"/>
      <c r="F622" s="216"/>
      <c r="G622" s="216" t="s">
        <v>234</v>
      </c>
      <c r="H622" s="216" t="s">
        <v>234</v>
      </c>
      <c r="I622" s="217" t="s">
        <v>234</v>
      </c>
      <c r="J622" s="217"/>
      <c r="K622" s="216"/>
      <c r="L622" s="216"/>
      <c r="M622" s="217" t="s">
        <v>234</v>
      </c>
      <c r="N622" s="216"/>
      <c r="O622" s="217"/>
      <c r="P622" s="216"/>
      <c r="Q622" s="217"/>
      <c r="R622" s="217" t="s">
        <v>234</v>
      </c>
      <c r="S622" s="217"/>
      <c r="T622" s="217"/>
      <c r="U622" s="218">
        <f t="shared" si="754"/>
        <v>6</v>
      </c>
      <c r="V622" s="867" t="s">
        <v>235</v>
      </c>
      <c r="W622" s="219">
        <v>177293</v>
      </c>
      <c r="X622" s="220">
        <v>3.36</v>
      </c>
      <c r="Y622" s="221">
        <f t="shared" si="700"/>
        <v>1.0336000000000001</v>
      </c>
      <c r="Z622" s="199">
        <v>19</v>
      </c>
      <c r="AA622" s="221">
        <f t="shared" si="701"/>
        <v>1.873689022502546</v>
      </c>
      <c r="AB622" s="199">
        <f t="shared" si="749"/>
        <v>332191.94786654389</v>
      </c>
      <c r="AC622">
        <v>12.2</v>
      </c>
      <c r="AD622" s="199">
        <f t="shared" si="750"/>
        <v>40527.417639718355</v>
      </c>
      <c r="AE622" s="199">
        <f t="shared" si="702"/>
        <v>38501.046757732438</v>
      </c>
      <c r="AF622" s="199">
        <f t="shared" si="733"/>
        <v>0</v>
      </c>
      <c r="AG622" s="614">
        <f t="shared" si="732"/>
        <v>1.7801193793152534E-3</v>
      </c>
      <c r="AH622" s="199">
        <f t="shared" si="767"/>
        <v>16609.597393327196</v>
      </c>
      <c r="AI622" s="252">
        <f t="shared" si="716"/>
        <v>1.2867203440628885E-3</v>
      </c>
      <c r="AJ622" s="199">
        <f t="shared" si="717"/>
        <v>57137.015033045551</v>
      </c>
      <c r="AK622" s="199">
        <f t="shared" si="735"/>
        <v>13287.677914661755</v>
      </c>
      <c r="AL622" s="199">
        <f t="shared" si="736"/>
        <v>13287.677914661755</v>
      </c>
      <c r="AM622" s="199">
        <f t="shared" si="718"/>
        <v>26575.355829323511</v>
      </c>
      <c r="AN622" s="645">
        <f t="shared" si="719"/>
        <v>1.2867203440628885E-3</v>
      </c>
      <c r="AO622" s="199">
        <v>14</v>
      </c>
      <c r="AP622" s="250">
        <f t="shared" si="742"/>
        <v>1.5907283263265539E-3</v>
      </c>
      <c r="AQ622" s="199">
        <v>14</v>
      </c>
      <c r="AU622" s="199">
        <v>1</v>
      </c>
      <c r="AV622" s="199">
        <f t="shared" si="755"/>
        <v>184551.10426157937</v>
      </c>
      <c r="AW622" s="250">
        <f t="shared" si="720"/>
        <v>5.3117434897591714E-3</v>
      </c>
      <c r="AX622" s="199">
        <v>0</v>
      </c>
      <c r="AY622" s="199">
        <f t="shared" si="756"/>
        <v>14986.555442326513</v>
      </c>
      <c r="AZ622" s="199">
        <f t="shared" si="721"/>
        <v>0</v>
      </c>
      <c r="BA622" s="252">
        <f t="shared" si="722"/>
        <v>0</v>
      </c>
      <c r="BB622" s="284">
        <v>0</v>
      </c>
      <c r="BC622" s="199">
        <f t="shared" si="757"/>
        <v>0</v>
      </c>
      <c r="BD622" s="270">
        <f t="shared" si="752"/>
        <v>0</v>
      </c>
      <c r="BE622" s="199">
        <f t="shared" si="758"/>
        <v>0</v>
      </c>
      <c r="BF622" s="251">
        <f t="shared" si="753"/>
        <v>0</v>
      </c>
      <c r="BG622" s="204">
        <f t="shared" si="759"/>
        <v>0</v>
      </c>
      <c r="BH622" s="636">
        <v>1</v>
      </c>
      <c r="BI622" s="199">
        <f t="shared" si="723"/>
        <v>101650.73604716241</v>
      </c>
      <c r="BJ622" s="199">
        <f t="shared" si="724"/>
        <v>203301.47209432482</v>
      </c>
      <c r="BK622" s="199">
        <f t="shared" si="731"/>
        <v>304952.20814148721</v>
      </c>
      <c r="BL622" s="251">
        <f t="shared" si="725"/>
        <v>1.2867203440628881E-3</v>
      </c>
      <c r="BM622" s="199">
        <f t="shared" si="760"/>
        <v>22761.5576010597</v>
      </c>
      <c r="BN622" s="251">
        <f t="shared" si="726"/>
        <v>9.8291484442117392E-4</v>
      </c>
      <c r="BT622" s="199">
        <f>'Detailed Budget'!$AD$12</f>
        <v>194045122715</v>
      </c>
      <c r="BU622" s="199">
        <f>'Detailed Budget'!$AD$24</f>
        <v>194045122715</v>
      </c>
      <c r="BV622" s="596">
        <f t="shared" si="761"/>
        <v>5.3117434897591714E-3</v>
      </c>
      <c r="BW622" s="278"/>
      <c r="BX622" s="275">
        <f t="shared" si="698"/>
        <v>1030717917.3009207</v>
      </c>
      <c r="BY622" s="275">
        <f t="shared" si="699"/>
        <v>1030717917.3009207</v>
      </c>
      <c r="CA622" s="199">
        <f>'Detailed Budget'!$AD$96</f>
        <v>71050111380.677719</v>
      </c>
      <c r="CB622" s="275">
        <f t="shared" si="727"/>
        <v>0</v>
      </c>
      <c r="CE622" s="199">
        <f>'Detailed Budget'!$AD$175</f>
        <v>4330586076.5988197</v>
      </c>
      <c r="CF622" s="275">
        <f t="shared" si="762"/>
        <v>0</v>
      </c>
      <c r="CG622" s="199">
        <f>'Detailed Budget'!$AD$176</f>
        <v>20662817754.37001</v>
      </c>
      <c r="CH622" s="275">
        <f t="shared" si="763"/>
        <v>0</v>
      </c>
      <c r="CI622" s="275">
        <f t="shared" si="734"/>
        <v>0</v>
      </c>
      <c r="CJ622" s="275">
        <f>'Detailed Budget'!$AD$178</f>
        <v>46025131033.061455</v>
      </c>
      <c r="CK622" s="275">
        <f t="shared" si="764"/>
        <v>0</v>
      </c>
      <c r="CL622" s="275">
        <f t="shared" si="737"/>
        <v>0</v>
      </c>
      <c r="CM622" s="278">
        <f>'Detailed Budget'!$AD$189</f>
        <v>77498869683.252869</v>
      </c>
      <c r="CN622" s="275">
        <f t="shared" si="728"/>
        <v>99719372.263320059</v>
      </c>
      <c r="CO622" s="140">
        <f>'Detailed Budget'!$AD$191</f>
        <v>2684962805.4134097</v>
      </c>
      <c r="CP622" s="616">
        <f t="shared" si="729"/>
        <v>3454796.2647776008</v>
      </c>
      <c r="CQ622" s="616">
        <f t="shared" si="730"/>
        <v>103174168.52809766</v>
      </c>
      <c r="CR622" s="199">
        <f>'Detailed Budget'!$AD$195</f>
        <v>18734176418</v>
      </c>
      <c r="CS622" s="275">
        <f t="shared" si="765"/>
        <v>18414100.099257294</v>
      </c>
      <c r="CW622" s="278"/>
      <c r="DH622" s="140">
        <f>'Detailed Budget'!$AD$163</f>
        <v>4928560000</v>
      </c>
      <c r="DI622" s="616">
        <f t="shared" si="766"/>
        <v>7840000.0000000009</v>
      </c>
    </row>
    <row r="623" spans="1:113" outlineLevel="1">
      <c r="A623" s="214" t="s">
        <v>1326</v>
      </c>
      <c r="B623" s="215" t="s">
        <v>1327</v>
      </c>
      <c r="C623" s="216" t="s">
        <v>234</v>
      </c>
      <c r="D623" s="217"/>
      <c r="E623" s="216"/>
      <c r="F623" s="216"/>
      <c r="G623" s="216" t="s">
        <v>234</v>
      </c>
      <c r="H623" s="216" t="s">
        <v>234</v>
      </c>
      <c r="I623" s="217" t="s">
        <v>234</v>
      </c>
      <c r="J623" s="217"/>
      <c r="K623" s="216"/>
      <c r="L623" s="216"/>
      <c r="M623" s="217" t="s">
        <v>234</v>
      </c>
      <c r="N623" s="216"/>
      <c r="O623" s="217"/>
      <c r="P623" s="216"/>
      <c r="Q623" s="217"/>
      <c r="R623" s="217" t="s">
        <v>234</v>
      </c>
      <c r="S623" s="217"/>
      <c r="T623" s="217"/>
      <c r="U623" s="218">
        <f t="shared" si="754"/>
        <v>6</v>
      </c>
      <c r="V623" s="867" t="s">
        <v>235</v>
      </c>
      <c r="W623" s="219">
        <v>73395</v>
      </c>
      <c r="X623" s="220">
        <v>3.36</v>
      </c>
      <c r="Y623" s="221">
        <f t="shared" si="700"/>
        <v>1.0336000000000001</v>
      </c>
      <c r="Z623" s="199">
        <v>19</v>
      </c>
      <c r="AA623" s="221">
        <f t="shared" si="701"/>
        <v>1.873689022502546</v>
      </c>
      <c r="AB623" s="199">
        <f t="shared" si="749"/>
        <v>137519.40580657436</v>
      </c>
      <c r="AC623">
        <v>12.2</v>
      </c>
      <c r="AD623" s="199">
        <f t="shared" si="750"/>
        <v>16777.367508402072</v>
      </c>
      <c r="AE623" s="199">
        <f t="shared" si="702"/>
        <v>15938.499132981968</v>
      </c>
      <c r="AF623" s="199">
        <f t="shared" si="733"/>
        <v>0</v>
      </c>
      <c r="AG623" s="614">
        <f t="shared" si="732"/>
        <v>7.3692622858681956E-4</v>
      </c>
      <c r="AH623" s="199">
        <f t="shared" si="767"/>
        <v>6875.970290328718</v>
      </c>
      <c r="AI623" s="252">
        <f t="shared" si="716"/>
        <v>5.3267100027917455E-4</v>
      </c>
      <c r="AJ623" s="199">
        <f t="shared" si="717"/>
        <v>23653.33779873079</v>
      </c>
      <c r="AK623" s="199">
        <f t="shared" si="735"/>
        <v>5500.7762322629742</v>
      </c>
      <c r="AL623" s="199">
        <f t="shared" si="736"/>
        <v>5500.7762322629742</v>
      </c>
      <c r="AM623" s="199">
        <f t="shared" si="718"/>
        <v>11001.552464525948</v>
      </c>
      <c r="AN623" s="645">
        <f t="shared" si="719"/>
        <v>5.3267100027917455E-4</v>
      </c>
      <c r="AO623" s="199">
        <v>10</v>
      </c>
      <c r="AP623" s="250">
        <f t="shared" si="742"/>
        <v>1.1362345188046814E-3</v>
      </c>
      <c r="AQ623" s="199">
        <v>10</v>
      </c>
      <c r="AU623" s="199">
        <v>1</v>
      </c>
      <c r="AV623" s="199">
        <f t="shared" si="755"/>
        <v>76399.679046993493</v>
      </c>
      <c r="AW623" s="250">
        <f t="shared" si="720"/>
        <v>2.1989329157432857E-3</v>
      </c>
      <c r="AX623" s="199">
        <v>0</v>
      </c>
      <c r="AY623" s="199">
        <f t="shared" si="756"/>
        <v>6204.0703055933081</v>
      </c>
      <c r="AZ623" s="199">
        <f t="shared" si="721"/>
        <v>0</v>
      </c>
      <c r="BA623" s="252">
        <f t="shared" si="722"/>
        <v>0</v>
      </c>
      <c r="BB623" s="284">
        <v>0</v>
      </c>
      <c r="BC623" s="199">
        <f t="shared" si="757"/>
        <v>0</v>
      </c>
      <c r="BD623" s="270">
        <f t="shared" si="752"/>
        <v>0</v>
      </c>
      <c r="BE623" s="199">
        <f t="shared" si="758"/>
        <v>0</v>
      </c>
      <c r="BF623" s="251">
        <f t="shared" si="753"/>
        <v>0</v>
      </c>
      <c r="BG623" s="204">
        <f t="shared" si="759"/>
        <v>0</v>
      </c>
      <c r="BH623" s="636">
        <v>1</v>
      </c>
      <c r="BI623" s="199">
        <f t="shared" si="723"/>
        <v>42080.938176811753</v>
      </c>
      <c r="BJ623" s="199">
        <f t="shared" si="724"/>
        <v>84161.876353623506</v>
      </c>
      <c r="BK623" s="199">
        <f t="shared" si="731"/>
        <v>126242.81453043525</v>
      </c>
      <c r="BL623" s="251">
        <f t="shared" si="725"/>
        <v>5.3267100027917455E-4</v>
      </c>
      <c r="BM623" s="199">
        <f t="shared" si="760"/>
        <v>9422.7325395237058</v>
      </c>
      <c r="BN623" s="251">
        <f t="shared" si="726"/>
        <v>4.069028952428582E-4</v>
      </c>
      <c r="BT623" s="199">
        <f>'Detailed Budget'!$AD$12</f>
        <v>194045122715</v>
      </c>
      <c r="BU623" s="199">
        <f>'Detailed Budget'!$AD$24</f>
        <v>194045122715</v>
      </c>
      <c r="BV623" s="596">
        <f t="shared" si="761"/>
        <v>2.1989329157432857E-3</v>
      </c>
      <c r="BW623" s="278"/>
      <c r="BX623" s="275">
        <f t="shared" si="698"/>
        <v>426692207.47745866</v>
      </c>
      <c r="BY623" s="275">
        <f t="shared" si="699"/>
        <v>426692207.47745866</v>
      </c>
      <c r="CA623" s="199">
        <f>'Detailed Budget'!$AD$96</f>
        <v>71050111380.677719</v>
      </c>
      <c r="CB623" s="275">
        <f t="shared" si="727"/>
        <v>0</v>
      </c>
      <c r="CE623" s="199">
        <f>'Detailed Budget'!$AD$175</f>
        <v>4330586076.5988197</v>
      </c>
      <c r="CF623" s="275">
        <f t="shared" si="762"/>
        <v>0</v>
      </c>
      <c r="CG623" s="199">
        <f>'Detailed Budget'!$AD$176</f>
        <v>20662817754.37001</v>
      </c>
      <c r="CH623" s="275">
        <f t="shared" si="763"/>
        <v>0</v>
      </c>
      <c r="CI623" s="275">
        <f t="shared" si="734"/>
        <v>0</v>
      </c>
      <c r="CJ623" s="275">
        <f>'Detailed Budget'!$AD$178</f>
        <v>46025131033.061455</v>
      </c>
      <c r="CK623" s="275">
        <f t="shared" si="764"/>
        <v>0</v>
      </c>
      <c r="CL623" s="275">
        <f t="shared" si="737"/>
        <v>0</v>
      </c>
      <c r="CM623" s="278">
        <f>'Detailed Budget'!$AD$189</f>
        <v>77498869683.252869</v>
      </c>
      <c r="CN623" s="275">
        <f t="shared" si="728"/>
        <v>41281400.434683703</v>
      </c>
      <c r="CO623" s="140">
        <f>'Detailed Budget'!$AD$191</f>
        <v>2684962805.4134097</v>
      </c>
      <c r="CP623" s="616">
        <f t="shared" si="729"/>
        <v>1430201.8232719395</v>
      </c>
      <c r="CQ623" s="616">
        <f t="shared" si="730"/>
        <v>42711602.257955641</v>
      </c>
      <c r="CR623" s="199">
        <f>'Detailed Budget'!$AD$195</f>
        <v>18734176418</v>
      </c>
      <c r="CS623" s="275">
        <f t="shared" si="765"/>
        <v>7622990.6244746782</v>
      </c>
      <c r="CW623" s="278"/>
      <c r="DH623" s="140">
        <f>'Detailed Budget'!$AD$163</f>
        <v>4928560000</v>
      </c>
      <c r="DI623" s="616">
        <f t="shared" si="766"/>
        <v>5600000</v>
      </c>
    </row>
    <row r="624" spans="1:113" outlineLevel="1">
      <c r="A624" s="214" t="s">
        <v>1328</v>
      </c>
      <c r="B624" s="215" t="s">
        <v>1329</v>
      </c>
      <c r="C624" s="216" t="s">
        <v>234</v>
      </c>
      <c r="D624" s="217"/>
      <c r="E624" s="216"/>
      <c r="F624" s="216"/>
      <c r="G624" s="216" t="s">
        <v>234</v>
      </c>
      <c r="H624" s="216" t="s">
        <v>234</v>
      </c>
      <c r="I624" s="217" t="s">
        <v>234</v>
      </c>
      <c r="J624" s="217"/>
      <c r="K624" s="216"/>
      <c r="L624" s="216"/>
      <c r="M624" s="217" t="s">
        <v>234</v>
      </c>
      <c r="N624" s="216"/>
      <c r="O624" s="217"/>
      <c r="P624" s="216"/>
      <c r="Q624" s="217"/>
      <c r="R624" s="217" t="s">
        <v>234</v>
      </c>
      <c r="S624" s="217"/>
      <c r="T624" s="217"/>
      <c r="U624" s="218">
        <f t="shared" si="754"/>
        <v>6</v>
      </c>
      <c r="V624" s="867" t="s">
        <v>235</v>
      </c>
      <c r="W624" s="219">
        <v>108095</v>
      </c>
      <c r="X624" s="220">
        <v>3.36</v>
      </c>
      <c r="Y624" s="221">
        <f t="shared" si="700"/>
        <v>1.0336000000000001</v>
      </c>
      <c r="Z624" s="199">
        <v>19</v>
      </c>
      <c r="AA624" s="221">
        <f t="shared" si="701"/>
        <v>1.873689022502546</v>
      </c>
      <c r="AB624" s="199">
        <f t="shared" si="749"/>
        <v>202536.41488741271</v>
      </c>
      <c r="AC624">
        <v>12.2</v>
      </c>
      <c r="AD624" s="199">
        <f t="shared" si="750"/>
        <v>24709.44261626435</v>
      </c>
      <c r="AE624" s="199">
        <f t="shared" si="702"/>
        <v>23473.970485451133</v>
      </c>
      <c r="AF624" s="199">
        <f t="shared" si="733"/>
        <v>0</v>
      </c>
      <c r="AG624" s="614">
        <f t="shared" si="732"/>
        <v>1.0853333425859019E-3</v>
      </c>
      <c r="AH624" s="199">
        <f t="shared" si="767"/>
        <v>10126.820744370636</v>
      </c>
      <c r="AI624" s="252">
        <f t="shared" si="716"/>
        <v>7.8450945943425818E-4</v>
      </c>
      <c r="AJ624" s="199">
        <f t="shared" si="717"/>
        <v>34836.263360634985</v>
      </c>
      <c r="AK624" s="199">
        <f t="shared" si="735"/>
        <v>8101.4565954965083</v>
      </c>
      <c r="AL624" s="199">
        <f t="shared" si="736"/>
        <v>8101.4565954965083</v>
      </c>
      <c r="AM624" s="199">
        <f t="shared" si="718"/>
        <v>16202.913190993017</v>
      </c>
      <c r="AN624" s="645">
        <f t="shared" si="719"/>
        <v>7.8450945943425818E-4</v>
      </c>
      <c r="AO624" s="199">
        <v>10</v>
      </c>
      <c r="AP624" s="250">
        <f t="shared" si="742"/>
        <v>1.1362345188046814E-3</v>
      </c>
      <c r="AQ624" s="199">
        <v>10</v>
      </c>
      <c r="AU624" s="199">
        <v>1</v>
      </c>
      <c r="AV624" s="199">
        <f t="shared" si="755"/>
        <v>112520.24397554004</v>
      </c>
      <c r="AW624" s="250">
        <f t="shared" si="720"/>
        <v>3.2385537642519312E-3</v>
      </c>
      <c r="AX624" s="199">
        <v>0</v>
      </c>
      <c r="AY624" s="199">
        <f t="shared" si="756"/>
        <v>9137.2570295402766</v>
      </c>
      <c r="AZ624" s="199">
        <f t="shared" si="721"/>
        <v>0</v>
      </c>
      <c r="BA624" s="252">
        <f t="shared" si="722"/>
        <v>0</v>
      </c>
      <c r="BB624" s="284">
        <v>0</v>
      </c>
      <c r="BC624" s="199">
        <f t="shared" si="757"/>
        <v>0</v>
      </c>
      <c r="BD624" s="270">
        <f t="shared" si="752"/>
        <v>0</v>
      </c>
      <c r="BE624" s="199">
        <f t="shared" si="758"/>
        <v>0</v>
      </c>
      <c r="BF624" s="251">
        <f t="shared" si="753"/>
        <v>0</v>
      </c>
      <c r="BG624" s="204">
        <f t="shared" si="759"/>
        <v>0</v>
      </c>
      <c r="BH624" s="636">
        <v>1</v>
      </c>
      <c r="BI624" s="199">
        <f t="shared" si="723"/>
        <v>61976.14295554829</v>
      </c>
      <c r="BJ624" s="199">
        <f t="shared" si="724"/>
        <v>123952.28591109658</v>
      </c>
      <c r="BK624" s="199">
        <f t="shared" si="731"/>
        <v>185928.42886664486</v>
      </c>
      <c r="BL624" s="251">
        <f t="shared" si="725"/>
        <v>7.8450945943425807E-4</v>
      </c>
      <c r="BM624" s="199">
        <f t="shared" si="760"/>
        <v>13877.652072481982</v>
      </c>
      <c r="BN624" s="251">
        <f t="shared" si="726"/>
        <v>5.9928017523369105E-4</v>
      </c>
      <c r="BT624" s="199">
        <f>'Detailed Budget'!$AD$12</f>
        <v>194045122715</v>
      </c>
      <c r="BU624" s="199">
        <f>'Detailed Budget'!$AD$24</f>
        <v>194045122715</v>
      </c>
      <c r="BV624" s="596">
        <f t="shared" si="761"/>
        <v>3.2385537642519312E-3</v>
      </c>
      <c r="BW624" s="278"/>
      <c r="BX624" s="275">
        <f t="shared" si="698"/>
        <v>628425562.60339117</v>
      </c>
      <c r="BY624" s="275">
        <f t="shared" si="699"/>
        <v>628425562.60339117</v>
      </c>
      <c r="CA624" s="199">
        <f>'Detailed Budget'!$AD$96</f>
        <v>71050111380.677719</v>
      </c>
      <c r="CB624" s="275">
        <f t="shared" si="727"/>
        <v>0</v>
      </c>
      <c r="CE624" s="199">
        <f>'Detailed Budget'!$AD$175</f>
        <v>4330586076.5988197</v>
      </c>
      <c r="CF624" s="275">
        <f t="shared" si="762"/>
        <v>0</v>
      </c>
      <c r="CG624" s="199">
        <f>'Detailed Budget'!$AD$176</f>
        <v>20662817754.37001</v>
      </c>
      <c r="CH624" s="275">
        <f t="shared" si="763"/>
        <v>0</v>
      </c>
      <c r="CI624" s="275">
        <f t="shared" si="734"/>
        <v>0</v>
      </c>
      <c r="CJ624" s="275">
        <f>'Detailed Budget'!$AD$178</f>
        <v>46025131033.061455</v>
      </c>
      <c r="CK624" s="275">
        <f t="shared" si="764"/>
        <v>0</v>
      </c>
      <c r="CL624" s="275">
        <f t="shared" si="737"/>
        <v>0</v>
      </c>
      <c r="CM624" s="278">
        <f>'Detailed Budget'!$AD$189</f>
        <v>77498869683.252869</v>
      </c>
      <c r="CN624" s="275">
        <f t="shared" si="728"/>
        <v>60798596.361974716</v>
      </c>
      <c r="CO624" s="140">
        <f>'Detailed Budget'!$AD$191</f>
        <v>2684962805.4134097</v>
      </c>
      <c r="CP624" s="616">
        <f t="shared" si="729"/>
        <v>2106378.7190759634</v>
      </c>
      <c r="CQ624" s="616">
        <f t="shared" si="730"/>
        <v>62904975.081050679</v>
      </c>
      <c r="CR624" s="199">
        <f>'Detailed Budget'!$AD$195</f>
        <v>18734176418</v>
      </c>
      <c r="CS624" s="275">
        <f t="shared" si="765"/>
        <v>11227020.526637923</v>
      </c>
      <c r="CW624" s="278"/>
      <c r="DH624" s="140">
        <f>'Detailed Budget'!$AD$163</f>
        <v>4928560000</v>
      </c>
      <c r="DI624" s="616">
        <f t="shared" si="766"/>
        <v>5600000</v>
      </c>
    </row>
    <row r="625" spans="1:113" outlineLevel="1">
      <c r="A625" s="214" t="s">
        <v>1330</v>
      </c>
      <c r="B625" s="215" t="s">
        <v>1331</v>
      </c>
      <c r="C625" s="216" t="s">
        <v>234</v>
      </c>
      <c r="D625" s="217"/>
      <c r="E625" s="216"/>
      <c r="F625" s="216"/>
      <c r="G625" s="216" t="s">
        <v>234</v>
      </c>
      <c r="H625" s="216" t="s">
        <v>234</v>
      </c>
      <c r="I625" s="217" t="s">
        <v>234</v>
      </c>
      <c r="J625" s="217"/>
      <c r="K625" s="216"/>
      <c r="L625" s="216"/>
      <c r="M625" s="217" t="s">
        <v>234</v>
      </c>
      <c r="N625" s="216"/>
      <c r="O625" s="217"/>
      <c r="P625" s="216"/>
      <c r="Q625" s="217"/>
      <c r="R625" s="217" t="s">
        <v>234</v>
      </c>
      <c r="S625" s="217"/>
      <c r="T625" s="217"/>
      <c r="U625" s="218">
        <f t="shared" si="754"/>
        <v>6</v>
      </c>
      <c r="V625" s="867" t="s">
        <v>235</v>
      </c>
      <c r="W625" s="219">
        <v>127083</v>
      </c>
      <c r="X625" s="220">
        <v>3.36</v>
      </c>
      <c r="Y625" s="221">
        <f t="shared" si="700"/>
        <v>1.0336000000000001</v>
      </c>
      <c r="Z625" s="199">
        <v>19</v>
      </c>
      <c r="AA625" s="221">
        <f t="shared" si="701"/>
        <v>1.873689022502546</v>
      </c>
      <c r="AB625" s="199">
        <f t="shared" si="749"/>
        <v>238114.02204669104</v>
      </c>
      <c r="AC625">
        <v>12.2</v>
      </c>
      <c r="AD625" s="199">
        <f t="shared" si="750"/>
        <v>29049.910689696306</v>
      </c>
      <c r="AE625" s="199">
        <f t="shared" si="702"/>
        <v>27597.415155211489</v>
      </c>
      <c r="AF625" s="199">
        <f t="shared" si="733"/>
        <v>0</v>
      </c>
      <c r="AG625" s="614">
        <f t="shared" si="732"/>
        <v>1.2759833218543332E-3</v>
      </c>
      <c r="AH625" s="199">
        <f t="shared" si="767"/>
        <v>11905.701102334553</v>
      </c>
      <c r="AI625" s="252">
        <f t="shared" si="716"/>
        <v>9.2231662549871712E-4</v>
      </c>
      <c r="AJ625" s="199">
        <f t="shared" si="717"/>
        <v>40955.611792030861</v>
      </c>
      <c r="AK625" s="199">
        <f t="shared" si="735"/>
        <v>9524.560881867641</v>
      </c>
      <c r="AL625" s="199">
        <f t="shared" si="736"/>
        <v>9524.560881867641</v>
      </c>
      <c r="AM625" s="199">
        <f t="shared" si="718"/>
        <v>19049.121763735282</v>
      </c>
      <c r="AN625" s="645">
        <f t="shared" si="719"/>
        <v>9.2231662549871701E-4</v>
      </c>
      <c r="AO625" s="199">
        <v>10</v>
      </c>
      <c r="AP625" s="250">
        <f t="shared" si="742"/>
        <v>1.1362345188046814E-3</v>
      </c>
      <c r="AQ625" s="199">
        <v>10</v>
      </c>
      <c r="AU625" s="199">
        <v>1</v>
      </c>
      <c r="AV625" s="199">
        <f t="shared" si="755"/>
        <v>132285.583654596</v>
      </c>
      <c r="AW625" s="250">
        <f t="shared" si="720"/>
        <v>3.8074390861966619E-3</v>
      </c>
      <c r="AX625" s="199">
        <v>0</v>
      </c>
      <c r="AY625" s="199">
        <f t="shared" si="756"/>
        <v>10742.310329664342</v>
      </c>
      <c r="AZ625" s="199">
        <f t="shared" si="721"/>
        <v>0</v>
      </c>
      <c r="BA625" s="252">
        <f t="shared" si="722"/>
        <v>0</v>
      </c>
      <c r="BB625" s="284">
        <v>0</v>
      </c>
      <c r="BC625" s="199">
        <f t="shared" si="757"/>
        <v>0</v>
      </c>
      <c r="BD625" s="270">
        <f t="shared" si="752"/>
        <v>0</v>
      </c>
      <c r="BE625" s="199">
        <f t="shared" si="758"/>
        <v>0</v>
      </c>
      <c r="BF625" s="251">
        <f t="shared" si="753"/>
        <v>0</v>
      </c>
      <c r="BG625" s="204">
        <f t="shared" si="759"/>
        <v>0</v>
      </c>
      <c r="BH625" s="636">
        <v>1</v>
      </c>
      <c r="BI625" s="199">
        <f t="shared" si="723"/>
        <v>72862.890746287449</v>
      </c>
      <c r="BJ625" s="199">
        <f t="shared" si="724"/>
        <v>145725.7814925749</v>
      </c>
      <c r="BK625" s="199">
        <f t="shared" si="731"/>
        <v>218588.67223886235</v>
      </c>
      <c r="BL625" s="251">
        <f t="shared" si="725"/>
        <v>9.2231662549871701E-4</v>
      </c>
      <c r="BM625" s="199">
        <f t="shared" si="760"/>
        <v>16315.404582332465</v>
      </c>
      <c r="BN625" s="251">
        <f t="shared" si="726"/>
        <v>7.0454990988688812E-4</v>
      </c>
      <c r="BT625" s="199">
        <f>'Detailed Budget'!$AD$12</f>
        <v>194045122715</v>
      </c>
      <c r="BU625" s="199">
        <f>'Detailed Budget'!$AD$24</f>
        <v>194045122715</v>
      </c>
      <c r="BV625" s="596">
        <f t="shared" si="761"/>
        <v>3.8074390861966619E-3</v>
      </c>
      <c r="BW625" s="278"/>
      <c r="BX625" s="275">
        <f t="shared" si="698"/>
        <v>738814984.71091878</v>
      </c>
      <c r="BY625" s="275">
        <f t="shared" si="699"/>
        <v>738814984.71091878</v>
      </c>
      <c r="CA625" s="199">
        <f>'Detailed Budget'!$AD$96</f>
        <v>71050111380.677719</v>
      </c>
      <c r="CB625" s="275">
        <f t="shared" si="727"/>
        <v>0</v>
      </c>
      <c r="CE625" s="199">
        <f>'Detailed Budget'!$AD$175</f>
        <v>4330586076.5988197</v>
      </c>
      <c r="CF625" s="275">
        <f t="shared" si="762"/>
        <v>0</v>
      </c>
      <c r="CG625" s="199">
        <f>'Detailed Budget'!$AD$176</f>
        <v>20662817754.37001</v>
      </c>
      <c r="CH625" s="275">
        <f t="shared" si="763"/>
        <v>0</v>
      </c>
      <c r="CI625" s="275">
        <f t="shared" si="734"/>
        <v>0</v>
      </c>
      <c r="CJ625" s="275">
        <f>'Detailed Budget'!$AD$178</f>
        <v>46025131033.061455</v>
      </c>
      <c r="CK625" s="275">
        <f t="shared" si="764"/>
        <v>0</v>
      </c>
      <c r="CL625" s="275">
        <f t="shared" si="737"/>
        <v>0</v>
      </c>
      <c r="CM625" s="278">
        <f>'Detailed Budget'!$AD$189</f>
        <v>77498869683.252869</v>
      </c>
      <c r="CN625" s="275">
        <f t="shared" si="728"/>
        <v>71478495.966222614</v>
      </c>
      <c r="CO625" s="140">
        <f>'Detailed Budget'!$AD$191</f>
        <v>2684962805.4134097</v>
      </c>
      <c r="CP625" s="616">
        <f t="shared" si="729"/>
        <v>2476385.8342784643</v>
      </c>
      <c r="CQ625" s="616">
        <f t="shared" si="730"/>
        <v>73954881.800501078</v>
      </c>
      <c r="CR625" s="199">
        <f>'Detailed Budget'!$AD$195</f>
        <v>18734176418</v>
      </c>
      <c r="CS625" s="275">
        <f t="shared" si="765"/>
        <v>13199162.307106964</v>
      </c>
      <c r="CW625" s="278"/>
      <c r="DH625" s="140">
        <f>'Detailed Budget'!$AD$163</f>
        <v>4928560000</v>
      </c>
      <c r="DI625" s="616">
        <f t="shared" si="766"/>
        <v>5600000</v>
      </c>
    </row>
    <row r="626" spans="1:113" outlineLevel="1">
      <c r="A626" s="214" t="s">
        <v>1332</v>
      </c>
      <c r="B626" s="215" t="s">
        <v>1333</v>
      </c>
      <c r="C626" s="216" t="s">
        <v>234</v>
      </c>
      <c r="D626" s="217"/>
      <c r="E626" s="216"/>
      <c r="F626" s="216"/>
      <c r="G626" s="216" t="s">
        <v>234</v>
      </c>
      <c r="H626" s="216" t="s">
        <v>234</v>
      </c>
      <c r="I626" s="217" t="s">
        <v>234</v>
      </c>
      <c r="J626" s="217"/>
      <c r="K626" s="216"/>
      <c r="L626" s="216"/>
      <c r="M626" s="217" t="s">
        <v>234</v>
      </c>
      <c r="N626" s="216"/>
      <c r="O626" s="217"/>
      <c r="P626" s="216"/>
      <c r="Q626" s="217"/>
      <c r="R626" s="217" t="s">
        <v>234</v>
      </c>
      <c r="S626" s="217"/>
      <c r="T626" s="217"/>
      <c r="U626" s="218">
        <f t="shared" si="754"/>
        <v>6</v>
      </c>
      <c r="V626" s="867" t="s">
        <v>235</v>
      </c>
      <c r="W626" s="219">
        <v>147286</v>
      </c>
      <c r="X626" s="220">
        <v>3.36</v>
      </c>
      <c r="Y626" s="221">
        <f t="shared" si="700"/>
        <v>1.0336000000000001</v>
      </c>
      <c r="Z626" s="199">
        <v>19</v>
      </c>
      <c r="AA626" s="221">
        <f t="shared" si="701"/>
        <v>1.873689022502546</v>
      </c>
      <c r="AB626" s="199">
        <f t="shared" si="749"/>
        <v>275968.16136830999</v>
      </c>
      <c r="AC626">
        <v>12.2</v>
      </c>
      <c r="AD626" s="199">
        <f t="shared" si="750"/>
        <v>33668.115686933816</v>
      </c>
      <c r="AE626" s="199">
        <f t="shared" si="702"/>
        <v>31984.709902587125</v>
      </c>
      <c r="AF626" s="199">
        <f t="shared" si="733"/>
        <v>0</v>
      </c>
      <c r="AG626" s="614">
        <f t="shared" si="732"/>
        <v>1.4788325703881506E-3</v>
      </c>
      <c r="AH626" s="199">
        <f t="shared" si="767"/>
        <v>13798.4080684155</v>
      </c>
      <c r="AI626" s="252">
        <f t="shared" si="716"/>
        <v>1.0689417664298455E-3</v>
      </c>
      <c r="AJ626" s="199">
        <f t="shared" si="717"/>
        <v>47466.523755349313</v>
      </c>
      <c r="AK626" s="199">
        <f t="shared" si="735"/>
        <v>11038.726454732399</v>
      </c>
      <c r="AL626" s="199">
        <f t="shared" si="736"/>
        <v>11038.726454732399</v>
      </c>
      <c r="AM626" s="199">
        <f t="shared" si="718"/>
        <v>22077.452909464799</v>
      </c>
      <c r="AN626" s="645">
        <f t="shared" si="719"/>
        <v>1.0689417664298455E-3</v>
      </c>
      <c r="AO626" s="199">
        <v>10</v>
      </c>
      <c r="AP626" s="250">
        <f t="shared" si="742"/>
        <v>1.1362345188046814E-3</v>
      </c>
      <c r="AQ626" s="199">
        <v>10</v>
      </c>
      <c r="AU626" s="199">
        <v>1</v>
      </c>
      <c r="AV626" s="199">
        <f t="shared" si="755"/>
        <v>153315.6635753864</v>
      </c>
      <c r="AW626" s="250">
        <f t="shared" si="720"/>
        <v>4.4127261179666959E-3</v>
      </c>
      <c r="AX626" s="199">
        <v>0</v>
      </c>
      <c r="AY626" s="199">
        <f t="shared" si="756"/>
        <v>12450.067430064935</v>
      </c>
      <c r="AZ626" s="199">
        <f t="shared" si="721"/>
        <v>0</v>
      </c>
      <c r="BA626" s="252">
        <f t="shared" si="722"/>
        <v>0</v>
      </c>
      <c r="BB626" s="284">
        <v>0</v>
      </c>
      <c r="BC626" s="199">
        <f t="shared" si="757"/>
        <v>0</v>
      </c>
      <c r="BD626" s="270">
        <f t="shared" si="752"/>
        <v>0</v>
      </c>
      <c r="BE626" s="199">
        <f t="shared" si="758"/>
        <v>0</v>
      </c>
      <c r="BF626" s="251">
        <f t="shared" si="753"/>
        <v>0</v>
      </c>
      <c r="BG626" s="204">
        <f t="shared" si="759"/>
        <v>0</v>
      </c>
      <c r="BH626" s="636">
        <v>1</v>
      </c>
      <c r="BI626" s="199">
        <f t="shared" si="723"/>
        <v>84446.257378702852</v>
      </c>
      <c r="BJ626" s="199">
        <f t="shared" si="724"/>
        <v>168892.5147574057</v>
      </c>
      <c r="BK626" s="199">
        <f t="shared" si="731"/>
        <v>253338.77213610854</v>
      </c>
      <c r="BL626" s="251">
        <f t="shared" si="725"/>
        <v>1.0689417664298453E-3</v>
      </c>
      <c r="BM626" s="199">
        <f t="shared" si="760"/>
        <v>18909.14346776059</v>
      </c>
      <c r="BN626" s="251">
        <f t="shared" si="726"/>
        <v>8.1655562134668044E-4</v>
      </c>
      <c r="BT626" s="199">
        <f>'Detailed Budget'!$AD$12</f>
        <v>194045122715</v>
      </c>
      <c r="BU626" s="199">
        <f>'Detailed Budget'!$AD$24</f>
        <v>194045122715</v>
      </c>
      <c r="BV626" s="596">
        <f t="shared" si="761"/>
        <v>4.4127261179666959E-3</v>
      </c>
      <c r="BW626" s="278"/>
      <c r="BX626" s="275">
        <f t="shared" si="698"/>
        <v>856267981.06853306</v>
      </c>
      <c r="BY626" s="275">
        <f t="shared" si="699"/>
        <v>856267981.06853306</v>
      </c>
      <c r="CA626" s="199">
        <f>'Detailed Budget'!$AD$96</f>
        <v>71050111380.677719</v>
      </c>
      <c r="CB626" s="275">
        <f t="shared" si="727"/>
        <v>0</v>
      </c>
      <c r="CE626" s="199">
        <f>'Detailed Budget'!$AD$175</f>
        <v>4330586076.5988197</v>
      </c>
      <c r="CF626" s="275">
        <f t="shared" si="762"/>
        <v>0</v>
      </c>
      <c r="CG626" s="199">
        <f>'Detailed Budget'!$AD$176</f>
        <v>20662817754.37001</v>
      </c>
      <c r="CH626" s="275">
        <f t="shared" si="763"/>
        <v>0</v>
      </c>
      <c r="CI626" s="275">
        <f t="shared" si="734"/>
        <v>0</v>
      </c>
      <c r="CJ626" s="275">
        <f>'Detailed Budget'!$AD$178</f>
        <v>46025131033.061455</v>
      </c>
      <c r="CK626" s="275">
        <f t="shared" si="764"/>
        <v>0</v>
      </c>
      <c r="CL626" s="275">
        <f t="shared" si="737"/>
        <v>0</v>
      </c>
      <c r="CM626" s="278">
        <f>'Detailed Budget'!$AD$189</f>
        <v>77498869683.252869</v>
      </c>
      <c r="CN626" s="275">
        <f t="shared" si="728"/>
        <v>82841778.655532703</v>
      </c>
      <c r="CO626" s="140">
        <f>'Detailed Budget'!$AD$191</f>
        <v>2684962805.4134097</v>
      </c>
      <c r="CP626" s="616">
        <f t="shared" si="729"/>
        <v>2870068.8840170437</v>
      </c>
      <c r="CQ626" s="616">
        <f t="shared" si="730"/>
        <v>85711847.539549753</v>
      </c>
      <c r="CR626" s="199">
        <f>'Detailed Budget'!$AD$195</f>
        <v>18734176418</v>
      </c>
      <c r="CS626" s="275">
        <f t="shared" si="765"/>
        <v>15297497.065418318</v>
      </c>
      <c r="CW626" s="278"/>
      <c r="DH626" s="140">
        <f>'Detailed Budget'!$AD$163</f>
        <v>4928560000</v>
      </c>
      <c r="DI626" s="616">
        <f t="shared" si="766"/>
        <v>5600000</v>
      </c>
    </row>
    <row r="627" spans="1:113" outlineLevel="1">
      <c r="A627" s="214" t="s">
        <v>1334</v>
      </c>
      <c r="B627" s="215" t="s">
        <v>1335</v>
      </c>
      <c r="C627" s="216" t="s">
        <v>234</v>
      </c>
      <c r="D627" s="217"/>
      <c r="E627" s="216"/>
      <c r="F627" s="216"/>
      <c r="G627" s="216" t="s">
        <v>234</v>
      </c>
      <c r="H627" s="216" t="s">
        <v>234</v>
      </c>
      <c r="I627" s="217" t="s">
        <v>234</v>
      </c>
      <c r="J627" s="217"/>
      <c r="K627" s="216"/>
      <c r="L627" s="216"/>
      <c r="M627" s="217" t="s">
        <v>234</v>
      </c>
      <c r="N627" s="216"/>
      <c r="O627" s="217"/>
      <c r="P627" s="216"/>
      <c r="Q627" s="217"/>
      <c r="R627" s="217" t="s">
        <v>234</v>
      </c>
      <c r="S627" s="217"/>
      <c r="T627" s="217"/>
      <c r="U627" s="218">
        <f t="shared" si="754"/>
        <v>6</v>
      </c>
      <c r="V627" s="867" t="s">
        <v>235</v>
      </c>
      <c r="W627" s="219">
        <v>102753</v>
      </c>
      <c r="X627" s="220">
        <v>3.36</v>
      </c>
      <c r="Y627" s="221">
        <f t="shared" si="700"/>
        <v>1.0336000000000001</v>
      </c>
      <c r="Z627" s="199">
        <v>19</v>
      </c>
      <c r="AA627" s="221">
        <f t="shared" si="701"/>
        <v>1.873689022502546</v>
      </c>
      <c r="AB627" s="199">
        <f t="shared" si="749"/>
        <v>192527.1681292041</v>
      </c>
      <c r="AC627">
        <v>12.2</v>
      </c>
      <c r="AD627" s="199">
        <f t="shared" si="750"/>
        <v>23488.314511762899</v>
      </c>
      <c r="AE627" s="199">
        <f t="shared" si="702"/>
        <v>22313.898786174752</v>
      </c>
      <c r="AF627" s="199">
        <f t="shared" si="733"/>
        <v>0</v>
      </c>
      <c r="AG627" s="614">
        <f t="shared" si="732"/>
        <v>1.0316967200215473E-3</v>
      </c>
      <c r="AH627" s="199">
        <f t="shared" si="767"/>
        <v>9626.3584064602055</v>
      </c>
      <c r="AI627" s="252">
        <f t="shared" si="716"/>
        <v>7.4573940039084443E-4</v>
      </c>
      <c r="AJ627" s="199">
        <f t="shared" si="717"/>
        <v>33114.672918223107</v>
      </c>
      <c r="AK627" s="199">
        <f t="shared" si="735"/>
        <v>7701.0867251681639</v>
      </c>
      <c r="AL627" s="199">
        <f t="shared" si="736"/>
        <v>7701.0867251681639</v>
      </c>
      <c r="AM627" s="199">
        <f t="shared" si="718"/>
        <v>15402.173450336328</v>
      </c>
      <c r="AN627" s="645">
        <f t="shared" si="719"/>
        <v>7.4573940039084432E-4</v>
      </c>
      <c r="AO627" s="199">
        <v>10</v>
      </c>
      <c r="AP627" s="250">
        <f t="shared" si="742"/>
        <v>1.1362345188046814E-3</v>
      </c>
      <c r="AQ627" s="199">
        <v>10</v>
      </c>
      <c r="AU627" s="199">
        <v>1</v>
      </c>
      <c r="AV627" s="199">
        <f t="shared" si="755"/>
        <v>106959.5506657909</v>
      </c>
      <c r="AW627" s="250">
        <f t="shared" si="720"/>
        <v>3.0785060820406004E-3</v>
      </c>
      <c r="AX627" s="199">
        <v>0</v>
      </c>
      <c r="AY627" s="199">
        <f t="shared" si="756"/>
        <v>8685.6984278306318</v>
      </c>
      <c r="AZ627" s="199">
        <f t="shared" si="721"/>
        <v>0</v>
      </c>
      <c r="BA627" s="252">
        <f t="shared" si="722"/>
        <v>0</v>
      </c>
      <c r="BB627" s="284">
        <v>0</v>
      </c>
      <c r="BC627" s="199">
        <f t="shared" si="757"/>
        <v>0</v>
      </c>
      <c r="BD627" s="270">
        <f t="shared" si="752"/>
        <v>0</v>
      </c>
      <c r="BE627" s="199">
        <f t="shared" si="758"/>
        <v>0</v>
      </c>
      <c r="BF627" s="251">
        <f t="shared" si="753"/>
        <v>0</v>
      </c>
      <c r="BG627" s="204">
        <f t="shared" si="759"/>
        <v>0</v>
      </c>
      <c r="BH627" s="636">
        <v>1</v>
      </c>
      <c r="BI627" s="199">
        <f t="shared" si="723"/>
        <v>58913.31344753645</v>
      </c>
      <c r="BJ627" s="199">
        <f t="shared" si="724"/>
        <v>117826.6268950729</v>
      </c>
      <c r="BK627" s="199">
        <f t="shared" si="731"/>
        <v>176739.94034260936</v>
      </c>
      <c r="BL627" s="251">
        <f t="shared" si="725"/>
        <v>7.4573940039084443E-4</v>
      </c>
      <c r="BM627" s="199">
        <f t="shared" si="760"/>
        <v>13191.825555333187</v>
      </c>
      <c r="BN627" s="251">
        <f t="shared" si="726"/>
        <v>5.6966405334000136E-4</v>
      </c>
      <c r="BT627" s="199">
        <f>'Detailed Budget'!$AD$12</f>
        <v>194045122715</v>
      </c>
      <c r="BU627" s="199">
        <f>'Detailed Budget'!$AD$24</f>
        <v>194045122715</v>
      </c>
      <c r="BV627" s="596">
        <f t="shared" si="761"/>
        <v>3.0785060820406004E-3</v>
      </c>
      <c r="BW627" s="278"/>
      <c r="BX627" s="275">
        <f t="shared" si="698"/>
        <v>597369090.4684422</v>
      </c>
      <c r="BY627" s="275">
        <f t="shared" si="699"/>
        <v>597369090.4684422</v>
      </c>
      <c r="CA627" s="199">
        <f>'Detailed Budget'!$AD$96</f>
        <v>71050111380.677719</v>
      </c>
      <c r="CB627" s="275">
        <f t="shared" si="727"/>
        <v>0</v>
      </c>
      <c r="CE627" s="199">
        <f>'Detailed Budget'!$AD$175</f>
        <v>4330586076.5988197</v>
      </c>
      <c r="CF627" s="275">
        <f t="shared" si="762"/>
        <v>0</v>
      </c>
      <c r="CG627" s="199">
        <f>'Detailed Budget'!$AD$176</f>
        <v>20662817754.37001</v>
      </c>
      <c r="CH627" s="275">
        <f t="shared" si="763"/>
        <v>0</v>
      </c>
      <c r="CI627" s="275">
        <f t="shared" si="734"/>
        <v>0</v>
      </c>
      <c r="CJ627" s="275">
        <f>'Detailed Budget'!$AD$178</f>
        <v>46025131033.061455</v>
      </c>
      <c r="CK627" s="275">
        <f t="shared" si="764"/>
        <v>0</v>
      </c>
      <c r="CL627" s="275">
        <f t="shared" si="737"/>
        <v>0</v>
      </c>
      <c r="CM627" s="278">
        <f>'Detailed Budget'!$AD$189</f>
        <v>77498869683.252869</v>
      </c>
      <c r="CN627" s="275">
        <f t="shared" si="728"/>
        <v>57793960.608557187</v>
      </c>
      <c r="CO627" s="140">
        <f>'Detailed Budget'!$AD$191</f>
        <v>2684962805.4134097</v>
      </c>
      <c r="CP627" s="616">
        <f t="shared" si="729"/>
        <v>2002282.5525807154</v>
      </c>
      <c r="CQ627" s="616">
        <f t="shared" si="730"/>
        <v>59796243.161137901</v>
      </c>
      <c r="CR627" s="199">
        <f>'Detailed Budget'!$AD$195</f>
        <v>18734176418</v>
      </c>
      <c r="CS627" s="275">
        <f t="shared" si="765"/>
        <v>10672186.874264548</v>
      </c>
      <c r="CW627" s="278"/>
      <c r="DH627" s="140">
        <f>'Detailed Budget'!$AD$163</f>
        <v>4928560000</v>
      </c>
      <c r="DI627" s="616">
        <f t="shared" si="766"/>
        <v>5600000</v>
      </c>
    </row>
    <row r="628" spans="1:113" outlineLevel="1">
      <c r="A628" s="214" t="s">
        <v>1336</v>
      </c>
      <c r="B628" s="215" t="s">
        <v>1337</v>
      </c>
      <c r="C628" s="216" t="s">
        <v>234</v>
      </c>
      <c r="D628" s="217"/>
      <c r="E628" s="216"/>
      <c r="F628" s="216"/>
      <c r="G628" s="216" t="s">
        <v>234</v>
      </c>
      <c r="H628" s="216" t="s">
        <v>234</v>
      </c>
      <c r="I628" s="217" t="s">
        <v>234</v>
      </c>
      <c r="J628" s="217"/>
      <c r="K628" s="216"/>
      <c r="L628" s="216"/>
      <c r="M628" s="217" t="s">
        <v>234</v>
      </c>
      <c r="N628" s="216"/>
      <c r="O628" s="217"/>
      <c r="P628" s="216"/>
      <c r="Q628" s="217"/>
      <c r="R628" s="217" t="s">
        <v>234</v>
      </c>
      <c r="S628" s="217"/>
      <c r="T628" s="217"/>
      <c r="U628" s="218">
        <f t="shared" si="754"/>
        <v>6</v>
      </c>
      <c r="V628" s="867" t="s">
        <v>235</v>
      </c>
      <c r="W628" s="219">
        <v>123193</v>
      </c>
      <c r="X628" s="220">
        <v>3.36</v>
      </c>
      <c r="Y628" s="221">
        <f t="shared" si="700"/>
        <v>1.0336000000000001</v>
      </c>
      <c r="Z628" s="199">
        <v>19</v>
      </c>
      <c r="AA628" s="221">
        <f t="shared" si="701"/>
        <v>1.873689022502546</v>
      </c>
      <c r="AB628" s="199">
        <f t="shared" si="749"/>
        <v>230825.37174915615</v>
      </c>
      <c r="AC628">
        <v>12.2</v>
      </c>
      <c r="AD628" s="199">
        <f t="shared" si="750"/>
        <v>28160.695353397048</v>
      </c>
      <c r="AE628" s="199">
        <f t="shared" si="702"/>
        <v>26752.660585727193</v>
      </c>
      <c r="AF628" s="199">
        <f t="shared" si="733"/>
        <v>0</v>
      </c>
      <c r="AG628" s="614">
        <f t="shared" si="732"/>
        <v>1.2369255791034274E-3</v>
      </c>
      <c r="AH628" s="199">
        <f t="shared" si="767"/>
        <v>11541.268587457809</v>
      </c>
      <c r="AI628" s="252">
        <f t="shared" si="716"/>
        <v>8.9408459074040967E-4</v>
      </c>
      <c r="AJ628" s="199">
        <f t="shared" si="717"/>
        <v>39701.963940854854</v>
      </c>
      <c r="AK628" s="199">
        <f t="shared" si="735"/>
        <v>9233.0148699662459</v>
      </c>
      <c r="AL628" s="199">
        <f t="shared" si="736"/>
        <v>9233.0148699662459</v>
      </c>
      <c r="AM628" s="199">
        <f t="shared" si="718"/>
        <v>18466.029739932492</v>
      </c>
      <c r="AN628" s="645">
        <f t="shared" si="719"/>
        <v>8.9408459074040946E-4</v>
      </c>
      <c r="AO628" s="199">
        <v>12</v>
      </c>
      <c r="AP628" s="250">
        <f t="shared" si="742"/>
        <v>1.3634814225656176E-3</v>
      </c>
      <c r="AQ628" s="199">
        <v>12</v>
      </c>
      <c r="AU628" s="199">
        <v>1</v>
      </c>
      <c r="AV628" s="199">
        <f t="shared" si="755"/>
        <v>128236.33300410476</v>
      </c>
      <c r="AW628" s="250">
        <f t="shared" si="720"/>
        <v>3.6908936942456924E-3</v>
      </c>
      <c r="AX628" s="199">
        <v>0</v>
      </c>
      <c r="AY628" s="199">
        <f t="shared" si="756"/>
        <v>10413.489109025906</v>
      </c>
      <c r="AZ628" s="199">
        <f t="shared" si="721"/>
        <v>0</v>
      </c>
      <c r="BA628" s="252">
        <f t="shared" si="722"/>
        <v>0</v>
      </c>
      <c r="BB628" s="284">
        <v>0</v>
      </c>
      <c r="BC628" s="199">
        <f t="shared" si="757"/>
        <v>0</v>
      </c>
      <c r="BD628" s="270">
        <f t="shared" si="752"/>
        <v>0</v>
      </c>
      <c r="BE628" s="199">
        <f t="shared" si="758"/>
        <v>0</v>
      </c>
      <c r="BF628" s="251">
        <f t="shared" si="753"/>
        <v>0</v>
      </c>
      <c r="BG628" s="204">
        <f t="shared" si="759"/>
        <v>0</v>
      </c>
      <c r="BH628" s="636">
        <v>1</v>
      </c>
      <c r="BI628" s="199">
        <f t="shared" si="723"/>
        <v>70632.563755241776</v>
      </c>
      <c r="BJ628" s="199">
        <f t="shared" si="724"/>
        <v>141265.12751048355</v>
      </c>
      <c r="BK628" s="199">
        <f t="shared" si="731"/>
        <v>211897.69126572533</v>
      </c>
      <c r="BL628" s="251">
        <f t="shared" si="725"/>
        <v>8.9408459074040946E-4</v>
      </c>
      <c r="BM628" s="199">
        <f t="shared" si="760"/>
        <v>15815.991412787576</v>
      </c>
      <c r="BN628" s="251">
        <f t="shared" si="726"/>
        <v>6.8298369607811753E-4</v>
      </c>
      <c r="BT628" s="199">
        <f>'Detailed Budget'!$AD$12</f>
        <v>194045122715</v>
      </c>
      <c r="BU628" s="199">
        <f>'Detailed Budget'!$AD$24</f>
        <v>194045122715</v>
      </c>
      <c r="BV628" s="596">
        <f t="shared" si="761"/>
        <v>3.6908936942456924E-3</v>
      </c>
      <c r="BW628" s="278"/>
      <c r="BX628" s="275">
        <f t="shared" si="698"/>
        <v>716199919.82792509</v>
      </c>
      <c r="BY628" s="275">
        <f t="shared" si="699"/>
        <v>716199919.82792509</v>
      </c>
      <c r="CA628" s="199">
        <f>'Detailed Budget'!$AD$96</f>
        <v>71050111380.677719</v>
      </c>
      <c r="CB628" s="275">
        <f t="shared" si="727"/>
        <v>0</v>
      </c>
      <c r="CE628" s="199">
        <f>'Detailed Budget'!$AD$175</f>
        <v>4330586076.5988197</v>
      </c>
      <c r="CF628" s="275">
        <f t="shared" si="762"/>
        <v>0</v>
      </c>
      <c r="CG628" s="199">
        <f>'Detailed Budget'!$AD$176</f>
        <v>20662817754.37001</v>
      </c>
      <c r="CH628" s="275">
        <f t="shared" si="763"/>
        <v>0</v>
      </c>
      <c r="CI628" s="275">
        <f t="shared" si="734"/>
        <v>0</v>
      </c>
      <c r="CJ628" s="275">
        <f>'Detailed Budget'!$AD$178</f>
        <v>46025131033.061455</v>
      </c>
      <c r="CK628" s="275">
        <f t="shared" si="764"/>
        <v>0</v>
      </c>
      <c r="CL628" s="275">
        <f t="shared" si="737"/>
        <v>0</v>
      </c>
      <c r="CM628" s="278">
        <f>'Detailed Budget'!$AD$189</f>
        <v>77498869683.252869</v>
      </c>
      <c r="CN628" s="275">
        <f t="shared" si="728"/>
        <v>69290545.183595464</v>
      </c>
      <c r="CO628" s="140">
        <f>'Detailed Budget'!$AD$191</f>
        <v>2684962805.4134097</v>
      </c>
      <c r="CP628" s="616">
        <f t="shared" si="729"/>
        <v>2400583.8710312699</v>
      </c>
      <c r="CQ628" s="616">
        <f t="shared" si="730"/>
        <v>71691129.054626733</v>
      </c>
      <c r="CR628" s="199">
        <f>'Detailed Budget'!$AD$195</f>
        <v>18734176418</v>
      </c>
      <c r="CS628" s="275">
        <f t="shared" si="765"/>
        <v>12795137.052945148</v>
      </c>
      <c r="CW628" s="278"/>
      <c r="DH628" s="140">
        <f>'Detailed Budget'!$AD$163</f>
        <v>4928560000</v>
      </c>
      <c r="DI628" s="616">
        <f t="shared" si="766"/>
        <v>6720000</v>
      </c>
    </row>
    <row r="629" spans="1:113" outlineLevel="1">
      <c r="A629" s="214" t="s">
        <v>1338</v>
      </c>
      <c r="B629" s="215" t="s">
        <v>1339</v>
      </c>
      <c r="C629" s="216" t="s">
        <v>234</v>
      </c>
      <c r="D629" s="217"/>
      <c r="E629" s="216"/>
      <c r="F629" s="216"/>
      <c r="G629" s="216" t="s">
        <v>234</v>
      </c>
      <c r="H629" s="216" t="s">
        <v>234</v>
      </c>
      <c r="I629" s="217" t="s">
        <v>234</v>
      </c>
      <c r="J629" s="217"/>
      <c r="K629" s="216"/>
      <c r="L629" s="216"/>
      <c r="M629" s="217" t="s">
        <v>234</v>
      </c>
      <c r="N629" s="216"/>
      <c r="O629" s="217"/>
      <c r="P629" s="216"/>
      <c r="Q629" s="217"/>
      <c r="R629" s="217" t="s">
        <v>234</v>
      </c>
      <c r="S629" s="217"/>
      <c r="T629" s="217"/>
      <c r="U629" s="218">
        <f t="shared" si="754"/>
        <v>6</v>
      </c>
      <c r="V629" s="867" t="s">
        <v>235</v>
      </c>
      <c r="W629" s="219">
        <v>87209</v>
      </c>
      <c r="X629" s="220">
        <v>3.36</v>
      </c>
      <c r="Y629" s="221">
        <f t="shared" si="700"/>
        <v>1.0336000000000001</v>
      </c>
      <c r="Z629" s="199">
        <v>19</v>
      </c>
      <c r="AA629" s="221">
        <f t="shared" si="701"/>
        <v>1.873689022502546</v>
      </c>
      <c r="AB629" s="199">
        <f t="shared" si="749"/>
        <v>163402.54596342452</v>
      </c>
      <c r="AC629">
        <v>12.2</v>
      </c>
      <c r="AD629" s="199">
        <f t="shared" si="750"/>
        <v>19935.11060753779</v>
      </c>
      <c r="AE629" s="199">
        <f t="shared" si="702"/>
        <v>18938.355077160901</v>
      </c>
      <c r="AF629" s="199">
        <f t="shared" si="733"/>
        <v>0</v>
      </c>
      <c r="AG629" s="614">
        <f t="shared" si="732"/>
        <v>8.7562639783129558E-4</v>
      </c>
      <c r="AH629" s="199">
        <f t="shared" si="767"/>
        <v>8170.1272981712264</v>
      </c>
      <c r="AI629" s="252">
        <f t="shared" si="716"/>
        <v>6.3292738283733955E-4</v>
      </c>
      <c r="AJ629" s="199">
        <f t="shared" si="717"/>
        <v>28105.237905709015</v>
      </c>
      <c r="AK629" s="199">
        <f t="shared" si="735"/>
        <v>6536.1018385369807</v>
      </c>
      <c r="AL629" s="199">
        <f t="shared" si="736"/>
        <v>6536.1018385369807</v>
      </c>
      <c r="AM629" s="199">
        <f t="shared" si="718"/>
        <v>13072.203677073961</v>
      </c>
      <c r="AN629" s="645">
        <f t="shared" si="719"/>
        <v>6.3292738283733945E-4</v>
      </c>
      <c r="AO629" s="199">
        <v>10</v>
      </c>
      <c r="AP629" s="250">
        <f t="shared" si="742"/>
        <v>1.1362345188046814E-3</v>
      </c>
      <c r="AQ629" s="199">
        <v>10</v>
      </c>
      <c r="AU629" s="199">
        <v>1</v>
      </c>
      <c r="AV629" s="199">
        <f t="shared" si="755"/>
        <v>90779.203079354935</v>
      </c>
      <c r="AW629" s="250">
        <f t="shared" si="720"/>
        <v>2.6128038783167274E-3</v>
      </c>
      <c r="AX629" s="199">
        <v>0</v>
      </c>
      <c r="AY629" s="199">
        <f t="shared" si="756"/>
        <v>7371.7660233052211</v>
      </c>
      <c r="AZ629" s="199">
        <f t="shared" si="721"/>
        <v>0</v>
      </c>
      <c r="BA629" s="252">
        <f t="shared" si="722"/>
        <v>0</v>
      </c>
      <c r="BB629" s="284">
        <v>0</v>
      </c>
      <c r="BC629" s="199">
        <f t="shared" si="757"/>
        <v>0</v>
      </c>
      <c r="BD629" s="270">
        <f t="shared" si="752"/>
        <v>0</v>
      </c>
      <c r="BE629" s="199">
        <f t="shared" si="758"/>
        <v>0</v>
      </c>
      <c r="BF629" s="251">
        <f t="shared" si="753"/>
        <v>0</v>
      </c>
      <c r="BG629" s="204">
        <f t="shared" si="759"/>
        <v>0</v>
      </c>
      <c r="BH629" s="636">
        <v>1</v>
      </c>
      <c r="BI629" s="199">
        <f t="shared" si="723"/>
        <v>50001.179064807904</v>
      </c>
      <c r="BJ629" s="199">
        <f t="shared" si="724"/>
        <v>100002.35812961581</v>
      </c>
      <c r="BK629" s="199">
        <f t="shared" si="731"/>
        <v>150003.53719442373</v>
      </c>
      <c r="BL629" s="251">
        <f t="shared" si="725"/>
        <v>6.3292738283733955E-4</v>
      </c>
      <c r="BM629" s="199">
        <f t="shared" si="760"/>
        <v>11196.22701872502</v>
      </c>
      <c r="BN629" s="251">
        <f t="shared" si="726"/>
        <v>4.8348790232624042E-4</v>
      </c>
      <c r="BT629" s="199">
        <f>'Detailed Budget'!$AD$12</f>
        <v>194045122715</v>
      </c>
      <c r="BU629" s="199">
        <f>'Detailed Budget'!$AD$24</f>
        <v>194045122715</v>
      </c>
      <c r="BV629" s="596">
        <f t="shared" si="761"/>
        <v>2.6128038783167274E-3</v>
      </c>
      <c r="BW629" s="278"/>
      <c r="BX629" s="275">
        <f t="shared" si="698"/>
        <v>507001849.19819731</v>
      </c>
      <c r="BY629" s="275">
        <f t="shared" si="699"/>
        <v>507001849.19819731</v>
      </c>
      <c r="CA629" s="199">
        <f>'Detailed Budget'!$AD$96</f>
        <v>71050111380.677719</v>
      </c>
      <c r="CB629" s="275">
        <f t="shared" si="727"/>
        <v>0</v>
      </c>
      <c r="CE629" s="199">
        <f>'Detailed Budget'!$AD$175</f>
        <v>4330586076.5988197</v>
      </c>
      <c r="CF629" s="275">
        <f t="shared" si="762"/>
        <v>0</v>
      </c>
      <c r="CG629" s="199">
        <f>'Detailed Budget'!$AD$176</f>
        <v>20662817754.37001</v>
      </c>
      <c r="CH629" s="275">
        <f t="shared" si="763"/>
        <v>0</v>
      </c>
      <c r="CI629" s="275">
        <f t="shared" si="734"/>
        <v>0</v>
      </c>
      <c r="CJ629" s="275">
        <f>'Detailed Budget'!$AD$178</f>
        <v>46025131033.061455</v>
      </c>
      <c r="CK629" s="275">
        <f t="shared" si="764"/>
        <v>0</v>
      </c>
      <c r="CL629" s="275">
        <f t="shared" si="737"/>
        <v>0</v>
      </c>
      <c r="CM629" s="278">
        <f>'Detailed Budget'!$AD$189</f>
        <v>77498869683.252869</v>
      </c>
      <c r="CN629" s="275">
        <f t="shared" si="728"/>
        <v>49051156.761473276</v>
      </c>
      <c r="CO629" s="140">
        <f>'Detailed Budget'!$AD$191</f>
        <v>2684962805.4134097</v>
      </c>
      <c r="CP629" s="616">
        <f t="shared" si="729"/>
        <v>1699386.4814459102</v>
      </c>
      <c r="CQ629" s="616">
        <f t="shared" si="730"/>
        <v>50750543.242919184</v>
      </c>
      <c r="CR629" s="199">
        <f>'Detailed Budget'!$AD$195</f>
        <v>18734176418</v>
      </c>
      <c r="CS629" s="275">
        <f t="shared" si="765"/>
        <v>9057747.6581485402</v>
      </c>
      <c r="CW629" s="278"/>
      <c r="DH629" s="140">
        <f>'Detailed Budget'!$AD$163</f>
        <v>4928560000</v>
      </c>
      <c r="DI629" s="616">
        <f t="shared" si="766"/>
        <v>5600000</v>
      </c>
    </row>
    <row r="630" spans="1:113" outlineLevel="1">
      <c r="A630" s="214" t="s">
        <v>1340</v>
      </c>
      <c r="B630" s="215" t="s">
        <v>1341</v>
      </c>
      <c r="C630" s="216" t="s">
        <v>234</v>
      </c>
      <c r="D630" s="217"/>
      <c r="E630" s="216"/>
      <c r="F630" s="216"/>
      <c r="G630" s="216" t="s">
        <v>234</v>
      </c>
      <c r="H630" s="216" t="s">
        <v>234</v>
      </c>
      <c r="I630" s="217" t="s">
        <v>234</v>
      </c>
      <c r="J630" s="217"/>
      <c r="K630" s="216"/>
      <c r="L630" s="216"/>
      <c r="M630" s="217" t="s">
        <v>234</v>
      </c>
      <c r="N630" s="216"/>
      <c r="O630" s="217"/>
      <c r="P630" s="216"/>
      <c r="Q630" s="217"/>
      <c r="R630" s="217" t="s">
        <v>234</v>
      </c>
      <c r="S630" s="217"/>
      <c r="T630" s="217"/>
      <c r="U630" s="218">
        <f t="shared" si="754"/>
        <v>6</v>
      </c>
      <c r="V630" s="867" t="s">
        <v>235</v>
      </c>
      <c r="W630" s="219">
        <v>171839</v>
      </c>
      <c r="X630" s="220">
        <v>3.36</v>
      </c>
      <c r="Y630" s="221">
        <f t="shared" si="700"/>
        <v>1.0336000000000001</v>
      </c>
      <c r="Z630" s="199">
        <v>19</v>
      </c>
      <c r="AA630" s="221">
        <f t="shared" si="701"/>
        <v>1.873689022502546</v>
      </c>
      <c r="AB630" s="199">
        <f t="shared" si="749"/>
        <v>321972.84793781501</v>
      </c>
      <c r="AC630">
        <v>12.2</v>
      </c>
      <c r="AD630" s="199">
        <f t="shared" si="750"/>
        <v>39280.687448413431</v>
      </c>
      <c r="AE630" s="199">
        <f t="shared" si="702"/>
        <v>37316.653075992755</v>
      </c>
      <c r="AF630" s="199">
        <f t="shared" si="733"/>
        <v>0</v>
      </c>
      <c r="AG630" s="614">
        <f t="shared" si="732"/>
        <v>1.7253582150572994E-3</v>
      </c>
      <c r="AH630" s="199">
        <f t="shared" si="767"/>
        <v>16098.642396890751</v>
      </c>
      <c r="AI630" s="252">
        <f t="shared" si="716"/>
        <v>1.2471374346613949E-3</v>
      </c>
      <c r="AJ630" s="199">
        <f t="shared" si="717"/>
        <v>55379.329845304179</v>
      </c>
      <c r="AK630" s="199">
        <f t="shared" si="735"/>
        <v>12878.9139175126</v>
      </c>
      <c r="AL630" s="199">
        <f t="shared" si="736"/>
        <v>12878.9139175126</v>
      </c>
      <c r="AM630" s="199">
        <f t="shared" si="718"/>
        <v>25757.8278350252</v>
      </c>
      <c r="AN630" s="645">
        <f t="shared" si="719"/>
        <v>1.2471374346613949E-3</v>
      </c>
      <c r="AO630" s="199">
        <v>13</v>
      </c>
      <c r="AP630" s="250">
        <f t="shared" si="742"/>
        <v>1.4771048744460858E-3</v>
      </c>
      <c r="AQ630" s="199">
        <v>13</v>
      </c>
      <c r="AU630" s="199">
        <v>1</v>
      </c>
      <c r="AV630" s="199">
        <f t="shared" si="755"/>
        <v>178873.82584312712</v>
      </c>
      <c r="AW630" s="250">
        <f t="shared" si="720"/>
        <v>5.1483402589878125E-3</v>
      </c>
      <c r="AX630" s="199">
        <v>0</v>
      </c>
      <c r="AY630" s="199">
        <f t="shared" si="756"/>
        <v>14525.529494418535</v>
      </c>
      <c r="AZ630" s="199">
        <f t="shared" si="721"/>
        <v>0</v>
      </c>
      <c r="BA630" s="252">
        <f t="shared" si="722"/>
        <v>0</v>
      </c>
      <c r="BB630" s="284">
        <v>0</v>
      </c>
      <c r="BC630" s="199">
        <f t="shared" si="757"/>
        <v>0</v>
      </c>
      <c r="BD630" s="270">
        <f t="shared" si="752"/>
        <v>0</v>
      </c>
      <c r="BE630" s="199">
        <f t="shared" si="758"/>
        <v>0</v>
      </c>
      <c r="BF630" s="251">
        <f t="shared" si="753"/>
        <v>0</v>
      </c>
      <c r="BG630" s="204">
        <f t="shared" si="759"/>
        <v>0</v>
      </c>
      <c r="BH630" s="636">
        <v>1</v>
      </c>
      <c r="BI630" s="199">
        <f t="shared" si="723"/>
        <v>98523.691468971389</v>
      </c>
      <c r="BJ630" s="199">
        <f t="shared" si="724"/>
        <v>197047.38293794278</v>
      </c>
      <c r="BK630" s="199">
        <f t="shared" si="731"/>
        <v>295571.07440691418</v>
      </c>
      <c r="BL630" s="251">
        <f t="shared" si="725"/>
        <v>1.2471374346613949E-3</v>
      </c>
      <c r="BM630" s="199">
        <f t="shared" si="760"/>
        <v>22061.352092911155</v>
      </c>
      <c r="BN630" s="251">
        <f t="shared" si="726"/>
        <v>9.5267779297823437E-4</v>
      </c>
      <c r="BT630" s="199">
        <f>'Detailed Budget'!$AD$12</f>
        <v>194045122715</v>
      </c>
      <c r="BU630" s="199">
        <f>'Detailed Budget'!$AD$24</f>
        <v>194045122715</v>
      </c>
      <c r="BV630" s="596">
        <f t="shared" si="761"/>
        <v>5.1483402589878125E-3</v>
      </c>
      <c r="BW630" s="278"/>
      <c r="BX630" s="275">
        <f t="shared" si="698"/>
        <v>999010317.33386493</v>
      </c>
      <c r="BY630" s="275">
        <f t="shared" si="699"/>
        <v>999010317.33386493</v>
      </c>
      <c r="CA630" s="199">
        <f>'Detailed Budget'!$AD$96</f>
        <v>71050111380.677719</v>
      </c>
      <c r="CB630" s="275">
        <f t="shared" si="727"/>
        <v>0</v>
      </c>
      <c r="CE630" s="199">
        <f>'Detailed Budget'!$AD$175</f>
        <v>4330586076.5988197</v>
      </c>
      <c r="CF630" s="275">
        <f t="shared" si="762"/>
        <v>0</v>
      </c>
      <c r="CG630" s="199">
        <f>'Detailed Budget'!$AD$176</f>
        <v>20662817754.37001</v>
      </c>
      <c r="CH630" s="275">
        <f t="shared" si="763"/>
        <v>0</v>
      </c>
      <c r="CI630" s="275">
        <f t="shared" si="734"/>
        <v>0</v>
      </c>
      <c r="CJ630" s="275">
        <f>'Detailed Budget'!$AD$178</f>
        <v>46025131033.061455</v>
      </c>
      <c r="CK630" s="275">
        <f t="shared" si="764"/>
        <v>0</v>
      </c>
      <c r="CL630" s="275">
        <f t="shared" si="737"/>
        <v>0</v>
      </c>
      <c r="CM630" s="278">
        <f>'Detailed Budget'!$AD$189</f>
        <v>77498869683.252869</v>
      </c>
      <c r="CN630" s="275">
        <f t="shared" si="728"/>
        <v>96651741.525929734</v>
      </c>
      <c r="CO630" s="140">
        <f>'Detailed Budget'!$AD$191</f>
        <v>2684962805.4134097</v>
      </c>
      <c r="CP630" s="616">
        <f t="shared" si="729"/>
        <v>3348517.625304542</v>
      </c>
      <c r="CQ630" s="616">
        <f t="shared" si="730"/>
        <v>100000259.15123427</v>
      </c>
      <c r="CR630" s="199">
        <f>'Detailed Budget'!$AD$195</f>
        <v>18734176418</v>
      </c>
      <c r="CS630" s="275">
        <f t="shared" si="765"/>
        <v>17847633.843165126</v>
      </c>
      <c r="CW630" s="278"/>
      <c r="DH630" s="140">
        <f>'Detailed Budget'!$AD$163</f>
        <v>4928560000</v>
      </c>
      <c r="DI630" s="616">
        <f t="shared" si="766"/>
        <v>7280000.0000000009</v>
      </c>
    </row>
    <row r="631" spans="1:113" outlineLevel="1">
      <c r="A631" s="214" t="s">
        <v>1342</v>
      </c>
      <c r="B631" s="215" t="s">
        <v>1343</v>
      </c>
      <c r="C631" s="216" t="s">
        <v>234</v>
      </c>
      <c r="D631" s="217"/>
      <c r="E631" s="216"/>
      <c r="F631" s="216"/>
      <c r="G631" s="216" t="s">
        <v>234</v>
      </c>
      <c r="H631" s="216" t="s">
        <v>234</v>
      </c>
      <c r="I631" s="217" t="s">
        <v>234</v>
      </c>
      <c r="J631" s="217"/>
      <c r="K631" s="216"/>
      <c r="L631" s="216"/>
      <c r="M631" s="217" t="s">
        <v>234</v>
      </c>
      <c r="N631" s="216"/>
      <c r="O631" s="217"/>
      <c r="P631" s="216"/>
      <c r="Q631" s="217"/>
      <c r="R631" s="217" t="s">
        <v>234</v>
      </c>
      <c r="S631" s="217"/>
      <c r="T631" s="217"/>
      <c r="U631" s="218">
        <f t="shared" si="754"/>
        <v>6</v>
      </c>
      <c r="V631" s="867" t="s">
        <v>235</v>
      </c>
      <c r="W631" s="219">
        <v>53060</v>
      </c>
      <c r="X631" s="220">
        <v>3.36</v>
      </c>
      <c r="Y631" s="221">
        <f t="shared" si="700"/>
        <v>1.0336000000000001</v>
      </c>
      <c r="Z631" s="199">
        <v>19</v>
      </c>
      <c r="AA631" s="221">
        <f t="shared" si="701"/>
        <v>1.873689022502546</v>
      </c>
      <c r="AB631" s="199">
        <f t="shared" si="749"/>
        <v>99417.939533985089</v>
      </c>
      <c r="AC631">
        <v>12.2</v>
      </c>
      <c r="AD631" s="199">
        <f t="shared" si="750"/>
        <v>12128.988623146179</v>
      </c>
      <c r="AE631" s="199">
        <f t="shared" si="702"/>
        <v>11522.53919198887</v>
      </c>
      <c r="AF631" s="199">
        <f t="shared" si="733"/>
        <v>0</v>
      </c>
      <c r="AG631" s="614">
        <f t="shared" si="732"/>
        <v>5.3275162734268879E-4</v>
      </c>
      <c r="AH631" s="199">
        <f t="shared" si="767"/>
        <v>4970.896976699255</v>
      </c>
      <c r="AI631" s="252">
        <f t="shared" si="716"/>
        <v>3.8508785714030935E-4</v>
      </c>
      <c r="AJ631" s="199">
        <f t="shared" si="717"/>
        <v>17099.885599845435</v>
      </c>
      <c r="AK631" s="199">
        <f t="shared" si="735"/>
        <v>3976.7175813594035</v>
      </c>
      <c r="AL631" s="199">
        <f t="shared" si="736"/>
        <v>3976.7175813594035</v>
      </c>
      <c r="AM631" s="199">
        <f t="shared" si="718"/>
        <v>7953.4351627188071</v>
      </c>
      <c r="AN631" s="645">
        <f t="shared" si="719"/>
        <v>3.850878571403093E-4</v>
      </c>
      <c r="AO631" s="199">
        <v>10</v>
      </c>
      <c r="AP631" s="250">
        <f t="shared" si="742"/>
        <v>1.1362345188046814E-3</v>
      </c>
      <c r="AQ631" s="199">
        <v>10</v>
      </c>
      <c r="AU631" s="199">
        <v>1</v>
      </c>
      <c r="AV631" s="199">
        <f t="shared" si="755"/>
        <v>55232.195248088763</v>
      </c>
      <c r="AW631" s="250">
        <f t="shared" si="720"/>
        <v>1.5896911303132195E-3</v>
      </c>
      <c r="AX631" s="199">
        <v>0</v>
      </c>
      <c r="AY631" s="199">
        <f t="shared" si="756"/>
        <v>4485.1552614589673</v>
      </c>
      <c r="AZ631" s="199">
        <f t="shared" si="721"/>
        <v>0</v>
      </c>
      <c r="BA631" s="252">
        <f t="shared" si="722"/>
        <v>0</v>
      </c>
      <c r="BB631" s="284">
        <v>0</v>
      </c>
      <c r="BC631" s="199">
        <f t="shared" si="757"/>
        <v>0</v>
      </c>
      <c r="BD631" s="270">
        <f t="shared" si="752"/>
        <v>0</v>
      </c>
      <c r="BE631" s="199">
        <f t="shared" si="758"/>
        <v>0</v>
      </c>
      <c r="BF631" s="251">
        <f t="shared" si="753"/>
        <v>0</v>
      </c>
      <c r="BG631" s="204">
        <f t="shared" si="759"/>
        <v>0</v>
      </c>
      <c r="BH631" s="636">
        <v>1</v>
      </c>
      <c r="BI631" s="199">
        <f t="shared" si="723"/>
        <v>30421.889497399436</v>
      </c>
      <c r="BJ631" s="199">
        <f t="shared" si="724"/>
        <v>60843.778994798871</v>
      </c>
      <c r="BK631" s="199">
        <f t="shared" si="731"/>
        <v>91265.668492198311</v>
      </c>
      <c r="BL631" s="251">
        <f t="shared" si="725"/>
        <v>3.850878571403093E-4</v>
      </c>
      <c r="BM631" s="199">
        <f t="shared" si="760"/>
        <v>6812.0469861315878</v>
      </c>
      <c r="BN631" s="251">
        <f t="shared" si="726"/>
        <v>2.9416537395716405E-4</v>
      </c>
      <c r="BT631" s="199">
        <f>'Detailed Budget'!$AD$12</f>
        <v>194045122715</v>
      </c>
      <c r="BU631" s="199">
        <f>'Detailed Budget'!$AD$24</f>
        <v>194045122715</v>
      </c>
      <c r="BV631" s="596">
        <f t="shared" si="761"/>
        <v>1.5896911303132195E-3</v>
      </c>
      <c r="BW631" s="278"/>
      <c r="BX631" s="275">
        <f t="shared" si="698"/>
        <v>308471810.46057576</v>
      </c>
      <c r="BY631" s="275">
        <f t="shared" si="699"/>
        <v>308471810.46057576</v>
      </c>
      <c r="CA631" s="199">
        <f>'Detailed Budget'!$AD$96</f>
        <v>71050111380.677719</v>
      </c>
      <c r="CB631" s="275">
        <f t="shared" si="727"/>
        <v>0</v>
      </c>
      <c r="CE631" s="199">
        <f>'Detailed Budget'!$AD$175</f>
        <v>4330586076.5988197</v>
      </c>
      <c r="CF631" s="275">
        <f t="shared" si="762"/>
        <v>0</v>
      </c>
      <c r="CG631" s="199">
        <f>'Detailed Budget'!$AD$176</f>
        <v>20662817754.37001</v>
      </c>
      <c r="CH631" s="275">
        <f t="shared" si="763"/>
        <v>0</v>
      </c>
      <c r="CI631" s="275">
        <f t="shared" si="734"/>
        <v>0</v>
      </c>
      <c r="CJ631" s="275">
        <f>'Detailed Budget'!$AD$178</f>
        <v>46025131033.061455</v>
      </c>
      <c r="CK631" s="275">
        <f t="shared" si="764"/>
        <v>0</v>
      </c>
      <c r="CL631" s="275">
        <f t="shared" si="737"/>
        <v>0</v>
      </c>
      <c r="CM631" s="278">
        <f>'Detailed Budget'!$AD$189</f>
        <v>77498869683.252869</v>
      </c>
      <c r="CN631" s="275">
        <f t="shared" si="728"/>
        <v>29843873.65711993</v>
      </c>
      <c r="CO631" s="140">
        <f>'Detailed Budget'!$AD$191</f>
        <v>2684962805.4134097</v>
      </c>
      <c r="CP631" s="616">
        <f t="shared" si="729"/>
        <v>1033946.5732380832</v>
      </c>
      <c r="CQ631" s="616">
        <f t="shared" si="730"/>
        <v>30877820.230358012</v>
      </c>
      <c r="CR631" s="199">
        <f>'Detailed Budget'!$AD$195</f>
        <v>18734176418</v>
      </c>
      <c r="CS631" s="275">
        <f t="shared" si="765"/>
        <v>5510946.0117804538</v>
      </c>
      <c r="CW631" s="278"/>
      <c r="DH631" s="140">
        <f>'Detailed Budget'!$AD$163</f>
        <v>4928560000</v>
      </c>
      <c r="DI631" s="616">
        <f t="shared" si="766"/>
        <v>5600000</v>
      </c>
    </row>
    <row r="632" spans="1:113" outlineLevel="1">
      <c r="A632" s="214" t="s">
        <v>1344</v>
      </c>
      <c r="B632" s="215" t="s">
        <v>1345</v>
      </c>
      <c r="C632" s="216" t="s">
        <v>234</v>
      </c>
      <c r="D632" s="217"/>
      <c r="E632" s="216"/>
      <c r="F632" s="216"/>
      <c r="G632" s="216" t="s">
        <v>234</v>
      </c>
      <c r="H632" s="216" t="s">
        <v>234</v>
      </c>
      <c r="I632" s="217" t="s">
        <v>234</v>
      </c>
      <c r="J632" s="217"/>
      <c r="K632" s="216"/>
      <c r="L632" s="216"/>
      <c r="M632" s="217" t="s">
        <v>234</v>
      </c>
      <c r="N632" s="216"/>
      <c r="O632" s="217"/>
      <c r="P632" s="216"/>
      <c r="Q632" s="217"/>
      <c r="R632" s="217" t="s">
        <v>234</v>
      </c>
      <c r="S632" s="217"/>
      <c r="T632" s="217"/>
      <c r="U632" s="218">
        <f t="shared" si="754"/>
        <v>6</v>
      </c>
      <c r="V632" s="867" t="s">
        <v>235</v>
      </c>
      <c r="W632" s="219">
        <v>125473</v>
      </c>
      <c r="X632" s="220">
        <v>3.36</v>
      </c>
      <c r="Y632" s="221">
        <f t="shared" si="700"/>
        <v>1.0336000000000001</v>
      </c>
      <c r="Z632" s="199">
        <v>19</v>
      </c>
      <c r="AA632" s="221">
        <f t="shared" si="701"/>
        <v>1.873689022502546</v>
      </c>
      <c r="AB632" s="199">
        <f t="shared" si="749"/>
        <v>235097.38272046196</v>
      </c>
      <c r="AC632">
        <v>12.2</v>
      </c>
      <c r="AD632" s="199">
        <f t="shared" si="750"/>
        <v>28681.880691896356</v>
      </c>
      <c r="AE632" s="199">
        <f t="shared" si="702"/>
        <v>27247.786657301538</v>
      </c>
      <c r="AF632" s="199">
        <f t="shared" si="733"/>
        <v>0</v>
      </c>
      <c r="AG632" s="614">
        <f t="shared" si="732"/>
        <v>1.2598180350088426E-3</v>
      </c>
      <c r="AH632" s="199">
        <f t="shared" si="767"/>
        <v>11754.869136023099</v>
      </c>
      <c r="AI632" s="252">
        <f t="shared" si="716"/>
        <v>9.1063190160131993E-4</v>
      </c>
      <c r="AJ632" s="199">
        <f t="shared" si="717"/>
        <v>40436.749827919455</v>
      </c>
      <c r="AK632" s="199">
        <f t="shared" si="735"/>
        <v>9403.895308818479</v>
      </c>
      <c r="AL632" s="199">
        <f t="shared" si="736"/>
        <v>9403.895308818479</v>
      </c>
      <c r="AM632" s="199">
        <f t="shared" si="718"/>
        <v>18807.790617636958</v>
      </c>
      <c r="AN632" s="645">
        <f t="shared" si="719"/>
        <v>9.1063190160131993E-4</v>
      </c>
      <c r="AO632" s="199">
        <v>11</v>
      </c>
      <c r="AP632" s="250">
        <f t="shared" si="742"/>
        <v>1.2498579706851495E-3</v>
      </c>
      <c r="AQ632" s="199">
        <v>11</v>
      </c>
      <c r="AU632" s="199">
        <v>1</v>
      </c>
      <c r="AV632" s="199">
        <f t="shared" si="755"/>
        <v>130609.67271698908</v>
      </c>
      <c r="AW632" s="250">
        <f t="shared" si="720"/>
        <v>3.7592030756462601E-3</v>
      </c>
      <c r="AX632" s="199">
        <v>0</v>
      </c>
      <c r="AY632" s="199">
        <f t="shared" si="756"/>
        <v>10606.217228063342</v>
      </c>
      <c r="AZ632" s="199">
        <f t="shared" si="721"/>
        <v>0</v>
      </c>
      <c r="BA632" s="252">
        <f t="shared" si="722"/>
        <v>0</v>
      </c>
      <c r="BB632" s="284">
        <v>0</v>
      </c>
      <c r="BC632" s="199">
        <f t="shared" si="757"/>
        <v>0</v>
      </c>
      <c r="BD632" s="270">
        <f t="shared" si="752"/>
        <v>0</v>
      </c>
      <c r="BE632" s="199">
        <f t="shared" si="758"/>
        <v>0</v>
      </c>
      <c r="BF632" s="251">
        <f t="shared" si="753"/>
        <v>0</v>
      </c>
      <c r="BG632" s="204">
        <f t="shared" si="759"/>
        <v>0</v>
      </c>
      <c r="BH632" s="636">
        <v>1</v>
      </c>
      <c r="BI632" s="199">
        <f t="shared" si="723"/>
        <v>71939.799112461362</v>
      </c>
      <c r="BJ632" s="199">
        <f t="shared" si="724"/>
        <v>143879.59822492272</v>
      </c>
      <c r="BK632" s="199">
        <f t="shared" si="731"/>
        <v>215819.39733738409</v>
      </c>
      <c r="BL632" s="251">
        <f t="shared" si="725"/>
        <v>9.1063190160131993E-4</v>
      </c>
      <c r="BM632" s="199">
        <f t="shared" si="760"/>
        <v>16108.706586711056</v>
      </c>
      <c r="BN632" s="251">
        <f t="shared" si="726"/>
        <v>6.9562404761641997E-4</v>
      </c>
      <c r="BT632" s="199">
        <f>'Detailed Budget'!$AD$12</f>
        <v>194045122715</v>
      </c>
      <c r="BU632" s="199">
        <f>'Detailed Budget'!$AD$24</f>
        <v>194045122715</v>
      </c>
      <c r="BV632" s="596">
        <f t="shared" si="761"/>
        <v>3.7592030756462601E-3</v>
      </c>
      <c r="BW632" s="278"/>
      <c r="BX632" s="275">
        <f t="shared" ref="BX632:BX703" si="768">BT632*BV632</f>
        <v>729455022.12438393</v>
      </c>
      <c r="BY632" s="275">
        <f t="shared" ref="BY632:BY703" si="769">BU632*BV632</f>
        <v>729455022.12438393</v>
      </c>
      <c r="CA632" s="199">
        <f>'Detailed Budget'!$AD$96</f>
        <v>71050111380.677719</v>
      </c>
      <c r="CB632" s="275">
        <f t="shared" si="727"/>
        <v>0</v>
      </c>
      <c r="CE632" s="199">
        <f>'Detailed Budget'!$AD$175</f>
        <v>4330586076.5988197</v>
      </c>
      <c r="CF632" s="275">
        <f t="shared" si="762"/>
        <v>0</v>
      </c>
      <c r="CG632" s="199">
        <f>'Detailed Budget'!$AD$176</f>
        <v>20662817754.37001</v>
      </c>
      <c r="CH632" s="275">
        <f t="shared" si="763"/>
        <v>0</v>
      </c>
      <c r="CI632" s="275">
        <f t="shared" si="734"/>
        <v>0</v>
      </c>
      <c r="CJ632" s="275">
        <f>'Detailed Budget'!$AD$178</f>
        <v>46025131033.061455</v>
      </c>
      <c r="CK632" s="275">
        <f t="shared" si="764"/>
        <v>0</v>
      </c>
      <c r="CL632" s="275">
        <f t="shared" si="737"/>
        <v>0</v>
      </c>
      <c r="CM632" s="278">
        <f>'Detailed Budget'!$AD$189</f>
        <v>77498869683.252869</v>
      </c>
      <c r="CN632" s="275">
        <f t="shared" si="728"/>
        <v>70572943.071613446</v>
      </c>
      <c r="CO632" s="140">
        <f>'Detailed Budget'!$AD$191</f>
        <v>2684962805.4134097</v>
      </c>
      <c r="CP632" s="616">
        <f t="shared" si="729"/>
        <v>2445012.7852224279</v>
      </c>
      <c r="CQ632" s="616">
        <f t="shared" si="730"/>
        <v>73017955.856835872</v>
      </c>
      <c r="CR632" s="199">
        <f>'Detailed Budget'!$AD$195</f>
        <v>18734176418</v>
      </c>
      <c r="CS632" s="275">
        <f t="shared" si="765"/>
        <v>13031943.628649244</v>
      </c>
      <c r="CW632" s="278"/>
      <c r="DH632" s="140">
        <f>'Detailed Budget'!$AD$163</f>
        <v>4928560000</v>
      </c>
      <c r="DI632" s="616">
        <f t="shared" si="766"/>
        <v>6160000</v>
      </c>
    </row>
    <row r="633" spans="1:113" outlineLevel="1">
      <c r="A633" s="214" t="s">
        <v>1346</v>
      </c>
      <c r="B633" s="215" t="s">
        <v>1347</v>
      </c>
      <c r="C633" s="216" t="s">
        <v>234</v>
      </c>
      <c r="D633" s="217"/>
      <c r="E633" s="216"/>
      <c r="F633" s="216"/>
      <c r="G633" s="216" t="s">
        <v>234</v>
      </c>
      <c r="H633" s="216" t="s">
        <v>234</v>
      </c>
      <c r="I633" s="217" t="s">
        <v>234</v>
      </c>
      <c r="J633" s="217"/>
      <c r="K633" s="216"/>
      <c r="L633" s="216"/>
      <c r="M633" s="217" t="s">
        <v>234</v>
      </c>
      <c r="N633" s="216"/>
      <c r="O633" s="217"/>
      <c r="P633" s="216"/>
      <c r="Q633" s="217"/>
      <c r="R633" s="217" t="s">
        <v>234</v>
      </c>
      <c r="S633" s="217"/>
      <c r="T633" s="217"/>
      <c r="U633" s="218">
        <f t="shared" si="754"/>
        <v>6</v>
      </c>
      <c r="V633" s="867" t="s">
        <v>235</v>
      </c>
      <c r="W633" s="219">
        <v>117169</v>
      </c>
      <c r="X633" s="220">
        <v>3.36</v>
      </c>
      <c r="Y633" s="221">
        <f t="shared" si="700"/>
        <v>1.0336000000000001</v>
      </c>
      <c r="Z633" s="199">
        <v>19</v>
      </c>
      <c r="AA633" s="221">
        <f t="shared" si="701"/>
        <v>1.873689022502546</v>
      </c>
      <c r="AB633" s="199">
        <f t="shared" si="749"/>
        <v>219538.26907760082</v>
      </c>
      <c r="AC633">
        <v>12.2</v>
      </c>
      <c r="AD633" s="199">
        <f t="shared" si="750"/>
        <v>26783.6688274673</v>
      </c>
      <c r="AE633" s="199">
        <f t="shared" si="702"/>
        <v>25444.485386093933</v>
      </c>
      <c r="AF633" s="199">
        <f t="shared" si="733"/>
        <v>0</v>
      </c>
      <c r="AG633" s="614">
        <f t="shared" si="732"/>
        <v>1.1764413008691201E-3</v>
      </c>
      <c r="AH633" s="199">
        <f t="shared" si="767"/>
        <v>10976.913453880043</v>
      </c>
      <c r="AI633" s="252">
        <f t="shared" si="716"/>
        <v>8.5036485362368849E-4</v>
      </c>
      <c r="AJ633" s="199">
        <f t="shared" si="717"/>
        <v>37760.582281347342</v>
      </c>
      <c r="AK633" s="199">
        <f t="shared" si="735"/>
        <v>8781.5307631040323</v>
      </c>
      <c r="AL633" s="199">
        <f t="shared" si="736"/>
        <v>8781.5307631040323</v>
      </c>
      <c r="AM633" s="199">
        <f t="shared" si="718"/>
        <v>17563.061526208065</v>
      </c>
      <c r="AN633" s="645">
        <f t="shared" si="719"/>
        <v>8.5036485362368838E-4</v>
      </c>
      <c r="AO633" s="199">
        <v>11</v>
      </c>
      <c r="AP633" s="250">
        <f t="shared" si="742"/>
        <v>1.2498579706851495E-3</v>
      </c>
      <c r="AQ633" s="199">
        <v>11</v>
      </c>
      <c r="AU633" s="199">
        <v>1</v>
      </c>
      <c r="AV633" s="199">
        <f t="shared" si="755"/>
        <v>121965.71965743144</v>
      </c>
      <c r="AW633" s="250">
        <f t="shared" si="720"/>
        <v>3.5104131181241918E-3</v>
      </c>
      <c r="AX633" s="199">
        <v>0</v>
      </c>
      <c r="AY633" s="199">
        <f t="shared" si="756"/>
        <v>9904.2811313585717</v>
      </c>
      <c r="AZ633" s="199">
        <f t="shared" si="721"/>
        <v>0</v>
      </c>
      <c r="BA633" s="252">
        <f t="shared" si="722"/>
        <v>0</v>
      </c>
      <c r="BB633" s="284">
        <v>0</v>
      </c>
      <c r="BC633" s="199">
        <f t="shared" si="757"/>
        <v>0</v>
      </c>
      <c r="BD633" s="270">
        <f t="shared" si="752"/>
        <v>0</v>
      </c>
      <c r="BE633" s="199">
        <f t="shared" si="758"/>
        <v>0</v>
      </c>
      <c r="BF633" s="251">
        <f t="shared" si="753"/>
        <v>0</v>
      </c>
      <c r="BG633" s="204">
        <f t="shared" si="759"/>
        <v>0</v>
      </c>
      <c r="BH633" s="636">
        <v>1</v>
      </c>
      <c r="BI633" s="199">
        <f t="shared" si="723"/>
        <v>67178.710337745841</v>
      </c>
      <c r="BJ633" s="199">
        <f t="shared" si="724"/>
        <v>134357.42067549168</v>
      </c>
      <c r="BK633" s="199">
        <f t="shared" si="731"/>
        <v>201536.13101323752</v>
      </c>
      <c r="BL633" s="251">
        <f t="shared" si="725"/>
        <v>8.5036485362368827E-4</v>
      </c>
      <c r="BM633" s="199">
        <f t="shared" si="760"/>
        <v>15042.607111158162</v>
      </c>
      <c r="BN633" s="251">
        <f t="shared" si="726"/>
        <v>6.4958655675060239E-4</v>
      </c>
      <c r="BT633" s="199">
        <f>'Detailed Budget'!$AD$12</f>
        <v>194045122715</v>
      </c>
      <c r="BU633" s="199">
        <f>'Detailed Budget'!$AD$24</f>
        <v>194045122715</v>
      </c>
      <c r="BV633" s="596">
        <f t="shared" si="761"/>
        <v>3.5104131181241918E-3</v>
      </c>
      <c r="BW633" s="278"/>
      <c r="BX633" s="275">
        <f t="shared" si="768"/>
        <v>681178544.28675461</v>
      </c>
      <c r="BY633" s="275">
        <f t="shared" si="769"/>
        <v>681178544.28675461</v>
      </c>
      <c r="CA633" s="199">
        <f>'Detailed Budget'!$AD$96</f>
        <v>71050111380.677719</v>
      </c>
      <c r="CB633" s="275">
        <f t="shared" si="727"/>
        <v>0</v>
      </c>
      <c r="CE633" s="199">
        <f>'Detailed Budget'!$AD$175</f>
        <v>4330586076.5988197</v>
      </c>
      <c r="CF633" s="275">
        <f t="shared" si="762"/>
        <v>0</v>
      </c>
      <c r="CG633" s="199">
        <f>'Detailed Budget'!$AD$176</f>
        <v>20662817754.37001</v>
      </c>
      <c r="CH633" s="275">
        <f t="shared" si="763"/>
        <v>0</v>
      </c>
      <c r="CI633" s="275">
        <f t="shared" si="734"/>
        <v>0</v>
      </c>
      <c r="CJ633" s="275">
        <f>'Detailed Budget'!$AD$178</f>
        <v>46025131033.061455</v>
      </c>
      <c r="CK633" s="275">
        <f t="shared" si="764"/>
        <v>0</v>
      </c>
      <c r="CL633" s="275">
        <f t="shared" si="737"/>
        <v>0</v>
      </c>
      <c r="CM633" s="278">
        <f>'Detailed Budget'!$AD$189</f>
        <v>77498869683.252869</v>
      </c>
      <c r="CN633" s="275">
        <f t="shared" si="728"/>
        <v>65902314.974200621</v>
      </c>
      <c r="CO633" s="140">
        <f>'Detailed Budget'!$AD$191</f>
        <v>2684962805.4134097</v>
      </c>
      <c r="CP633" s="616">
        <f t="shared" si="729"/>
        <v>2283198.003010422</v>
      </c>
      <c r="CQ633" s="616">
        <f t="shared" si="730"/>
        <v>68185512.977211043</v>
      </c>
      <c r="CR633" s="199">
        <f>'Detailed Budget'!$AD$195</f>
        <v>18734176418</v>
      </c>
      <c r="CS633" s="275">
        <f t="shared" si="765"/>
        <v>12169469.152926954</v>
      </c>
      <c r="CW633" s="278"/>
      <c r="DH633" s="140">
        <f>'Detailed Budget'!$AD$163</f>
        <v>4928560000</v>
      </c>
      <c r="DI633" s="616">
        <f t="shared" si="766"/>
        <v>6160000</v>
      </c>
    </row>
    <row r="634" spans="1:113" outlineLevel="1">
      <c r="A634" s="214" t="s">
        <v>1348</v>
      </c>
      <c r="B634" s="215" t="s">
        <v>1349</v>
      </c>
      <c r="C634" s="216" t="s">
        <v>234</v>
      </c>
      <c r="D634" s="217"/>
      <c r="E634" s="216"/>
      <c r="F634" s="216"/>
      <c r="G634" s="216" t="s">
        <v>234</v>
      </c>
      <c r="H634" s="216" t="s">
        <v>234</v>
      </c>
      <c r="I634" s="217" t="s">
        <v>234</v>
      </c>
      <c r="J634" s="217"/>
      <c r="K634" s="216"/>
      <c r="L634" s="216"/>
      <c r="M634" s="217" t="s">
        <v>234</v>
      </c>
      <c r="N634" s="216"/>
      <c r="O634" s="217"/>
      <c r="P634" s="216"/>
      <c r="Q634" s="217"/>
      <c r="R634" s="217" t="s">
        <v>234</v>
      </c>
      <c r="S634" s="217"/>
      <c r="T634" s="217"/>
      <c r="U634" s="218">
        <f t="shared" si="754"/>
        <v>6</v>
      </c>
      <c r="V634" s="867" t="s">
        <v>235</v>
      </c>
      <c r="W634" s="219">
        <v>70740</v>
      </c>
      <c r="X634" s="220">
        <v>3.36</v>
      </c>
      <c r="Y634" s="221">
        <f t="shared" ref="Y634:Y705" si="770">1+X634/100</f>
        <v>1.0336000000000001</v>
      </c>
      <c r="Z634" s="199">
        <v>19</v>
      </c>
      <c r="AA634" s="221">
        <f t="shared" ref="AA634:AA705" si="771">POWER(Y634,Z634)</f>
        <v>1.873689022502546</v>
      </c>
      <c r="AB634" s="199">
        <f t="shared" si="749"/>
        <v>132544.7614518301</v>
      </c>
      <c r="AC634">
        <v>12.2</v>
      </c>
      <c r="AD634" s="199">
        <f t="shared" si="750"/>
        <v>16170.460897123272</v>
      </c>
      <c r="AE634" s="199">
        <f t="shared" ref="AE634:AE705" si="772">AD634*0.95</f>
        <v>15361.937852267107</v>
      </c>
      <c r="AF634" s="199">
        <f t="shared" si="733"/>
        <v>0</v>
      </c>
      <c r="AG634" s="614">
        <f t="shared" si="732"/>
        <v>7.102685661180137E-4</v>
      </c>
      <c r="AH634" s="199">
        <f t="shared" si="767"/>
        <v>6627.2380725915054</v>
      </c>
      <c r="AI634" s="252">
        <f t="shared" si="716"/>
        <v>5.134020922371934E-4</v>
      </c>
      <c r="AJ634" s="199">
        <f t="shared" si="717"/>
        <v>22797.698969714776</v>
      </c>
      <c r="AK634" s="199">
        <f t="shared" si="735"/>
        <v>5301.7904580732038</v>
      </c>
      <c r="AL634" s="199">
        <f t="shared" si="736"/>
        <v>5301.7904580732038</v>
      </c>
      <c r="AM634" s="199">
        <f t="shared" si="718"/>
        <v>10603.580916146408</v>
      </c>
      <c r="AN634" s="645">
        <f t="shared" si="719"/>
        <v>5.134020922371934E-4</v>
      </c>
      <c r="AO634" s="199">
        <v>10</v>
      </c>
      <c r="AP634" s="250">
        <f t="shared" si="742"/>
        <v>1.1362345188046814E-3</v>
      </c>
      <c r="AQ634" s="199">
        <v>10</v>
      </c>
      <c r="AU634" s="199">
        <v>1</v>
      </c>
      <c r="AV634" s="199">
        <f t="shared" si="755"/>
        <v>73635.987407647932</v>
      </c>
      <c r="AW634" s="250">
        <f t="shared" si="720"/>
        <v>2.1193884387176246E-3</v>
      </c>
      <c r="AX634" s="199">
        <v>0</v>
      </c>
      <c r="AY634" s="199">
        <f t="shared" si="756"/>
        <v>5979.6434827668181</v>
      </c>
      <c r="AZ634" s="199">
        <f t="shared" si="721"/>
        <v>0</v>
      </c>
      <c r="BA634" s="252">
        <f t="shared" si="722"/>
        <v>0</v>
      </c>
      <c r="BB634" s="284">
        <v>0</v>
      </c>
      <c r="BC634" s="199">
        <f t="shared" si="757"/>
        <v>0</v>
      </c>
      <c r="BD634" s="270">
        <f t="shared" si="752"/>
        <v>0</v>
      </c>
      <c r="BE634" s="199">
        <f t="shared" si="758"/>
        <v>0</v>
      </c>
      <c r="BF634" s="251">
        <f t="shared" si="753"/>
        <v>0</v>
      </c>
      <c r="BG634" s="204">
        <f t="shared" si="759"/>
        <v>0</v>
      </c>
      <c r="BH634" s="636">
        <v>1</v>
      </c>
      <c r="BI634" s="199">
        <f t="shared" si="723"/>
        <v>40558.697004260015</v>
      </c>
      <c r="BJ634" s="199">
        <f t="shared" si="724"/>
        <v>81117.39400852003</v>
      </c>
      <c r="BK634" s="199">
        <f t="shared" si="731"/>
        <v>121676.09101278005</v>
      </c>
      <c r="BL634" s="251">
        <f t="shared" si="725"/>
        <v>5.134020922371934E-4</v>
      </c>
      <c r="BM634" s="199">
        <f t="shared" si="760"/>
        <v>9081.8734225207027</v>
      </c>
      <c r="BN634" s="251">
        <f t="shared" si="726"/>
        <v>3.9218353851733483E-4</v>
      </c>
      <c r="BT634" s="199">
        <f>'Detailed Budget'!$AD$12</f>
        <v>194045122715</v>
      </c>
      <c r="BU634" s="199">
        <f>'Detailed Budget'!$AD$24</f>
        <v>194045122715</v>
      </c>
      <c r="BV634" s="596">
        <f t="shared" si="761"/>
        <v>2.1193884387176246E-3</v>
      </c>
      <c r="BW634" s="278"/>
      <c r="BX634" s="275">
        <f t="shared" si="768"/>
        <v>411256989.67171371</v>
      </c>
      <c r="BY634" s="275">
        <f t="shared" si="769"/>
        <v>411256989.67171371</v>
      </c>
      <c r="CA634" s="199">
        <f>'Detailed Budget'!$AD$96</f>
        <v>71050111380.677719</v>
      </c>
      <c r="CB634" s="275">
        <f t="shared" si="727"/>
        <v>0</v>
      </c>
      <c r="CE634" s="199">
        <f>'Detailed Budget'!$AD$175</f>
        <v>4330586076.5988197</v>
      </c>
      <c r="CF634" s="275">
        <f t="shared" si="762"/>
        <v>0</v>
      </c>
      <c r="CG634" s="199">
        <f>'Detailed Budget'!$AD$176</f>
        <v>20662817754.37001</v>
      </c>
      <c r="CH634" s="275">
        <f t="shared" si="763"/>
        <v>0</v>
      </c>
      <c r="CI634" s="275">
        <f t="shared" si="734"/>
        <v>0</v>
      </c>
      <c r="CJ634" s="275">
        <f>'Detailed Budget'!$AD$178</f>
        <v>46025131033.061455</v>
      </c>
      <c r="CK634" s="275">
        <f t="shared" si="764"/>
        <v>0</v>
      </c>
      <c r="CL634" s="275">
        <f t="shared" si="737"/>
        <v>0</v>
      </c>
      <c r="CM634" s="278">
        <f>'Detailed Budget'!$AD$189</f>
        <v>77498869683.252869</v>
      </c>
      <c r="CN634" s="275">
        <f t="shared" si="728"/>
        <v>39788081.841399617</v>
      </c>
      <c r="CO634" s="140">
        <f>'Detailed Budget'!$AD$191</f>
        <v>2684962805.4134097</v>
      </c>
      <c r="CP634" s="616">
        <f t="shared" si="729"/>
        <v>1378465.5218782888</v>
      </c>
      <c r="CQ634" s="616">
        <f t="shared" si="730"/>
        <v>41166547.363277905</v>
      </c>
      <c r="CR634" s="199">
        <f>'Detailed Budget'!$AD$195</f>
        <v>18734176418</v>
      </c>
      <c r="CS634" s="275">
        <f t="shared" si="765"/>
        <v>7347235.5988192493</v>
      </c>
      <c r="CW634" s="278"/>
      <c r="DH634" s="140">
        <f>'Detailed Budget'!$AD$163</f>
        <v>4928560000</v>
      </c>
      <c r="DI634" s="616">
        <f t="shared" si="766"/>
        <v>5600000</v>
      </c>
    </row>
    <row r="635" spans="1:113" outlineLevel="1">
      <c r="A635" s="214" t="s">
        <v>1350</v>
      </c>
      <c r="B635" s="215" t="s">
        <v>1351</v>
      </c>
      <c r="C635" s="216" t="s">
        <v>234</v>
      </c>
      <c r="D635" s="217"/>
      <c r="E635" s="216"/>
      <c r="F635" s="216"/>
      <c r="G635" s="216" t="s">
        <v>234</v>
      </c>
      <c r="H635" s="216" t="s">
        <v>234</v>
      </c>
      <c r="I635" s="217" t="s">
        <v>234</v>
      </c>
      <c r="J635" s="217"/>
      <c r="K635" s="216"/>
      <c r="L635" s="216"/>
      <c r="M635" s="217" t="s">
        <v>234</v>
      </c>
      <c r="N635" s="216"/>
      <c r="O635" s="217"/>
      <c r="P635" s="216"/>
      <c r="Q635" s="217"/>
      <c r="R635" s="217" t="s">
        <v>234</v>
      </c>
      <c r="S635" s="217"/>
      <c r="T635" s="217"/>
      <c r="U635" s="218">
        <f t="shared" si="754"/>
        <v>6</v>
      </c>
      <c r="V635" s="867" t="s">
        <v>235</v>
      </c>
      <c r="W635" s="219">
        <v>305961</v>
      </c>
      <c r="X635" s="220">
        <v>3.36</v>
      </c>
      <c r="Y635" s="221">
        <f t="shared" si="770"/>
        <v>1.0336000000000001</v>
      </c>
      <c r="Z635" s="199">
        <v>19</v>
      </c>
      <c r="AA635" s="221">
        <f t="shared" si="771"/>
        <v>1.873689022502546</v>
      </c>
      <c r="AB635" s="199">
        <f t="shared" si="749"/>
        <v>573275.7670139015</v>
      </c>
      <c r="AC635">
        <v>12.2</v>
      </c>
      <c r="AD635" s="199">
        <f t="shared" si="750"/>
        <v>69939.643575695984</v>
      </c>
      <c r="AE635" s="199">
        <f t="shared" si="772"/>
        <v>66442.661396911179</v>
      </c>
      <c r="AF635" s="199">
        <f t="shared" si="733"/>
        <v>0</v>
      </c>
      <c r="AG635" s="614">
        <f t="shared" si="732"/>
        <v>3.0720169742441844E-3</v>
      </c>
      <c r="AH635" s="199">
        <f t="shared" si="767"/>
        <v>28663.788350695075</v>
      </c>
      <c r="AI635" s="252">
        <f t="shared" si="716"/>
        <v>2.2205402536469316E-3</v>
      </c>
      <c r="AJ635" s="199">
        <f t="shared" si="717"/>
        <v>98603.431926391058</v>
      </c>
      <c r="AK635" s="199">
        <f t="shared" si="735"/>
        <v>22931.030680556061</v>
      </c>
      <c r="AL635" s="199">
        <f t="shared" si="736"/>
        <v>22931.030680556061</v>
      </c>
      <c r="AM635" s="199">
        <f t="shared" si="718"/>
        <v>45862.061361112123</v>
      </c>
      <c r="AN635" s="645">
        <f t="shared" si="719"/>
        <v>2.2205402536469316E-3</v>
      </c>
      <c r="AO635" s="199">
        <v>11</v>
      </c>
      <c r="AP635" s="250">
        <f t="shared" si="742"/>
        <v>1.2498579706851495E-3</v>
      </c>
      <c r="AQ635" s="199">
        <v>11</v>
      </c>
      <c r="AU635" s="199">
        <v>1</v>
      </c>
      <c r="AV635" s="199">
        <f t="shared" si="755"/>
        <v>318486.57539201825</v>
      </c>
      <c r="AW635" s="250">
        <f t="shared" si="720"/>
        <v>9.1666695801312301E-3</v>
      </c>
      <c r="AX635" s="199">
        <v>0</v>
      </c>
      <c r="AY635" s="199">
        <f t="shared" si="756"/>
        <v>25862.845626672584</v>
      </c>
      <c r="AZ635" s="199">
        <f t="shared" si="721"/>
        <v>0</v>
      </c>
      <c r="BA635" s="252">
        <f t="shared" si="722"/>
        <v>0</v>
      </c>
      <c r="BB635" s="284">
        <v>0</v>
      </c>
      <c r="BC635" s="199">
        <f t="shared" si="757"/>
        <v>0</v>
      </c>
      <c r="BD635" s="270">
        <f t="shared" si="752"/>
        <v>0</v>
      </c>
      <c r="BE635" s="199">
        <f t="shared" si="758"/>
        <v>0</v>
      </c>
      <c r="BF635" s="251">
        <f t="shared" si="753"/>
        <v>0</v>
      </c>
      <c r="BG635" s="204">
        <f t="shared" si="759"/>
        <v>0</v>
      </c>
      <c r="BH635" s="636">
        <v>1</v>
      </c>
      <c r="BI635" s="199">
        <f t="shared" si="723"/>
        <v>175422.38470625388</v>
      </c>
      <c r="BJ635" s="199">
        <f t="shared" si="724"/>
        <v>350844.76941250777</v>
      </c>
      <c r="BK635" s="199">
        <f t="shared" si="731"/>
        <v>526267.15411876165</v>
      </c>
      <c r="BL635" s="251">
        <f t="shared" si="725"/>
        <v>2.220540253646932E-3</v>
      </c>
      <c r="BM635" s="199">
        <f t="shared" si="760"/>
        <v>39280.450582808269</v>
      </c>
      <c r="BN635" s="251">
        <f t="shared" si="726"/>
        <v>1.6962520162327153E-3</v>
      </c>
      <c r="BT635" s="199">
        <f>'Detailed Budget'!$AD$12</f>
        <v>194045122715</v>
      </c>
      <c r="BU635" s="199">
        <f>'Detailed Budget'!$AD$24</f>
        <v>194045122715</v>
      </c>
      <c r="BV635" s="596">
        <f t="shared" si="761"/>
        <v>9.1666695801312301E-3</v>
      </c>
      <c r="BW635" s="278"/>
      <c r="BX635" s="275">
        <f t="shared" si="768"/>
        <v>1778747523.5644221</v>
      </c>
      <c r="BY635" s="275">
        <f t="shared" si="769"/>
        <v>1778747523.5644221</v>
      </c>
      <c r="CA635" s="199">
        <f>'Detailed Budget'!$AD$96</f>
        <v>71050111380.677719</v>
      </c>
      <c r="CB635" s="275">
        <f t="shared" si="727"/>
        <v>0</v>
      </c>
      <c r="CE635" s="199">
        <f>'Detailed Budget'!$AD$175</f>
        <v>4330586076.5988197</v>
      </c>
      <c r="CF635" s="275">
        <f t="shared" si="762"/>
        <v>0</v>
      </c>
      <c r="CG635" s="199">
        <f>'Detailed Budget'!$AD$176</f>
        <v>20662817754.37001</v>
      </c>
      <c r="CH635" s="275">
        <f t="shared" si="763"/>
        <v>0</v>
      </c>
      <c r="CI635" s="275">
        <f t="shared" si="734"/>
        <v>0</v>
      </c>
      <c r="CJ635" s="275">
        <f>'Detailed Budget'!$AD$178</f>
        <v>46025131033.061455</v>
      </c>
      <c r="CK635" s="275">
        <f t="shared" si="764"/>
        <v>0</v>
      </c>
      <c r="CL635" s="275">
        <f t="shared" si="737"/>
        <v>0</v>
      </c>
      <c r="CM635" s="278">
        <f>'Detailed Budget'!$AD$189</f>
        <v>77498869683.252869</v>
      </c>
      <c r="CN635" s="275">
        <f t="shared" si="728"/>
        <v>172089359.74380085</v>
      </c>
      <c r="CO635" s="140">
        <f>'Detailed Budget'!$AD$191</f>
        <v>2684962805.4134097</v>
      </c>
      <c r="CP635" s="616">
        <f t="shared" si="729"/>
        <v>5962067.9889652701</v>
      </c>
      <c r="CQ635" s="616">
        <f t="shared" si="730"/>
        <v>178051427.73276612</v>
      </c>
      <c r="CR635" s="199">
        <f>'Detailed Budget'!$AD$195</f>
        <v>18734176418</v>
      </c>
      <c r="CS635" s="275">
        <f t="shared" si="765"/>
        <v>31777884.521491889</v>
      </c>
      <c r="CW635" s="278"/>
      <c r="DH635" s="140">
        <f>'Detailed Budget'!$AD$163</f>
        <v>4928560000</v>
      </c>
      <c r="DI635" s="616">
        <f t="shared" si="766"/>
        <v>6160000</v>
      </c>
    </row>
    <row r="636" spans="1:113" outlineLevel="1">
      <c r="A636" s="214"/>
      <c r="B636" s="215"/>
      <c r="C636" s="216"/>
      <c r="D636" s="217"/>
      <c r="E636" s="216"/>
      <c r="F636" s="216"/>
      <c r="G636" s="216"/>
      <c r="H636" s="216"/>
      <c r="I636" s="217"/>
      <c r="J636" s="217"/>
      <c r="K636" s="216"/>
      <c r="L636" s="216"/>
      <c r="M636" s="217"/>
      <c r="N636" s="216"/>
      <c r="O636" s="217"/>
      <c r="P636" s="216"/>
      <c r="Q636" s="217"/>
      <c r="R636" s="217"/>
      <c r="S636" s="217"/>
      <c r="T636" s="217"/>
      <c r="U636" s="218"/>
      <c r="V636" s="867"/>
      <c r="W636" s="219"/>
      <c r="X636" s="220"/>
      <c r="Y636" s="221"/>
      <c r="Z636" s="199"/>
      <c r="AA636" s="221"/>
      <c r="AF636" s="199">
        <f t="shared" si="733"/>
        <v>0</v>
      </c>
      <c r="AG636" s="614">
        <f t="shared" si="732"/>
        <v>0</v>
      </c>
      <c r="AJ636" s="199"/>
      <c r="AK636" s="199">
        <f t="shared" si="735"/>
        <v>0</v>
      </c>
      <c r="AL636" s="199">
        <f t="shared" si="736"/>
        <v>0</v>
      </c>
      <c r="AM636" s="199">
        <f t="shared" si="718"/>
        <v>0</v>
      </c>
      <c r="AN636" s="645">
        <f t="shared" si="719"/>
        <v>0</v>
      </c>
      <c r="AP636" s="250">
        <f t="shared" si="742"/>
        <v>0</v>
      </c>
      <c r="AW636" s="250">
        <f t="shared" si="720"/>
        <v>0</v>
      </c>
      <c r="AX636" s="199"/>
      <c r="BA636" s="252">
        <f t="shared" si="722"/>
        <v>0</v>
      </c>
      <c r="BB636" s="284"/>
      <c r="BD636" s="270"/>
      <c r="BF636" s="251"/>
      <c r="BG636" s="204"/>
      <c r="BH636" s="636"/>
      <c r="BI636" s="199">
        <f t="shared" si="723"/>
        <v>0</v>
      </c>
      <c r="BJ636" s="199">
        <f t="shared" si="724"/>
        <v>0</v>
      </c>
      <c r="BK636" s="199">
        <f t="shared" si="731"/>
        <v>0</v>
      </c>
      <c r="BL636" s="251">
        <f t="shared" si="725"/>
        <v>0</v>
      </c>
      <c r="BN636" s="251">
        <f t="shared" si="726"/>
        <v>0</v>
      </c>
      <c r="BT636" s="199"/>
      <c r="BU636" s="199"/>
      <c r="BV636" s="596"/>
      <c r="BW636" s="278"/>
      <c r="BX636" s="275"/>
      <c r="BY636" s="275"/>
      <c r="CA636" s="199">
        <f>'Detailed Budget'!$AD$96</f>
        <v>71050111380.677719</v>
      </c>
      <c r="CB636" s="275">
        <f t="shared" si="727"/>
        <v>0</v>
      </c>
      <c r="CE636" s="199"/>
      <c r="CF636" s="275"/>
      <c r="CG636" s="199"/>
      <c r="CH636" s="275"/>
      <c r="CI636" s="275"/>
      <c r="CJ636" s="275"/>
      <c r="CK636" s="275"/>
      <c r="CL636" s="275"/>
      <c r="CM636" s="278">
        <f>'Detailed Budget'!$AD$189</f>
        <v>77498869683.252869</v>
      </c>
      <c r="CN636" s="275">
        <f t="shared" si="728"/>
        <v>0</v>
      </c>
      <c r="CO636" s="140">
        <f>'Detailed Budget'!$AD$191</f>
        <v>2684962805.4134097</v>
      </c>
      <c r="CP636" s="616">
        <f t="shared" si="729"/>
        <v>0</v>
      </c>
      <c r="CQ636" s="616">
        <f t="shared" si="730"/>
        <v>0</v>
      </c>
      <c r="CR636" s="199"/>
      <c r="CS636" s="275"/>
      <c r="CW636" s="278"/>
      <c r="DH636" s="140">
        <f>'Detailed Budget'!$AD$163</f>
        <v>4928560000</v>
      </c>
      <c r="DI636" s="616">
        <f t="shared" si="766"/>
        <v>0</v>
      </c>
    </row>
    <row r="637" spans="1:113" s="213" customFormat="1">
      <c r="A637" s="206">
        <v>5.2</v>
      </c>
      <c r="B637" s="207" t="s">
        <v>1352</v>
      </c>
      <c r="C637" s="208">
        <f>COUNTA(C639:C646)</f>
        <v>8</v>
      </c>
      <c r="D637" s="208">
        <f t="shared" ref="D637:T637" si="773">COUNTA(D639:D646)</f>
        <v>0</v>
      </c>
      <c r="E637" s="208">
        <f t="shared" si="773"/>
        <v>0</v>
      </c>
      <c r="F637" s="208">
        <f t="shared" si="773"/>
        <v>0</v>
      </c>
      <c r="G637" s="208">
        <f t="shared" si="773"/>
        <v>8</v>
      </c>
      <c r="H637" s="208">
        <f t="shared" si="773"/>
        <v>8</v>
      </c>
      <c r="I637" s="208">
        <f t="shared" si="773"/>
        <v>1</v>
      </c>
      <c r="J637" s="208">
        <f t="shared" si="773"/>
        <v>7</v>
      </c>
      <c r="K637" s="208">
        <f t="shared" si="773"/>
        <v>0</v>
      </c>
      <c r="L637" s="208">
        <f t="shared" si="773"/>
        <v>7</v>
      </c>
      <c r="M637" s="208">
        <f t="shared" si="773"/>
        <v>1</v>
      </c>
      <c r="N637" s="208">
        <f t="shared" si="773"/>
        <v>0</v>
      </c>
      <c r="O637" s="208">
        <f t="shared" si="773"/>
        <v>0</v>
      </c>
      <c r="P637" s="208">
        <f t="shared" si="773"/>
        <v>0</v>
      </c>
      <c r="Q637" s="208">
        <f t="shared" si="773"/>
        <v>0</v>
      </c>
      <c r="R637" s="208">
        <f t="shared" si="773"/>
        <v>8</v>
      </c>
      <c r="S637" s="208">
        <f t="shared" si="773"/>
        <v>0</v>
      </c>
      <c r="T637" s="208">
        <f t="shared" si="773"/>
        <v>0</v>
      </c>
      <c r="U637" s="209">
        <f>SUM(C637:T637)</f>
        <v>48</v>
      </c>
      <c r="V637" s="866"/>
      <c r="W637" s="210">
        <f>SUM(W639:W646)</f>
        <v>1704515</v>
      </c>
      <c r="X637" s="211">
        <v>2.96</v>
      </c>
      <c r="Y637" s="212">
        <f t="shared" si="770"/>
        <v>1.0296000000000001</v>
      </c>
      <c r="Z637" s="210">
        <v>19</v>
      </c>
      <c r="AA637" s="212">
        <f t="shared" si="771"/>
        <v>1.7406126843598355</v>
      </c>
      <c r="AB637" s="210">
        <f t="shared" ref="AB637:AB673" si="774">W637*AA637</f>
        <v>2966900.4296816052</v>
      </c>
      <c r="AC637" s="213">
        <v>12.5</v>
      </c>
      <c r="AD637" s="210">
        <f t="shared" ref="AD637:AD673" si="775">AB637*AC637/100</f>
        <v>370862.55371020065</v>
      </c>
      <c r="AE637" s="210">
        <f t="shared" si="772"/>
        <v>352319.42602469062</v>
      </c>
      <c r="AF637" s="210">
        <f>SUM(AF639:AF646)</f>
        <v>0</v>
      </c>
      <c r="AG637" s="614">
        <f t="shared" si="732"/>
        <v>1.6289703548120271E-2</v>
      </c>
      <c r="AH637" s="210">
        <f>SUM(AH639:AH646)</f>
        <v>148345.02148408027</v>
      </c>
      <c r="AI637" s="252">
        <f t="shared" si="716"/>
        <v>1.1492064049709998E-2</v>
      </c>
      <c r="AJ637" s="210">
        <f>SUM(AJ639:AJ646)</f>
        <v>519207.57519428094</v>
      </c>
      <c r="AK637" s="199">
        <f t="shared" si="735"/>
        <v>118676.01718726421</v>
      </c>
      <c r="AL637" s="199">
        <f t="shared" si="736"/>
        <v>118676.01718726421</v>
      </c>
      <c r="AM637" s="199">
        <f t="shared" si="718"/>
        <v>237352.03437452842</v>
      </c>
      <c r="AN637" s="645">
        <f t="shared" si="719"/>
        <v>1.1492064049709998E-2</v>
      </c>
      <c r="AO637" s="210">
        <f>SUM(AO639:AO646)</f>
        <v>105</v>
      </c>
      <c r="AP637" s="250">
        <f t="shared" si="742"/>
        <v>1.1930462447449153E-2</v>
      </c>
      <c r="AQ637" s="210">
        <f>SUM(AQ639:AQ646)</f>
        <v>105</v>
      </c>
      <c r="AR637" s="210"/>
      <c r="AS637" s="210"/>
      <c r="AT637" s="210"/>
      <c r="AU637" s="199"/>
      <c r="AV637" s="199"/>
      <c r="AW637" s="250">
        <f t="shared" si="720"/>
        <v>0</v>
      </c>
      <c r="AX637" s="199"/>
      <c r="AY637" s="210">
        <v>136101</v>
      </c>
      <c r="AZ637" s="210">
        <f>SUM(AZ639:AZ646)</f>
        <v>136100.88864485297</v>
      </c>
      <c r="BA637" s="252">
        <f t="shared" si="722"/>
        <v>1.0698413048555618E-2</v>
      </c>
      <c r="BB637" s="284"/>
      <c r="BC637" s="210"/>
      <c r="BD637" s="270">
        <f t="shared" si="752"/>
        <v>0</v>
      </c>
      <c r="BE637" s="210"/>
      <c r="BF637" s="251">
        <f t="shared" si="753"/>
        <v>0</v>
      </c>
      <c r="BH637"/>
      <c r="BI637" s="199">
        <f t="shared" si="723"/>
        <v>907871.53148257127</v>
      </c>
      <c r="BJ637" s="199">
        <f t="shared" si="724"/>
        <v>1815743.0629651425</v>
      </c>
      <c r="BK637" s="199">
        <f t="shared" si="731"/>
        <v>2723614.5944477138</v>
      </c>
      <c r="BL637" s="251">
        <f t="shared" si="725"/>
        <v>1.1492064049709998E-2</v>
      </c>
      <c r="BM637" s="210">
        <v>183652</v>
      </c>
      <c r="BN637" s="251">
        <f t="shared" si="726"/>
        <v>7.9306645077414795E-3</v>
      </c>
      <c r="BT637" s="210">
        <f>'Detailed Budget'!$AD$12</f>
        <v>194045122715</v>
      </c>
      <c r="BU637" s="210">
        <f>'Detailed Budget'!$AD$24</f>
        <v>194045122715</v>
      </c>
      <c r="BV637" s="596">
        <f>AV637/34743979</f>
        <v>0</v>
      </c>
      <c r="BW637" s="278"/>
      <c r="BX637" s="613">
        <f t="shared" si="768"/>
        <v>0</v>
      </c>
      <c r="BY637" s="613">
        <f t="shared" si="769"/>
        <v>0</v>
      </c>
      <c r="CA637" s="210">
        <f>'Detailed Budget'!$AD$96</f>
        <v>71050111380.677719</v>
      </c>
      <c r="CB637" s="613">
        <f t="shared" si="727"/>
        <v>760123438.69637251</v>
      </c>
      <c r="CE637" s="210">
        <f>'Detailed Budget'!$AD$175</f>
        <v>4330586076.5988197</v>
      </c>
      <c r="CF637" s="613">
        <f>SUM(CF639:CF646)</f>
        <v>0</v>
      </c>
      <c r="CG637" s="632">
        <f>'Detailed Budget'!$AD$176</f>
        <v>20662817754.37001</v>
      </c>
      <c r="CH637" s="613">
        <f>SUM(CH639:CH646)</f>
        <v>0</v>
      </c>
      <c r="CI637" s="613">
        <f>SUM(CI639:CI646)</f>
        <v>0</v>
      </c>
      <c r="CJ637" s="275">
        <f>'Detailed Budget'!$AD$178</f>
        <v>46025131033.061455</v>
      </c>
      <c r="CK637" s="613">
        <f t="shared" ref="CK637:CL637" si="776">SUM(CK639:CK646)</f>
        <v>0</v>
      </c>
      <c r="CL637" s="613">
        <f t="shared" si="776"/>
        <v>0</v>
      </c>
      <c r="CM637" s="278">
        <f>'Detailed Budget'!$AD$189</f>
        <v>77498869683.252869</v>
      </c>
      <c r="CN637" s="275">
        <f t="shared" si="728"/>
        <v>0</v>
      </c>
      <c r="CO637" s="140">
        <f>'Detailed Budget'!$AD$191</f>
        <v>2684962805.4134097</v>
      </c>
      <c r="CP637" s="616">
        <f t="shared" si="729"/>
        <v>0</v>
      </c>
      <c r="CQ637" s="616">
        <f t="shared" si="730"/>
        <v>0</v>
      </c>
      <c r="CR637" s="210">
        <f>'Detailed Budget'!$AD$195</f>
        <v>18734176418</v>
      </c>
      <c r="CS637" s="275">
        <f>BN637*CR637</f>
        <v>148574468</v>
      </c>
      <c r="CW637" s="278"/>
      <c r="DH637" s="140">
        <f>'Detailed Budget'!$AD$163</f>
        <v>4928560000</v>
      </c>
      <c r="DI637" s="616">
        <f t="shared" si="766"/>
        <v>58800000</v>
      </c>
    </row>
    <row r="638" spans="1:113" s="213" customFormat="1">
      <c r="A638" s="214" t="s">
        <v>2346</v>
      </c>
      <c r="B638" s="215" t="s">
        <v>2318</v>
      </c>
      <c r="C638" s="208"/>
      <c r="D638" s="208"/>
      <c r="E638" s="208"/>
      <c r="F638" s="208"/>
      <c r="G638" s="208"/>
      <c r="H638" s="208"/>
      <c r="I638" s="208"/>
      <c r="J638" s="208"/>
      <c r="K638" s="208"/>
      <c r="L638" s="208"/>
      <c r="M638" s="208"/>
      <c r="N638" s="208"/>
      <c r="O638" s="208"/>
      <c r="P638" s="208"/>
      <c r="Q638" s="208"/>
      <c r="R638" s="208"/>
      <c r="S638" s="208"/>
      <c r="T638" s="208"/>
      <c r="U638" s="209"/>
      <c r="V638" s="866"/>
      <c r="W638" s="210"/>
      <c r="X638" s="211"/>
      <c r="Y638" s="212"/>
      <c r="Z638" s="210"/>
      <c r="AA638" s="212"/>
      <c r="AB638" s="210"/>
      <c r="AD638" s="210"/>
      <c r="AE638" s="199"/>
      <c r="AF638" s="199"/>
      <c r="AG638" s="614">
        <f t="shared" si="732"/>
        <v>0</v>
      </c>
      <c r="AH638" s="210"/>
      <c r="AI638" s="252"/>
      <c r="AJ638" s="199"/>
      <c r="AK638" s="199">
        <f t="shared" si="735"/>
        <v>0</v>
      </c>
      <c r="AL638" s="199">
        <f t="shared" si="736"/>
        <v>0</v>
      </c>
      <c r="AM638" s="199">
        <f t="shared" si="718"/>
        <v>0</v>
      </c>
      <c r="AN638" s="645">
        <f t="shared" si="719"/>
        <v>0</v>
      </c>
      <c r="AO638" s="210"/>
      <c r="AP638" s="250"/>
      <c r="AQ638" s="210"/>
      <c r="AR638" s="210"/>
      <c r="AS638" s="210"/>
      <c r="AT638" s="210"/>
      <c r="AU638" s="199"/>
      <c r="AV638" s="199"/>
      <c r="AW638" s="250">
        <f t="shared" si="720"/>
        <v>0</v>
      </c>
      <c r="AX638" s="199"/>
      <c r="AY638" s="210"/>
      <c r="AZ638" s="199"/>
      <c r="BA638" s="252">
        <f t="shared" si="722"/>
        <v>0</v>
      </c>
      <c r="BB638" s="284"/>
      <c r="BC638" s="210"/>
      <c r="BD638" s="270">
        <f t="shared" si="752"/>
        <v>0</v>
      </c>
      <c r="BE638" s="210"/>
      <c r="BF638" s="251">
        <f t="shared" si="753"/>
        <v>0</v>
      </c>
      <c r="BH638"/>
      <c r="BI638" s="199">
        <f t="shared" si="723"/>
        <v>0</v>
      </c>
      <c r="BJ638" s="199">
        <f t="shared" si="724"/>
        <v>0</v>
      </c>
      <c r="BK638" s="199">
        <f t="shared" si="731"/>
        <v>0</v>
      </c>
      <c r="BL638" s="251">
        <f t="shared" si="725"/>
        <v>0</v>
      </c>
      <c r="BM638" s="210"/>
      <c r="BN638" s="251">
        <f t="shared" si="726"/>
        <v>0</v>
      </c>
      <c r="BT638" s="210"/>
      <c r="BU638" s="210"/>
      <c r="BV638" s="596"/>
      <c r="BW638" s="278"/>
      <c r="BX638" s="275"/>
      <c r="BY638" s="275"/>
      <c r="CA638" s="210">
        <f>'Detailed Budget'!$AD$96</f>
        <v>71050111380.677719</v>
      </c>
      <c r="CB638" s="275"/>
      <c r="CE638" s="210"/>
      <c r="CF638" s="275"/>
      <c r="CG638" s="240"/>
      <c r="CH638" s="275"/>
      <c r="CI638" s="275"/>
      <c r="CJ638" s="275"/>
      <c r="CK638" s="275"/>
      <c r="CL638" s="275"/>
      <c r="CM638" s="278">
        <f>'Detailed Budget'!$AD$189</f>
        <v>77498869683.252869</v>
      </c>
      <c r="CN638" s="275">
        <f t="shared" si="728"/>
        <v>0</v>
      </c>
      <c r="CO638" s="140">
        <f>'Detailed Budget'!$AD$191</f>
        <v>2684962805.4134097</v>
      </c>
      <c r="CP638" s="616">
        <f t="shared" si="729"/>
        <v>0</v>
      </c>
      <c r="CQ638" s="616">
        <f t="shared" si="730"/>
        <v>0</v>
      </c>
      <c r="CR638" s="210"/>
      <c r="CS638" s="275"/>
      <c r="CW638" s="278"/>
      <c r="DH638" s="140"/>
      <c r="DI638" s="616"/>
    </row>
    <row r="639" spans="1:113" outlineLevel="1">
      <c r="A639" s="214" t="s">
        <v>1353</v>
      </c>
      <c r="B639" s="215" t="s">
        <v>1354</v>
      </c>
      <c r="C639" s="216" t="s">
        <v>234</v>
      </c>
      <c r="D639" s="217"/>
      <c r="E639" s="216"/>
      <c r="F639" s="216"/>
      <c r="G639" s="216" t="s">
        <v>234</v>
      </c>
      <c r="H639" s="216" t="s">
        <v>234</v>
      </c>
      <c r="I639" s="217"/>
      <c r="J639" s="217" t="s">
        <v>234</v>
      </c>
      <c r="K639" s="216"/>
      <c r="L639" s="216" t="s">
        <v>234</v>
      </c>
      <c r="M639" s="217"/>
      <c r="N639" s="216"/>
      <c r="O639" s="217"/>
      <c r="P639" s="216"/>
      <c r="Q639" s="217"/>
      <c r="R639" s="217" t="s">
        <v>234</v>
      </c>
      <c r="S639" s="217"/>
      <c r="T639" s="217"/>
      <c r="U639" s="218">
        <f t="shared" ref="U639:U646" si="777">COUNTA(C639:T639)</f>
        <v>6</v>
      </c>
      <c r="V639" s="867" t="s">
        <v>1355</v>
      </c>
      <c r="W639" s="219">
        <v>184127</v>
      </c>
      <c r="X639" s="220">
        <v>2.96</v>
      </c>
      <c r="Y639" s="221">
        <f t="shared" si="770"/>
        <v>1.0296000000000001</v>
      </c>
      <c r="Z639" s="199">
        <v>19</v>
      </c>
      <c r="AA639" s="221">
        <f t="shared" si="771"/>
        <v>1.7406126843598355</v>
      </c>
      <c r="AB639" s="199">
        <f t="shared" si="774"/>
        <v>320493.79173312342</v>
      </c>
      <c r="AC639">
        <v>12.5</v>
      </c>
      <c r="AD639" s="199">
        <f t="shared" si="775"/>
        <v>40061.723966640428</v>
      </c>
      <c r="AE639" s="199">
        <f t="shared" si="772"/>
        <v>38058.637768308407</v>
      </c>
      <c r="AF639" s="199">
        <f t="shared" si="733"/>
        <v>0</v>
      </c>
      <c r="AG639" s="614">
        <f t="shared" si="732"/>
        <v>1.7596643298561415E-3</v>
      </c>
      <c r="AH639" s="199">
        <f>AB639*0.05</f>
        <v>16024.689586656172</v>
      </c>
      <c r="AI639" s="252">
        <f t="shared" si="716"/>
        <v>1.2414084225019742E-3</v>
      </c>
      <c r="AJ639" s="199">
        <f t="shared" si="717"/>
        <v>56086.413553296603</v>
      </c>
      <c r="AK639" s="199">
        <f t="shared" si="735"/>
        <v>12819.751669324936</v>
      </c>
      <c r="AL639" s="199">
        <f t="shared" si="736"/>
        <v>12819.751669324936</v>
      </c>
      <c r="AM639" s="199">
        <f t="shared" si="718"/>
        <v>25639.503338649873</v>
      </c>
      <c r="AN639" s="645">
        <f t="shared" si="719"/>
        <v>1.2414084225019742E-3</v>
      </c>
      <c r="AO639" s="199">
        <v>10</v>
      </c>
      <c r="AP639" s="250">
        <f t="shared" si="742"/>
        <v>1.1362345188046814E-3</v>
      </c>
      <c r="AQ639" s="199">
        <v>10</v>
      </c>
      <c r="AU639" s="199">
        <v>0</v>
      </c>
      <c r="AW639" s="250">
        <f t="shared" si="720"/>
        <v>0</v>
      </c>
      <c r="AX639" s="199">
        <v>1</v>
      </c>
      <c r="AY639" s="199">
        <f t="shared" ref="AY639:AY646" si="778">AJ639/519208*136101</f>
        <v>14702.040359580787</v>
      </c>
      <c r="AZ639" s="199">
        <f t="shared" si="721"/>
        <v>14702.040359580787</v>
      </c>
      <c r="BA639" s="252">
        <f t="shared" si="722"/>
        <v>1.155675778383529E-3</v>
      </c>
      <c r="BB639" s="284">
        <v>0</v>
      </c>
      <c r="BC639" s="199">
        <f t="shared" ref="BC639:BC646" si="779">AD639*BB639*0.18*4</f>
        <v>0</v>
      </c>
      <c r="BD639" s="270">
        <f t="shared" si="752"/>
        <v>0</v>
      </c>
      <c r="BE639" s="199">
        <f t="shared" ref="BE639:BE646" si="780">AD639*BB639*0.77*4</f>
        <v>0</v>
      </c>
      <c r="BF639" s="251">
        <f t="shared" si="753"/>
        <v>0</v>
      </c>
      <c r="BG639" s="204">
        <f t="shared" ref="BG639:BG646" si="781">BC639+BE639</f>
        <v>0</v>
      </c>
      <c r="BH639" s="636">
        <v>1</v>
      </c>
      <c r="BI639" s="199">
        <f t="shared" si="723"/>
        <v>98071.100270335752</v>
      </c>
      <c r="BJ639" s="199">
        <f t="shared" si="724"/>
        <v>196142.2005406715</v>
      </c>
      <c r="BK639" s="199">
        <f t="shared" si="731"/>
        <v>294213.30081100727</v>
      </c>
      <c r="BL639" s="251">
        <f t="shared" si="725"/>
        <v>1.241408422501974E-3</v>
      </c>
      <c r="BM639" s="199">
        <f t="shared" ref="BM639:BM646" si="782">AH639/148345*183652</f>
        <v>19838.661848856242</v>
      </c>
      <c r="BN639" s="251">
        <f t="shared" si="726"/>
        <v>8.5669511579405152E-4</v>
      </c>
      <c r="BT639" s="199">
        <f>'Detailed Budget'!$AD$12</f>
        <v>194045122715</v>
      </c>
      <c r="BU639" s="199">
        <f>'Detailed Budget'!$AD$24</f>
        <v>194045122715</v>
      </c>
      <c r="BV639" s="596">
        <f t="shared" ref="BV639:BV646" si="783">AV639/34743979</f>
        <v>0</v>
      </c>
      <c r="BW639" s="278"/>
      <c r="BX639" s="275">
        <f t="shared" si="768"/>
        <v>0</v>
      </c>
      <c r="BY639" s="275">
        <f t="shared" si="769"/>
        <v>0</v>
      </c>
      <c r="CA639" s="199">
        <f>'Detailed Budget'!$AD$96</f>
        <v>71050111380.677719</v>
      </c>
      <c r="CB639" s="275">
        <f t="shared" si="727"/>
        <v>82110892.774101153</v>
      </c>
      <c r="CE639" s="199">
        <f>'Detailed Budget'!$AD$175</f>
        <v>4330586076.5988197</v>
      </c>
      <c r="CF639" s="275">
        <f t="shared" ref="CF639:CF646" si="784">BB639*BD639*CE639</f>
        <v>0</v>
      </c>
      <c r="CG639" s="199">
        <f>'Detailed Budget'!$AD$176</f>
        <v>20662817754.37001</v>
      </c>
      <c r="CH639" s="275">
        <f t="shared" ref="CH639:CH646" si="785">BB639*BF639*CG639</f>
        <v>0</v>
      </c>
      <c r="CI639" s="275">
        <f t="shared" si="734"/>
        <v>0</v>
      </c>
      <c r="CJ639" s="275">
        <f>'Detailed Budget'!$AD$178</f>
        <v>46025131033.061455</v>
      </c>
      <c r="CK639" s="275">
        <f t="shared" ref="CK639:CK646" si="786">BB639*AG639*CJ639</f>
        <v>0</v>
      </c>
      <c r="CL639" s="275">
        <f t="shared" si="737"/>
        <v>0</v>
      </c>
      <c r="CM639" s="278">
        <f>'Detailed Budget'!$AD$189</f>
        <v>77498869683.252869</v>
      </c>
      <c r="CN639" s="275">
        <f t="shared" si="728"/>
        <v>96207749.559173003</v>
      </c>
      <c r="CO639" s="140">
        <f>'Detailed Budget'!$AD$191</f>
        <v>2684962805.4134097</v>
      </c>
      <c r="CP639" s="616">
        <f t="shared" si="729"/>
        <v>3333135.4407447362</v>
      </c>
      <c r="CQ639" s="616">
        <f t="shared" si="730"/>
        <v>99540884.999917746</v>
      </c>
      <c r="CR639" s="199">
        <f>'Detailed Budget'!$AD$195</f>
        <v>18734176418</v>
      </c>
      <c r="CS639" s="275">
        <f t="shared" ref="CS639:CS646" si="787">BN639*CR639</f>
        <v>16049477.4357247</v>
      </c>
      <c r="CW639" s="278"/>
      <c r="DH639" s="140">
        <f>'Detailed Budget'!$AD$163</f>
        <v>4928560000</v>
      </c>
      <c r="DI639" s="616">
        <f t="shared" ref="DI639:DI648" si="788">AP639*DH639</f>
        <v>5600000</v>
      </c>
    </row>
    <row r="640" spans="1:113" outlineLevel="1">
      <c r="A640" s="214" t="s">
        <v>1356</v>
      </c>
      <c r="B640" s="215" t="s">
        <v>1357</v>
      </c>
      <c r="C640" s="216" t="s">
        <v>234</v>
      </c>
      <c r="D640" s="217"/>
      <c r="E640" s="216"/>
      <c r="F640" s="216"/>
      <c r="G640" s="216" t="s">
        <v>234</v>
      </c>
      <c r="H640" s="216" t="s">
        <v>234</v>
      </c>
      <c r="I640" s="217"/>
      <c r="J640" s="217" t="s">
        <v>234</v>
      </c>
      <c r="K640" s="216"/>
      <c r="L640" s="216" t="s">
        <v>234</v>
      </c>
      <c r="M640" s="217"/>
      <c r="N640" s="216"/>
      <c r="O640" s="217"/>
      <c r="P640" s="216"/>
      <c r="Q640" s="217"/>
      <c r="R640" s="217" t="s">
        <v>234</v>
      </c>
      <c r="S640" s="217"/>
      <c r="T640" s="217"/>
      <c r="U640" s="218">
        <f t="shared" si="777"/>
        <v>6</v>
      </c>
      <c r="V640" s="867" t="s">
        <v>1355</v>
      </c>
      <c r="W640" s="219">
        <v>269588</v>
      </c>
      <c r="X640" s="220">
        <v>2.96</v>
      </c>
      <c r="Y640" s="221">
        <f t="shared" si="770"/>
        <v>1.0296000000000001</v>
      </c>
      <c r="Z640" s="199">
        <v>19</v>
      </c>
      <c r="AA640" s="221">
        <f t="shared" si="771"/>
        <v>1.7406126843598355</v>
      </c>
      <c r="AB640" s="199">
        <f t="shared" si="774"/>
        <v>469248.29235119931</v>
      </c>
      <c r="AC640">
        <v>12.5</v>
      </c>
      <c r="AD640" s="199">
        <f t="shared" si="775"/>
        <v>58656.036543899914</v>
      </c>
      <c r="AE640" s="199">
        <f t="shared" si="772"/>
        <v>55723.234716704916</v>
      </c>
      <c r="AF640" s="199">
        <f t="shared" si="733"/>
        <v>0</v>
      </c>
      <c r="AG640" s="614">
        <f t="shared" si="732"/>
        <v>2.576397743716334E-3</v>
      </c>
      <c r="AH640" s="199">
        <f t="shared" ref="AH640:AH646" si="789">AB640*0.05</f>
        <v>23462.414617559967</v>
      </c>
      <c r="AI640" s="252">
        <f t="shared" si="716"/>
        <v>1.8175977113919319E-3</v>
      </c>
      <c r="AJ640" s="199">
        <f t="shared" si="717"/>
        <v>82118.451161459874</v>
      </c>
      <c r="AK640" s="199">
        <f t="shared" si="735"/>
        <v>18769.931694047973</v>
      </c>
      <c r="AL640" s="199">
        <f t="shared" si="736"/>
        <v>18769.931694047973</v>
      </c>
      <c r="AM640" s="199">
        <f t="shared" si="718"/>
        <v>37539.863388095946</v>
      </c>
      <c r="AN640" s="645">
        <f t="shared" si="719"/>
        <v>1.8175977113919317E-3</v>
      </c>
      <c r="AO640" s="199">
        <v>12</v>
      </c>
      <c r="AP640" s="250">
        <f t="shared" si="742"/>
        <v>1.3634814225656176E-3</v>
      </c>
      <c r="AQ640" s="199">
        <v>12</v>
      </c>
      <c r="AU640" s="199">
        <v>0</v>
      </c>
      <c r="AW640" s="250">
        <f t="shared" si="720"/>
        <v>0</v>
      </c>
      <c r="AX640" s="199">
        <v>1</v>
      </c>
      <c r="AY640" s="199">
        <f t="shared" si="778"/>
        <v>21525.868864743708</v>
      </c>
      <c r="AZ640" s="199">
        <f t="shared" si="721"/>
        <v>21525.868864743708</v>
      </c>
      <c r="BA640" s="252">
        <f t="shared" si="722"/>
        <v>1.6920729808385449E-3</v>
      </c>
      <c r="BB640" s="284">
        <v>0</v>
      </c>
      <c r="BC640" s="199">
        <f t="shared" si="779"/>
        <v>0</v>
      </c>
      <c r="BD640" s="270">
        <f t="shared" si="752"/>
        <v>0</v>
      </c>
      <c r="BE640" s="199">
        <f t="shared" si="780"/>
        <v>0</v>
      </c>
      <c r="BF640" s="251">
        <f t="shared" si="753"/>
        <v>0</v>
      </c>
      <c r="BG640" s="204">
        <f t="shared" si="781"/>
        <v>0</v>
      </c>
      <c r="BH640" s="636">
        <v>1</v>
      </c>
      <c r="BI640" s="199">
        <f t="shared" si="723"/>
        <v>143589.97745946699</v>
      </c>
      <c r="BJ640" s="199">
        <f t="shared" si="724"/>
        <v>287179.95491893397</v>
      </c>
      <c r="BK640" s="199">
        <f t="shared" si="731"/>
        <v>430769.93237840093</v>
      </c>
      <c r="BL640" s="251">
        <f t="shared" si="725"/>
        <v>1.8175977113919315E-3</v>
      </c>
      <c r="BM640" s="199">
        <f t="shared" si="782"/>
        <v>29046.610059955663</v>
      </c>
      <c r="BN640" s="251">
        <f t="shared" si="726"/>
        <v>1.2543229557679578E-3</v>
      </c>
      <c r="BT640" s="199">
        <f>'Detailed Budget'!$AD$12</f>
        <v>194045122715</v>
      </c>
      <c r="BU640" s="199">
        <f>'Detailed Budget'!$AD$24</f>
        <v>194045122715</v>
      </c>
      <c r="BV640" s="596">
        <f t="shared" si="783"/>
        <v>0</v>
      </c>
      <c r="BW640" s="278"/>
      <c r="BX640" s="275">
        <f t="shared" si="768"/>
        <v>0</v>
      </c>
      <c r="BY640" s="275">
        <f t="shared" si="769"/>
        <v>0</v>
      </c>
      <c r="CA640" s="199">
        <f>'Detailed Budget'!$AD$96</f>
        <v>71050111380.677719</v>
      </c>
      <c r="CB640" s="275">
        <f t="shared" si="727"/>
        <v>120221973.75281397</v>
      </c>
      <c r="CE640" s="199">
        <f>'Detailed Budget'!$AD$175</f>
        <v>4330586076.5988197</v>
      </c>
      <c r="CF640" s="275">
        <f t="shared" si="784"/>
        <v>0</v>
      </c>
      <c r="CG640" s="199">
        <f>'Detailed Budget'!$AD$176</f>
        <v>20662817754.37001</v>
      </c>
      <c r="CH640" s="275">
        <f t="shared" si="785"/>
        <v>0</v>
      </c>
      <c r="CI640" s="275">
        <f t="shared" si="734"/>
        <v>0</v>
      </c>
      <c r="CJ640" s="275">
        <f>'Detailed Budget'!$AD$178</f>
        <v>46025131033.061455</v>
      </c>
      <c r="CK640" s="275">
        <f t="shared" si="786"/>
        <v>0</v>
      </c>
      <c r="CL640" s="275">
        <f t="shared" si="737"/>
        <v>0</v>
      </c>
      <c r="CM640" s="278">
        <f>'Detailed Budget'!$AD$189</f>
        <v>77498869683.252869</v>
      </c>
      <c r="CN640" s="275">
        <f t="shared" si="728"/>
        <v>140861768.17174196</v>
      </c>
      <c r="CO640" s="140">
        <f>'Detailed Budget'!$AD$191</f>
        <v>2684962805.4134097</v>
      </c>
      <c r="CP640" s="616">
        <f t="shared" si="729"/>
        <v>4880182.2502918737</v>
      </c>
      <c r="CQ640" s="616">
        <f t="shared" si="730"/>
        <v>145741950.42203385</v>
      </c>
      <c r="CR640" s="199">
        <f>'Detailed Budget'!$AD$195</f>
        <v>18734176418</v>
      </c>
      <c r="CS640" s="275">
        <f t="shared" si="787"/>
        <v>23498707.538504131</v>
      </c>
      <c r="CW640" s="278"/>
      <c r="DH640" s="140">
        <f>'Detailed Budget'!$AD$163</f>
        <v>4928560000</v>
      </c>
      <c r="DI640" s="616">
        <f t="shared" si="788"/>
        <v>6720000</v>
      </c>
    </row>
    <row r="641" spans="1:113" outlineLevel="1">
      <c r="A641" s="214" t="s">
        <v>1358</v>
      </c>
      <c r="B641" s="215" t="s">
        <v>1359</v>
      </c>
      <c r="C641" s="216" t="s">
        <v>234</v>
      </c>
      <c r="D641" s="217"/>
      <c r="E641" s="216"/>
      <c r="F641" s="216"/>
      <c r="G641" s="216" t="s">
        <v>234</v>
      </c>
      <c r="H641" s="216" t="s">
        <v>234</v>
      </c>
      <c r="I641" s="217" t="s">
        <v>234</v>
      </c>
      <c r="J641" s="217"/>
      <c r="K641" s="216"/>
      <c r="L641" s="216"/>
      <c r="M641" s="217" t="s">
        <v>234</v>
      </c>
      <c r="N641" s="216"/>
      <c r="O641" s="217"/>
      <c r="P641" s="216"/>
      <c r="Q641" s="217"/>
      <c r="R641" s="217" t="s">
        <v>234</v>
      </c>
      <c r="S641" s="217"/>
      <c r="T641" s="217"/>
      <c r="U641" s="218">
        <f t="shared" si="777"/>
        <v>6</v>
      </c>
      <c r="V641" s="867" t="s">
        <v>1355</v>
      </c>
      <c r="W641" s="219">
        <v>79266</v>
      </c>
      <c r="X641" s="220">
        <v>2.96</v>
      </c>
      <c r="Y641" s="221">
        <f t="shared" si="770"/>
        <v>1.0296000000000001</v>
      </c>
      <c r="Z641" s="199">
        <v>19</v>
      </c>
      <c r="AA641" s="221">
        <f t="shared" si="771"/>
        <v>1.7406126843598355</v>
      </c>
      <c r="AB641" s="199">
        <f t="shared" si="774"/>
        <v>137971.40503846674</v>
      </c>
      <c r="AC641">
        <v>12.5</v>
      </c>
      <c r="AD641" s="199">
        <f t="shared" si="775"/>
        <v>17246.425629808342</v>
      </c>
      <c r="AE641" s="199">
        <f t="shared" si="772"/>
        <v>16384.104348317924</v>
      </c>
      <c r="AF641" s="199">
        <f t="shared" si="733"/>
        <v>0</v>
      </c>
      <c r="AG641" s="614">
        <f t="shared" si="732"/>
        <v>7.5752905750040413E-4</v>
      </c>
      <c r="AH641" s="199">
        <f t="shared" si="789"/>
        <v>6898.5702519233373</v>
      </c>
      <c r="AI641" s="252">
        <f t="shared" si="716"/>
        <v>5.3442178506162322E-4</v>
      </c>
      <c r="AJ641" s="199">
        <f t="shared" si="717"/>
        <v>24144.99588173168</v>
      </c>
      <c r="AK641" s="199">
        <f t="shared" si="735"/>
        <v>5518.8562015386697</v>
      </c>
      <c r="AL641" s="199">
        <f t="shared" si="736"/>
        <v>5518.8562015386697</v>
      </c>
      <c r="AM641" s="199">
        <f t="shared" si="718"/>
        <v>11037.712403077339</v>
      </c>
      <c r="AN641" s="645">
        <f t="shared" si="719"/>
        <v>5.3442178506162322E-4</v>
      </c>
      <c r="AO641" s="199">
        <v>11</v>
      </c>
      <c r="AP641" s="250">
        <f t="shared" si="742"/>
        <v>1.2498579706851495E-3</v>
      </c>
      <c r="AQ641" s="199">
        <v>11</v>
      </c>
      <c r="AU641" s="199">
        <v>0</v>
      </c>
      <c r="AW641" s="250">
        <f t="shared" si="720"/>
        <v>0</v>
      </c>
      <c r="AX641" s="199">
        <v>1</v>
      </c>
      <c r="AY641" s="199">
        <f t="shared" si="778"/>
        <v>6329.1745976555894</v>
      </c>
      <c r="AZ641" s="199">
        <f t="shared" si="721"/>
        <v>6329.1745976555894</v>
      </c>
      <c r="BA641" s="252">
        <f t="shared" si="722"/>
        <v>4.9751419536161893E-4</v>
      </c>
      <c r="BB641" s="284">
        <v>0</v>
      </c>
      <c r="BC641" s="199">
        <f t="shared" si="779"/>
        <v>0</v>
      </c>
      <c r="BD641" s="270">
        <f t="shared" si="752"/>
        <v>0</v>
      </c>
      <c r="BE641" s="199">
        <f t="shared" si="780"/>
        <v>0</v>
      </c>
      <c r="BF641" s="251">
        <f t="shared" si="753"/>
        <v>0</v>
      </c>
      <c r="BG641" s="204">
        <f t="shared" si="781"/>
        <v>0</v>
      </c>
      <c r="BH641" s="636">
        <v>1</v>
      </c>
      <c r="BI641" s="199">
        <f t="shared" si="723"/>
        <v>42219.249941770831</v>
      </c>
      <c r="BJ641" s="199">
        <f t="shared" si="724"/>
        <v>84438.499883541663</v>
      </c>
      <c r="BK641" s="199">
        <f t="shared" si="731"/>
        <v>126657.74982531249</v>
      </c>
      <c r="BL641" s="251">
        <f t="shared" si="725"/>
        <v>5.3442178506162333E-4</v>
      </c>
      <c r="BM641" s="199">
        <f t="shared" si="782"/>
        <v>8540.4713600473533</v>
      </c>
      <c r="BN641" s="251">
        <f t="shared" si="726"/>
        <v>3.6880411372873777E-4</v>
      </c>
      <c r="BT641" s="199">
        <f>'Detailed Budget'!$AD$12</f>
        <v>194045122715</v>
      </c>
      <c r="BU641" s="199">
        <f>'Detailed Budget'!$AD$24</f>
        <v>194045122715</v>
      </c>
      <c r="BV641" s="596">
        <f t="shared" si="783"/>
        <v>0</v>
      </c>
      <c r="BW641" s="278"/>
      <c r="BX641" s="275">
        <f t="shared" si="768"/>
        <v>0</v>
      </c>
      <c r="BY641" s="275">
        <f t="shared" si="769"/>
        <v>0</v>
      </c>
      <c r="CA641" s="199">
        <f>'Detailed Budget'!$AD$96</f>
        <v>71050111380.677719</v>
      </c>
      <c r="CB641" s="275">
        <f t="shared" si="727"/>
        <v>35348438.993911281</v>
      </c>
      <c r="CE641" s="199">
        <f>'Detailed Budget'!$AD$175</f>
        <v>4330586076.5988197</v>
      </c>
      <c r="CF641" s="275">
        <f t="shared" si="784"/>
        <v>0</v>
      </c>
      <c r="CG641" s="199">
        <f>'Detailed Budget'!$AD$176</f>
        <v>20662817754.37001</v>
      </c>
      <c r="CH641" s="275">
        <f t="shared" si="785"/>
        <v>0</v>
      </c>
      <c r="CI641" s="275">
        <f t="shared" si="734"/>
        <v>0</v>
      </c>
      <c r="CJ641" s="275">
        <f>'Detailed Budget'!$AD$178</f>
        <v>46025131033.061455</v>
      </c>
      <c r="CK641" s="275">
        <f t="shared" si="786"/>
        <v>0</v>
      </c>
      <c r="CL641" s="275">
        <f t="shared" si="737"/>
        <v>0</v>
      </c>
      <c r="CM641" s="278">
        <f>'Detailed Budget'!$AD$189</f>
        <v>77498869683.252869</v>
      </c>
      <c r="CN641" s="275">
        <f t="shared" si="728"/>
        <v>41417084.276382118</v>
      </c>
      <c r="CO641" s="140">
        <f>'Detailed Budget'!$AD$191</f>
        <v>2684962805.4134097</v>
      </c>
      <c r="CP641" s="616">
        <f t="shared" si="729"/>
        <v>1434902.6152930981</v>
      </c>
      <c r="CQ641" s="616">
        <f t="shared" si="730"/>
        <v>42851986.891675219</v>
      </c>
      <c r="CR641" s="199">
        <f>'Detailed Budget'!$AD$195</f>
        <v>18734176418</v>
      </c>
      <c r="CS641" s="275">
        <f t="shared" si="787"/>
        <v>6909241.3302783091</v>
      </c>
      <c r="CW641" s="278"/>
      <c r="DH641" s="140">
        <f>'Detailed Budget'!$AD$163</f>
        <v>4928560000</v>
      </c>
      <c r="DI641" s="616">
        <f t="shared" si="788"/>
        <v>6160000</v>
      </c>
    </row>
    <row r="642" spans="1:113" outlineLevel="1">
      <c r="A642" s="214" t="s">
        <v>1360</v>
      </c>
      <c r="B642" s="215" t="s">
        <v>1361</v>
      </c>
      <c r="C642" s="216" t="s">
        <v>234</v>
      </c>
      <c r="D642" s="217"/>
      <c r="E642" s="216"/>
      <c r="F642" s="216"/>
      <c r="G642" s="216" t="s">
        <v>234</v>
      </c>
      <c r="H642" s="216" t="s">
        <v>234</v>
      </c>
      <c r="I642" s="217"/>
      <c r="J642" s="217" t="s">
        <v>234</v>
      </c>
      <c r="K642" s="216"/>
      <c r="L642" s="216" t="s">
        <v>234</v>
      </c>
      <c r="M642" s="217"/>
      <c r="N642" s="216"/>
      <c r="O642" s="217"/>
      <c r="P642" s="216"/>
      <c r="Q642" s="217"/>
      <c r="R642" s="217" t="s">
        <v>234</v>
      </c>
      <c r="S642" s="217"/>
      <c r="T642" s="217"/>
      <c r="U642" s="218">
        <f t="shared" si="777"/>
        <v>6</v>
      </c>
      <c r="V642" s="867" t="s">
        <v>1355</v>
      </c>
      <c r="W642" s="219">
        <v>130966</v>
      </c>
      <c r="X642" s="220">
        <v>2.96</v>
      </c>
      <c r="Y642" s="221">
        <f t="shared" si="770"/>
        <v>1.0296000000000001</v>
      </c>
      <c r="Z642" s="199">
        <v>19</v>
      </c>
      <c r="AA642" s="221">
        <f t="shared" si="771"/>
        <v>1.7406126843598355</v>
      </c>
      <c r="AB642" s="199">
        <f t="shared" si="774"/>
        <v>227961.08081987023</v>
      </c>
      <c r="AC642">
        <v>12.5</v>
      </c>
      <c r="AD642" s="199">
        <f t="shared" si="775"/>
        <v>28495.135102483779</v>
      </c>
      <c r="AE642" s="199">
        <f t="shared" si="772"/>
        <v>27070.378347359587</v>
      </c>
      <c r="AF642" s="199">
        <f t="shared" si="733"/>
        <v>0</v>
      </c>
      <c r="AG642" s="614">
        <f t="shared" si="732"/>
        <v>1.2516154535942008E-3</v>
      </c>
      <c r="AH642" s="199">
        <f t="shared" si="789"/>
        <v>11398.054040993513</v>
      </c>
      <c r="AI642" s="252">
        <f t="shared" si="716"/>
        <v>8.8298997681705339E-4</v>
      </c>
      <c r="AJ642" s="199">
        <f t="shared" si="717"/>
        <v>39893.189143477292</v>
      </c>
      <c r="AK642" s="199">
        <f t="shared" si="735"/>
        <v>9118.4432327948089</v>
      </c>
      <c r="AL642" s="199">
        <f t="shared" si="736"/>
        <v>9118.4432327948089</v>
      </c>
      <c r="AM642" s="199">
        <f t="shared" si="718"/>
        <v>18236.886465589618</v>
      </c>
      <c r="AN642" s="645">
        <f t="shared" si="719"/>
        <v>8.8298997681705317E-4</v>
      </c>
      <c r="AO642" s="199">
        <v>13</v>
      </c>
      <c r="AP642" s="250">
        <f t="shared" si="742"/>
        <v>1.4771048744460858E-3</v>
      </c>
      <c r="AQ642" s="199">
        <v>13</v>
      </c>
      <c r="AU642" s="199">
        <v>0</v>
      </c>
      <c r="AW642" s="250">
        <f t="shared" si="720"/>
        <v>0</v>
      </c>
      <c r="AX642" s="199">
        <v>1</v>
      </c>
      <c r="AY642" s="199">
        <f t="shared" si="778"/>
        <v>10457.279039645773</v>
      </c>
      <c r="AZ642" s="199">
        <f t="shared" si="721"/>
        <v>10457.279039645773</v>
      </c>
      <c r="BA642" s="252">
        <f t="shared" si="722"/>
        <v>8.220099930579287E-4</v>
      </c>
      <c r="BB642" s="284">
        <v>0</v>
      </c>
      <c r="BC642" s="199">
        <f t="shared" si="779"/>
        <v>0</v>
      </c>
      <c r="BD642" s="270">
        <f t="shared" si="752"/>
        <v>0</v>
      </c>
      <c r="BE642" s="199">
        <f t="shared" si="780"/>
        <v>0</v>
      </c>
      <c r="BF642" s="251">
        <f t="shared" si="753"/>
        <v>0</v>
      </c>
      <c r="BG642" s="204">
        <f t="shared" si="781"/>
        <v>0</v>
      </c>
      <c r="BH642" s="636">
        <v>1</v>
      </c>
      <c r="BI642" s="199">
        <f t="shared" si="723"/>
        <v>69756.090730880285</v>
      </c>
      <c r="BJ642" s="199">
        <f t="shared" si="724"/>
        <v>139512.18146176057</v>
      </c>
      <c r="BK642" s="199">
        <f t="shared" si="731"/>
        <v>209268.27219264087</v>
      </c>
      <c r="BL642" s="251">
        <f t="shared" si="725"/>
        <v>8.8298997681705328E-4</v>
      </c>
      <c r="BM642" s="199">
        <f t="shared" si="782"/>
        <v>14110.85928569578</v>
      </c>
      <c r="BN642" s="251">
        <f t="shared" si="726"/>
        <v>6.0935078796202499E-4</v>
      </c>
      <c r="BT642" s="199">
        <f>'Detailed Budget'!$AD$12</f>
        <v>194045122715</v>
      </c>
      <c r="BU642" s="199">
        <f>'Detailed Budget'!$AD$24</f>
        <v>194045122715</v>
      </c>
      <c r="BV642" s="596">
        <f t="shared" si="783"/>
        <v>0</v>
      </c>
      <c r="BW642" s="278"/>
      <c r="BX642" s="275">
        <f t="shared" si="768"/>
        <v>0</v>
      </c>
      <c r="BY642" s="275">
        <f t="shared" si="769"/>
        <v>0</v>
      </c>
      <c r="CA642" s="199">
        <f>'Detailed Budget'!$AD$96</f>
        <v>71050111380.677719</v>
      </c>
      <c r="CB642" s="275">
        <f t="shared" si="727"/>
        <v>58403901.562795952</v>
      </c>
      <c r="CE642" s="199">
        <f>'Detailed Budget'!$AD$175</f>
        <v>4330586076.5988197</v>
      </c>
      <c r="CF642" s="275">
        <f t="shared" si="784"/>
        <v>0</v>
      </c>
      <c r="CG642" s="199">
        <f>'Detailed Budget'!$AD$176</f>
        <v>20662817754.37001</v>
      </c>
      <c r="CH642" s="275">
        <f t="shared" si="785"/>
        <v>0</v>
      </c>
      <c r="CI642" s="275">
        <f t="shared" si="734"/>
        <v>0</v>
      </c>
      <c r="CJ642" s="275">
        <f>'Detailed Budget'!$AD$178</f>
        <v>46025131033.061455</v>
      </c>
      <c r="CK642" s="275">
        <f t="shared" si="786"/>
        <v>0</v>
      </c>
      <c r="CL642" s="275">
        <f t="shared" si="737"/>
        <v>0</v>
      </c>
      <c r="CM642" s="278">
        <f>'Detailed Budget'!$AD$189</f>
        <v>77498869683.252869</v>
      </c>
      <c r="CN642" s="275">
        <f t="shared" si="728"/>
        <v>68430725.144963279</v>
      </c>
      <c r="CO642" s="140">
        <f>'Detailed Budget'!$AD$191</f>
        <v>2684962805.4134097</v>
      </c>
      <c r="CP642" s="616">
        <f t="shared" si="729"/>
        <v>2370795.2453066367</v>
      </c>
      <c r="CQ642" s="616">
        <f t="shared" si="730"/>
        <v>70801520.39026992</v>
      </c>
      <c r="CR642" s="199">
        <f>'Detailed Budget'!$AD$195</f>
        <v>18734176418</v>
      </c>
      <c r="CS642" s="275">
        <f t="shared" si="787"/>
        <v>11415685.162127886</v>
      </c>
      <c r="CW642" s="278"/>
      <c r="DH642" s="140">
        <f>'Detailed Budget'!$AD$163</f>
        <v>4928560000</v>
      </c>
      <c r="DI642" s="616">
        <f t="shared" si="788"/>
        <v>7280000.0000000009</v>
      </c>
    </row>
    <row r="643" spans="1:113" outlineLevel="1">
      <c r="A643" s="214" t="s">
        <v>1362</v>
      </c>
      <c r="B643" s="215" t="s">
        <v>1363</v>
      </c>
      <c r="C643" s="216" t="s">
        <v>234</v>
      </c>
      <c r="D643" s="217"/>
      <c r="E643" s="216"/>
      <c r="F643" s="216"/>
      <c r="G643" s="216" t="s">
        <v>234</v>
      </c>
      <c r="H643" s="216" t="s">
        <v>234</v>
      </c>
      <c r="I643" s="217"/>
      <c r="J643" s="217" t="s">
        <v>234</v>
      </c>
      <c r="K643" s="216"/>
      <c r="L643" s="216" t="s">
        <v>234</v>
      </c>
      <c r="M643" s="217"/>
      <c r="N643" s="216"/>
      <c r="O643" s="217"/>
      <c r="P643" s="216"/>
      <c r="Q643" s="217"/>
      <c r="R643" s="217" t="s">
        <v>234</v>
      </c>
      <c r="S643" s="217"/>
      <c r="T643" s="217"/>
      <c r="U643" s="218">
        <f t="shared" si="777"/>
        <v>6</v>
      </c>
      <c r="V643" s="867" t="s">
        <v>1355</v>
      </c>
      <c r="W643" s="219">
        <v>179606</v>
      </c>
      <c r="X643" s="220">
        <v>2.96</v>
      </c>
      <c r="Y643" s="221">
        <f t="shared" si="770"/>
        <v>1.0296000000000001</v>
      </c>
      <c r="Z643" s="199">
        <v>19</v>
      </c>
      <c r="AA643" s="221">
        <f t="shared" si="771"/>
        <v>1.7406126843598355</v>
      </c>
      <c r="AB643" s="199">
        <f t="shared" si="774"/>
        <v>312624.48178713262</v>
      </c>
      <c r="AC643">
        <v>12.5</v>
      </c>
      <c r="AD643" s="199">
        <f t="shared" si="775"/>
        <v>39078.060223391578</v>
      </c>
      <c r="AE643" s="199">
        <f t="shared" si="772"/>
        <v>37124.157212221995</v>
      </c>
      <c r="AF643" s="199">
        <f t="shared" si="733"/>
        <v>0</v>
      </c>
      <c r="AG643" s="614">
        <f t="shared" si="732"/>
        <v>1.7164580513892157E-3</v>
      </c>
      <c r="AH643" s="199">
        <f t="shared" si="789"/>
        <v>15631.224089356632</v>
      </c>
      <c r="AI643" s="252">
        <f t="shared" si="716"/>
        <v>1.2109272465846378E-3</v>
      </c>
      <c r="AJ643" s="199">
        <f t="shared" si="717"/>
        <v>54709.284312748212</v>
      </c>
      <c r="AK643" s="199">
        <f t="shared" si="735"/>
        <v>12504.979271485305</v>
      </c>
      <c r="AL643" s="199">
        <f t="shared" si="736"/>
        <v>12504.979271485305</v>
      </c>
      <c r="AM643" s="199">
        <f t="shared" si="718"/>
        <v>25009.958542970609</v>
      </c>
      <c r="AN643" s="645">
        <f t="shared" si="719"/>
        <v>1.2109272465846378E-3</v>
      </c>
      <c r="AO643" s="199">
        <v>13</v>
      </c>
      <c r="AP643" s="250">
        <f t="shared" si="742"/>
        <v>1.4771048744460858E-3</v>
      </c>
      <c r="AQ643" s="199">
        <v>13</v>
      </c>
      <c r="AU643" s="199">
        <v>0</v>
      </c>
      <c r="AW643" s="250">
        <f t="shared" si="720"/>
        <v>0</v>
      </c>
      <c r="AX643" s="199">
        <v>1</v>
      </c>
      <c r="AY643" s="199">
        <f t="shared" si="778"/>
        <v>14341.050800930156</v>
      </c>
      <c r="AZ643" s="199">
        <f t="shared" si="721"/>
        <v>14341.050800930156</v>
      </c>
      <c r="BA643" s="252">
        <f t="shared" si="722"/>
        <v>1.1272996564998727E-3</v>
      </c>
      <c r="BB643" s="284">
        <v>0</v>
      </c>
      <c r="BC643" s="199">
        <f t="shared" si="779"/>
        <v>0</v>
      </c>
      <c r="BD643" s="270">
        <f t="shared" si="752"/>
        <v>0</v>
      </c>
      <c r="BE643" s="199">
        <f t="shared" si="780"/>
        <v>0</v>
      </c>
      <c r="BF643" s="251">
        <f t="shared" si="753"/>
        <v>0</v>
      </c>
      <c r="BG643" s="204">
        <f t="shared" si="781"/>
        <v>0</v>
      </c>
      <c r="BH643" s="636">
        <v>1</v>
      </c>
      <c r="BI643" s="199">
        <f t="shared" si="723"/>
        <v>95663.091426862578</v>
      </c>
      <c r="BJ643" s="199">
        <f t="shared" si="724"/>
        <v>191326.18285372516</v>
      </c>
      <c r="BK643" s="199">
        <f t="shared" si="731"/>
        <v>286989.27428058774</v>
      </c>
      <c r="BL643" s="251">
        <f t="shared" si="725"/>
        <v>1.2109272465846376E-3</v>
      </c>
      <c r="BM643" s="199">
        <f t="shared" si="782"/>
        <v>19351.549202592094</v>
      </c>
      <c r="BN643" s="251">
        <f t="shared" si="726"/>
        <v>8.3566007683450242E-4</v>
      </c>
      <c r="BT643" s="199">
        <f>'Detailed Budget'!$AD$12</f>
        <v>194045122715</v>
      </c>
      <c r="BU643" s="199">
        <f>'Detailed Budget'!$AD$24</f>
        <v>194045122715</v>
      </c>
      <c r="BV643" s="596">
        <f t="shared" si="783"/>
        <v>0</v>
      </c>
      <c r="BW643" s="278"/>
      <c r="BX643" s="275">
        <f t="shared" si="768"/>
        <v>0</v>
      </c>
      <c r="BY643" s="275">
        <f t="shared" si="769"/>
        <v>0</v>
      </c>
      <c r="CA643" s="199">
        <f>'Detailed Budget'!$AD$96</f>
        <v>71050111380.677719</v>
      </c>
      <c r="CB643" s="275">
        <f t="shared" si="727"/>
        <v>80094766.153715685</v>
      </c>
      <c r="CE643" s="199">
        <f>'Detailed Budget'!$AD$175</f>
        <v>4330586076.5988197</v>
      </c>
      <c r="CF643" s="275">
        <f t="shared" si="784"/>
        <v>0</v>
      </c>
      <c r="CG643" s="199">
        <f>'Detailed Budget'!$AD$176</f>
        <v>20662817754.37001</v>
      </c>
      <c r="CH643" s="275">
        <f t="shared" si="785"/>
        <v>0</v>
      </c>
      <c r="CI643" s="275">
        <f t="shared" si="734"/>
        <v>0</v>
      </c>
      <c r="CJ643" s="275">
        <f>'Detailed Budget'!$AD$178</f>
        <v>46025131033.061455</v>
      </c>
      <c r="CK643" s="275">
        <f t="shared" si="786"/>
        <v>0</v>
      </c>
      <c r="CL643" s="275">
        <f t="shared" si="737"/>
        <v>0</v>
      </c>
      <c r="CM643" s="278">
        <f>'Detailed Budget'!$AD$189</f>
        <v>77498869683.252869</v>
      </c>
      <c r="CN643" s="275">
        <f t="shared" si="728"/>
        <v>93845492.878963038</v>
      </c>
      <c r="CO643" s="140">
        <f>'Detailed Budget'!$AD$191</f>
        <v>2684962805.4134097</v>
      </c>
      <c r="CP643" s="616">
        <f t="shared" si="729"/>
        <v>3251294.6171414247</v>
      </c>
      <c r="CQ643" s="616">
        <f t="shared" si="730"/>
        <v>97096787.496104464</v>
      </c>
      <c r="CR643" s="199">
        <f>'Detailed Budget'!$AD$195</f>
        <v>18734176418</v>
      </c>
      <c r="CS643" s="275">
        <f t="shared" si="787"/>
        <v>15655403.304897003</v>
      </c>
      <c r="CW643" s="278"/>
      <c r="DH643" s="140">
        <f>'Detailed Budget'!$AD$163</f>
        <v>4928560000</v>
      </c>
      <c r="DI643" s="616">
        <f t="shared" si="788"/>
        <v>7280000.0000000009</v>
      </c>
    </row>
    <row r="644" spans="1:113" outlineLevel="1">
      <c r="A644" s="214" t="s">
        <v>1364</v>
      </c>
      <c r="B644" s="215" t="s">
        <v>1365</v>
      </c>
      <c r="C644" s="216" t="s">
        <v>234</v>
      </c>
      <c r="D644" s="217"/>
      <c r="E644" s="216"/>
      <c r="F644" s="216"/>
      <c r="G644" s="216" t="s">
        <v>234</v>
      </c>
      <c r="H644" s="216" t="s">
        <v>234</v>
      </c>
      <c r="I644" s="217"/>
      <c r="J644" s="217" t="s">
        <v>234</v>
      </c>
      <c r="K644" s="216"/>
      <c r="L644" s="216" t="s">
        <v>234</v>
      </c>
      <c r="M644" s="217"/>
      <c r="N644" s="216"/>
      <c r="O644" s="217"/>
      <c r="P644" s="216"/>
      <c r="Q644" s="217"/>
      <c r="R644" s="217" t="s">
        <v>234</v>
      </c>
      <c r="S644" s="217"/>
      <c r="T644" s="217"/>
      <c r="U644" s="218">
        <f t="shared" si="777"/>
        <v>6</v>
      </c>
      <c r="V644" s="867" t="s">
        <v>1355</v>
      </c>
      <c r="W644" s="219">
        <v>186869</v>
      </c>
      <c r="X644" s="220">
        <v>2.96</v>
      </c>
      <c r="Y644" s="221">
        <f t="shared" si="770"/>
        <v>1.0296000000000001</v>
      </c>
      <c r="Z644" s="199">
        <v>19</v>
      </c>
      <c r="AA644" s="221">
        <f t="shared" si="771"/>
        <v>1.7406126843598355</v>
      </c>
      <c r="AB644" s="199">
        <f t="shared" si="774"/>
        <v>325266.55171363812</v>
      </c>
      <c r="AC644">
        <v>12.5</v>
      </c>
      <c r="AD644" s="199">
        <f t="shared" si="775"/>
        <v>40658.318964204766</v>
      </c>
      <c r="AE644" s="199">
        <f t="shared" si="772"/>
        <v>38625.403015994525</v>
      </c>
      <c r="AF644" s="199">
        <f t="shared" si="733"/>
        <v>0</v>
      </c>
      <c r="AG644" s="614">
        <f t="shared" si="732"/>
        <v>1.785869066763089E-3</v>
      </c>
      <c r="AH644" s="199">
        <f t="shared" si="789"/>
        <v>16263.327585681907</v>
      </c>
      <c r="AI644" s="252">
        <f t="shared" si="716"/>
        <v>1.2598953467146126E-3</v>
      </c>
      <c r="AJ644" s="199">
        <f t="shared" si="717"/>
        <v>56921.646549886675</v>
      </c>
      <c r="AK644" s="199">
        <f t="shared" si="735"/>
        <v>13010.662068545525</v>
      </c>
      <c r="AL644" s="199">
        <f t="shared" si="736"/>
        <v>13010.662068545525</v>
      </c>
      <c r="AM644" s="199">
        <f t="shared" si="718"/>
        <v>26021.324137091051</v>
      </c>
      <c r="AN644" s="645">
        <f t="shared" si="719"/>
        <v>1.2598953467146123E-3</v>
      </c>
      <c r="AO644" s="199">
        <v>14</v>
      </c>
      <c r="AP644" s="250">
        <f t="shared" si="742"/>
        <v>1.5907283263265539E-3</v>
      </c>
      <c r="AQ644" s="199">
        <v>14</v>
      </c>
      <c r="AU644" s="199">
        <v>0</v>
      </c>
      <c r="AW644" s="250">
        <f t="shared" si="720"/>
        <v>0</v>
      </c>
      <c r="AX644" s="199">
        <v>1</v>
      </c>
      <c r="AY644" s="199">
        <f t="shared" si="778"/>
        <v>14920.981604840694</v>
      </c>
      <c r="AZ644" s="199">
        <f t="shared" si="721"/>
        <v>14920.981604840694</v>
      </c>
      <c r="BA644" s="252">
        <f t="shared" si="722"/>
        <v>1.1728859810389116E-3</v>
      </c>
      <c r="BB644" s="284">
        <v>0</v>
      </c>
      <c r="BC644" s="199">
        <f t="shared" si="779"/>
        <v>0</v>
      </c>
      <c r="BD644" s="270">
        <f t="shared" si="752"/>
        <v>0</v>
      </c>
      <c r="BE644" s="199">
        <f t="shared" si="780"/>
        <v>0</v>
      </c>
      <c r="BF644" s="251">
        <f t="shared" si="753"/>
        <v>0</v>
      </c>
      <c r="BG644" s="204">
        <f t="shared" si="781"/>
        <v>0</v>
      </c>
      <c r="BH644" s="636">
        <v>1</v>
      </c>
      <c r="BI644" s="199">
        <f t="shared" si="723"/>
        <v>99531.564824373287</v>
      </c>
      <c r="BJ644" s="199">
        <f t="shared" si="724"/>
        <v>199063.12964874657</v>
      </c>
      <c r="BK644" s="199">
        <f t="shared" si="731"/>
        <v>298594.69447311986</v>
      </c>
      <c r="BL644" s="251">
        <f t="shared" si="725"/>
        <v>1.2598953467146126E-3</v>
      </c>
      <c r="BM644" s="199">
        <f t="shared" si="782"/>
        <v>20134.097123365489</v>
      </c>
      <c r="BN644" s="251">
        <f t="shared" si="726"/>
        <v>8.6945292973501244E-4</v>
      </c>
      <c r="BT644" s="199">
        <f>'Detailed Budget'!$AD$12</f>
        <v>194045122715</v>
      </c>
      <c r="BU644" s="199">
        <f>'Detailed Budget'!$AD$24</f>
        <v>194045122715</v>
      </c>
      <c r="BV644" s="596">
        <f t="shared" si="783"/>
        <v>0</v>
      </c>
      <c r="BW644" s="278"/>
      <c r="BX644" s="275">
        <f t="shared" si="768"/>
        <v>0</v>
      </c>
      <c r="BY644" s="275">
        <f t="shared" si="769"/>
        <v>0</v>
      </c>
      <c r="CA644" s="199">
        <f>'Detailed Budget'!$AD$96</f>
        <v>71050111380.677719</v>
      </c>
      <c r="CB644" s="275">
        <f t="shared" si="727"/>
        <v>83333679.589650124</v>
      </c>
      <c r="CE644" s="199">
        <f>'Detailed Budget'!$AD$175</f>
        <v>4330586076.5988197</v>
      </c>
      <c r="CF644" s="275">
        <f t="shared" si="784"/>
        <v>0</v>
      </c>
      <c r="CG644" s="199">
        <f>'Detailed Budget'!$AD$176</f>
        <v>20662817754.37001</v>
      </c>
      <c r="CH644" s="275">
        <f t="shared" si="785"/>
        <v>0</v>
      </c>
      <c r="CI644" s="275">
        <f t="shared" si="734"/>
        <v>0</v>
      </c>
      <c r="CJ644" s="275">
        <f>'Detailed Budget'!$AD$178</f>
        <v>46025131033.061455</v>
      </c>
      <c r="CK644" s="275">
        <f t="shared" si="786"/>
        <v>0</v>
      </c>
      <c r="CL644" s="275">
        <f t="shared" si="737"/>
        <v>0</v>
      </c>
      <c r="CM644" s="278">
        <f>'Detailed Budget'!$AD$189</f>
        <v>77498869683.252869</v>
      </c>
      <c r="CN644" s="275">
        <f t="shared" si="728"/>
        <v>97640465.289572448</v>
      </c>
      <c r="CO644" s="140">
        <f>'Detailed Budget'!$AD$191</f>
        <v>2684962805.4134097</v>
      </c>
      <c r="CP644" s="616">
        <f t="shared" si="729"/>
        <v>3382772.1446421659</v>
      </c>
      <c r="CQ644" s="616">
        <f t="shared" si="730"/>
        <v>101023237.43421461</v>
      </c>
      <c r="CR644" s="199">
        <f>'Detailed Budget'!$AD$195</f>
        <v>18734176418</v>
      </c>
      <c r="CS644" s="275">
        <f t="shared" si="787"/>
        <v>16288484.572802681</v>
      </c>
      <c r="CW644" s="278"/>
      <c r="DH644" s="140">
        <f>'Detailed Budget'!$AD$163</f>
        <v>4928560000</v>
      </c>
      <c r="DI644" s="616">
        <f t="shared" si="788"/>
        <v>7840000.0000000009</v>
      </c>
    </row>
    <row r="645" spans="1:113" outlineLevel="1">
      <c r="A645" s="214" t="s">
        <v>1366</v>
      </c>
      <c r="B645" s="215" t="s">
        <v>1367</v>
      </c>
      <c r="C645" s="216" t="s">
        <v>234</v>
      </c>
      <c r="D645" s="217"/>
      <c r="E645" s="216"/>
      <c r="F645" s="216"/>
      <c r="G645" s="216" t="s">
        <v>234</v>
      </c>
      <c r="H645" s="216" t="s">
        <v>234</v>
      </c>
      <c r="I645" s="217"/>
      <c r="J645" s="217" t="s">
        <v>234</v>
      </c>
      <c r="K645" s="216"/>
      <c r="L645" s="216" t="s">
        <v>234</v>
      </c>
      <c r="M645" s="217"/>
      <c r="N645" s="216"/>
      <c r="O645" s="217"/>
      <c r="P645" s="216"/>
      <c r="Q645" s="217"/>
      <c r="R645" s="217" t="s">
        <v>234</v>
      </c>
      <c r="S645" s="217"/>
      <c r="T645" s="217"/>
      <c r="U645" s="218">
        <f t="shared" si="777"/>
        <v>6</v>
      </c>
      <c r="V645" s="867" t="s">
        <v>1355</v>
      </c>
      <c r="W645" s="219">
        <v>321808</v>
      </c>
      <c r="X645" s="220">
        <v>2.96</v>
      </c>
      <c r="Y645" s="221">
        <f t="shared" si="770"/>
        <v>1.0296000000000001</v>
      </c>
      <c r="Z645" s="199">
        <v>19</v>
      </c>
      <c r="AA645" s="221">
        <f t="shared" si="771"/>
        <v>1.7406126843598355</v>
      </c>
      <c r="AB645" s="199">
        <f t="shared" si="774"/>
        <v>560143.08672846993</v>
      </c>
      <c r="AC645">
        <v>12.5</v>
      </c>
      <c r="AD645" s="199">
        <f t="shared" si="775"/>
        <v>70017.885841058742</v>
      </c>
      <c r="AE645" s="199">
        <f t="shared" si="772"/>
        <v>66516.991549005805</v>
      </c>
      <c r="AF645" s="199">
        <f t="shared" si="733"/>
        <v>0</v>
      </c>
      <c r="AG645" s="614">
        <f t="shared" si="732"/>
        <v>3.0754536741615579E-3</v>
      </c>
      <c r="AH645" s="199">
        <f t="shared" si="789"/>
        <v>28007.154336423497</v>
      </c>
      <c r="AI645" s="252">
        <f t="shared" si="716"/>
        <v>2.1696718114590217E-3</v>
      </c>
      <c r="AJ645" s="199">
        <f t="shared" si="717"/>
        <v>98025.040177482239</v>
      </c>
      <c r="AK645" s="199">
        <f t="shared" si="735"/>
        <v>22405.723469138797</v>
      </c>
      <c r="AL645" s="199">
        <f t="shared" si="736"/>
        <v>22405.723469138797</v>
      </c>
      <c r="AM645" s="199">
        <f t="shared" si="718"/>
        <v>44811.446938277593</v>
      </c>
      <c r="AN645" s="645">
        <f t="shared" si="719"/>
        <v>2.1696718114590217E-3</v>
      </c>
      <c r="AO645" s="199">
        <v>17</v>
      </c>
      <c r="AP645" s="250">
        <f t="shared" si="742"/>
        <v>1.9315986819679581E-3</v>
      </c>
      <c r="AQ645" s="199">
        <v>17</v>
      </c>
      <c r="AU645" s="199">
        <v>0</v>
      </c>
      <c r="AW645" s="250">
        <f t="shared" si="720"/>
        <v>0</v>
      </c>
      <c r="AX645" s="199">
        <v>1</v>
      </c>
      <c r="AY645" s="199">
        <f t="shared" si="778"/>
        <v>25695.493892997623</v>
      </c>
      <c r="AZ645" s="199">
        <f t="shared" si="721"/>
        <v>25695.493892997623</v>
      </c>
      <c r="BA645" s="252">
        <f t="shared" si="722"/>
        <v>2.0198325660552045E-3</v>
      </c>
      <c r="BB645" s="284">
        <v>0</v>
      </c>
      <c r="BC645" s="199">
        <f t="shared" si="779"/>
        <v>0</v>
      </c>
      <c r="BD645" s="270">
        <f t="shared" si="752"/>
        <v>0</v>
      </c>
      <c r="BE645" s="199">
        <f t="shared" si="780"/>
        <v>0</v>
      </c>
      <c r="BF645" s="251">
        <f t="shared" si="753"/>
        <v>0</v>
      </c>
      <c r="BG645" s="204">
        <f t="shared" si="781"/>
        <v>0</v>
      </c>
      <c r="BH645" s="636">
        <v>1</v>
      </c>
      <c r="BI645" s="199">
        <f t="shared" si="723"/>
        <v>171403.78453891177</v>
      </c>
      <c r="BJ645" s="199">
        <f t="shared" si="724"/>
        <v>342807.56907782354</v>
      </c>
      <c r="BK645" s="199">
        <f t="shared" si="731"/>
        <v>514211.35361673532</v>
      </c>
      <c r="BL645" s="251">
        <f t="shared" si="725"/>
        <v>2.1696718114590213E-3</v>
      </c>
      <c r="BM645" s="199">
        <f t="shared" si="782"/>
        <v>34673.025098202488</v>
      </c>
      <c r="BN645" s="251">
        <f t="shared" si="726"/>
        <v>1.4972890549645199E-3</v>
      </c>
      <c r="BT645" s="199">
        <f>'Detailed Budget'!$AD$12</f>
        <v>194045122715</v>
      </c>
      <c r="BU645" s="199">
        <f>'Detailed Budget'!$AD$24</f>
        <v>194045122715</v>
      </c>
      <c r="BV645" s="596">
        <f t="shared" si="783"/>
        <v>0</v>
      </c>
      <c r="BW645" s="278"/>
      <c r="BX645" s="275">
        <f t="shared" si="768"/>
        <v>0</v>
      </c>
      <c r="BY645" s="275">
        <f t="shared" si="769"/>
        <v>0</v>
      </c>
      <c r="CA645" s="199">
        <f>'Detailed Budget'!$AD$96</f>
        <v>71050111380.677719</v>
      </c>
      <c r="CB645" s="275">
        <f t="shared" si="727"/>
        <v>143509328.78854236</v>
      </c>
      <c r="CE645" s="199">
        <f>'Detailed Budget'!$AD$175</f>
        <v>4330586076.5988197</v>
      </c>
      <c r="CF645" s="275">
        <f t="shared" si="784"/>
        <v>0</v>
      </c>
      <c r="CG645" s="199">
        <f>'Detailed Budget'!$AD$176</f>
        <v>20662817754.37001</v>
      </c>
      <c r="CH645" s="275">
        <f t="shared" si="785"/>
        <v>0</v>
      </c>
      <c r="CI645" s="275">
        <f t="shared" si="734"/>
        <v>0</v>
      </c>
      <c r="CJ645" s="275">
        <f>'Detailed Budget'!$AD$178</f>
        <v>46025131033.061455</v>
      </c>
      <c r="CK645" s="275">
        <f t="shared" si="786"/>
        <v>0</v>
      </c>
      <c r="CL645" s="275">
        <f t="shared" si="737"/>
        <v>0</v>
      </c>
      <c r="CM645" s="278">
        <f>'Detailed Budget'!$AD$189</f>
        <v>77498869683.252869</v>
      </c>
      <c r="CN645" s="275">
        <f t="shared" si="728"/>
        <v>168147112.97168988</v>
      </c>
      <c r="CO645" s="140">
        <f>'Detailed Budget'!$AD$191</f>
        <v>2684962805.4134097</v>
      </c>
      <c r="CP645" s="616">
        <f t="shared" si="729"/>
        <v>5825488.1137214098</v>
      </c>
      <c r="CQ645" s="616">
        <f t="shared" si="730"/>
        <v>173972601.08541128</v>
      </c>
      <c r="CR645" s="199">
        <f>'Detailed Budget'!$AD$195</f>
        <v>18734176418</v>
      </c>
      <c r="CS645" s="275">
        <f t="shared" si="787"/>
        <v>28050477.304445814</v>
      </c>
      <c r="CW645" s="278"/>
      <c r="DH645" s="140">
        <f>'Detailed Budget'!$AD$163</f>
        <v>4928560000</v>
      </c>
      <c r="DI645" s="616">
        <f t="shared" si="788"/>
        <v>9520000</v>
      </c>
    </row>
    <row r="646" spans="1:113" outlineLevel="1">
      <c r="A646" s="214" t="s">
        <v>1368</v>
      </c>
      <c r="B646" s="215" t="s">
        <v>1369</v>
      </c>
      <c r="C646" s="216" t="s">
        <v>234</v>
      </c>
      <c r="D646" s="217"/>
      <c r="E646" s="216"/>
      <c r="F646" s="216"/>
      <c r="G646" s="216" t="s">
        <v>234</v>
      </c>
      <c r="H646" s="216" t="s">
        <v>234</v>
      </c>
      <c r="I646" s="217"/>
      <c r="J646" s="217" t="s">
        <v>234</v>
      </c>
      <c r="K646" s="216"/>
      <c r="L646" s="216" t="s">
        <v>234</v>
      </c>
      <c r="M646" s="217"/>
      <c r="N646" s="216"/>
      <c r="O646" s="217"/>
      <c r="P646" s="216"/>
      <c r="Q646" s="217"/>
      <c r="R646" s="217" t="s">
        <v>234</v>
      </c>
      <c r="S646" s="217"/>
      <c r="T646" s="217"/>
      <c r="U646" s="218">
        <f t="shared" si="777"/>
        <v>6</v>
      </c>
      <c r="V646" s="867" t="s">
        <v>1355</v>
      </c>
      <c r="W646" s="219">
        <v>352285</v>
      </c>
      <c r="X646" s="220">
        <v>2.96</v>
      </c>
      <c r="Y646" s="221">
        <f t="shared" si="770"/>
        <v>1.0296000000000001</v>
      </c>
      <c r="Z646" s="199">
        <v>19</v>
      </c>
      <c r="AA646" s="221">
        <f t="shared" si="771"/>
        <v>1.7406126843598355</v>
      </c>
      <c r="AB646" s="199">
        <f t="shared" si="774"/>
        <v>613191.73950970464</v>
      </c>
      <c r="AC646">
        <v>12.5</v>
      </c>
      <c r="AD646" s="199">
        <f t="shared" si="775"/>
        <v>76648.96743871308</v>
      </c>
      <c r="AE646" s="199">
        <f t="shared" si="772"/>
        <v>72816.51906677743</v>
      </c>
      <c r="AF646" s="199">
        <f t="shared" si="733"/>
        <v>0</v>
      </c>
      <c r="AG646" s="614">
        <f t="shared" si="732"/>
        <v>3.3667161711393267E-3</v>
      </c>
      <c r="AH646" s="199">
        <f t="shared" si="789"/>
        <v>30659.586975485232</v>
      </c>
      <c r="AI646" s="252">
        <f t="shared" ref="AI646:AI709" si="790">AH646/12908475</f>
        <v>2.3751517491791426E-3</v>
      </c>
      <c r="AJ646" s="199">
        <f t="shared" si="717"/>
        <v>107308.55441419831</v>
      </c>
      <c r="AK646" s="199">
        <f t="shared" si="735"/>
        <v>24527.669580388185</v>
      </c>
      <c r="AL646" s="199">
        <f t="shared" si="736"/>
        <v>24527.669580388185</v>
      </c>
      <c r="AM646" s="199">
        <f t="shared" si="718"/>
        <v>49055.33916077637</v>
      </c>
      <c r="AN646" s="645">
        <f t="shared" si="719"/>
        <v>2.3751517491791426E-3</v>
      </c>
      <c r="AO646" s="199">
        <v>15</v>
      </c>
      <c r="AP646" s="250">
        <f t="shared" si="742"/>
        <v>1.7043517782070218E-3</v>
      </c>
      <c r="AQ646" s="199">
        <v>15</v>
      </c>
      <c r="AU646" s="199">
        <v>0</v>
      </c>
      <c r="AW646" s="250">
        <f t="shared" si="720"/>
        <v>0</v>
      </c>
      <c r="AX646" s="199">
        <v>1</v>
      </c>
      <c r="AY646" s="199">
        <f t="shared" si="778"/>
        <v>28128.999484458644</v>
      </c>
      <c r="AZ646" s="199">
        <f t="shared" si="721"/>
        <v>28128.999484458644</v>
      </c>
      <c r="BA646" s="252">
        <f t="shared" si="722"/>
        <v>2.2111218973200094E-3</v>
      </c>
      <c r="BB646" s="284">
        <v>0</v>
      </c>
      <c r="BC646" s="199">
        <f t="shared" si="779"/>
        <v>0</v>
      </c>
      <c r="BD646" s="270">
        <f t="shared" si="752"/>
        <v>0</v>
      </c>
      <c r="BE646" s="199">
        <f t="shared" si="780"/>
        <v>0</v>
      </c>
      <c r="BF646" s="251">
        <f t="shared" si="753"/>
        <v>0</v>
      </c>
      <c r="BG646" s="204">
        <f t="shared" si="781"/>
        <v>0</v>
      </c>
      <c r="BH646" s="636">
        <v>1</v>
      </c>
      <c r="BI646" s="199">
        <f t="shared" si="723"/>
        <v>187636.6722899696</v>
      </c>
      <c r="BJ646" s="199">
        <f t="shared" si="724"/>
        <v>375273.34457993921</v>
      </c>
      <c r="BK646" s="199">
        <f t="shared" si="731"/>
        <v>562910.01686990878</v>
      </c>
      <c r="BL646" s="251">
        <f t="shared" si="725"/>
        <v>2.3751517491791422E-3</v>
      </c>
      <c r="BM646" s="199">
        <f t="shared" si="782"/>
        <v>37956.752618705141</v>
      </c>
      <c r="BN646" s="251">
        <f t="shared" si="726"/>
        <v>1.6390906215139956E-3</v>
      </c>
      <c r="BT646" s="199">
        <f>'Detailed Budget'!$AD$12</f>
        <v>194045122715</v>
      </c>
      <c r="BU646" s="199">
        <f>'Detailed Budget'!$AD$24</f>
        <v>194045122715</v>
      </c>
      <c r="BV646" s="596">
        <f t="shared" si="783"/>
        <v>0</v>
      </c>
      <c r="BW646" s="278"/>
      <c r="BX646" s="275">
        <f t="shared" si="768"/>
        <v>0</v>
      </c>
      <c r="BY646" s="275">
        <f t="shared" si="769"/>
        <v>0</v>
      </c>
      <c r="CA646" s="199">
        <f>'Detailed Budget'!$AD$96</f>
        <v>71050111380.677719</v>
      </c>
      <c r="CB646" s="275">
        <f t="shared" si="727"/>
        <v>157100457.08084211</v>
      </c>
      <c r="CE646" s="199">
        <f>'Detailed Budget'!$AD$175</f>
        <v>4330586076.5988197</v>
      </c>
      <c r="CF646" s="275">
        <f t="shared" si="784"/>
        <v>0</v>
      </c>
      <c r="CG646" s="199">
        <f>'Detailed Budget'!$AD$176</f>
        <v>20662817754.37001</v>
      </c>
      <c r="CH646" s="275">
        <f t="shared" si="785"/>
        <v>0</v>
      </c>
      <c r="CI646" s="275">
        <f t="shared" si="734"/>
        <v>0</v>
      </c>
      <c r="CJ646" s="275">
        <f>'Detailed Budget'!$AD$178</f>
        <v>46025131033.061455</v>
      </c>
      <c r="CK646" s="275">
        <f t="shared" si="786"/>
        <v>0</v>
      </c>
      <c r="CL646" s="275">
        <f t="shared" si="737"/>
        <v>0</v>
      </c>
      <c r="CM646" s="278">
        <f>'Detailed Budget'!$AD$189</f>
        <v>77498869683.252869</v>
      </c>
      <c r="CN646" s="275">
        <f t="shared" si="728"/>
        <v>184071575.88758445</v>
      </c>
      <c r="CO646" s="140">
        <f>'Detailed Budget'!$AD$191</f>
        <v>2684962805.4134097</v>
      </c>
      <c r="CP646" s="616">
        <f t="shared" si="729"/>
        <v>6377194.1037585977</v>
      </c>
      <c r="CQ646" s="616">
        <f t="shared" si="730"/>
        <v>190448769.99134305</v>
      </c>
      <c r="CR646" s="199">
        <f>'Detailed Budget'!$AD$195</f>
        <v>18734176418</v>
      </c>
      <c r="CS646" s="275">
        <f t="shared" si="787"/>
        <v>30707012.86853246</v>
      </c>
      <c r="CW646" s="278"/>
      <c r="DH646" s="140">
        <f>'Detailed Budget'!$AD$163</f>
        <v>4928560000</v>
      </c>
      <c r="DI646" s="616">
        <f t="shared" si="788"/>
        <v>8400000</v>
      </c>
    </row>
    <row r="647" spans="1:113" outlineLevel="1">
      <c r="A647" s="214"/>
      <c r="B647" s="215"/>
      <c r="C647" s="216"/>
      <c r="D647" s="217"/>
      <c r="E647" s="216"/>
      <c r="F647" s="216"/>
      <c r="G647" s="216"/>
      <c r="H647" s="216"/>
      <c r="I647" s="217"/>
      <c r="J647" s="217"/>
      <c r="K647" s="216"/>
      <c r="L647" s="216"/>
      <c r="M647" s="217"/>
      <c r="N647" s="216"/>
      <c r="O647" s="217"/>
      <c r="P647" s="216"/>
      <c r="Q647" s="217"/>
      <c r="R647" s="217"/>
      <c r="S647" s="217"/>
      <c r="T647" s="217"/>
      <c r="U647" s="218"/>
      <c r="V647" s="867"/>
      <c r="W647" s="219"/>
      <c r="X647" s="220"/>
      <c r="Y647" s="221"/>
      <c r="Z647" s="199"/>
      <c r="AA647" s="221"/>
      <c r="AF647" s="199">
        <f t="shared" si="733"/>
        <v>0</v>
      </c>
      <c r="AG647" s="614">
        <f t="shared" si="732"/>
        <v>0</v>
      </c>
      <c r="AJ647" s="199"/>
      <c r="AK647" s="199">
        <f t="shared" si="735"/>
        <v>0</v>
      </c>
      <c r="AL647" s="199">
        <f t="shared" si="736"/>
        <v>0</v>
      </c>
      <c r="AM647" s="199">
        <f t="shared" ref="AM647:AM710" si="791">AK647+AL647</f>
        <v>0</v>
      </c>
      <c r="AN647" s="645">
        <f t="shared" ref="AN647:AN710" si="792">AM647/20653560</f>
        <v>0</v>
      </c>
      <c r="AP647" s="250">
        <f t="shared" ref="AP647:AP710" si="793">AO647/8801</f>
        <v>0</v>
      </c>
      <c r="AW647" s="250">
        <f t="shared" ref="AW647:AW710" si="794">AV647/34743979</f>
        <v>0</v>
      </c>
      <c r="AX647" s="199"/>
      <c r="BA647" s="252">
        <f t="shared" ref="BA647:BA710" si="795">AZ647/12721596</f>
        <v>0</v>
      </c>
      <c r="BB647" s="284"/>
      <c r="BD647" s="270"/>
      <c r="BF647" s="251"/>
      <c r="BG647" s="204"/>
      <c r="BH647" s="636"/>
      <c r="BI647" s="199">
        <f t="shared" ref="BI647:BI710" si="796">AK647*0.85*0.75*12</f>
        <v>0</v>
      </c>
      <c r="BJ647" s="199">
        <f t="shared" ref="BJ647:BJ710" si="797">AL647*0.85*0.75*2*12</f>
        <v>0</v>
      </c>
      <c r="BK647" s="199">
        <f t="shared" si="731"/>
        <v>0</v>
      </c>
      <c r="BL647" s="251">
        <f t="shared" ref="BL647:BL710" si="798">BK647/236999601</f>
        <v>0</v>
      </c>
      <c r="BN647" s="251">
        <f t="shared" ref="BN647:BN710" si="799">BM647/23157202</f>
        <v>0</v>
      </c>
      <c r="BT647" s="199"/>
      <c r="BU647" s="199"/>
      <c r="BV647" s="596"/>
      <c r="BW647" s="278"/>
      <c r="BX647" s="275"/>
      <c r="BY647" s="275"/>
      <c r="CA647" s="199">
        <f>'Detailed Budget'!$AD$96</f>
        <v>71050111380.677719</v>
      </c>
      <c r="CB647" s="275">
        <f t="shared" ref="CB647:CB710" si="800">BA647*CA647</f>
        <v>0</v>
      </c>
      <c r="CE647" s="199"/>
      <c r="CF647" s="275"/>
      <c r="CG647" s="199"/>
      <c r="CH647" s="275"/>
      <c r="CI647" s="275"/>
      <c r="CJ647" s="275"/>
      <c r="CK647" s="275"/>
      <c r="CL647" s="275"/>
      <c r="CM647" s="278">
        <f>'Detailed Budget'!$AD$189</f>
        <v>77498869683.252869</v>
      </c>
      <c r="CN647" s="275">
        <f t="shared" ref="CN647:CN710" si="801">BH647*BL647*CM647</f>
        <v>0</v>
      </c>
      <c r="CO647" s="140">
        <f>'Detailed Budget'!$AD$191</f>
        <v>2684962805.4134097</v>
      </c>
      <c r="CP647" s="616">
        <f t="shared" ref="CP647:CP710" si="802">BH647*AN647*CO647</f>
        <v>0</v>
      </c>
      <c r="CQ647" s="616">
        <f t="shared" ref="CQ647:CQ710" si="803">CN647+CP647</f>
        <v>0</v>
      </c>
      <c r="CR647" s="199"/>
      <c r="CS647" s="275"/>
      <c r="CW647" s="278"/>
      <c r="DH647" s="140">
        <f>'Detailed Budget'!$AD$163</f>
        <v>4928560000</v>
      </c>
      <c r="DI647" s="616">
        <f t="shared" si="788"/>
        <v>0</v>
      </c>
    </row>
    <row r="648" spans="1:113" s="213" customFormat="1">
      <c r="A648" s="206">
        <v>5.3</v>
      </c>
      <c r="B648" s="207" t="s">
        <v>1370</v>
      </c>
      <c r="C648" s="208">
        <f t="shared" ref="C648:T648" si="804">COUNTA(C650:C667)</f>
        <v>18</v>
      </c>
      <c r="D648" s="208">
        <f t="shared" si="804"/>
        <v>0</v>
      </c>
      <c r="E648" s="208">
        <f t="shared" si="804"/>
        <v>0</v>
      </c>
      <c r="F648" s="208">
        <f t="shared" si="804"/>
        <v>0</v>
      </c>
      <c r="G648" s="208">
        <f t="shared" si="804"/>
        <v>18</v>
      </c>
      <c r="H648" s="208">
        <f t="shared" si="804"/>
        <v>18</v>
      </c>
      <c r="I648" s="208">
        <f t="shared" si="804"/>
        <v>18</v>
      </c>
      <c r="J648" s="208">
        <f t="shared" si="804"/>
        <v>0</v>
      </c>
      <c r="K648" s="208">
        <f t="shared" si="804"/>
        <v>4</v>
      </c>
      <c r="L648" s="208">
        <f t="shared" si="804"/>
        <v>0</v>
      </c>
      <c r="M648" s="208">
        <f t="shared" si="804"/>
        <v>12</v>
      </c>
      <c r="N648" s="208">
        <f t="shared" si="804"/>
        <v>2</v>
      </c>
      <c r="O648" s="208">
        <f t="shared" si="804"/>
        <v>0</v>
      </c>
      <c r="P648" s="208">
        <f t="shared" si="804"/>
        <v>0</v>
      </c>
      <c r="Q648" s="208">
        <f t="shared" si="804"/>
        <v>0</v>
      </c>
      <c r="R648" s="208">
        <f t="shared" si="804"/>
        <v>18</v>
      </c>
      <c r="S648" s="208">
        <f t="shared" si="804"/>
        <v>0</v>
      </c>
      <c r="T648" s="208">
        <f t="shared" si="804"/>
        <v>0</v>
      </c>
      <c r="U648" s="209">
        <f>SUM(C648:T648)</f>
        <v>108</v>
      </c>
      <c r="V648" s="866"/>
      <c r="W648" s="210">
        <f>SUM(W650:W667)</f>
        <v>2892988</v>
      </c>
      <c r="X648" s="211">
        <v>2.89</v>
      </c>
      <c r="Y648" s="212">
        <f t="shared" si="770"/>
        <v>1.0288999999999999</v>
      </c>
      <c r="Z648" s="210">
        <v>19</v>
      </c>
      <c r="AA648" s="212">
        <f t="shared" si="771"/>
        <v>1.7182651319612778</v>
      </c>
      <c r="AB648" s="210">
        <f t="shared" si="774"/>
        <v>4970920.4075823929</v>
      </c>
      <c r="AC648" s="213">
        <v>12.9</v>
      </c>
      <c r="AD648" s="210">
        <f t="shared" si="775"/>
        <v>641248.73257812869</v>
      </c>
      <c r="AE648" s="210">
        <f t="shared" si="772"/>
        <v>609186.29594922229</v>
      </c>
      <c r="AF648" s="210">
        <f>SUM(AF650:AF667)</f>
        <v>0</v>
      </c>
      <c r="AG648" s="614">
        <f t="shared" si="732"/>
        <v>2.816609994674223E-2</v>
      </c>
      <c r="AH648" s="210">
        <f>SUM(AH650:AH667)</f>
        <v>248546.0203791197</v>
      </c>
      <c r="AI648" s="252">
        <f t="shared" si="790"/>
        <v>1.9254483614766244E-2</v>
      </c>
      <c r="AJ648" s="210">
        <f>SUM(AJ650:AJ667)</f>
        <v>889794.75295724825</v>
      </c>
      <c r="AK648" s="199">
        <f t="shared" si="735"/>
        <v>198836.81630329572</v>
      </c>
      <c r="AL648" s="199">
        <f t="shared" si="736"/>
        <v>198836.81630329572</v>
      </c>
      <c r="AM648" s="199">
        <f t="shared" si="791"/>
        <v>397673.63260659145</v>
      </c>
      <c r="AN648" s="645">
        <f t="shared" si="792"/>
        <v>1.9254483614766241E-2</v>
      </c>
      <c r="AO648" s="210">
        <f>SUM(AO650:AO667)</f>
        <v>193</v>
      </c>
      <c r="AP648" s="250">
        <f t="shared" si="793"/>
        <v>2.1929326212930349E-2</v>
      </c>
      <c r="AQ648" s="210">
        <f>SUM(AQ650:AQ667)</f>
        <v>193</v>
      </c>
      <c r="AR648" s="210"/>
      <c r="AS648" s="210"/>
      <c r="AT648" s="210"/>
      <c r="AU648" s="199"/>
      <c r="AV648" s="199"/>
      <c r="AW648" s="250">
        <f t="shared" si="794"/>
        <v>0</v>
      </c>
      <c r="AX648" s="199"/>
      <c r="AY648" s="210">
        <v>348676</v>
      </c>
      <c r="AZ648" s="210">
        <f>SUM(AZ650:AZ667)</f>
        <v>348675.90319356881</v>
      </c>
      <c r="BA648" s="252">
        <f t="shared" si="795"/>
        <v>2.7408188657584223E-2</v>
      </c>
      <c r="BB648" s="284"/>
      <c r="BC648" s="210"/>
      <c r="BD648" s="270">
        <f t="shared" si="752"/>
        <v>0</v>
      </c>
      <c r="BE648" s="210"/>
      <c r="BF648" s="251">
        <f t="shared" si="753"/>
        <v>0</v>
      </c>
      <c r="BH648"/>
      <c r="BI648" s="199">
        <f t="shared" si="796"/>
        <v>1521101.6447202121</v>
      </c>
      <c r="BJ648" s="199">
        <f t="shared" si="797"/>
        <v>3042203.2894404242</v>
      </c>
      <c r="BK648" s="199">
        <f t="shared" ref="BK648:BK711" si="805">BI648+BJ648</f>
        <v>4563304.9341606367</v>
      </c>
      <c r="BL648" s="251">
        <f t="shared" si="798"/>
        <v>1.9254483614766241E-2</v>
      </c>
      <c r="BM648" s="210">
        <v>412849</v>
      </c>
      <c r="BN648" s="251">
        <f t="shared" si="799"/>
        <v>1.7828103757958323E-2</v>
      </c>
      <c r="BT648" s="210">
        <f>'Detailed Budget'!$AD$12</f>
        <v>194045122715</v>
      </c>
      <c r="BU648" s="210">
        <f>'Detailed Budget'!$AD$24</f>
        <v>194045122715</v>
      </c>
      <c r="BV648" s="596">
        <f>AV648/34743979</f>
        <v>0</v>
      </c>
      <c r="BW648" s="278"/>
      <c r="BX648" s="613">
        <f t="shared" si="768"/>
        <v>0</v>
      </c>
      <c r="BY648" s="613">
        <f t="shared" si="769"/>
        <v>0</v>
      </c>
      <c r="CA648" s="210">
        <f>'Detailed Budget'!$AD$96</f>
        <v>71050111380.677719</v>
      </c>
      <c r="CB648" s="613">
        <f t="shared" si="800"/>
        <v>1947354856.8639867</v>
      </c>
      <c r="CE648" s="210">
        <f>'Detailed Budget'!$AD$175</f>
        <v>4330586076.5988197</v>
      </c>
      <c r="CF648" s="613">
        <f>SUM(CF650:CF667)</f>
        <v>0</v>
      </c>
      <c r="CG648" s="632">
        <f>'Detailed Budget'!$AD$176</f>
        <v>20662817754.37001</v>
      </c>
      <c r="CH648" s="613">
        <f>SUM(CH650:CH667)</f>
        <v>0</v>
      </c>
      <c r="CI648" s="613">
        <f>SUM(CI650:CI667)</f>
        <v>0</v>
      </c>
      <c r="CJ648" s="275">
        <f>'Detailed Budget'!$AD$178</f>
        <v>46025131033.061455</v>
      </c>
      <c r="CK648" s="613">
        <f t="shared" ref="CK648:CL648" si="806">SUM(CK650:CK667)</f>
        <v>0</v>
      </c>
      <c r="CL648" s="613">
        <f t="shared" si="806"/>
        <v>0</v>
      </c>
      <c r="CM648" s="278">
        <f>'Detailed Budget'!$AD$189</f>
        <v>77498869683.252869</v>
      </c>
      <c r="CN648" s="275">
        <f t="shared" si="801"/>
        <v>0</v>
      </c>
      <c r="CO648" s="140">
        <f>'Detailed Budget'!$AD$191</f>
        <v>2684962805.4134097</v>
      </c>
      <c r="CP648" s="616">
        <f t="shared" si="802"/>
        <v>0</v>
      </c>
      <c r="CQ648" s="616">
        <f t="shared" si="803"/>
        <v>0</v>
      </c>
      <c r="CR648" s="210">
        <f>'Detailed Budget'!$AD$195</f>
        <v>18734176418</v>
      </c>
      <c r="CS648" s="275">
        <f>BN648*CR648</f>
        <v>333994841</v>
      </c>
      <c r="CW648" s="278"/>
      <c r="DH648" s="140">
        <f>'Detailed Budget'!$AD$163</f>
        <v>4928560000</v>
      </c>
      <c r="DI648" s="616">
        <f t="shared" si="788"/>
        <v>108080000</v>
      </c>
    </row>
    <row r="649" spans="1:113" s="213" customFormat="1">
      <c r="A649" s="214" t="s">
        <v>2345</v>
      </c>
      <c r="B649" s="215" t="s">
        <v>2318</v>
      </c>
      <c r="C649" s="208"/>
      <c r="D649" s="208"/>
      <c r="E649" s="208"/>
      <c r="F649" s="208"/>
      <c r="G649" s="208"/>
      <c r="H649" s="208"/>
      <c r="I649" s="208"/>
      <c r="J649" s="208"/>
      <c r="K649" s="208"/>
      <c r="L649" s="208"/>
      <c r="M649" s="208"/>
      <c r="N649" s="208"/>
      <c r="O649" s="208"/>
      <c r="P649" s="208"/>
      <c r="Q649" s="208"/>
      <c r="R649" s="208"/>
      <c r="S649" s="208"/>
      <c r="T649" s="208"/>
      <c r="U649" s="209"/>
      <c r="V649" s="866"/>
      <c r="W649" s="210"/>
      <c r="X649" s="211"/>
      <c r="Y649" s="212"/>
      <c r="Z649" s="210"/>
      <c r="AA649" s="212"/>
      <c r="AB649" s="210"/>
      <c r="AD649" s="210"/>
      <c r="AE649" s="199"/>
      <c r="AF649" s="199"/>
      <c r="AG649" s="614">
        <f t="shared" ref="AG649:AG712" si="807">AE649/21628351</f>
        <v>0</v>
      </c>
      <c r="AH649" s="210"/>
      <c r="AI649" s="252"/>
      <c r="AJ649" s="199"/>
      <c r="AK649" s="199">
        <f t="shared" si="735"/>
        <v>0</v>
      </c>
      <c r="AL649" s="199">
        <f t="shared" si="736"/>
        <v>0</v>
      </c>
      <c r="AM649" s="199">
        <f t="shared" si="791"/>
        <v>0</v>
      </c>
      <c r="AN649" s="645">
        <f t="shared" si="792"/>
        <v>0</v>
      </c>
      <c r="AO649" s="210"/>
      <c r="AP649" s="250"/>
      <c r="AQ649" s="210"/>
      <c r="AR649" s="210"/>
      <c r="AS649" s="210"/>
      <c r="AT649" s="210"/>
      <c r="AU649" s="199"/>
      <c r="AV649" s="199"/>
      <c r="AW649" s="250">
        <f t="shared" si="794"/>
        <v>0</v>
      </c>
      <c r="AX649" s="199"/>
      <c r="AY649" s="210"/>
      <c r="AZ649" s="199"/>
      <c r="BA649" s="252">
        <f t="shared" si="795"/>
        <v>0</v>
      </c>
      <c r="BB649" s="284"/>
      <c r="BC649" s="210"/>
      <c r="BD649" s="270">
        <f t="shared" si="752"/>
        <v>0</v>
      </c>
      <c r="BE649" s="210"/>
      <c r="BF649" s="251">
        <f t="shared" si="753"/>
        <v>0</v>
      </c>
      <c r="BH649"/>
      <c r="BI649" s="199">
        <f t="shared" si="796"/>
        <v>0</v>
      </c>
      <c r="BJ649" s="199">
        <f t="shared" si="797"/>
        <v>0</v>
      </c>
      <c r="BK649" s="199">
        <f t="shared" si="805"/>
        <v>0</v>
      </c>
      <c r="BL649" s="251">
        <f t="shared" si="798"/>
        <v>0</v>
      </c>
      <c r="BM649" s="210"/>
      <c r="BN649" s="251">
        <f t="shared" si="799"/>
        <v>0</v>
      </c>
      <c r="BT649" s="210"/>
      <c r="BU649" s="210"/>
      <c r="BV649" s="596"/>
      <c r="BW649" s="278"/>
      <c r="BX649" s="275"/>
      <c r="BY649" s="275"/>
      <c r="CA649" s="210">
        <f>'Detailed Budget'!$AD$96</f>
        <v>71050111380.677719</v>
      </c>
      <c r="CB649" s="275"/>
      <c r="CE649" s="210"/>
      <c r="CF649" s="275"/>
      <c r="CG649" s="240"/>
      <c r="CH649" s="275"/>
      <c r="CI649" s="275"/>
      <c r="CJ649" s="275"/>
      <c r="CK649" s="275">
        <f t="shared" ref="CK649:CK667" si="808">BB649*AG649*CJ649</f>
        <v>0</v>
      </c>
      <c r="CL649" s="275">
        <f t="shared" si="737"/>
        <v>0</v>
      </c>
      <c r="CM649" s="278">
        <f>'Detailed Budget'!$AD$189</f>
        <v>77498869683.252869</v>
      </c>
      <c r="CN649" s="275">
        <f t="shared" si="801"/>
        <v>0</v>
      </c>
      <c r="CO649" s="140">
        <f>'Detailed Budget'!$AD$191</f>
        <v>2684962805.4134097</v>
      </c>
      <c r="CP649" s="616">
        <f t="shared" si="802"/>
        <v>0</v>
      </c>
      <c r="CQ649" s="616">
        <f t="shared" si="803"/>
        <v>0</v>
      </c>
      <c r="CR649" s="210"/>
      <c r="CS649" s="275"/>
      <c r="CW649" s="278"/>
      <c r="DH649" s="140"/>
      <c r="DI649" s="616"/>
    </row>
    <row r="650" spans="1:113" outlineLevel="1">
      <c r="A650" s="214" t="s">
        <v>1371</v>
      </c>
      <c r="B650" s="215" t="s">
        <v>1372</v>
      </c>
      <c r="C650" s="216" t="s">
        <v>234</v>
      </c>
      <c r="D650" s="217"/>
      <c r="E650" s="216"/>
      <c r="F650" s="216"/>
      <c r="G650" s="216" t="s">
        <v>234</v>
      </c>
      <c r="H650" s="216" t="s">
        <v>234</v>
      </c>
      <c r="I650" s="217" t="s">
        <v>234</v>
      </c>
      <c r="J650" s="217"/>
      <c r="K650" s="216" t="s">
        <v>234</v>
      </c>
      <c r="L650" s="216"/>
      <c r="M650" s="217"/>
      <c r="N650" s="216"/>
      <c r="O650" s="217"/>
      <c r="P650" s="216"/>
      <c r="Q650" s="217"/>
      <c r="R650" s="217" t="s">
        <v>234</v>
      </c>
      <c r="S650" s="217"/>
      <c r="T650" s="217"/>
      <c r="U650" s="218">
        <f t="shared" ref="U650:U667" si="809">COUNTA(C650:T650)</f>
        <v>6</v>
      </c>
      <c r="V650" s="867" t="s">
        <v>235</v>
      </c>
      <c r="W650" s="219">
        <v>144317</v>
      </c>
      <c r="X650" s="220">
        <v>2.89</v>
      </c>
      <c r="Y650" s="221">
        <f t="shared" si="770"/>
        <v>1.0288999999999999</v>
      </c>
      <c r="Z650" s="199">
        <v>19</v>
      </c>
      <c r="AA650" s="221">
        <f t="shared" si="771"/>
        <v>1.7182651319612778</v>
      </c>
      <c r="AB650" s="199">
        <f t="shared" si="774"/>
        <v>247974.86904925574</v>
      </c>
      <c r="AC650">
        <v>12.9</v>
      </c>
      <c r="AD650" s="199">
        <f t="shared" si="775"/>
        <v>31988.758107353988</v>
      </c>
      <c r="AE650" s="199">
        <f t="shared" si="772"/>
        <v>30389.320201986287</v>
      </c>
      <c r="AF650" s="199">
        <f t="shared" si="733"/>
        <v>0</v>
      </c>
      <c r="AG650" s="614">
        <f t="shared" si="807"/>
        <v>1.4050687545243874E-3</v>
      </c>
      <c r="AH650" s="199">
        <f>AB650*0.05</f>
        <v>12398.743452462788</v>
      </c>
      <c r="AI650" s="252">
        <f t="shared" si="790"/>
        <v>9.6051186933102388E-4</v>
      </c>
      <c r="AJ650" s="199">
        <f t="shared" ref="AJ650:AJ710" si="810">AD650+AH650</f>
        <v>44387.501559816774</v>
      </c>
      <c r="AK650" s="199">
        <f t="shared" si="735"/>
        <v>9918.9947619702289</v>
      </c>
      <c r="AL650" s="199">
        <f t="shared" si="736"/>
        <v>9918.9947619702289</v>
      </c>
      <c r="AM650" s="199">
        <f t="shared" si="791"/>
        <v>19837.989523940458</v>
      </c>
      <c r="AN650" s="645">
        <f t="shared" si="792"/>
        <v>9.6051186933102366E-4</v>
      </c>
      <c r="AO650" s="199">
        <v>10</v>
      </c>
      <c r="AP650" s="250">
        <f t="shared" si="793"/>
        <v>1.1362345188046814E-3</v>
      </c>
      <c r="AQ650" s="199">
        <v>10</v>
      </c>
      <c r="AU650" s="199">
        <v>0</v>
      </c>
      <c r="AW650" s="250">
        <f t="shared" si="794"/>
        <v>0</v>
      </c>
      <c r="AX650" s="199">
        <v>1</v>
      </c>
      <c r="AY650" s="199">
        <f t="shared" ref="AY650:AY667" si="811">AJ650/889795*348676</f>
        <v>17393.732819211924</v>
      </c>
      <c r="AZ650" s="199">
        <f t="shared" ref="AZ650:AZ710" si="812">AX650*AY650</f>
        <v>17393.732819211924</v>
      </c>
      <c r="BA650" s="252">
        <f t="shared" si="795"/>
        <v>1.3672602729415337E-3</v>
      </c>
      <c r="BB650" s="284">
        <v>0</v>
      </c>
      <c r="BC650" s="199">
        <f t="shared" ref="BC650:BC667" si="813">AD650*BB650*0.18*4</f>
        <v>0</v>
      </c>
      <c r="BD650" s="270">
        <f t="shared" si="752"/>
        <v>0</v>
      </c>
      <c r="BE650" s="199">
        <f t="shared" ref="BE650:BE667" si="814">AD650*BB650*0.77*4</f>
        <v>0</v>
      </c>
      <c r="BF650" s="251">
        <f t="shared" si="753"/>
        <v>0</v>
      </c>
      <c r="BG650" s="204">
        <f t="shared" ref="BG650:BG667" si="815">BC650+BE650</f>
        <v>0</v>
      </c>
      <c r="BH650" s="636">
        <v>1</v>
      </c>
      <c r="BI650" s="199">
        <f t="shared" si="796"/>
        <v>75880.309929072246</v>
      </c>
      <c r="BJ650" s="199">
        <f t="shared" si="797"/>
        <v>151760.61985814449</v>
      </c>
      <c r="BK650" s="199">
        <f t="shared" si="805"/>
        <v>227640.92978721674</v>
      </c>
      <c r="BL650" s="251">
        <f t="shared" si="798"/>
        <v>9.6051186933102366E-4</v>
      </c>
      <c r="BM650" s="199">
        <f t="shared" ref="BM650:BM667" si="816">AH650/248546*412849</f>
        <v>20595.015955218791</v>
      </c>
      <c r="BN650" s="251">
        <f t="shared" si="799"/>
        <v>8.8935683832696156E-4</v>
      </c>
      <c r="BT650" s="199">
        <f>'Detailed Budget'!$AD$12</f>
        <v>194045122715</v>
      </c>
      <c r="BU650" s="199">
        <f>'Detailed Budget'!$AD$24</f>
        <v>194045122715</v>
      </c>
      <c r="BV650" s="596">
        <f t="shared" ref="BV650:BV667" si="817">AV650/34743979</f>
        <v>0</v>
      </c>
      <c r="BW650" s="278"/>
      <c r="BX650" s="275">
        <f t="shared" si="768"/>
        <v>0</v>
      </c>
      <c r="BY650" s="275">
        <f t="shared" si="769"/>
        <v>0</v>
      </c>
      <c r="CA650" s="199">
        <f>'Detailed Budget'!$AD$96</f>
        <v>71050111380.677719</v>
      </c>
      <c r="CB650" s="275">
        <f t="shared" si="800"/>
        <v>97143994.678871781</v>
      </c>
      <c r="CE650" s="199">
        <f>'Detailed Budget'!$AD$175</f>
        <v>4330586076.5988197</v>
      </c>
      <c r="CF650" s="275">
        <f t="shared" ref="CF650:CF667" si="818">BB650*BD650*CE650</f>
        <v>0</v>
      </c>
      <c r="CG650" s="199">
        <f>'Detailed Budget'!$AD$176</f>
        <v>20662817754.37001</v>
      </c>
      <c r="CH650" s="275">
        <f t="shared" ref="CH650:CH667" si="819">BB650*BF650*CG650</f>
        <v>0</v>
      </c>
      <c r="CI650" s="275">
        <f t="shared" si="734"/>
        <v>0</v>
      </c>
      <c r="CJ650" s="275">
        <f>'Detailed Budget'!$AD$178</f>
        <v>46025131033.061455</v>
      </c>
      <c r="CK650" s="275">
        <f t="shared" si="808"/>
        <v>0</v>
      </c>
      <c r="CL650" s="275">
        <f t="shared" si="737"/>
        <v>0</v>
      </c>
      <c r="CM650" s="278">
        <f>'Detailed Budget'!$AD$189</f>
        <v>77498869683.252869</v>
      </c>
      <c r="CN650" s="275">
        <f t="shared" si="801"/>
        <v>74438584.190502614</v>
      </c>
      <c r="CO650" s="140">
        <f>'Detailed Budget'!$AD$191</f>
        <v>2684962805.4134097</v>
      </c>
      <c r="CP650" s="616">
        <f t="shared" si="802"/>
        <v>2578938.6433119038</v>
      </c>
      <c r="CQ650" s="616">
        <f t="shared" si="803"/>
        <v>77017522.833814517</v>
      </c>
      <c r="CR650" s="199">
        <f>'Detailed Budget'!$AD$195</f>
        <v>18734176418</v>
      </c>
      <c r="CS650" s="275">
        <f t="shared" ref="CS650:CS667" si="820">BN650*CR650</f>
        <v>16661367.907772003</v>
      </c>
      <c r="CW650" s="278"/>
      <c r="DH650" s="140">
        <f>'Detailed Budget'!$AD$163</f>
        <v>4928560000</v>
      </c>
      <c r="DI650" s="616">
        <f t="shared" ref="DI650:DI669" si="821">AP650*DH650</f>
        <v>5600000</v>
      </c>
    </row>
    <row r="651" spans="1:113" outlineLevel="1">
      <c r="A651" s="214" t="s">
        <v>1373</v>
      </c>
      <c r="B651" s="215" t="s">
        <v>1374</v>
      </c>
      <c r="C651" s="216" t="s">
        <v>234</v>
      </c>
      <c r="D651" s="217"/>
      <c r="E651" s="216"/>
      <c r="F651" s="216"/>
      <c r="G651" s="216" t="s">
        <v>234</v>
      </c>
      <c r="H651" s="216" t="s">
        <v>234</v>
      </c>
      <c r="I651" s="217" t="s">
        <v>234</v>
      </c>
      <c r="J651" s="217"/>
      <c r="K651" s="216" t="s">
        <v>234</v>
      </c>
      <c r="L651" s="216"/>
      <c r="M651" s="217"/>
      <c r="N651" s="216"/>
      <c r="O651" s="217"/>
      <c r="P651" s="216"/>
      <c r="Q651" s="217"/>
      <c r="R651" s="217" t="s">
        <v>234</v>
      </c>
      <c r="S651" s="217"/>
      <c r="T651" s="217"/>
      <c r="U651" s="218">
        <f t="shared" si="809"/>
        <v>6</v>
      </c>
      <c r="V651" s="867" t="s">
        <v>235</v>
      </c>
      <c r="W651" s="219">
        <v>149705</v>
      </c>
      <c r="X651" s="220">
        <v>2.89</v>
      </c>
      <c r="Y651" s="221">
        <f t="shared" si="770"/>
        <v>1.0288999999999999</v>
      </c>
      <c r="Z651" s="199">
        <v>19</v>
      </c>
      <c r="AA651" s="221">
        <f t="shared" si="771"/>
        <v>1.7182651319612778</v>
      </c>
      <c r="AB651" s="199">
        <f t="shared" si="774"/>
        <v>257232.88158026309</v>
      </c>
      <c r="AC651">
        <v>12.9</v>
      </c>
      <c r="AD651" s="199">
        <f t="shared" si="775"/>
        <v>33183.041723853938</v>
      </c>
      <c r="AE651" s="199">
        <f t="shared" si="772"/>
        <v>31523.889637661239</v>
      </c>
      <c r="AF651" s="199">
        <f t="shared" si="733"/>
        <v>0</v>
      </c>
      <c r="AG651" s="614">
        <f t="shared" si="807"/>
        <v>1.4575262643768468E-3</v>
      </c>
      <c r="AH651" s="199">
        <f t="shared" ref="AH651:AH667" si="822">AB651*0.05</f>
        <v>12861.644079013155</v>
      </c>
      <c r="AI651" s="252">
        <f t="shared" si="790"/>
        <v>9.9637207950692506E-4</v>
      </c>
      <c r="AJ651" s="199">
        <f t="shared" si="810"/>
        <v>46044.68580286709</v>
      </c>
      <c r="AK651" s="199">
        <f t="shared" si="735"/>
        <v>10289.315263210523</v>
      </c>
      <c r="AL651" s="199">
        <f t="shared" si="736"/>
        <v>10289.315263210523</v>
      </c>
      <c r="AM651" s="199">
        <f t="shared" si="791"/>
        <v>20578.630526421046</v>
      </c>
      <c r="AN651" s="645">
        <f t="shared" si="792"/>
        <v>9.9637207950692506E-4</v>
      </c>
      <c r="AO651" s="199">
        <v>10</v>
      </c>
      <c r="AP651" s="250">
        <f t="shared" si="793"/>
        <v>1.1362345188046814E-3</v>
      </c>
      <c r="AQ651" s="199">
        <v>10</v>
      </c>
      <c r="AU651" s="199">
        <v>0</v>
      </c>
      <c r="AW651" s="250">
        <f t="shared" si="794"/>
        <v>0</v>
      </c>
      <c r="AX651" s="199">
        <v>1</v>
      </c>
      <c r="AY651" s="199">
        <f t="shared" si="811"/>
        <v>18043.118771178175</v>
      </c>
      <c r="AZ651" s="199">
        <f t="shared" si="812"/>
        <v>18043.118771178175</v>
      </c>
      <c r="BA651" s="252">
        <f t="shared" si="795"/>
        <v>1.4183062228338469E-3</v>
      </c>
      <c r="BB651" s="284">
        <v>0</v>
      </c>
      <c r="BC651" s="199">
        <f t="shared" si="813"/>
        <v>0</v>
      </c>
      <c r="BD651" s="270">
        <f t="shared" si="752"/>
        <v>0</v>
      </c>
      <c r="BE651" s="199">
        <f t="shared" si="814"/>
        <v>0</v>
      </c>
      <c r="BF651" s="251">
        <f t="shared" si="753"/>
        <v>0</v>
      </c>
      <c r="BG651" s="204">
        <f t="shared" si="815"/>
        <v>0</v>
      </c>
      <c r="BH651" s="636">
        <v>1</v>
      </c>
      <c r="BI651" s="199">
        <f t="shared" si="796"/>
        <v>78713.261763560498</v>
      </c>
      <c r="BJ651" s="199">
        <f t="shared" si="797"/>
        <v>157426.523527121</v>
      </c>
      <c r="BK651" s="199">
        <f t="shared" si="805"/>
        <v>236139.7852906815</v>
      </c>
      <c r="BL651" s="251">
        <f t="shared" si="798"/>
        <v>9.9637207950692506E-4</v>
      </c>
      <c r="BM651" s="199">
        <f t="shared" si="816"/>
        <v>21363.920145069733</v>
      </c>
      <c r="BN651" s="251">
        <f t="shared" si="799"/>
        <v>9.225605124949781E-4</v>
      </c>
      <c r="BT651" s="199">
        <f>'Detailed Budget'!$AD$12</f>
        <v>194045122715</v>
      </c>
      <c r="BU651" s="199">
        <f>'Detailed Budget'!$AD$24</f>
        <v>194045122715</v>
      </c>
      <c r="BV651" s="596">
        <f t="shared" si="817"/>
        <v>0</v>
      </c>
      <c r="BW651" s="278"/>
      <c r="BX651" s="275">
        <f t="shared" si="768"/>
        <v>0</v>
      </c>
      <c r="BY651" s="275">
        <f t="shared" si="769"/>
        <v>0</v>
      </c>
      <c r="CA651" s="199">
        <f>'Detailed Budget'!$AD$96</f>
        <v>71050111380.677719</v>
      </c>
      <c r="CB651" s="275">
        <f t="shared" si="800"/>
        <v>100770815.10425313</v>
      </c>
      <c r="CE651" s="199">
        <f>'Detailed Budget'!$AD$175</f>
        <v>4330586076.5988197</v>
      </c>
      <c r="CF651" s="275">
        <f t="shared" si="818"/>
        <v>0</v>
      </c>
      <c r="CG651" s="199">
        <f>'Detailed Budget'!$AD$176</f>
        <v>20662817754.37001</v>
      </c>
      <c r="CH651" s="275">
        <f t="shared" si="819"/>
        <v>0</v>
      </c>
      <c r="CI651" s="275">
        <f t="shared" si="734"/>
        <v>0</v>
      </c>
      <c r="CJ651" s="275">
        <f>'Detailed Budget'!$AD$178</f>
        <v>46025131033.061455</v>
      </c>
      <c r="CK651" s="275">
        <f t="shared" si="808"/>
        <v>0</v>
      </c>
      <c r="CL651" s="275">
        <f t="shared" si="737"/>
        <v>0</v>
      </c>
      <c r="CM651" s="278">
        <f>'Detailed Budget'!$AD$189</f>
        <v>77498869683.252869</v>
      </c>
      <c r="CN651" s="275">
        <f t="shared" si="801"/>
        <v>77217709.945738852</v>
      </c>
      <c r="CO651" s="140">
        <f>'Detailed Budget'!$AD$191</f>
        <v>2684962805.4134097</v>
      </c>
      <c r="CP651" s="616">
        <f t="shared" si="802"/>
        <v>2675221.9738285062</v>
      </c>
      <c r="CQ651" s="616">
        <f t="shared" si="803"/>
        <v>79892931.919567361</v>
      </c>
      <c r="CR651" s="199">
        <f>'Detailed Budget'!$AD$195</f>
        <v>18734176418</v>
      </c>
      <c r="CS651" s="275">
        <f t="shared" si="820"/>
        <v>17283411.397361413</v>
      </c>
      <c r="CW651" s="278"/>
      <c r="DH651" s="140">
        <f>'Detailed Budget'!$AD$163</f>
        <v>4928560000</v>
      </c>
      <c r="DI651" s="616">
        <f t="shared" si="821"/>
        <v>5600000</v>
      </c>
    </row>
    <row r="652" spans="1:113" outlineLevel="1">
      <c r="A652" s="214" t="s">
        <v>1375</v>
      </c>
      <c r="B652" s="215" t="s">
        <v>1376</v>
      </c>
      <c r="C652" s="216" t="s">
        <v>234</v>
      </c>
      <c r="D652" s="217"/>
      <c r="E652" s="216"/>
      <c r="F652" s="216"/>
      <c r="G652" s="216" t="s">
        <v>234</v>
      </c>
      <c r="H652" s="216" t="s">
        <v>234</v>
      </c>
      <c r="I652" s="217" t="s">
        <v>234</v>
      </c>
      <c r="J652" s="217"/>
      <c r="K652" s="216"/>
      <c r="L652" s="216"/>
      <c r="M652" s="217" t="s">
        <v>234</v>
      </c>
      <c r="N652" s="216"/>
      <c r="O652" s="217"/>
      <c r="P652" s="216"/>
      <c r="Q652" s="217"/>
      <c r="R652" s="217" t="s">
        <v>234</v>
      </c>
      <c r="S652" s="217"/>
      <c r="T652" s="217"/>
      <c r="U652" s="218">
        <f t="shared" si="809"/>
        <v>6</v>
      </c>
      <c r="V652" s="867" t="s">
        <v>235</v>
      </c>
      <c r="W652" s="219">
        <v>272262</v>
      </c>
      <c r="X652" s="220">
        <v>2.89</v>
      </c>
      <c r="Y652" s="221">
        <f t="shared" si="770"/>
        <v>1.0288999999999999</v>
      </c>
      <c r="Z652" s="199">
        <v>19</v>
      </c>
      <c r="AA652" s="221">
        <f t="shared" si="771"/>
        <v>1.7182651319612778</v>
      </c>
      <c r="AB652" s="199">
        <f t="shared" si="774"/>
        <v>467818.30135804141</v>
      </c>
      <c r="AC652">
        <v>12.9</v>
      </c>
      <c r="AD652" s="199">
        <f t="shared" si="775"/>
        <v>60348.560875187337</v>
      </c>
      <c r="AE652" s="199">
        <f t="shared" si="772"/>
        <v>57331.132831427967</v>
      </c>
      <c r="AF652" s="199">
        <f t="shared" ref="AF652:AF715" si="823">AE652*BB652</f>
        <v>0</v>
      </c>
      <c r="AG652" s="614">
        <f t="shared" si="807"/>
        <v>2.6507398937361416E-3</v>
      </c>
      <c r="AH652" s="199">
        <f t="shared" si="822"/>
        <v>23390.915067902071</v>
      </c>
      <c r="AI652" s="252">
        <f t="shared" si="790"/>
        <v>1.8120587496123339E-3</v>
      </c>
      <c r="AJ652" s="199">
        <f t="shared" si="810"/>
        <v>83739.475943089405</v>
      </c>
      <c r="AK652" s="199">
        <f t="shared" si="735"/>
        <v>18712.732054321656</v>
      </c>
      <c r="AL652" s="199">
        <f t="shared" si="736"/>
        <v>18712.732054321656</v>
      </c>
      <c r="AM652" s="199">
        <f t="shared" si="791"/>
        <v>37425.464108643311</v>
      </c>
      <c r="AN652" s="645">
        <f t="shared" si="792"/>
        <v>1.8120587496123336E-3</v>
      </c>
      <c r="AO652" s="199">
        <v>10</v>
      </c>
      <c r="AP652" s="250">
        <f t="shared" si="793"/>
        <v>1.1362345188046814E-3</v>
      </c>
      <c r="AQ652" s="199">
        <v>10</v>
      </c>
      <c r="AU652" s="199">
        <v>0</v>
      </c>
      <c r="AW652" s="250">
        <f t="shared" si="794"/>
        <v>0</v>
      </c>
      <c r="AX652" s="199">
        <v>1</v>
      </c>
      <c r="AY652" s="199">
        <f t="shared" si="811"/>
        <v>32814.238688611018</v>
      </c>
      <c r="AZ652" s="199">
        <f t="shared" si="812"/>
        <v>32814.238688611018</v>
      </c>
      <c r="BA652" s="252">
        <f t="shared" si="795"/>
        <v>2.5794121027433209E-3</v>
      </c>
      <c r="BB652" s="284">
        <v>0</v>
      </c>
      <c r="BC652" s="199">
        <f t="shared" si="813"/>
        <v>0</v>
      </c>
      <c r="BD652" s="270">
        <f t="shared" si="752"/>
        <v>0</v>
      </c>
      <c r="BE652" s="199">
        <f t="shared" si="814"/>
        <v>0</v>
      </c>
      <c r="BF652" s="251">
        <f t="shared" si="753"/>
        <v>0</v>
      </c>
      <c r="BG652" s="204">
        <f t="shared" si="815"/>
        <v>0</v>
      </c>
      <c r="BH652" s="636">
        <v>1</v>
      </c>
      <c r="BI652" s="199">
        <f t="shared" si="796"/>
        <v>143152.40021556066</v>
      </c>
      <c r="BJ652" s="199">
        <f t="shared" si="797"/>
        <v>286304.80043112132</v>
      </c>
      <c r="BK652" s="199">
        <f t="shared" si="805"/>
        <v>429457.20064668194</v>
      </c>
      <c r="BL652" s="251">
        <f t="shared" si="798"/>
        <v>1.8120587496123334E-3</v>
      </c>
      <c r="BM652" s="199">
        <f t="shared" si="816"/>
        <v>38853.636328358945</v>
      </c>
      <c r="BN652" s="251">
        <f t="shared" si="799"/>
        <v>1.6778208493564528E-3</v>
      </c>
      <c r="BT652" s="199">
        <f>'Detailed Budget'!$AD$12</f>
        <v>194045122715</v>
      </c>
      <c r="BU652" s="199">
        <f>'Detailed Budget'!$AD$24</f>
        <v>194045122715</v>
      </c>
      <c r="BV652" s="596">
        <f t="shared" si="817"/>
        <v>0</v>
      </c>
      <c r="BW652" s="278"/>
      <c r="BX652" s="275">
        <f t="shared" si="768"/>
        <v>0</v>
      </c>
      <c r="BY652" s="275">
        <f t="shared" si="769"/>
        <v>0</v>
      </c>
      <c r="CA652" s="199">
        <f>'Detailed Budget'!$AD$96</f>
        <v>71050111380.677719</v>
      </c>
      <c r="CB652" s="275">
        <f t="shared" si="800"/>
        <v>183267517.19658107</v>
      </c>
      <c r="CE652" s="199">
        <f>'Detailed Budget'!$AD$175</f>
        <v>4330586076.5988197</v>
      </c>
      <c r="CF652" s="275">
        <f t="shared" si="818"/>
        <v>0</v>
      </c>
      <c r="CG652" s="199">
        <f>'Detailed Budget'!$AD$176</f>
        <v>20662817754.37001</v>
      </c>
      <c r="CH652" s="275">
        <f t="shared" si="819"/>
        <v>0</v>
      </c>
      <c r="CI652" s="275">
        <f t="shared" si="734"/>
        <v>0</v>
      </c>
      <c r="CJ652" s="275">
        <f>'Detailed Budget'!$AD$178</f>
        <v>46025131033.061455</v>
      </c>
      <c r="CK652" s="275">
        <f t="shared" si="808"/>
        <v>0</v>
      </c>
      <c r="CL652" s="275">
        <f t="shared" si="737"/>
        <v>0</v>
      </c>
      <c r="CM652" s="278">
        <f>'Detailed Budget'!$AD$189</f>
        <v>77498869683.252869</v>
      </c>
      <c r="CN652" s="275">
        <f t="shared" si="801"/>
        <v>140432504.89460436</v>
      </c>
      <c r="CO652" s="140">
        <f>'Detailed Budget'!$AD$191</f>
        <v>2684962805.4134097</v>
      </c>
      <c r="CP652" s="616">
        <f t="shared" si="802"/>
        <v>4865310.3439330468</v>
      </c>
      <c r="CQ652" s="616">
        <f t="shared" si="803"/>
        <v>145297815.2385374</v>
      </c>
      <c r="CR652" s="199">
        <f>'Detailed Budget'!$AD$195</f>
        <v>18734176418</v>
      </c>
      <c r="CS652" s="275">
        <f t="shared" si="820"/>
        <v>31432591.78964239</v>
      </c>
      <c r="CW652" s="278"/>
      <c r="DH652" s="140">
        <f>'Detailed Budget'!$AD$163</f>
        <v>4928560000</v>
      </c>
      <c r="DI652" s="616">
        <f t="shared" si="821"/>
        <v>5600000</v>
      </c>
    </row>
    <row r="653" spans="1:113" outlineLevel="1">
      <c r="A653" s="214" t="s">
        <v>1377</v>
      </c>
      <c r="B653" s="215" t="s">
        <v>1378</v>
      </c>
      <c r="C653" s="216" t="s">
        <v>234</v>
      </c>
      <c r="D653" s="217"/>
      <c r="E653" s="216"/>
      <c r="F653" s="216"/>
      <c r="G653" s="216" t="s">
        <v>234</v>
      </c>
      <c r="H653" s="216" t="s">
        <v>234</v>
      </c>
      <c r="I653" s="217" t="s">
        <v>234</v>
      </c>
      <c r="J653" s="217"/>
      <c r="K653" s="216"/>
      <c r="L653" s="216"/>
      <c r="M653" s="217" t="s">
        <v>234</v>
      </c>
      <c r="N653" s="216"/>
      <c r="O653" s="217"/>
      <c r="P653" s="216"/>
      <c r="Q653" s="217"/>
      <c r="R653" s="217" t="s">
        <v>234</v>
      </c>
      <c r="S653" s="217"/>
      <c r="T653" s="217"/>
      <c r="U653" s="218">
        <f t="shared" si="809"/>
        <v>6</v>
      </c>
      <c r="V653" s="867" t="s">
        <v>235</v>
      </c>
      <c r="W653" s="219">
        <v>31641</v>
      </c>
      <c r="X653" s="220">
        <v>2.89</v>
      </c>
      <c r="Y653" s="221">
        <f t="shared" si="770"/>
        <v>1.0288999999999999</v>
      </c>
      <c r="Z653" s="199">
        <v>19</v>
      </c>
      <c r="AA653" s="221">
        <f t="shared" si="771"/>
        <v>1.7182651319612778</v>
      </c>
      <c r="AB653" s="199">
        <f t="shared" si="774"/>
        <v>54367.627040386789</v>
      </c>
      <c r="AC653">
        <v>12.9</v>
      </c>
      <c r="AD653" s="199">
        <f t="shared" si="775"/>
        <v>7013.4238882098962</v>
      </c>
      <c r="AE653" s="199">
        <f t="shared" si="772"/>
        <v>6662.7526937994007</v>
      </c>
      <c r="AF653" s="199">
        <f t="shared" si="823"/>
        <v>0</v>
      </c>
      <c r="AG653" s="614">
        <f t="shared" si="807"/>
        <v>3.0805643452889222E-4</v>
      </c>
      <c r="AH653" s="199">
        <f t="shared" si="822"/>
        <v>2718.3813520193398</v>
      </c>
      <c r="AI653" s="252">
        <f t="shared" si="790"/>
        <v>2.1058888459088622E-4</v>
      </c>
      <c r="AJ653" s="199">
        <f t="shared" si="810"/>
        <v>9731.805240229236</v>
      </c>
      <c r="AK653" s="199">
        <f t="shared" si="735"/>
        <v>2174.7050816154715</v>
      </c>
      <c r="AL653" s="199">
        <f t="shared" si="736"/>
        <v>2174.7050816154715</v>
      </c>
      <c r="AM653" s="199">
        <f t="shared" si="791"/>
        <v>4349.410163230943</v>
      </c>
      <c r="AN653" s="645">
        <f t="shared" si="792"/>
        <v>2.1058888459088616E-4</v>
      </c>
      <c r="AO653" s="199">
        <v>10</v>
      </c>
      <c r="AP653" s="250">
        <f t="shared" si="793"/>
        <v>1.1362345188046814E-3</v>
      </c>
      <c r="AQ653" s="199">
        <v>10</v>
      </c>
      <c r="AU653" s="199">
        <v>0</v>
      </c>
      <c r="AW653" s="250">
        <f t="shared" si="794"/>
        <v>0</v>
      </c>
      <c r="AX653" s="199">
        <v>1</v>
      </c>
      <c r="AY653" s="199">
        <f t="shared" si="811"/>
        <v>3813.5153871871266</v>
      </c>
      <c r="AZ653" s="199">
        <f t="shared" si="812"/>
        <v>3813.5153871871266</v>
      </c>
      <c r="BA653" s="252">
        <f t="shared" si="795"/>
        <v>2.9976705652239911E-4</v>
      </c>
      <c r="BB653" s="284">
        <v>0</v>
      </c>
      <c r="BC653" s="199">
        <f t="shared" si="813"/>
        <v>0</v>
      </c>
      <c r="BD653" s="270">
        <f t="shared" si="752"/>
        <v>0</v>
      </c>
      <c r="BE653" s="199">
        <f t="shared" si="814"/>
        <v>0</v>
      </c>
      <c r="BF653" s="251">
        <f t="shared" si="753"/>
        <v>0</v>
      </c>
      <c r="BG653" s="204">
        <f t="shared" si="815"/>
        <v>0</v>
      </c>
      <c r="BH653" s="636">
        <v>1</v>
      </c>
      <c r="BI653" s="199">
        <f t="shared" si="796"/>
        <v>16636.493874358355</v>
      </c>
      <c r="BJ653" s="199">
        <f t="shared" si="797"/>
        <v>33272.98774871671</v>
      </c>
      <c r="BK653" s="199">
        <f t="shared" si="805"/>
        <v>49909.481623075066</v>
      </c>
      <c r="BL653" s="251">
        <f t="shared" si="798"/>
        <v>2.1058888459088616E-4</v>
      </c>
      <c r="BM653" s="199">
        <f t="shared" si="816"/>
        <v>4515.3855736959458</v>
      </c>
      <c r="BN653" s="251">
        <f t="shared" si="799"/>
        <v>1.9498839167598683E-4</v>
      </c>
      <c r="BT653" s="199">
        <f>'Detailed Budget'!$AD$12</f>
        <v>194045122715</v>
      </c>
      <c r="BU653" s="199">
        <f>'Detailed Budget'!$AD$24</f>
        <v>194045122715</v>
      </c>
      <c r="BV653" s="596">
        <f t="shared" si="817"/>
        <v>0</v>
      </c>
      <c r="BW653" s="278"/>
      <c r="BX653" s="275">
        <f t="shared" si="768"/>
        <v>0</v>
      </c>
      <c r="BY653" s="275">
        <f t="shared" si="769"/>
        <v>0</v>
      </c>
      <c r="CA653" s="199">
        <f>'Detailed Budget'!$AD$96</f>
        <v>71050111380.677719</v>
      </c>
      <c r="CB653" s="275">
        <f t="shared" si="800"/>
        <v>21298482.75417437</v>
      </c>
      <c r="CE653" s="199">
        <f>'Detailed Budget'!$AD$175</f>
        <v>4330586076.5988197</v>
      </c>
      <c r="CF653" s="275">
        <f t="shared" si="818"/>
        <v>0</v>
      </c>
      <c r="CG653" s="199">
        <f>'Detailed Budget'!$AD$176</f>
        <v>20662817754.37001</v>
      </c>
      <c r="CH653" s="275">
        <f t="shared" si="819"/>
        <v>0</v>
      </c>
      <c r="CI653" s="275">
        <f t="shared" si="734"/>
        <v>0</v>
      </c>
      <c r="CJ653" s="275">
        <f>'Detailed Budget'!$AD$178</f>
        <v>46025131033.061455</v>
      </c>
      <c r="CK653" s="275">
        <f t="shared" si="808"/>
        <v>0</v>
      </c>
      <c r="CL653" s="275">
        <f t="shared" si="737"/>
        <v>0</v>
      </c>
      <c r="CM653" s="278">
        <f>'Detailed Budget'!$AD$189</f>
        <v>77498869683.252869</v>
      </c>
      <c r="CN653" s="275">
        <f t="shared" si="801"/>
        <v>16320400.523650665</v>
      </c>
      <c r="CO653" s="140">
        <f>'Detailed Budget'!$AD$191</f>
        <v>2684962805.4134097</v>
      </c>
      <c r="CP653" s="616">
        <f t="shared" si="802"/>
        <v>565423.32236002642</v>
      </c>
      <c r="CQ653" s="616">
        <f t="shared" si="803"/>
        <v>16885823.846010692</v>
      </c>
      <c r="CR653" s="199">
        <f>'Detailed Budget'!$AD$195</f>
        <v>18734176418</v>
      </c>
      <c r="CS653" s="275">
        <f t="shared" si="820"/>
        <v>3652946.92912002</v>
      </c>
      <c r="CW653" s="278"/>
      <c r="DH653" s="140">
        <f>'Detailed Budget'!$AD$163</f>
        <v>4928560000</v>
      </c>
      <c r="DI653" s="616">
        <f t="shared" si="821"/>
        <v>5600000</v>
      </c>
    </row>
    <row r="654" spans="1:113" outlineLevel="1">
      <c r="A654" s="214" t="s">
        <v>1379</v>
      </c>
      <c r="B654" s="215" t="s">
        <v>1380</v>
      </c>
      <c r="C654" s="216" t="s">
        <v>234</v>
      </c>
      <c r="D654" s="217"/>
      <c r="E654" s="216"/>
      <c r="F654" s="216"/>
      <c r="G654" s="216" t="s">
        <v>234</v>
      </c>
      <c r="H654" s="216" t="s">
        <v>234</v>
      </c>
      <c r="I654" s="217" t="s">
        <v>234</v>
      </c>
      <c r="J654" s="217"/>
      <c r="K654" s="216"/>
      <c r="L654" s="216"/>
      <c r="M654" s="217" t="s">
        <v>234</v>
      </c>
      <c r="N654" s="216"/>
      <c r="O654" s="217"/>
      <c r="P654" s="216"/>
      <c r="Q654" s="217"/>
      <c r="R654" s="217" t="s">
        <v>234</v>
      </c>
      <c r="S654" s="217"/>
      <c r="T654" s="217"/>
      <c r="U654" s="218">
        <f t="shared" si="809"/>
        <v>6</v>
      </c>
      <c r="V654" s="867" t="s">
        <v>235</v>
      </c>
      <c r="W654" s="219">
        <v>105497</v>
      </c>
      <c r="X654" s="220">
        <v>2.89</v>
      </c>
      <c r="Y654" s="221">
        <f t="shared" si="770"/>
        <v>1.0288999999999999</v>
      </c>
      <c r="Z654" s="199">
        <v>19</v>
      </c>
      <c r="AA654" s="221">
        <f t="shared" si="771"/>
        <v>1.7182651319612778</v>
      </c>
      <c r="AB654" s="199">
        <f t="shared" si="774"/>
        <v>181271.81662651894</v>
      </c>
      <c r="AC654">
        <v>12.9</v>
      </c>
      <c r="AD654" s="199">
        <f t="shared" si="775"/>
        <v>23384.064344820945</v>
      </c>
      <c r="AE654" s="199">
        <f t="shared" si="772"/>
        <v>22214.861127579898</v>
      </c>
      <c r="AF654" s="199">
        <f t="shared" si="823"/>
        <v>0</v>
      </c>
      <c r="AG654" s="614">
        <f t="shared" si="807"/>
        <v>1.027117653471589E-3</v>
      </c>
      <c r="AH654" s="199">
        <f t="shared" si="822"/>
        <v>9063.5908313259479</v>
      </c>
      <c r="AI654" s="252">
        <f t="shared" si="790"/>
        <v>7.0214264902135597E-4</v>
      </c>
      <c r="AJ654" s="199">
        <f t="shared" si="810"/>
        <v>32447.655176146895</v>
      </c>
      <c r="AK654" s="199">
        <f t="shared" si="735"/>
        <v>7250.8726650607578</v>
      </c>
      <c r="AL654" s="199">
        <f t="shared" si="736"/>
        <v>7250.8726650607578</v>
      </c>
      <c r="AM654" s="199">
        <f t="shared" si="791"/>
        <v>14501.745330121516</v>
      </c>
      <c r="AN654" s="645">
        <f t="shared" si="792"/>
        <v>7.0214264902135586E-4</v>
      </c>
      <c r="AO654" s="199">
        <v>10</v>
      </c>
      <c r="AP654" s="250">
        <f t="shared" si="793"/>
        <v>1.1362345188046814E-3</v>
      </c>
      <c r="AQ654" s="199">
        <v>10</v>
      </c>
      <c r="AU654" s="199">
        <v>0</v>
      </c>
      <c r="AW654" s="250">
        <f t="shared" si="794"/>
        <v>0</v>
      </c>
      <c r="AX654" s="199">
        <v>1</v>
      </c>
      <c r="AY654" s="199">
        <f t="shared" si="811"/>
        <v>12714.972118519652</v>
      </c>
      <c r="AZ654" s="199">
        <f t="shared" si="812"/>
        <v>12714.972118519652</v>
      </c>
      <c r="BA654" s="252">
        <f t="shared" si="795"/>
        <v>9.9947931993121407E-4</v>
      </c>
      <c r="BB654" s="284">
        <v>0</v>
      </c>
      <c r="BC654" s="199">
        <f t="shared" si="813"/>
        <v>0</v>
      </c>
      <c r="BD654" s="270">
        <f t="shared" si="752"/>
        <v>0</v>
      </c>
      <c r="BE654" s="199">
        <f t="shared" si="814"/>
        <v>0</v>
      </c>
      <c r="BF654" s="251">
        <f t="shared" si="753"/>
        <v>0</v>
      </c>
      <c r="BG654" s="204">
        <f t="shared" si="815"/>
        <v>0</v>
      </c>
      <c r="BH654" s="636">
        <v>1</v>
      </c>
      <c r="BI654" s="199">
        <f t="shared" si="796"/>
        <v>55469.175887714788</v>
      </c>
      <c r="BJ654" s="199">
        <f t="shared" si="797"/>
        <v>110938.35177542958</v>
      </c>
      <c r="BK654" s="199">
        <f t="shared" si="805"/>
        <v>166407.52766314437</v>
      </c>
      <c r="BL654" s="251">
        <f t="shared" si="798"/>
        <v>7.0214264902135586E-4</v>
      </c>
      <c r="BM654" s="199">
        <f t="shared" si="816"/>
        <v>15055.138329009866</v>
      </c>
      <c r="BN654" s="251">
        <f t="shared" si="799"/>
        <v>6.5012769370884559E-4</v>
      </c>
      <c r="BT654" s="199">
        <f>'Detailed Budget'!$AD$12</f>
        <v>194045122715</v>
      </c>
      <c r="BU654" s="199">
        <f>'Detailed Budget'!$AD$24</f>
        <v>194045122715</v>
      </c>
      <c r="BV654" s="596">
        <f t="shared" si="817"/>
        <v>0</v>
      </c>
      <c r="BW654" s="278"/>
      <c r="BX654" s="275">
        <f t="shared" si="768"/>
        <v>0</v>
      </c>
      <c r="BY654" s="275">
        <f t="shared" si="769"/>
        <v>0</v>
      </c>
      <c r="CA654" s="199">
        <f>'Detailed Budget'!$AD$96</f>
        <v>71050111380.677719</v>
      </c>
      <c r="CB654" s="275">
        <f t="shared" si="800"/>
        <v>71013117.003796786</v>
      </c>
      <c r="CE654" s="199">
        <f>'Detailed Budget'!$AD$175</f>
        <v>4330586076.5988197</v>
      </c>
      <c r="CF654" s="275">
        <f t="shared" si="818"/>
        <v>0</v>
      </c>
      <c r="CG654" s="199">
        <f>'Detailed Budget'!$AD$176</f>
        <v>20662817754.37001</v>
      </c>
      <c r="CH654" s="275">
        <f t="shared" si="819"/>
        <v>0</v>
      </c>
      <c r="CI654" s="275">
        <f t="shared" si="734"/>
        <v>0</v>
      </c>
      <c r="CJ654" s="275">
        <f>'Detailed Budget'!$AD$178</f>
        <v>46025131033.061455</v>
      </c>
      <c r="CK654" s="275">
        <f t="shared" si="808"/>
        <v>0</v>
      </c>
      <c r="CL654" s="275">
        <f t="shared" si="737"/>
        <v>0</v>
      </c>
      <c r="CM654" s="278">
        <f>'Detailed Budget'!$AD$189</f>
        <v>77498869683.252869</v>
      </c>
      <c r="CN654" s="275">
        <f t="shared" si="801"/>
        <v>54415261.655560017</v>
      </c>
      <c r="CO654" s="140">
        <f>'Detailed Budget'!$AD$191</f>
        <v>2684962805.4134097</v>
      </c>
      <c r="CP654" s="616">
        <f t="shared" si="802"/>
        <v>1885226.8967167828</v>
      </c>
      <c r="CQ654" s="616">
        <f t="shared" si="803"/>
        <v>56300488.552276798</v>
      </c>
      <c r="CR654" s="199">
        <f>'Detailed Budget'!$AD$195</f>
        <v>18734176418</v>
      </c>
      <c r="CS654" s="275">
        <f t="shared" si="820"/>
        <v>12179606.908168983</v>
      </c>
      <c r="CW654" s="278"/>
      <c r="DH654" s="140">
        <f>'Detailed Budget'!$AD$163</f>
        <v>4928560000</v>
      </c>
      <c r="DI654" s="616">
        <f t="shared" si="821"/>
        <v>5600000</v>
      </c>
    </row>
    <row r="655" spans="1:113" outlineLevel="1">
      <c r="A655" s="214" t="s">
        <v>1381</v>
      </c>
      <c r="B655" s="215" t="s">
        <v>1382</v>
      </c>
      <c r="C655" s="216" t="s">
        <v>234</v>
      </c>
      <c r="D655" s="217"/>
      <c r="E655" s="216"/>
      <c r="F655" s="216"/>
      <c r="G655" s="216" t="s">
        <v>234</v>
      </c>
      <c r="H655" s="216" t="s">
        <v>234</v>
      </c>
      <c r="I655" s="217" t="s">
        <v>234</v>
      </c>
      <c r="J655" s="217"/>
      <c r="K655" s="216" t="s">
        <v>234</v>
      </c>
      <c r="L655" s="216"/>
      <c r="M655" s="217"/>
      <c r="N655" s="216"/>
      <c r="O655" s="217"/>
      <c r="P655" s="216"/>
      <c r="Q655" s="217"/>
      <c r="R655" s="217" t="s">
        <v>234</v>
      </c>
      <c r="S655" s="217"/>
      <c r="T655" s="217"/>
      <c r="U655" s="218">
        <f t="shared" si="809"/>
        <v>6</v>
      </c>
      <c r="V655" s="867" t="s">
        <v>235</v>
      </c>
      <c r="W655" s="219">
        <v>168113</v>
      </c>
      <c r="X655" s="220">
        <v>2.89</v>
      </c>
      <c r="Y655" s="221">
        <f t="shared" si="770"/>
        <v>1.0288999999999999</v>
      </c>
      <c r="Z655" s="199">
        <v>19</v>
      </c>
      <c r="AA655" s="221">
        <f t="shared" si="771"/>
        <v>1.7182651319612778</v>
      </c>
      <c r="AB655" s="199">
        <f t="shared" si="774"/>
        <v>288862.70612940629</v>
      </c>
      <c r="AC655">
        <v>12.9</v>
      </c>
      <c r="AD655" s="199">
        <f t="shared" si="775"/>
        <v>37263.289090693412</v>
      </c>
      <c r="AE655" s="199">
        <f t="shared" si="772"/>
        <v>35400.12463615874</v>
      </c>
      <c r="AF655" s="199">
        <f t="shared" si="823"/>
        <v>0</v>
      </c>
      <c r="AG655" s="614">
        <f t="shared" si="807"/>
        <v>1.6367463537168756E-3</v>
      </c>
      <c r="AH655" s="199">
        <f t="shared" si="822"/>
        <v>14443.135306470314</v>
      </c>
      <c r="AI655" s="252">
        <f t="shared" si="790"/>
        <v>1.1188878087047707E-3</v>
      </c>
      <c r="AJ655" s="199">
        <f t="shared" si="810"/>
        <v>51706.424397163726</v>
      </c>
      <c r="AK655" s="199">
        <f t="shared" si="735"/>
        <v>11554.508245176252</v>
      </c>
      <c r="AL655" s="199">
        <f t="shared" si="736"/>
        <v>11554.508245176252</v>
      </c>
      <c r="AM655" s="199">
        <f t="shared" si="791"/>
        <v>23109.016490352504</v>
      </c>
      <c r="AN655" s="645">
        <f t="shared" si="792"/>
        <v>1.1188878087047707E-3</v>
      </c>
      <c r="AO655" s="199">
        <v>11</v>
      </c>
      <c r="AP655" s="250">
        <f t="shared" si="793"/>
        <v>1.2498579706851495E-3</v>
      </c>
      <c r="AQ655" s="199">
        <v>11</v>
      </c>
      <c r="AU655" s="199">
        <v>0</v>
      </c>
      <c r="AW655" s="250">
        <f t="shared" si="794"/>
        <v>0</v>
      </c>
      <c r="AX655" s="199">
        <v>1</v>
      </c>
      <c r="AY655" s="199">
        <f t="shared" si="811"/>
        <v>20261.733582572906</v>
      </c>
      <c r="AZ655" s="199">
        <f t="shared" si="812"/>
        <v>20261.733582572906</v>
      </c>
      <c r="BA655" s="252">
        <f t="shared" si="795"/>
        <v>1.5927037442922181E-3</v>
      </c>
      <c r="BB655" s="284">
        <v>0</v>
      </c>
      <c r="BC655" s="199">
        <f t="shared" si="813"/>
        <v>0</v>
      </c>
      <c r="BD655" s="270">
        <f t="shared" si="752"/>
        <v>0</v>
      </c>
      <c r="BE655" s="199">
        <f t="shared" si="814"/>
        <v>0</v>
      </c>
      <c r="BF655" s="251">
        <f t="shared" si="753"/>
        <v>0</v>
      </c>
      <c r="BG655" s="204">
        <f t="shared" si="815"/>
        <v>0</v>
      </c>
      <c r="BH655" s="636">
        <v>1</v>
      </c>
      <c r="BI655" s="199">
        <f t="shared" si="796"/>
        <v>88391.988075598318</v>
      </c>
      <c r="BJ655" s="199">
        <f t="shared" si="797"/>
        <v>176783.97615119664</v>
      </c>
      <c r="BK655" s="199">
        <f t="shared" si="805"/>
        <v>265175.96422679495</v>
      </c>
      <c r="BL655" s="251">
        <f t="shared" si="798"/>
        <v>1.1188878087047705E-3</v>
      </c>
      <c r="BM655" s="199">
        <f t="shared" si="816"/>
        <v>23990.866753602804</v>
      </c>
      <c r="BN655" s="251">
        <f t="shared" si="799"/>
        <v>1.0360002367126567E-3</v>
      </c>
      <c r="BT655" s="199">
        <f>'Detailed Budget'!$AD$12</f>
        <v>194045122715</v>
      </c>
      <c r="BU655" s="199">
        <f>'Detailed Budget'!$AD$24</f>
        <v>194045122715</v>
      </c>
      <c r="BV655" s="596">
        <f t="shared" si="817"/>
        <v>0</v>
      </c>
      <c r="BW655" s="278"/>
      <c r="BX655" s="275">
        <f t="shared" si="768"/>
        <v>0</v>
      </c>
      <c r="BY655" s="275">
        <f t="shared" si="769"/>
        <v>0</v>
      </c>
      <c r="CA655" s="199">
        <f>'Detailed Budget'!$AD$96</f>
        <v>71050111380.677719</v>
      </c>
      <c r="CB655" s="275">
        <f t="shared" si="800"/>
        <v>113161778.42838454</v>
      </c>
      <c r="CE655" s="199">
        <f>'Detailed Budget'!$AD$175</f>
        <v>4330586076.5988197</v>
      </c>
      <c r="CF655" s="275">
        <f t="shared" si="818"/>
        <v>0</v>
      </c>
      <c r="CG655" s="199">
        <f>'Detailed Budget'!$AD$176</f>
        <v>20662817754.37001</v>
      </c>
      <c r="CH655" s="275">
        <f t="shared" si="819"/>
        <v>0</v>
      </c>
      <c r="CI655" s="275">
        <f t="shared" si="734"/>
        <v>0</v>
      </c>
      <c r="CJ655" s="275">
        <f>'Detailed Budget'!$AD$178</f>
        <v>46025131033.061455</v>
      </c>
      <c r="CK655" s="275">
        <f t="shared" si="808"/>
        <v>0</v>
      </c>
      <c r="CL655" s="275">
        <f t="shared" si="737"/>
        <v>0</v>
      </c>
      <c r="CM655" s="278">
        <f>'Detailed Budget'!$AD$189</f>
        <v>77498869683.252869</v>
      </c>
      <c r="CN655" s="275">
        <f t="shared" si="801"/>
        <v>86712540.47699137</v>
      </c>
      <c r="CO655" s="140">
        <f>'Detailed Budget'!$AD$191</f>
        <v>2684962805.4134097</v>
      </c>
      <c r="CP655" s="616">
        <f t="shared" si="802"/>
        <v>3004172.1498028236</v>
      </c>
      <c r="CQ655" s="616">
        <f t="shared" si="803"/>
        <v>89716712.626794189</v>
      </c>
      <c r="CR655" s="199">
        <f>'Detailed Budget'!$AD$195</f>
        <v>18734176418</v>
      </c>
      <c r="CS655" s="275">
        <f t="shared" si="820"/>
        <v>19408611.203664672</v>
      </c>
      <c r="CW655" s="278"/>
      <c r="DH655" s="140">
        <f>'Detailed Budget'!$AD$163</f>
        <v>4928560000</v>
      </c>
      <c r="DI655" s="616">
        <f t="shared" si="821"/>
        <v>6160000</v>
      </c>
    </row>
    <row r="656" spans="1:113" outlineLevel="1">
      <c r="A656" s="214" t="s">
        <v>1383</v>
      </c>
      <c r="B656" s="215" t="s">
        <v>1384</v>
      </c>
      <c r="C656" s="216" t="s">
        <v>234</v>
      </c>
      <c r="D656" s="217"/>
      <c r="E656" s="216"/>
      <c r="F656" s="216"/>
      <c r="G656" s="216" t="s">
        <v>234</v>
      </c>
      <c r="H656" s="216" t="s">
        <v>234</v>
      </c>
      <c r="I656" s="217" t="s">
        <v>234</v>
      </c>
      <c r="J656" s="217"/>
      <c r="K656" s="216"/>
      <c r="L656" s="216"/>
      <c r="M656" s="217" t="s">
        <v>234</v>
      </c>
      <c r="N656" s="216"/>
      <c r="O656" s="217"/>
      <c r="P656" s="216"/>
      <c r="Q656" s="217"/>
      <c r="R656" s="217" t="s">
        <v>234</v>
      </c>
      <c r="S656" s="217"/>
      <c r="T656" s="217"/>
      <c r="U656" s="218">
        <f t="shared" si="809"/>
        <v>6</v>
      </c>
      <c r="V656" s="867" t="s">
        <v>235</v>
      </c>
      <c r="W656" s="219">
        <v>186611</v>
      </c>
      <c r="X656" s="220">
        <v>2.89</v>
      </c>
      <c r="Y656" s="221">
        <f t="shared" si="770"/>
        <v>1.0288999999999999</v>
      </c>
      <c r="Z656" s="199">
        <v>19</v>
      </c>
      <c r="AA656" s="221">
        <f t="shared" si="771"/>
        <v>1.7182651319612778</v>
      </c>
      <c r="AB656" s="199">
        <f t="shared" si="774"/>
        <v>320647.174540426</v>
      </c>
      <c r="AC656">
        <v>12.9</v>
      </c>
      <c r="AD656" s="199">
        <f t="shared" si="775"/>
        <v>41363.48551571495</v>
      </c>
      <c r="AE656" s="199">
        <f t="shared" si="772"/>
        <v>39295.3112399292</v>
      </c>
      <c r="AF656" s="199">
        <f t="shared" si="823"/>
        <v>0</v>
      </c>
      <c r="AG656" s="614">
        <f t="shared" si="807"/>
        <v>1.8168426820856199E-3</v>
      </c>
      <c r="AH656" s="199">
        <f t="shared" si="822"/>
        <v>16032.358727021301</v>
      </c>
      <c r="AI656" s="252">
        <f t="shared" si="790"/>
        <v>1.2420025391861782E-3</v>
      </c>
      <c r="AJ656" s="199">
        <f t="shared" si="810"/>
        <v>57395.844242736253</v>
      </c>
      <c r="AK656" s="199">
        <f t="shared" si="735"/>
        <v>12825.886981617041</v>
      </c>
      <c r="AL656" s="199">
        <f t="shared" si="736"/>
        <v>12825.886981617041</v>
      </c>
      <c r="AM656" s="199">
        <f t="shared" si="791"/>
        <v>25651.773963234082</v>
      </c>
      <c r="AN656" s="645">
        <f t="shared" si="792"/>
        <v>1.2420025391861782E-3</v>
      </c>
      <c r="AO656" s="199">
        <v>11</v>
      </c>
      <c r="AP656" s="250">
        <f t="shared" si="793"/>
        <v>1.2498579706851495E-3</v>
      </c>
      <c r="AQ656" s="199">
        <v>11</v>
      </c>
      <c r="AU656" s="199">
        <v>0</v>
      </c>
      <c r="AW656" s="250">
        <f t="shared" si="794"/>
        <v>0</v>
      </c>
      <c r="AX656" s="199">
        <v>1</v>
      </c>
      <c r="AY656" s="199">
        <f t="shared" si="811"/>
        <v>22491.195598065067</v>
      </c>
      <c r="AZ656" s="199">
        <f t="shared" si="812"/>
        <v>22491.195598065067</v>
      </c>
      <c r="BA656" s="252">
        <f t="shared" si="795"/>
        <v>1.7679539263835346E-3</v>
      </c>
      <c r="BB656" s="284">
        <v>0</v>
      </c>
      <c r="BC656" s="199">
        <f t="shared" si="813"/>
        <v>0</v>
      </c>
      <c r="BD656" s="270">
        <f t="shared" si="752"/>
        <v>0</v>
      </c>
      <c r="BE656" s="199">
        <f t="shared" si="814"/>
        <v>0</v>
      </c>
      <c r="BF656" s="251">
        <f t="shared" si="753"/>
        <v>0</v>
      </c>
      <c r="BG656" s="204">
        <f t="shared" si="815"/>
        <v>0</v>
      </c>
      <c r="BH656" s="636">
        <v>1</v>
      </c>
      <c r="BI656" s="199">
        <f t="shared" si="796"/>
        <v>98118.03540937035</v>
      </c>
      <c r="BJ656" s="199">
        <f t="shared" si="797"/>
        <v>196236.0708187407</v>
      </c>
      <c r="BK656" s="199">
        <f t="shared" si="805"/>
        <v>294354.10622811108</v>
      </c>
      <c r="BL656" s="251">
        <f t="shared" si="798"/>
        <v>1.2420025391861782E-3</v>
      </c>
      <c r="BM656" s="199">
        <f t="shared" si="816"/>
        <v>26630.656973324923</v>
      </c>
      <c r="BN656" s="251">
        <f t="shared" si="799"/>
        <v>1.1499945880044111E-3</v>
      </c>
      <c r="BT656" s="199">
        <f>'Detailed Budget'!$AD$12</f>
        <v>194045122715</v>
      </c>
      <c r="BU656" s="199">
        <f>'Detailed Budget'!$AD$24</f>
        <v>194045122715</v>
      </c>
      <c r="BV656" s="596">
        <f t="shared" si="817"/>
        <v>0</v>
      </c>
      <c r="BW656" s="278"/>
      <c r="BX656" s="275">
        <f t="shared" si="768"/>
        <v>0</v>
      </c>
      <c r="BY656" s="275">
        <f t="shared" si="769"/>
        <v>0</v>
      </c>
      <c r="CA656" s="199">
        <f>'Detailed Budget'!$AD$96</f>
        <v>71050111380.677719</v>
      </c>
      <c r="CB656" s="275">
        <f t="shared" si="800"/>
        <v>125613323.38545664</v>
      </c>
      <c r="CE656" s="199">
        <f>'Detailed Budget'!$AD$175</f>
        <v>4330586076.5988197</v>
      </c>
      <c r="CF656" s="275">
        <f t="shared" si="818"/>
        <v>0</v>
      </c>
      <c r="CG656" s="199">
        <f>'Detailed Budget'!$AD$176</f>
        <v>20662817754.37001</v>
      </c>
      <c r="CH656" s="275">
        <f t="shared" si="819"/>
        <v>0</v>
      </c>
      <c r="CI656" s="275">
        <f t="shared" si="734"/>
        <v>0</v>
      </c>
      <c r="CJ656" s="275">
        <f>'Detailed Budget'!$AD$178</f>
        <v>46025131033.061455</v>
      </c>
      <c r="CK656" s="275">
        <f t="shared" si="808"/>
        <v>0</v>
      </c>
      <c r="CL656" s="275">
        <f t="shared" si="737"/>
        <v>0</v>
      </c>
      <c r="CM656" s="278">
        <f>'Detailed Budget'!$AD$189</f>
        <v>77498869683.252869</v>
      </c>
      <c r="CN656" s="275">
        <f t="shared" si="801"/>
        <v>96253792.930658787</v>
      </c>
      <c r="CO656" s="140">
        <f>'Detailed Budget'!$AD$191</f>
        <v>2684962805.4134097</v>
      </c>
      <c r="CP656" s="616">
        <f t="shared" si="802"/>
        <v>3334730.6219438994</v>
      </c>
      <c r="CQ656" s="616">
        <f t="shared" si="803"/>
        <v>99588523.552602693</v>
      </c>
      <c r="CR656" s="199">
        <f>'Detailed Budget'!$AD$195</f>
        <v>18734176418</v>
      </c>
      <c r="CS656" s="275">
        <f t="shared" si="820"/>
        <v>21544201.491419863</v>
      </c>
      <c r="CW656" s="278"/>
      <c r="DH656" s="140">
        <f>'Detailed Budget'!$AD$163</f>
        <v>4928560000</v>
      </c>
      <c r="DI656" s="616">
        <f t="shared" si="821"/>
        <v>6160000</v>
      </c>
    </row>
    <row r="657" spans="1:113" outlineLevel="1">
      <c r="A657" s="214" t="s">
        <v>1385</v>
      </c>
      <c r="B657" s="215" t="s">
        <v>1388</v>
      </c>
      <c r="C657" s="216" t="s">
        <v>234</v>
      </c>
      <c r="D657" s="217"/>
      <c r="E657" s="216"/>
      <c r="F657" s="216"/>
      <c r="G657" s="216" t="s">
        <v>234</v>
      </c>
      <c r="H657" s="216" t="s">
        <v>234</v>
      </c>
      <c r="I657" s="217" t="s">
        <v>234</v>
      </c>
      <c r="J657" s="217"/>
      <c r="K657" s="216"/>
      <c r="L657" s="216"/>
      <c r="M657" s="217"/>
      <c r="N657" s="216" t="s">
        <v>234</v>
      </c>
      <c r="O657" s="217"/>
      <c r="P657" s="216"/>
      <c r="Q657" s="217"/>
      <c r="R657" s="217" t="s">
        <v>234</v>
      </c>
      <c r="S657" s="217"/>
      <c r="T657" s="217"/>
      <c r="U657" s="218">
        <f t="shared" ref="U657" si="824">COUNTA(C657:T657)</f>
        <v>6</v>
      </c>
      <c r="V657" s="867" t="s">
        <v>235</v>
      </c>
      <c r="W657" s="219">
        <v>191515</v>
      </c>
      <c r="X657" s="220">
        <v>2.89</v>
      </c>
      <c r="Y657" s="221">
        <f t="shared" ref="Y657" si="825">1+X657/100</f>
        <v>1.0288999999999999</v>
      </c>
      <c r="Z657" s="199">
        <v>19</v>
      </c>
      <c r="AA657" s="221">
        <f t="shared" ref="AA657" si="826">POWER(Y657,Z657)</f>
        <v>1.7182651319612778</v>
      </c>
      <c r="AB657" s="199">
        <f t="shared" ref="AB657" si="827">W657*AA657</f>
        <v>329073.54674756411</v>
      </c>
      <c r="AC657">
        <v>12.9</v>
      </c>
      <c r="AD657" s="199">
        <f t="shared" ref="AD657" si="828">AB657*AC657/100</f>
        <v>42450.48753043577</v>
      </c>
      <c r="AE657" s="199">
        <f t="shared" si="772"/>
        <v>40327.963153913981</v>
      </c>
      <c r="AF657" s="199">
        <f t="shared" si="823"/>
        <v>0</v>
      </c>
      <c r="AG657" s="614">
        <f t="shared" si="807"/>
        <v>1.8645879731614297E-3</v>
      </c>
      <c r="AH657" s="199">
        <f t="shared" si="822"/>
        <v>16453.677337378205</v>
      </c>
      <c r="AI657" s="252">
        <f t="shared" si="790"/>
        <v>1.2746414535704802E-3</v>
      </c>
      <c r="AJ657" s="199">
        <f t="shared" si="810"/>
        <v>58904.164867813975</v>
      </c>
      <c r="AK657" s="199">
        <f t="shared" ref="AK657:AK720" si="829">AB657*0.04</f>
        <v>13162.941869902565</v>
      </c>
      <c r="AL657" s="199">
        <f t="shared" ref="AL657:AL720" si="830">AB657*0.04</f>
        <v>13162.941869902565</v>
      </c>
      <c r="AM657" s="199">
        <f t="shared" si="791"/>
        <v>26325.883739805129</v>
      </c>
      <c r="AN657" s="645">
        <f t="shared" si="792"/>
        <v>1.2746414535704804E-3</v>
      </c>
      <c r="AO657" s="199">
        <v>10</v>
      </c>
      <c r="AP657" s="250">
        <f t="shared" si="793"/>
        <v>1.1362345188046814E-3</v>
      </c>
      <c r="AQ657" s="199">
        <v>10</v>
      </c>
      <c r="AU657" s="199">
        <v>0</v>
      </c>
      <c r="AW657" s="250">
        <f t="shared" si="794"/>
        <v>0</v>
      </c>
      <c r="AX657" s="199">
        <v>1</v>
      </c>
      <c r="AY657" s="199">
        <f t="shared" si="811"/>
        <v>23082.247696885133</v>
      </c>
      <c r="AZ657" s="199">
        <f t="shared" si="812"/>
        <v>23082.247696885133</v>
      </c>
      <c r="BA657" s="252">
        <f t="shared" si="795"/>
        <v>1.8144144568720099E-3</v>
      </c>
      <c r="BB657" s="284">
        <v>0</v>
      </c>
      <c r="BC657" s="199">
        <f t="shared" si="813"/>
        <v>0</v>
      </c>
      <c r="BD657" s="270">
        <f t="shared" si="752"/>
        <v>0</v>
      </c>
      <c r="BE657" s="199">
        <f t="shared" si="814"/>
        <v>0</v>
      </c>
      <c r="BF657" s="251">
        <f t="shared" si="753"/>
        <v>0</v>
      </c>
      <c r="BG657" s="204">
        <f t="shared" si="815"/>
        <v>0</v>
      </c>
      <c r="BH657" s="636">
        <v>1</v>
      </c>
      <c r="BI657" s="199">
        <f t="shared" si="796"/>
        <v>100696.50530475462</v>
      </c>
      <c r="BJ657" s="199">
        <f t="shared" si="797"/>
        <v>201393.01060950925</v>
      </c>
      <c r="BK657" s="199">
        <f t="shared" si="805"/>
        <v>302089.5159142639</v>
      </c>
      <c r="BL657" s="251">
        <f t="shared" si="798"/>
        <v>1.2746414535704804E-3</v>
      </c>
      <c r="BM657" s="199">
        <f t="shared" si="816"/>
        <v>27330.491076336995</v>
      </c>
      <c r="BN657" s="251">
        <f t="shared" si="799"/>
        <v>1.180215601018508E-3</v>
      </c>
      <c r="BT657" s="199">
        <f>'Detailed Budget'!$AD$12</f>
        <v>194045122715</v>
      </c>
      <c r="BU657" s="199">
        <f>'Detailed Budget'!$AD$24</f>
        <v>194045122715</v>
      </c>
      <c r="BV657" s="596">
        <f t="shared" si="817"/>
        <v>0</v>
      </c>
      <c r="BW657" s="278"/>
      <c r="BX657" s="275">
        <f t="shared" ref="BX657" si="831">BT657*BV657</f>
        <v>0</v>
      </c>
      <c r="BY657" s="275">
        <f t="shared" ref="BY657" si="832">BU657*BV657</f>
        <v>0</v>
      </c>
      <c r="CA657" s="199">
        <f>'Detailed Budget'!$AD$96</f>
        <v>71050111380.677719</v>
      </c>
      <c r="CB657" s="275">
        <f t="shared" si="800"/>
        <v>128914349.25146818</v>
      </c>
      <c r="CE657" s="199">
        <f>'Detailed Budget'!$AD$175</f>
        <v>4330586076.5988197</v>
      </c>
      <c r="CF657" s="275">
        <f t="shared" si="818"/>
        <v>0</v>
      </c>
      <c r="CG657" s="199">
        <f>'Detailed Budget'!$AD$176</f>
        <v>20662817754.37001</v>
      </c>
      <c r="CH657" s="275">
        <f t="shared" si="819"/>
        <v>0</v>
      </c>
      <c r="CI657" s="275">
        <f t="shared" si="734"/>
        <v>0</v>
      </c>
      <c r="CJ657" s="275">
        <f>'Detailed Budget'!$AD$178</f>
        <v>46025131033.061455</v>
      </c>
      <c r="CK657" s="275">
        <f t="shared" si="808"/>
        <v>0</v>
      </c>
      <c r="CL657" s="275">
        <f t="shared" si="737"/>
        <v>0</v>
      </c>
      <c r="CM657" s="278">
        <f>'Detailed Budget'!$AD$189</f>
        <v>77498869683.252869</v>
      </c>
      <c r="CN657" s="275">
        <f t="shared" si="801"/>
        <v>98783271.903130665</v>
      </c>
      <c r="CO657" s="140">
        <f>'Detailed Budget'!$AD$191</f>
        <v>2684962805.4134097</v>
      </c>
      <c r="CP657" s="616">
        <f t="shared" si="802"/>
        <v>3422364.8930748235</v>
      </c>
      <c r="CQ657" s="616">
        <f t="shared" si="803"/>
        <v>102205636.79620549</v>
      </c>
      <c r="CR657" s="199">
        <f>'Detailed Budget'!$AD$195</f>
        <v>18734176418</v>
      </c>
      <c r="CS657" s="275">
        <f t="shared" si="820"/>
        <v>22110367.28075663</v>
      </c>
      <c r="CW657" s="278"/>
      <c r="DH657" s="140">
        <f>'Detailed Budget'!$AD$163</f>
        <v>4928560000</v>
      </c>
      <c r="DI657" s="616">
        <f t="shared" si="821"/>
        <v>5600000</v>
      </c>
    </row>
    <row r="658" spans="1:113" outlineLevel="1">
      <c r="A658" s="214" t="s">
        <v>1387</v>
      </c>
      <c r="B658" s="215" t="s">
        <v>1386</v>
      </c>
      <c r="C658" s="216" t="s">
        <v>234</v>
      </c>
      <c r="D658" s="217"/>
      <c r="E658" s="216"/>
      <c r="F658" s="216"/>
      <c r="G658" s="216" t="s">
        <v>234</v>
      </c>
      <c r="H658" s="216" t="s">
        <v>234</v>
      </c>
      <c r="I658" s="217" t="s">
        <v>234</v>
      </c>
      <c r="J658" s="217"/>
      <c r="K658" s="216"/>
      <c r="L658" s="216"/>
      <c r="M658" s="217"/>
      <c r="N658" s="216" t="s">
        <v>234</v>
      </c>
      <c r="O658" s="217"/>
      <c r="P658" s="216"/>
      <c r="Q658" s="217"/>
      <c r="R658" s="217" t="s">
        <v>234</v>
      </c>
      <c r="S658" s="217"/>
      <c r="T658" s="217"/>
      <c r="U658" s="218">
        <f t="shared" si="809"/>
        <v>6</v>
      </c>
      <c r="V658" s="867" t="s">
        <v>235</v>
      </c>
      <c r="W658" s="219">
        <v>183681</v>
      </c>
      <c r="X658" s="220">
        <v>2.89</v>
      </c>
      <c r="Y658" s="221">
        <f t="shared" si="770"/>
        <v>1.0288999999999999</v>
      </c>
      <c r="Z658" s="199">
        <v>19</v>
      </c>
      <c r="AA658" s="221">
        <f t="shared" si="771"/>
        <v>1.7182651319612778</v>
      </c>
      <c r="AB658" s="199">
        <f t="shared" si="774"/>
        <v>315612.65770377946</v>
      </c>
      <c r="AC658">
        <v>12.9</v>
      </c>
      <c r="AD658" s="199">
        <f t="shared" si="775"/>
        <v>40714.032843787551</v>
      </c>
      <c r="AE658" s="199">
        <f t="shared" si="772"/>
        <v>38678.331201598172</v>
      </c>
      <c r="AF658" s="199">
        <f t="shared" si="823"/>
        <v>0</v>
      </c>
      <c r="AG658" s="614">
        <f t="shared" si="807"/>
        <v>1.7883162337063131E-3</v>
      </c>
      <c r="AH658" s="199">
        <f t="shared" si="822"/>
        <v>15780.632885188974</v>
      </c>
      <c r="AI658" s="252">
        <f t="shared" si="790"/>
        <v>1.2225017196213321E-3</v>
      </c>
      <c r="AJ658" s="199">
        <f t="shared" si="810"/>
        <v>56494.665728976528</v>
      </c>
      <c r="AK658" s="199">
        <f t="shared" si="829"/>
        <v>12624.506308151178</v>
      </c>
      <c r="AL658" s="199">
        <f t="shared" si="830"/>
        <v>12624.506308151178</v>
      </c>
      <c r="AM658" s="199">
        <f t="shared" si="791"/>
        <v>25249.012616302356</v>
      </c>
      <c r="AN658" s="645">
        <f t="shared" si="792"/>
        <v>1.2225017196213319E-3</v>
      </c>
      <c r="AO658" s="199">
        <v>12</v>
      </c>
      <c r="AP658" s="250">
        <f t="shared" si="793"/>
        <v>1.3634814225656176E-3</v>
      </c>
      <c r="AQ658" s="199">
        <v>12</v>
      </c>
      <c r="AU658" s="199">
        <v>0</v>
      </c>
      <c r="AW658" s="250">
        <f t="shared" si="794"/>
        <v>0</v>
      </c>
      <c r="AX658" s="199">
        <v>1</v>
      </c>
      <c r="AY658" s="199">
        <f t="shared" si="811"/>
        <v>22138.058842448674</v>
      </c>
      <c r="AZ658" s="199">
        <f t="shared" si="812"/>
        <v>22138.058842448674</v>
      </c>
      <c r="BA658" s="252">
        <f t="shared" si="795"/>
        <v>1.7401950857776551E-3</v>
      </c>
      <c r="BB658" s="284">
        <v>0</v>
      </c>
      <c r="BC658" s="199">
        <f t="shared" si="813"/>
        <v>0</v>
      </c>
      <c r="BD658" s="270">
        <f t="shared" si="752"/>
        <v>0</v>
      </c>
      <c r="BE658" s="199">
        <f t="shared" si="814"/>
        <v>0</v>
      </c>
      <c r="BF658" s="251">
        <f t="shared" si="753"/>
        <v>0</v>
      </c>
      <c r="BG658" s="204">
        <f t="shared" si="815"/>
        <v>0</v>
      </c>
      <c r="BH658" s="636">
        <v>1</v>
      </c>
      <c r="BI658" s="199">
        <f t="shared" si="796"/>
        <v>96577.473257356527</v>
      </c>
      <c r="BJ658" s="199">
        <f t="shared" si="797"/>
        <v>193154.94651471305</v>
      </c>
      <c r="BK658" s="199">
        <f t="shared" si="805"/>
        <v>289732.41977206955</v>
      </c>
      <c r="BL658" s="251">
        <f t="shared" si="798"/>
        <v>1.2225017196213319E-3</v>
      </c>
      <c r="BM658" s="199">
        <f t="shared" si="816"/>
        <v>26212.526075725953</v>
      </c>
      <c r="BN658" s="251">
        <f t="shared" si="799"/>
        <v>1.1319383954817147E-3</v>
      </c>
      <c r="BT658" s="199">
        <f>'Detailed Budget'!$AD$12</f>
        <v>194045122715</v>
      </c>
      <c r="BU658" s="199">
        <f>'Detailed Budget'!$AD$24</f>
        <v>194045122715</v>
      </c>
      <c r="BV658" s="596">
        <f t="shared" si="817"/>
        <v>0</v>
      </c>
      <c r="BW658" s="278"/>
      <c r="BX658" s="275">
        <f t="shared" si="768"/>
        <v>0</v>
      </c>
      <c r="BY658" s="275">
        <f t="shared" si="769"/>
        <v>0</v>
      </c>
      <c r="CA658" s="199">
        <f>'Detailed Budget'!$AD$96</f>
        <v>71050111380.677719</v>
      </c>
      <c r="CB658" s="275">
        <f t="shared" si="800"/>
        <v>123641054.66861041</v>
      </c>
      <c r="CE658" s="199">
        <f>'Detailed Budget'!$AD$175</f>
        <v>4330586076.5988197</v>
      </c>
      <c r="CF658" s="275">
        <f t="shared" si="818"/>
        <v>0</v>
      </c>
      <c r="CG658" s="199">
        <f>'Detailed Budget'!$AD$176</f>
        <v>20662817754.37001</v>
      </c>
      <c r="CH658" s="275">
        <f t="shared" si="819"/>
        <v>0</v>
      </c>
      <c r="CI658" s="275">
        <f t="shared" si="734"/>
        <v>0</v>
      </c>
      <c r="CJ658" s="275">
        <f>'Detailed Budget'!$AD$178</f>
        <v>46025131033.061455</v>
      </c>
      <c r="CK658" s="275">
        <f t="shared" si="808"/>
        <v>0</v>
      </c>
      <c r="CL658" s="275">
        <f t="shared" si="737"/>
        <v>0</v>
      </c>
      <c r="CM658" s="278">
        <f>'Detailed Budget'!$AD$189</f>
        <v>77498869683.252869</v>
      </c>
      <c r="CN658" s="275">
        <f t="shared" si="801"/>
        <v>94742501.456486136</v>
      </c>
      <c r="CO658" s="140">
        <f>'Detailed Budget'!$AD$191</f>
        <v>2684962805.4134097</v>
      </c>
      <c r="CP658" s="616">
        <f t="shared" si="802"/>
        <v>3282371.6467372091</v>
      </c>
      <c r="CQ658" s="616">
        <f t="shared" si="803"/>
        <v>98024873.103223339</v>
      </c>
      <c r="CR658" s="199">
        <f>'Detailed Budget'!$AD$195</f>
        <v>18734176418</v>
      </c>
      <c r="CS658" s="275">
        <f t="shared" si="820"/>
        <v>21205933.595262296</v>
      </c>
      <c r="CW658" s="278"/>
      <c r="DH658" s="140">
        <f>'Detailed Budget'!$AD$163</f>
        <v>4928560000</v>
      </c>
      <c r="DI658" s="616">
        <f t="shared" si="821"/>
        <v>6720000</v>
      </c>
    </row>
    <row r="659" spans="1:113" outlineLevel="1">
      <c r="A659" s="214" t="s">
        <v>1389</v>
      </c>
      <c r="B659" s="215" t="s">
        <v>1390</v>
      </c>
      <c r="C659" s="216" t="s">
        <v>234</v>
      </c>
      <c r="D659" s="217"/>
      <c r="E659" s="216"/>
      <c r="F659" s="216"/>
      <c r="G659" s="216" t="s">
        <v>234</v>
      </c>
      <c r="H659" s="216" t="s">
        <v>234</v>
      </c>
      <c r="I659" s="217" t="s">
        <v>234</v>
      </c>
      <c r="J659" s="217"/>
      <c r="K659" s="216"/>
      <c r="L659" s="216"/>
      <c r="M659" s="217" t="s">
        <v>234</v>
      </c>
      <c r="N659" s="216"/>
      <c r="O659" s="217"/>
      <c r="P659" s="216"/>
      <c r="Q659" s="217"/>
      <c r="R659" s="217" t="s">
        <v>234</v>
      </c>
      <c r="S659" s="217"/>
      <c r="T659" s="217"/>
      <c r="U659" s="218">
        <f t="shared" si="809"/>
        <v>6</v>
      </c>
      <c r="V659" s="867" t="s">
        <v>235</v>
      </c>
      <c r="W659" s="219">
        <v>80036</v>
      </c>
      <c r="X659" s="220">
        <v>2.89</v>
      </c>
      <c r="Y659" s="221">
        <f t="shared" si="770"/>
        <v>1.0288999999999999</v>
      </c>
      <c r="Z659" s="199">
        <v>19</v>
      </c>
      <c r="AA659" s="221">
        <f t="shared" si="771"/>
        <v>1.7182651319612778</v>
      </c>
      <c r="AB659" s="199">
        <f t="shared" si="774"/>
        <v>137523.06810165284</v>
      </c>
      <c r="AC659">
        <v>12.9</v>
      </c>
      <c r="AD659" s="199">
        <f t="shared" si="775"/>
        <v>17740.475785113216</v>
      </c>
      <c r="AE659" s="199">
        <f t="shared" si="772"/>
        <v>16853.451995857555</v>
      </c>
      <c r="AF659" s="199">
        <f t="shared" si="823"/>
        <v>0</v>
      </c>
      <c r="AG659" s="614">
        <f t="shared" si="807"/>
        <v>7.7922963224785627E-4</v>
      </c>
      <c r="AH659" s="199">
        <f t="shared" si="822"/>
        <v>6876.1534050826422</v>
      </c>
      <c r="AI659" s="252">
        <f t="shared" si="790"/>
        <v>5.3268518590171511E-4</v>
      </c>
      <c r="AJ659" s="199">
        <f t="shared" si="810"/>
        <v>24616.629190195858</v>
      </c>
      <c r="AK659" s="199">
        <f t="shared" si="829"/>
        <v>5500.9227240661139</v>
      </c>
      <c r="AL659" s="199">
        <f t="shared" si="830"/>
        <v>5500.9227240661139</v>
      </c>
      <c r="AM659" s="199">
        <f t="shared" si="791"/>
        <v>11001.845448132228</v>
      </c>
      <c r="AN659" s="645">
        <f t="shared" si="792"/>
        <v>5.3268518590171511E-4</v>
      </c>
      <c r="AO659" s="199">
        <v>10</v>
      </c>
      <c r="AP659" s="250">
        <f t="shared" si="793"/>
        <v>1.1362345188046814E-3</v>
      </c>
      <c r="AQ659" s="199">
        <v>10</v>
      </c>
      <c r="AU659" s="199">
        <v>0</v>
      </c>
      <c r="AW659" s="250">
        <f t="shared" si="794"/>
        <v>0</v>
      </c>
      <c r="AX659" s="199">
        <v>1</v>
      </c>
      <c r="AY659" s="199">
        <f t="shared" si="811"/>
        <v>9646.2980793561783</v>
      </c>
      <c r="AZ659" s="199">
        <f t="shared" si="812"/>
        <v>9646.2980793561783</v>
      </c>
      <c r="BA659" s="252">
        <f t="shared" si="795"/>
        <v>7.5826162687104496E-4</v>
      </c>
      <c r="BB659" s="284">
        <v>0</v>
      </c>
      <c r="BC659" s="199">
        <f t="shared" si="813"/>
        <v>0</v>
      </c>
      <c r="BD659" s="270">
        <f t="shared" si="752"/>
        <v>0</v>
      </c>
      <c r="BE659" s="199">
        <f t="shared" si="814"/>
        <v>0</v>
      </c>
      <c r="BF659" s="251">
        <f t="shared" si="753"/>
        <v>0</v>
      </c>
      <c r="BG659" s="204">
        <f t="shared" si="815"/>
        <v>0</v>
      </c>
      <c r="BH659" s="636">
        <v>1</v>
      </c>
      <c r="BI659" s="199">
        <f t="shared" si="796"/>
        <v>42082.058839105775</v>
      </c>
      <c r="BJ659" s="199">
        <f t="shared" si="797"/>
        <v>84164.117678211551</v>
      </c>
      <c r="BK659" s="199">
        <f t="shared" si="805"/>
        <v>126246.17651731733</v>
      </c>
      <c r="BL659" s="251">
        <f t="shared" si="798"/>
        <v>5.3268518590171522E-4</v>
      </c>
      <c r="BM659" s="199">
        <f t="shared" si="816"/>
        <v>11421.680723628479</v>
      </c>
      <c r="BN659" s="251">
        <f t="shared" si="799"/>
        <v>4.9322369445274432E-4</v>
      </c>
      <c r="BT659" s="199">
        <f>'Detailed Budget'!$AD$12</f>
        <v>194045122715</v>
      </c>
      <c r="BU659" s="199">
        <f>'Detailed Budget'!$AD$24</f>
        <v>194045122715</v>
      </c>
      <c r="BV659" s="596">
        <f t="shared" si="817"/>
        <v>0</v>
      </c>
      <c r="BW659" s="278"/>
      <c r="BX659" s="275">
        <f t="shared" si="768"/>
        <v>0</v>
      </c>
      <c r="BY659" s="275">
        <f t="shared" si="769"/>
        <v>0</v>
      </c>
      <c r="CA659" s="199">
        <f>'Detailed Budget'!$AD$96</f>
        <v>71050111380.677719</v>
      </c>
      <c r="CB659" s="275">
        <f t="shared" si="800"/>
        <v>53874573.044881634</v>
      </c>
      <c r="CE659" s="199">
        <f>'Detailed Budget'!$AD$175</f>
        <v>4330586076.5988197</v>
      </c>
      <c r="CF659" s="275">
        <f t="shared" si="818"/>
        <v>0</v>
      </c>
      <c r="CG659" s="199">
        <f>'Detailed Budget'!$AD$176</f>
        <v>20662817754.37001</v>
      </c>
      <c r="CH659" s="275">
        <f t="shared" si="819"/>
        <v>0</v>
      </c>
      <c r="CI659" s="275">
        <f t="shared" si="734"/>
        <v>0</v>
      </c>
      <c r="CJ659" s="275">
        <f>'Detailed Budget'!$AD$178</f>
        <v>46025131033.061455</v>
      </c>
      <c r="CK659" s="275">
        <f t="shared" si="808"/>
        <v>0</v>
      </c>
      <c r="CL659" s="275">
        <f t="shared" si="737"/>
        <v>0</v>
      </c>
      <c r="CM659" s="278">
        <f>'Detailed Budget'!$AD$189</f>
        <v>77498869683.252869</v>
      </c>
      <c r="CN659" s="275">
        <f t="shared" si="801"/>
        <v>41282499.804396354</v>
      </c>
      <c r="CO659" s="140">
        <f>'Detailed Budget'!$AD$191</f>
        <v>2684962805.4134097</v>
      </c>
      <c r="CP659" s="616">
        <f t="shared" si="802"/>
        <v>1430239.9111408326</v>
      </c>
      <c r="CQ659" s="616">
        <f t="shared" si="803"/>
        <v>42712739.715537183</v>
      </c>
      <c r="CR659" s="199">
        <f>'Detailed Budget'!$AD$195</f>
        <v>18734176418</v>
      </c>
      <c r="CS659" s="275">
        <f t="shared" si="820"/>
        <v>9240139.7054154407</v>
      </c>
      <c r="CW659" s="278"/>
      <c r="DH659" s="140">
        <f>'Detailed Budget'!$AD$163</f>
        <v>4928560000</v>
      </c>
      <c r="DI659" s="616">
        <f t="shared" si="821"/>
        <v>5600000</v>
      </c>
    </row>
    <row r="660" spans="1:113" outlineLevel="1">
      <c r="A660" s="214" t="s">
        <v>1391</v>
      </c>
      <c r="B660" s="215" t="s">
        <v>1392</v>
      </c>
      <c r="C660" s="216" t="s">
        <v>234</v>
      </c>
      <c r="D660" s="217"/>
      <c r="E660" s="216"/>
      <c r="F660" s="216"/>
      <c r="G660" s="216" t="s">
        <v>234</v>
      </c>
      <c r="H660" s="216" t="s">
        <v>234</v>
      </c>
      <c r="I660" s="217" t="s">
        <v>234</v>
      </c>
      <c r="J660" s="217"/>
      <c r="K660" s="216"/>
      <c r="L660" s="216"/>
      <c r="M660" s="217" t="s">
        <v>234</v>
      </c>
      <c r="N660" s="216"/>
      <c r="O660" s="217"/>
      <c r="P660" s="216"/>
      <c r="Q660" s="217"/>
      <c r="R660" s="217" t="s">
        <v>234</v>
      </c>
      <c r="S660" s="217"/>
      <c r="T660" s="217"/>
      <c r="U660" s="218">
        <f t="shared" si="809"/>
        <v>6</v>
      </c>
      <c r="V660" s="867" t="s">
        <v>235</v>
      </c>
      <c r="W660" s="219">
        <v>163691</v>
      </c>
      <c r="X660" s="220">
        <v>2.89</v>
      </c>
      <c r="Y660" s="221">
        <f t="shared" si="770"/>
        <v>1.0288999999999999</v>
      </c>
      <c r="Z660" s="199">
        <v>19</v>
      </c>
      <c r="AA660" s="221">
        <f t="shared" si="771"/>
        <v>1.7182651319612778</v>
      </c>
      <c r="AB660" s="199">
        <f t="shared" si="774"/>
        <v>281264.53771587351</v>
      </c>
      <c r="AC660">
        <v>12.9</v>
      </c>
      <c r="AD660" s="199">
        <f t="shared" si="775"/>
        <v>36283.125365347689</v>
      </c>
      <c r="AE660" s="199">
        <f t="shared" si="772"/>
        <v>34468.969097080306</v>
      </c>
      <c r="AF660" s="199">
        <f t="shared" si="823"/>
        <v>0</v>
      </c>
      <c r="AG660" s="614">
        <f t="shared" si="807"/>
        <v>1.5936938094393005E-3</v>
      </c>
      <c r="AH660" s="199">
        <f t="shared" si="822"/>
        <v>14063.226885793676</v>
      </c>
      <c r="AI660" s="252">
        <f t="shared" si="790"/>
        <v>1.089456878972433E-3</v>
      </c>
      <c r="AJ660" s="199">
        <f t="shared" si="810"/>
        <v>50346.352251141361</v>
      </c>
      <c r="AK660" s="199">
        <f t="shared" si="829"/>
        <v>11250.581508634941</v>
      </c>
      <c r="AL660" s="199">
        <f t="shared" si="830"/>
        <v>11250.581508634941</v>
      </c>
      <c r="AM660" s="199">
        <f t="shared" si="791"/>
        <v>22501.163017269882</v>
      </c>
      <c r="AN660" s="645">
        <f t="shared" si="792"/>
        <v>1.089456878972433E-3</v>
      </c>
      <c r="AO660" s="199">
        <v>11</v>
      </c>
      <c r="AP660" s="250">
        <f t="shared" si="793"/>
        <v>1.2498579706851495E-3</v>
      </c>
      <c r="AQ660" s="199">
        <v>11</v>
      </c>
      <c r="AU660" s="199">
        <v>0</v>
      </c>
      <c r="AW660" s="250">
        <f t="shared" si="794"/>
        <v>0</v>
      </c>
      <c r="AX660" s="199">
        <v>1</v>
      </c>
      <c r="AY660" s="199">
        <f t="shared" si="811"/>
        <v>19728.774287919088</v>
      </c>
      <c r="AZ660" s="199">
        <f t="shared" si="812"/>
        <v>19728.774287919088</v>
      </c>
      <c r="BA660" s="252">
        <f t="shared" si="795"/>
        <v>1.5508096851935156E-3</v>
      </c>
      <c r="BB660" s="284">
        <v>0</v>
      </c>
      <c r="BC660" s="199">
        <f t="shared" si="813"/>
        <v>0</v>
      </c>
      <c r="BD660" s="270">
        <f t="shared" si="752"/>
        <v>0</v>
      </c>
      <c r="BE660" s="199">
        <f t="shared" si="814"/>
        <v>0</v>
      </c>
      <c r="BF660" s="251">
        <f t="shared" si="753"/>
        <v>0</v>
      </c>
      <c r="BG660" s="204">
        <f t="shared" si="815"/>
        <v>0</v>
      </c>
      <c r="BH660" s="636">
        <v>1</v>
      </c>
      <c r="BI660" s="199">
        <f t="shared" si="796"/>
        <v>86066.948541057296</v>
      </c>
      <c r="BJ660" s="199">
        <f t="shared" si="797"/>
        <v>172133.89708211459</v>
      </c>
      <c r="BK660" s="199">
        <f t="shared" si="805"/>
        <v>258200.84562317189</v>
      </c>
      <c r="BL660" s="251">
        <f t="shared" si="798"/>
        <v>1.089456878972433E-3</v>
      </c>
      <c r="BM660" s="199">
        <f t="shared" si="816"/>
        <v>23359.81732384763</v>
      </c>
      <c r="BN660" s="251">
        <f t="shared" si="799"/>
        <v>1.0087495598063889E-3</v>
      </c>
      <c r="BT660" s="199">
        <f>'Detailed Budget'!$AD$12</f>
        <v>194045122715</v>
      </c>
      <c r="BU660" s="199">
        <f>'Detailed Budget'!$AD$24</f>
        <v>194045122715</v>
      </c>
      <c r="BV660" s="596">
        <f t="shared" si="817"/>
        <v>0</v>
      </c>
      <c r="BW660" s="278"/>
      <c r="BX660" s="275">
        <f t="shared" si="768"/>
        <v>0</v>
      </c>
      <c r="BY660" s="275">
        <f t="shared" si="769"/>
        <v>0</v>
      </c>
      <c r="CA660" s="199">
        <f>'Detailed Budget'!$AD$96</f>
        <v>71050111380.677719</v>
      </c>
      <c r="CB660" s="275">
        <f t="shared" si="800"/>
        <v>110185200.86323303</v>
      </c>
      <c r="CE660" s="199">
        <f>'Detailed Budget'!$AD$175</f>
        <v>4330586076.5988197</v>
      </c>
      <c r="CF660" s="275">
        <f t="shared" si="818"/>
        <v>0</v>
      </c>
      <c r="CG660" s="199">
        <f>'Detailed Budget'!$AD$176</f>
        <v>20662817754.37001</v>
      </c>
      <c r="CH660" s="275">
        <f t="shared" si="819"/>
        <v>0</v>
      </c>
      <c r="CI660" s="275">
        <f t="shared" ref="CI660:CI729" si="833">CF660+CH660</f>
        <v>0</v>
      </c>
      <c r="CJ660" s="275">
        <f>'Detailed Budget'!$AD$178</f>
        <v>46025131033.061455</v>
      </c>
      <c r="CK660" s="275">
        <f t="shared" si="808"/>
        <v>0</v>
      </c>
      <c r="CL660" s="275">
        <f t="shared" si="737"/>
        <v>0</v>
      </c>
      <c r="CM660" s="278">
        <f>'Detailed Budget'!$AD$189</f>
        <v>77498869683.252869</v>
      </c>
      <c r="CN660" s="275">
        <f t="shared" si="801"/>
        <v>84431676.689007968</v>
      </c>
      <c r="CO660" s="140">
        <f>'Detailed Budget'!$AD$191</f>
        <v>2684962805.4134097</v>
      </c>
      <c r="CP660" s="616">
        <f t="shared" si="802"/>
        <v>2925151.1981427614</v>
      </c>
      <c r="CQ660" s="616">
        <f t="shared" si="803"/>
        <v>87356827.887150735</v>
      </c>
      <c r="CR660" s="199">
        <f>'Detailed Budget'!$AD$195</f>
        <v>18734176418</v>
      </c>
      <c r="CS660" s="275">
        <f t="shared" si="820"/>
        <v>18898092.214992732</v>
      </c>
      <c r="CW660" s="278"/>
      <c r="DH660" s="140">
        <f>'Detailed Budget'!$AD$163</f>
        <v>4928560000</v>
      </c>
      <c r="DI660" s="616">
        <f t="shared" si="821"/>
        <v>6160000</v>
      </c>
    </row>
    <row r="661" spans="1:113" outlineLevel="1">
      <c r="A661" s="214" t="s">
        <v>1393</v>
      </c>
      <c r="B661" s="215" t="s">
        <v>1394</v>
      </c>
      <c r="C661" s="216" t="s">
        <v>234</v>
      </c>
      <c r="D661" s="217"/>
      <c r="E661" s="216"/>
      <c r="F661" s="216"/>
      <c r="G661" s="216" t="s">
        <v>234</v>
      </c>
      <c r="H661" s="216" t="s">
        <v>234</v>
      </c>
      <c r="I661" s="217" t="s">
        <v>234</v>
      </c>
      <c r="J661" s="217"/>
      <c r="K661" s="216"/>
      <c r="L661" s="216"/>
      <c r="M661" s="217" t="s">
        <v>234</v>
      </c>
      <c r="N661" s="216"/>
      <c r="O661" s="217"/>
      <c r="P661" s="216"/>
      <c r="Q661" s="217"/>
      <c r="R661" s="217" t="s">
        <v>234</v>
      </c>
      <c r="S661" s="217"/>
      <c r="T661" s="217"/>
      <c r="U661" s="218">
        <f t="shared" si="809"/>
        <v>6</v>
      </c>
      <c r="V661" s="867" t="s">
        <v>235</v>
      </c>
      <c r="W661" s="219">
        <v>109633</v>
      </c>
      <c r="X661" s="220">
        <v>2.89</v>
      </c>
      <c r="Y661" s="221">
        <f t="shared" si="770"/>
        <v>1.0288999999999999</v>
      </c>
      <c r="Z661" s="199">
        <v>19</v>
      </c>
      <c r="AA661" s="221">
        <f t="shared" si="771"/>
        <v>1.7182651319612778</v>
      </c>
      <c r="AB661" s="199">
        <f t="shared" si="774"/>
        <v>188378.56121231077</v>
      </c>
      <c r="AC661">
        <v>12.9</v>
      </c>
      <c r="AD661" s="199">
        <f t="shared" si="775"/>
        <v>24300.834396388087</v>
      </c>
      <c r="AE661" s="199">
        <f t="shared" si="772"/>
        <v>23085.792676568683</v>
      </c>
      <c r="AF661" s="199">
        <f t="shared" si="823"/>
        <v>0</v>
      </c>
      <c r="AG661" s="614">
        <f t="shared" si="807"/>
        <v>1.0673857048356891E-3</v>
      </c>
      <c r="AH661" s="199">
        <f t="shared" si="822"/>
        <v>9418.9280606155389</v>
      </c>
      <c r="AI661" s="252">
        <f t="shared" si="790"/>
        <v>7.2967008578593052E-4</v>
      </c>
      <c r="AJ661" s="199">
        <f t="shared" si="810"/>
        <v>33719.762457003628</v>
      </c>
      <c r="AK661" s="199">
        <f t="shared" si="829"/>
        <v>7535.142448492431</v>
      </c>
      <c r="AL661" s="199">
        <f t="shared" si="830"/>
        <v>7535.142448492431</v>
      </c>
      <c r="AM661" s="199">
        <f t="shared" si="791"/>
        <v>15070.284896984862</v>
      </c>
      <c r="AN661" s="645">
        <f t="shared" si="792"/>
        <v>7.2967008578593041E-4</v>
      </c>
      <c r="AO661" s="199">
        <v>10</v>
      </c>
      <c r="AP661" s="250">
        <f t="shared" si="793"/>
        <v>1.1362345188046814E-3</v>
      </c>
      <c r="AQ661" s="199">
        <v>10</v>
      </c>
      <c r="AU661" s="199">
        <v>0</v>
      </c>
      <c r="AW661" s="250">
        <f t="shared" si="794"/>
        <v>0</v>
      </c>
      <c r="AX661" s="199">
        <v>1</v>
      </c>
      <c r="AY661" s="199">
        <f t="shared" si="811"/>
        <v>13213.461409041631</v>
      </c>
      <c r="AZ661" s="199">
        <f t="shared" si="812"/>
        <v>13213.461409041631</v>
      </c>
      <c r="BA661" s="252">
        <f t="shared" si="795"/>
        <v>1.0386638130185576E-3</v>
      </c>
      <c r="BB661" s="284">
        <v>0</v>
      </c>
      <c r="BC661" s="199">
        <f t="shared" si="813"/>
        <v>0</v>
      </c>
      <c r="BD661" s="270">
        <f t="shared" si="752"/>
        <v>0</v>
      </c>
      <c r="BE661" s="199">
        <f t="shared" si="814"/>
        <v>0</v>
      </c>
      <c r="BF661" s="251">
        <f t="shared" si="753"/>
        <v>0</v>
      </c>
      <c r="BG661" s="204">
        <f t="shared" si="815"/>
        <v>0</v>
      </c>
      <c r="BH661" s="636">
        <v>1</v>
      </c>
      <c r="BI661" s="199">
        <f t="shared" si="796"/>
        <v>57643.839730967098</v>
      </c>
      <c r="BJ661" s="199">
        <f t="shared" si="797"/>
        <v>115287.6794619342</v>
      </c>
      <c r="BK661" s="199">
        <f t="shared" si="805"/>
        <v>172931.51919290129</v>
      </c>
      <c r="BL661" s="251">
        <f t="shared" si="798"/>
        <v>7.2967008578593052E-4</v>
      </c>
      <c r="BM661" s="199">
        <f t="shared" si="816"/>
        <v>15645.373616542069</v>
      </c>
      <c r="BN661" s="251">
        <f t="shared" si="799"/>
        <v>6.7561588902416056E-4</v>
      </c>
      <c r="BT661" s="199">
        <f>'Detailed Budget'!$AD$12</f>
        <v>194045122715</v>
      </c>
      <c r="BU661" s="199">
        <f>'Detailed Budget'!$AD$24</f>
        <v>194045122715</v>
      </c>
      <c r="BV661" s="596">
        <f t="shared" si="817"/>
        <v>0</v>
      </c>
      <c r="BW661" s="278"/>
      <c r="BX661" s="275">
        <f t="shared" si="768"/>
        <v>0</v>
      </c>
      <c r="BY661" s="275">
        <f t="shared" si="769"/>
        <v>0</v>
      </c>
      <c r="CA661" s="199">
        <f>'Detailed Budget'!$AD$96</f>
        <v>71050111380.677719</v>
      </c>
      <c r="CB661" s="275">
        <f t="shared" si="800"/>
        <v>73797179.602047935</v>
      </c>
      <c r="CE661" s="199">
        <f>'Detailed Budget'!$AD$175</f>
        <v>4330586076.5988197</v>
      </c>
      <c r="CF661" s="275">
        <f t="shared" si="818"/>
        <v>0</v>
      </c>
      <c r="CG661" s="199">
        <f>'Detailed Budget'!$AD$176</f>
        <v>20662817754.37001</v>
      </c>
      <c r="CH661" s="275">
        <f t="shared" si="819"/>
        <v>0</v>
      </c>
      <c r="CI661" s="275">
        <f t="shared" si="833"/>
        <v>0</v>
      </c>
      <c r="CJ661" s="275">
        <f>'Detailed Budget'!$AD$178</f>
        <v>46025131033.061455</v>
      </c>
      <c r="CK661" s="275">
        <f t="shared" si="808"/>
        <v>0</v>
      </c>
      <c r="CL661" s="275">
        <f t="shared" ref="CL661:CL727" si="834">CI661+CK661</f>
        <v>0</v>
      </c>
      <c r="CM661" s="278">
        <f>'Detailed Budget'!$AD$189</f>
        <v>77498869683.252869</v>
      </c>
      <c r="CN661" s="275">
        <f t="shared" si="801"/>
        <v>56548606.890091769</v>
      </c>
      <c r="CO661" s="140">
        <f>'Detailed Budget'!$AD$191</f>
        <v>2684962805.4134097</v>
      </c>
      <c r="CP661" s="616">
        <f t="shared" si="802"/>
        <v>1959137.040558035</v>
      </c>
      <c r="CQ661" s="616">
        <f t="shared" si="803"/>
        <v>58507743.930649802</v>
      </c>
      <c r="CR661" s="199">
        <f>'Detailed Budget'!$AD$195</f>
        <v>18734176418</v>
      </c>
      <c r="CS661" s="275">
        <f t="shared" si="820"/>
        <v>12657107.255782533</v>
      </c>
      <c r="CW661" s="278"/>
      <c r="DH661" s="140">
        <f>'Detailed Budget'!$AD$163</f>
        <v>4928560000</v>
      </c>
      <c r="DI661" s="616">
        <f t="shared" si="821"/>
        <v>5600000</v>
      </c>
    </row>
    <row r="662" spans="1:113" outlineLevel="1">
      <c r="A662" s="214" t="s">
        <v>1395</v>
      </c>
      <c r="B662" s="215" t="s">
        <v>1396</v>
      </c>
      <c r="C662" s="216" t="s">
        <v>234</v>
      </c>
      <c r="D662" s="217"/>
      <c r="E662" s="216"/>
      <c r="F662" s="216"/>
      <c r="G662" s="216" t="s">
        <v>234</v>
      </c>
      <c r="H662" s="216" t="s">
        <v>234</v>
      </c>
      <c r="I662" s="217" t="s">
        <v>234</v>
      </c>
      <c r="J662" s="217"/>
      <c r="K662" s="216"/>
      <c r="L662" s="216"/>
      <c r="M662" s="217" t="s">
        <v>234</v>
      </c>
      <c r="N662" s="216"/>
      <c r="O662" s="217"/>
      <c r="P662" s="216"/>
      <c r="Q662" s="217"/>
      <c r="R662" s="217" t="s">
        <v>234</v>
      </c>
      <c r="S662" s="217"/>
      <c r="T662" s="217"/>
      <c r="U662" s="218">
        <f t="shared" si="809"/>
        <v>6</v>
      </c>
      <c r="V662" s="867" t="s">
        <v>235</v>
      </c>
      <c r="W662" s="219">
        <v>172543</v>
      </c>
      <c r="X662" s="220">
        <v>2.89</v>
      </c>
      <c r="Y662" s="221">
        <f t="shared" si="770"/>
        <v>1.0288999999999999</v>
      </c>
      <c r="Z662" s="199">
        <v>19</v>
      </c>
      <c r="AA662" s="221">
        <f t="shared" si="771"/>
        <v>1.7182651319612778</v>
      </c>
      <c r="AB662" s="199">
        <f t="shared" si="774"/>
        <v>296474.62066399475</v>
      </c>
      <c r="AC662">
        <v>12.9</v>
      </c>
      <c r="AD662" s="199">
        <f t="shared" si="775"/>
        <v>38245.226065655326</v>
      </c>
      <c r="AE662" s="199">
        <f t="shared" si="772"/>
        <v>36332.964762372561</v>
      </c>
      <c r="AF662" s="199">
        <f t="shared" si="823"/>
        <v>0</v>
      </c>
      <c r="AG662" s="614">
        <f t="shared" si="807"/>
        <v>1.6798767859081149E-3</v>
      </c>
      <c r="AH662" s="199">
        <f t="shared" si="822"/>
        <v>14823.731033199738</v>
      </c>
      <c r="AI662" s="252">
        <f t="shared" si="790"/>
        <v>1.1483719829956474E-3</v>
      </c>
      <c r="AJ662" s="199">
        <f t="shared" si="810"/>
        <v>53068.957098855062</v>
      </c>
      <c r="AK662" s="199">
        <f t="shared" si="829"/>
        <v>11858.98482655979</v>
      </c>
      <c r="AL662" s="199">
        <f t="shared" si="830"/>
        <v>11858.98482655979</v>
      </c>
      <c r="AM662" s="199">
        <f t="shared" si="791"/>
        <v>23717.96965311958</v>
      </c>
      <c r="AN662" s="645">
        <f t="shared" si="792"/>
        <v>1.1483719829956474E-3</v>
      </c>
      <c r="AO662" s="199">
        <v>11</v>
      </c>
      <c r="AP662" s="250">
        <f t="shared" si="793"/>
        <v>1.2498579706851495E-3</v>
      </c>
      <c r="AQ662" s="199">
        <v>11</v>
      </c>
      <c r="AU662" s="199">
        <v>0</v>
      </c>
      <c r="AW662" s="250">
        <f t="shared" si="794"/>
        <v>0</v>
      </c>
      <c r="AX662" s="199">
        <v>1</v>
      </c>
      <c r="AY662" s="199">
        <f t="shared" si="811"/>
        <v>20795.6570731465</v>
      </c>
      <c r="AZ662" s="199">
        <f t="shared" si="812"/>
        <v>20795.6570731465</v>
      </c>
      <c r="BA662" s="252">
        <f t="shared" si="795"/>
        <v>1.6346735954471828E-3</v>
      </c>
      <c r="BB662" s="284">
        <v>0</v>
      </c>
      <c r="BC662" s="199">
        <f t="shared" si="813"/>
        <v>0</v>
      </c>
      <c r="BD662" s="270">
        <f t="shared" si="752"/>
        <v>0</v>
      </c>
      <c r="BE662" s="199">
        <f t="shared" si="814"/>
        <v>0</v>
      </c>
      <c r="BF662" s="251">
        <f t="shared" si="753"/>
        <v>0</v>
      </c>
      <c r="BG662" s="204">
        <f t="shared" si="815"/>
        <v>0</v>
      </c>
      <c r="BH662" s="636">
        <v>1</v>
      </c>
      <c r="BI662" s="199">
        <f t="shared" si="796"/>
        <v>90721.233923182401</v>
      </c>
      <c r="BJ662" s="199">
        <f t="shared" si="797"/>
        <v>181442.4678463648</v>
      </c>
      <c r="BK662" s="199">
        <f t="shared" si="805"/>
        <v>272163.70176954719</v>
      </c>
      <c r="BL662" s="251">
        <f t="shared" si="798"/>
        <v>1.1483719829956474E-3</v>
      </c>
      <c r="BM662" s="199">
        <f t="shared" si="816"/>
        <v>24623.057837685898</v>
      </c>
      <c r="BN662" s="251">
        <f t="shared" si="799"/>
        <v>1.0633002138032866E-3</v>
      </c>
      <c r="BT662" s="199">
        <f>'Detailed Budget'!$AD$12</f>
        <v>194045122715</v>
      </c>
      <c r="BU662" s="199">
        <f>'Detailed Budget'!$AD$24</f>
        <v>194045122715</v>
      </c>
      <c r="BV662" s="596">
        <f t="shared" si="817"/>
        <v>0</v>
      </c>
      <c r="BW662" s="278"/>
      <c r="BX662" s="275">
        <f t="shared" si="768"/>
        <v>0</v>
      </c>
      <c r="BY662" s="275">
        <f t="shared" si="769"/>
        <v>0</v>
      </c>
      <c r="CA662" s="199">
        <f>'Detailed Budget'!$AD$96</f>
        <v>71050111380.677719</v>
      </c>
      <c r="CB662" s="275">
        <f t="shared" si="800"/>
        <v>116143741.02757524</v>
      </c>
      <c r="CE662" s="199">
        <f>'Detailed Budget'!$AD$175</f>
        <v>4330586076.5988197</v>
      </c>
      <c r="CF662" s="275">
        <f t="shared" si="818"/>
        <v>0</v>
      </c>
      <c r="CG662" s="199">
        <f>'Detailed Budget'!$AD$176</f>
        <v>20662817754.37001</v>
      </c>
      <c r="CH662" s="275">
        <f t="shared" si="819"/>
        <v>0</v>
      </c>
      <c r="CI662" s="275">
        <f t="shared" si="833"/>
        <v>0</v>
      </c>
      <c r="CJ662" s="275">
        <f>'Detailed Budget'!$AD$178</f>
        <v>46025131033.061455</v>
      </c>
      <c r="CK662" s="275">
        <f t="shared" si="808"/>
        <v>0</v>
      </c>
      <c r="CL662" s="275">
        <f t="shared" si="834"/>
        <v>0</v>
      </c>
      <c r="CM662" s="278">
        <f>'Detailed Budget'!$AD$189</f>
        <v>77498869683.252869</v>
      </c>
      <c r="CN662" s="275">
        <f t="shared" si="801"/>
        <v>88997530.658078358</v>
      </c>
      <c r="CO662" s="140">
        <f>'Detailed Budget'!$AD$191</f>
        <v>2684962805.4134097</v>
      </c>
      <c r="CP662" s="616">
        <f t="shared" si="802"/>
        <v>3083336.0611221539</v>
      </c>
      <c r="CQ662" s="616">
        <f t="shared" si="803"/>
        <v>92080866.719200507</v>
      </c>
      <c r="CR662" s="199">
        <f>'Detailed Budget'!$AD$195</f>
        <v>18734176418</v>
      </c>
      <c r="CS662" s="275">
        <f t="shared" si="820"/>
        <v>19920053.790687889</v>
      </c>
      <c r="CW662" s="278"/>
      <c r="DH662" s="140">
        <f>'Detailed Budget'!$AD$163</f>
        <v>4928560000</v>
      </c>
      <c r="DI662" s="616">
        <f t="shared" si="821"/>
        <v>6160000</v>
      </c>
    </row>
    <row r="663" spans="1:113" outlineLevel="1">
      <c r="A663" s="214" t="s">
        <v>1397</v>
      </c>
      <c r="B663" s="215" t="s">
        <v>1398</v>
      </c>
      <c r="C663" s="216" t="s">
        <v>234</v>
      </c>
      <c r="D663" s="217"/>
      <c r="E663" s="216"/>
      <c r="F663" s="216"/>
      <c r="G663" s="216" t="s">
        <v>234</v>
      </c>
      <c r="H663" s="216" t="s">
        <v>234</v>
      </c>
      <c r="I663" s="217" t="s">
        <v>234</v>
      </c>
      <c r="J663" s="217"/>
      <c r="K663" s="216"/>
      <c r="L663" s="216"/>
      <c r="M663" s="217" t="s">
        <v>234</v>
      </c>
      <c r="N663" s="216"/>
      <c r="O663" s="217"/>
      <c r="P663" s="216"/>
      <c r="Q663" s="217"/>
      <c r="R663" s="217" t="s">
        <v>234</v>
      </c>
      <c r="S663" s="217"/>
      <c r="T663" s="217"/>
      <c r="U663" s="218">
        <f t="shared" si="809"/>
        <v>6</v>
      </c>
      <c r="V663" s="867" t="s">
        <v>235</v>
      </c>
      <c r="W663" s="219">
        <v>161457</v>
      </c>
      <c r="X663" s="220">
        <v>2.89</v>
      </c>
      <c r="Y663" s="221">
        <f t="shared" si="770"/>
        <v>1.0288999999999999</v>
      </c>
      <c r="Z663" s="199">
        <v>19</v>
      </c>
      <c r="AA663" s="221">
        <f t="shared" si="771"/>
        <v>1.7182651319612778</v>
      </c>
      <c r="AB663" s="199">
        <f t="shared" si="774"/>
        <v>277425.93341107201</v>
      </c>
      <c r="AC663">
        <v>12.9</v>
      </c>
      <c r="AD663" s="199">
        <f t="shared" si="775"/>
        <v>35787.945410028289</v>
      </c>
      <c r="AE663" s="199">
        <f t="shared" si="772"/>
        <v>33998.548139526873</v>
      </c>
      <c r="AF663" s="199">
        <f t="shared" si="823"/>
        <v>0</v>
      </c>
      <c r="AG663" s="614">
        <f t="shared" si="807"/>
        <v>1.5719436095487295E-3</v>
      </c>
      <c r="AH663" s="199">
        <f t="shared" si="822"/>
        <v>13871.296670553602</v>
      </c>
      <c r="AI663" s="252">
        <f t="shared" si="790"/>
        <v>1.0745883360004649E-3</v>
      </c>
      <c r="AJ663" s="199">
        <f t="shared" si="810"/>
        <v>49659.242080581891</v>
      </c>
      <c r="AK663" s="199">
        <f t="shared" si="829"/>
        <v>11097.03733644288</v>
      </c>
      <c r="AL663" s="199">
        <f t="shared" si="830"/>
        <v>11097.03733644288</v>
      </c>
      <c r="AM663" s="199">
        <f t="shared" si="791"/>
        <v>22194.074672885759</v>
      </c>
      <c r="AN663" s="645">
        <f t="shared" si="792"/>
        <v>1.0745883360004649E-3</v>
      </c>
      <c r="AO663" s="199">
        <v>10</v>
      </c>
      <c r="AP663" s="250">
        <f t="shared" si="793"/>
        <v>1.1362345188046814E-3</v>
      </c>
      <c r="AQ663" s="199">
        <v>10</v>
      </c>
      <c r="AU663" s="199">
        <v>0</v>
      </c>
      <c r="AW663" s="250">
        <f t="shared" si="794"/>
        <v>0</v>
      </c>
      <c r="AX663" s="199">
        <v>1</v>
      </c>
      <c r="AY663" s="199">
        <f t="shared" si="811"/>
        <v>19459.522577322834</v>
      </c>
      <c r="AZ663" s="199">
        <f t="shared" si="812"/>
        <v>19459.522577322834</v>
      </c>
      <c r="BA663" s="252">
        <f t="shared" si="795"/>
        <v>1.5296447534824116E-3</v>
      </c>
      <c r="BB663" s="284">
        <v>0</v>
      </c>
      <c r="BC663" s="199">
        <f t="shared" si="813"/>
        <v>0</v>
      </c>
      <c r="BD663" s="270">
        <f t="shared" si="752"/>
        <v>0</v>
      </c>
      <c r="BE663" s="199">
        <f t="shared" si="814"/>
        <v>0</v>
      </c>
      <c r="BF663" s="251">
        <f t="shared" si="753"/>
        <v>0</v>
      </c>
      <c r="BG663" s="204">
        <f t="shared" si="815"/>
        <v>0</v>
      </c>
      <c r="BH663" s="636">
        <v>1</v>
      </c>
      <c r="BI663" s="199">
        <f t="shared" si="796"/>
        <v>84892.335623788022</v>
      </c>
      <c r="BJ663" s="199">
        <f t="shared" si="797"/>
        <v>169784.67124757604</v>
      </c>
      <c r="BK663" s="199">
        <f t="shared" si="805"/>
        <v>254677.00687136408</v>
      </c>
      <c r="BL663" s="251">
        <f t="shared" si="798"/>
        <v>1.0745883360004647E-3</v>
      </c>
      <c r="BM663" s="199">
        <f t="shared" si="816"/>
        <v>23041.010352777288</v>
      </c>
      <c r="BN663" s="251">
        <f t="shared" si="799"/>
        <v>9.9498248332321364E-4</v>
      </c>
      <c r="BT663" s="199">
        <f>'Detailed Budget'!$AD$12</f>
        <v>194045122715</v>
      </c>
      <c r="BU663" s="199">
        <f>'Detailed Budget'!$AD$24</f>
        <v>194045122715</v>
      </c>
      <c r="BV663" s="596">
        <f t="shared" si="817"/>
        <v>0</v>
      </c>
      <c r="BW663" s="278"/>
      <c r="BX663" s="275">
        <f t="shared" si="768"/>
        <v>0</v>
      </c>
      <c r="BY663" s="275">
        <f t="shared" si="769"/>
        <v>0</v>
      </c>
      <c r="CA663" s="199">
        <f>'Detailed Budget'!$AD$96</f>
        <v>71050111380.677719</v>
      </c>
      <c r="CB663" s="275">
        <f t="shared" si="800"/>
        <v>108681430.10779466</v>
      </c>
      <c r="CE663" s="199">
        <f>'Detailed Budget'!$AD$175</f>
        <v>4330586076.5988197</v>
      </c>
      <c r="CF663" s="275">
        <f t="shared" si="818"/>
        <v>0</v>
      </c>
      <c r="CG663" s="199">
        <f>'Detailed Budget'!$AD$176</f>
        <v>20662817754.37001</v>
      </c>
      <c r="CH663" s="275">
        <f t="shared" si="819"/>
        <v>0</v>
      </c>
      <c r="CI663" s="275">
        <f t="shared" si="833"/>
        <v>0</v>
      </c>
      <c r="CJ663" s="275">
        <f>'Detailed Budget'!$AD$178</f>
        <v>46025131033.061455</v>
      </c>
      <c r="CK663" s="275">
        <f t="shared" si="808"/>
        <v>0</v>
      </c>
      <c r="CL663" s="275">
        <f t="shared" si="834"/>
        <v>0</v>
      </c>
      <c r="CM663" s="278">
        <f>'Detailed Budget'!$AD$189</f>
        <v>77498869683.252869</v>
      </c>
      <c r="CN663" s="275">
        <f t="shared" si="801"/>
        <v>83279381.414843559</v>
      </c>
      <c r="CO663" s="140">
        <f>'Detailed Budget'!$AD$191</f>
        <v>2684962805.4134097</v>
      </c>
      <c r="CP663" s="616">
        <f t="shared" si="802"/>
        <v>2885229.7132923361</v>
      </c>
      <c r="CQ663" s="616">
        <f t="shared" si="803"/>
        <v>86164611.12813589</v>
      </c>
      <c r="CR663" s="199">
        <f>'Detailed Budget'!$AD$195</f>
        <v>18734176418</v>
      </c>
      <c r="CS663" s="275">
        <f t="shared" si="820"/>
        <v>18640177.375396829</v>
      </c>
      <c r="CW663" s="278"/>
      <c r="DH663" s="140">
        <f>'Detailed Budget'!$AD$163</f>
        <v>4928560000</v>
      </c>
      <c r="DI663" s="616">
        <f t="shared" si="821"/>
        <v>5600000</v>
      </c>
    </row>
    <row r="664" spans="1:113" outlineLevel="1">
      <c r="A664" s="214" t="s">
        <v>1399</v>
      </c>
      <c r="B664" s="215" t="s">
        <v>1400</v>
      </c>
      <c r="C664" s="216" t="s">
        <v>234</v>
      </c>
      <c r="D664" s="217"/>
      <c r="E664" s="216"/>
      <c r="F664" s="216"/>
      <c r="G664" s="216" t="s">
        <v>234</v>
      </c>
      <c r="H664" s="216" t="s">
        <v>234</v>
      </c>
      <c r="I664" s="217" t="s">
        <v>234</v>
      </c>
      <c r="J664" s="217"/>
      <c r="K664" s="216"/>
      <c r="L664" s="216"/>
      <c r="M664" s="217" t="s">
        <v>234</v>
      </c>
      <c r="N664" s="216"/>
      <c r="O664" s="217"/>
      <c r="P664" s="216"/>
      <c r="Q664" s="217"/>
      <c r="R664" s="217" t="s">
        <v>234</v>
      </c>
      <c r="S664" s="217"/>
      <c r="T664" s="217"/>
      <c r="U664" s="218">
        <f t="shared" si="809"/>
        <v>6</v>
      </c>
      <c r="V664" s="867" t="s">
        <v>235</v>
      </c>
      <c r="W664" s="219">
        <v>192884</v>
      </c>
      <c r="X664" s="220">
        <v>2.89</v>
      </c>
      <c r="Y664" s="221">
        <f t="shared" si="770"/>
        <v>1.0288999999999999</v>
      </c>
      <c r="Z664" s="199">
        <v>19</v>
      </c>
      <c r="AA664" s="221">
        <f t="shared" si="771"/>
        <v>1.7182651319612778</v>
      </c>
      <c r="AB664" s="199">
        <f t="shared" si="774"/>
        <v>331425.85171321913</v>
      </c>
      <c r="AC664">
        <v>12.9</v>
      </c>
      <c r="AD664" s="199">
        <f t="shared" si="775"/>
        <v>42753.934871005265</v>
      </c>
      <c r="AE664" s="199">
        <f t="shared" si="772"/>
        <v>40616.238127454999</v>
      </c>
      <c r="AF664" s="199">
        <f t="shared" si="823"/>
        <v>0</v>
      </c>
      <c r="AG664" s="614">
        <f t="shared" si="807"/>
        <v>1.8779165423871195E-3</v>
      </c>
      <c r="AH664" s="199">
        <f t="shared" si="822"/>
        <v>16571.292585660958</v>
      </c>
      <c r="AI664" s="252">
        <f t="shared" si="790"/>
        <v>1.2837529286504376E-3</v>
      </c>
      <c r="AJ664" s="199">
        <f t="shared" si="810"/>
        <v>59325.227456666224</v>
      </c>
      <c r="AK664" s="199">
        <f t="shared" si="829"/>
        <v>13257.034068528767</v>
      </c>
      <c r="AL664" s="199">
        <f t="shared" si="830"/>
        <v>13257.034068528767</v>
      </c>
      <c r="AM664" s="199">
        <f t="shared" si="791"/>
        <v>26514.068137057533</v>
      </c>
      <c r="AN664" s="645">
        <f t="shared" si="792"/>
        <v>1.2837529286504376E-3</v>
      </c>
      <c r="AO664" s="199">
        <v>13</v>
      </c>
      <c r="AP664" s="250">
        <f t="shared" si="793"/>
        <v>1.4771048744460858E-3</v>
      </c>
      <c r="AQ664" s="199">
        <v>13</v>
      </c>
      <c r="AU664" s="199">
        <v>0</v>
      </c>
      <c r="AW664" s="250">
        <f t="shared" si="794"/>
        <v>0</v>
      </c>
      <c r="AX664" s="199">
        <v>1</v>
      </c>
      <c r="AY664" s="199">
        <f t="shared" si="811"/>
        <v>23247.245723656069</v>
      </c>
      <c r="AZ664" s="199">
        <f t="shared" si="812"/>
        <v>23247.245723656069</v>
      </c>
      <c r="BA664" s="252">
        <f t="shared" si="795"/>
        <v>1.8273843724998082E-3</v>
      </c>
      <c r="BB664" s="284">
        <v>0</v>
      </c>
      <c r="BC664" s="199">
        <f t="shared" si="813"/>
        <v>0</v>
      </c>
      <c r="BD664" s="270">
        <f t="shared" si="752"/>
        <v>0</v>
      </c>
      <c r="BE664" s="199">
        <f t="shared" si="814"/>
        <v>0</v>
      </c>
      <c r="BF664" s="251">
        <f t="shared" si="753"/>
        <v>0</v>
      </c>
      <c r="BG664" s="204">
        <f t="shared" si="815"/>
        <v>0</v>
      </c>
      <c r="BH664" s="636">
        <v>1</v>
      </c>
      <c r="BI664" s="199">
        <f t="shared" si="796"/>
        <v>101416.31062424506</v>
      </c>
      <c r="BJ664" s="199">
        <f t="shared" si="797"/>
        <v>202832.62124849012</v>
      </c>
      <c r="BK664" s="199">
        <f t="shared" si="805"/>
        <v>304248.93187273515</v>
      </c>
      <c r="BL664" s="251">
        <f t="shared" si="798"/>
        <v>1.2837529286504376E-3</v>
      </c>
      <c r="BM664" s="199">
        <f t="shared" si="816"/>
        <v>27525.856673201502</v>
      </c>
      <c r="BN664" s="251">
        <f t="shared" si="799"/>
        <v>1.1886520950675087E-3</v>
      </c>
      <c r="BT664" s="199">
        <f>'Detailed Budget'!$AD$12</f>
        <v>194045122715</v>
      </c>
      <c r="BU664" s="199">
        <f>'Detailed Budget'!$AD$24</f>
        <v>194045122715</v>
      </c>
      <c r="BV664" s="596">
        <f t="shared" si="817"/>
        <v>0</v>
      </c>
      <c r="BW664" s="278"/>
      <c r="BX664" s="275">
        <f t="shared" si="768"/>
        <v>0</v>
      </c>
      <c r="BY664" s="275">
        <f t="shared" si="769"/>
        <v>0</v>
      </c>
      <c r="CA664" s="199">
        <f>'Detailed Budget'!$AD$96</f>
        <v>71050111380.677719</v>
      </c>
      <c r="CB664" s="275">
        <f t="shared" si="800"/>
        <v>129835863.20142123</v>
      </c>
      <c r="CE664" s="199">
        <f>'Detailed Budget'!$AD$175</f>
        <v>4330586076.5988197</v>
      </c>
      <c r="CF664" s="275">
        <f t="shared" si="818"/>
        <v>0</v>
      </c>
      <c r="CG664" s="199">
        <f>'Detailed Budget'!$AD$176</f>
        <v>20662817754.37001</v>
      </c>
      <c r="CH664" s="275">
        <f t="shared" si="819"/>
        <v>0</v>
      </c>
      <c r="CI664" s="275">
        <f t="shared" si="833"/>
        <v>0</v>
      </c>
      <c r="CJ664" s="275">
        <f>'Detailed Budget'!$AD$178</f>
        <v>46025131033.061455</v>
      </c>
      <c r="CK664" s="275">
        <f t="shared" si="808"/>
        <v>0</v>
      </c>
      <c r="CL664" s="275">
        <f t="shared" si="834"/>
        <v>0</v>
      </c>
      <c r="CM664" s="278">
        <f>'Detailed Budget'!$AD$189</f>
        <v>77498869683.252869</v>
      </c>
      <c r="CN664" s="275">
        <f t="shared" si="801"/>
        <v>99489400.922974482</v>
      </c>
      <c r="CO664" s="140">
        <f>'Detailed Budget'!$AD$191</f>
        <v>2684962805.4134097</v>
      </c>
      <c r="CP664" s="616">
        <f t="shared" si="802"/>
        <v>3446828.8647669596</v>
      </c>
      <c r="CQ664" s="616">
        <f t="shared" si="803"/>
        <v>102936229.78774144</v>
      </c>
      <c r="CR664" s="199">
        <f>'Detailed Budget'!$AD$195</f>
        <v>18734176418</v>
      </c>
      <c r="CS664" s="275">
        <f t="shared" si="820"/>
        <v>22268418.048620015</v>
      </c>
      <c r="CW664" s="278"/>
      <c r="DH664" s="140">
        <f>'Detailed Budget'!$AD$163</f>
        <v>4928560000</v>
      </c>
      <c r="DI664" s="616">
        <f t="shared" si="821"/>
        <v>7280000.0000000009</v>
      </c>
    </row>
    <row r="665" spans="1:113" outlineLevel="1">
      <c r="A665" s="214" t="s">
        <v>1401</v>
      </c>
      <c r="B665" s="215" t="s">
        <v>1402</v>
      </c>
      <c r="C665" s="216" t="s">
        <v>234</v>
      </c>
      <c r="D665" s="217"/>
      <c r="E665" s="216"/>
      <c r="F665" s="216"/>
      <c r="G665" s="216" t="s">
        <v>234</v>
      </c>
      <c r="H665" s="216" t="s">
        <v>234</v>
      </c>
      <c r="I665" s="217" t="s">
        <v>234</v>
      </c>
      <c r="J665" s="217"/>
      <c r="K665" s="216"/>
      <c r="L665" s="216"/>
      <c r="M665" s="217" t="s">
        <v>234</v>
      </c>
      <c r="N665" s="216"/>
      <c r="O665" s="217"/>
      <c r="P665" s="216"/>
      <c r="Q665" s="217"/>
      <c r="R665" s="217" t="s">
        <v>234</v>
      </c>
      <c r="S665" s="217"/>
      <c r="T665" s="217"/>
      <c r="U665" s="218">
        <f t="shared" si="809"/>
        <v>6</v>
      </c>
      <c r="V665" s="867" t="s">
        <v>235</v>
      </c>
      <c r="W665" s="219">
        <v>171574</v>
      </c>
      <c r="X665" s="220">
        <v>2.89</v>
      </c>
      <c r="Y665" s="221">
        <f t="shared" si="770"/>
        <v>1.0288999999999999</v>
      </c>
      <c r="Z665" s="199">
        <v>19</v>
      </c>
      <c r="AA665" s="221">
        <f t="shared" si="771"/>
        <v>1.7182651319612778</v>
      </c>
      <c r="AB665" s="199">
        <f t="shared" si="774"/>
        <v>294809.62175112427</v>
      </c>
      <c r="AC665">
        <v>12.9</v>
      </c>
      <c r="AD665" s="199">
        <f t="shared" si="775"/>
        <v>38030.441205895033</v>
      </c>
      <c r="AE665" s="199">
        <f t="shared" si="772"/>
        <v>36128.919145600281</v>
      </c>
      <c r="AF665" s="199">
        <f t="shared" si="823"/>
        <v>0</v>
      </c>
      <c r="AG665" s="614">
        <f t="shared" si="807"/>
        <v>1.6704426123656066E-3</v>
      </c>
      <c r="AH665" s="199">
        <f t="shared" si="822"/>
        <v>14740.481087556214</v>
      </c>
      <c r="AI665" s="252">
        <f t="shared" si="790"/>
        <v>1.1419227358426317E-3</v>
      </c>
      <c r="AJ665" s="199">
        <f t="shared" si="810"/>
        <v>52770.922293451251</v>
      </c>
      <c r="AK665" s="199">
        <f t="shared" si="829"/>
        <v>11792.384870044971</v>
      </c>
      <c r="AL665" s="199">
        <f t="shared" si="830"/>
        <v>11792.384870044971</v>
      </c>
      <c r="AM665" s="199">
        <f t="shared" si="791"/>
        <v>23584.769740089941</v>
      </c>
      <c r="AN665" s="645">
        <f t="shared" si="792"/>
        <v>1.1419227358426315E-3</v>
      </c>
      <c r="AO665" s="199">
        <v>10</v>
      </c>
      <c r="AP665" s="250">
        <f t="shared" si="793"/>
        <v>1.1362345188046814E-3</v>
      </c>
      <c r="AQ665" s="199">
        <v>10</v>
      </c>
      <c r="AU665" s="199">
        <v>0</v>
      </c>
      <c r="AW665" s="250">
        <f t="shared" si="794"/>
        <v>0</v>
      </c>
      <c r="AX665" s="199">
        <v>1</v>
      </c>
      <c r="AY665" s="199">
        <f t="shared" si="811"/>
        <v>20678.868842364147</v>
      </c>
      <c r="AZ665" s="199">
        <f t="shared" si="812"/>
        <v>20678.868842364147</v>
      </c>
      <c r="BA665" s="252">
        <f t="shared" si="795"/>
        <v>1.6254932826324736E-3</v>
      </c>
      <c r="BB665" s="284">
        <v>0</v>
      </c>
      <c r="BC665" s="199">
        <f t="shared" si="813"/>
        <v>0</v>
      </c>
      <c r="BD665" s="270">
        <f t="shared" si="752"/>
        <v>0</v>
      </c>
      <c r="BE665" s="199">
        <f t="shared" si="814"/>
        <v>0</v>
      </c>
      <c r="BF665" s="251">
        <f t="shared" si="753"/>
        <v>0</v>
      </c>
      <c r="BG665" s="204">
        <f t="shared" si="815"/>
        <v>0</v>
      </c>
      <c r="BH665" s="636">
        <v>1</v>
      </c>
      <c r="BI665" s="199">
        <f t="shared" si="796"/>
        <v>90211.744255844023</v>
      </c>
      <c r="BJ665" s="199">
        <f t="shared" si="797"/>
        <v>180423.48851168805</v>
      </c>
      <c r="BK665" s="199">
        <f t="shared" si="805"/>
        <v>270635.23276753206</v>
      </c>
      <c r="BL665" s="251">
        <f t="shared" si="798"/>
        <v>1.1419227358426315E-3</v>
      </c>
      <c r="BM665" s="199">
        <f t="shared" si="816"/>
        <v>24484.774957217156</v>
      </c>
      <c r="BN665" s="251">
        <f t="shared" si="799"/>
        <v>1.0573287289724015E-3</v>
      </c>
      <c r="BT665" s="199">
        <f>'Detailed Budget'!$AD$12</f>
        <v>194045122715</v>
      </c>
      <c r="BU665" s="199">
        <f>'Detailed Budget'!$AD$24</f>
        <v>194045122715</v>
      </c>
      <c r="BV665" s="596">
        <f t="shared" si="817"/>
        <v>0</v>
      </c>
      <c r="BW665" s="278"/>
      <c r="BX665" s="275">
        <f t="shared" si="768"/>
        <v>0</v>
      </c>
      <c r="BY665" s="275">
        <f t="shared" si="769"/>
        <v>0</v>
      </c>
      <c r="CA665" s="199">
        <f>'Detailed Budget'!$AD$96</f>
        <v>71050111380.677719</v>
      </c>
      <c r="CB665" s="275">
        <f t="shared" si="800"/>
        <v>115491478.7795807</v>
      </c>
      <c r="CE665" s="199">
        <f>'Detailed Budget'!$AD$175</f>
        <v>4330586076.5988197</v>
      </c>
      <c r="CF665" s="275">
        <f t="shared" si="818"/>
        <v>0</v>
      </c>
      <c r="CG665" s="199">
        <f>'Detailed Budget'!$AD$176</f>
        <v>20662817754.37001</v>
      </c>
      <c r="CH665" s="275">
        <f t="shared" si="819"/>
        <v>0</v>
      </c>
      <c r="CI665" s="275">
        <f t="shared" si="833"/>
        <v>0</v>
      </c>
      <c r="CJ665" s="275">
        <f>'Detailed Budget'!$AD$178</f>
        <v>46025131033.061455</v>
      </c>
      <c r="CK665" s="275">
        <f t="shared" si="808"/>
        <v>0</v>
      </c>
      <c r="CL665" s="275">
        <f t="shared" si="834"/>
        <v>0</v>
      </c>
      <c r="CM665" s="278">
        <f>'Detailed Budget'!$AD$189</f>
        <v>77498869683.252869</v>
      </c>
      <c r="CN665" s="275">
        <f t="shared" si="801"/>
        <v>88497721.293411687</v>
      </c>
      <c r="CO665" s="140">
        <f>'Detailed Budget'!$AD$191</f>
        <v>2684962805.4134097</v>
      </c>
      <c r="CP665" s="616">
        <f t="shared" si="802"/>
        <v>3066020.072393388</v>
      </c>
      <c r="CQ665" s="616">
        <f t="shared" si="803"/>
        <v>91563741.365805075</v>
      </c>
      <c r="CR665" s="199">
        <f>'Detailed Budget'!$AD$195</f>
        <v>18734176418</v>
      </c>
      <c r="CS665" s="275">
        <f t="shared" si="820"/>
        <v>19808182.940388676</v>
      </c>
      <c r="CW665" s="278"/>
      <c r="DH665" s="140">
        <f>'Detailed Budget'!$AD$163</f>
        <v>4928560000</v>
      </c>
      <c r="DI665" s="616">
        <f t="shared" si="821"/>
        <v>5600000</v>
      </c>
    </row>
    <row r="666" spans="1:113" outlineLevel="1">
      <c r="A666" s="214" t="s">
        <v>1403</v>
      </c>
      <c r="B666" s="215" t="s">
        <v>1404</v>
      </c>
      <c r="C666" s="216" t="s">
        <v>234</v>
      </c>
      <c r="D666" s="217"/>
      <c r="E666" s="216"/>
      <c r="F666" s="216"/>
      <c r="G666" s="216" t="s">
        <v>234</v>
      </c>
      <c r="H666" s="216" t="s">
        <v>234</v>
      </c>
      <c r="I666" s="217" t="s">
        <v>234</v>
      </c>
      <c r="J666" s="217"/>
      <c r="K666" s="216" t="s">
        <v>234</v>
      </c>
      <c r="L666" s="216"/>
      <c r="M666" s="217"/>
      <c r="N666" s="216"/>
      <c r="O666" s="217"/>
      <c r="P666" s="216"/>
      <c r="Q666" s="217"/>
      <c r="R666" s="217" t="s">
        <v>234</v>
      </c>
      <c r="S666" s="217"/>
      <c r="T666" s="217"/>
      <c r="U666" s="218">
        <f t="shared" si="809"/>
        <v>6</v>
      </c>
      <c r="V666" s="867" t="s">
        <v>235</v>
      </c>
      <c r="W666" s="219">
        <v>196271</v>
      </c>
      <c r="X666" s="220">
        <v>2.89</v>
      </c>
      <c r="Y666" s="221">
        <f t="shared" si="770"/>
        <v>1.0288999999999999</v>
      </c>
      <c r="Z666" s="199">
        <v>19</v>
      </c>
      <c r="AA666" s="221">
        <f t="shared" si="771"/>
        <v>1.7182651319612778</v>
      </c>
      <c r="AB666" s="199">
        <f t="shared" si="774"/>
        <v>337245.61571517197</v>
      </c>
      <c r="AC666">
        <v>12.9</v>
      </c>
      <c r="AD666" s="199">
        <f t="shared" si="775"/>
        <v>43504.684427257191</v>
      </c>
      <c r="AE666" s="199">
        <f t="shared" si="772"/>
        <v>41329.450205894333</v>
      </c>
      <c r="AF666" s="199">
        <f t="shared" si="823"/>
        <v>0</v>
      </c>
      <c r="AG666" s="614">
        <f t="shared" si="807"/>
        <v>1.9108923378344624E-3</v>
      </c>
      <c r="AH666" s="199">
        <f t="shared" si="822"/>
        <v>16862.280785758598</v>
      </c>
      <c r="AI666" s="252">
        <f t="shared" si="790"/>
        <v>1.3062953436218142E-3</v>
      </c>
      <c r="AJ666" s="199">
        <f t="shared" si="810"/>
        <v>60366.965213015792</v>
      </c>
      <c r="AK666" s="199">
        <f t="shared" si="829"/>
        <v>13489.824628606879</v>
      </c>
      <c r="AL666" s="199">
        <f t="shared" si="830"/>
        <v>13489.824628606879</v>
      </c>
      <c r="AM666" s="199">
        <f t="shared" si="791"/>
        <v>26979.649257213758</v>
      </c>
      <c r="AN666" s="645">
        <f t="shared" si="792"/>
        <v>1.3062953436218142E-3</v>
      </c>
      <c r="AO666" s="199">
        <v>13</v>
      </c>
      <c r="AP666" s="250">
        <f t="shared" si="793"/>
        <v>1.4771048744460858E-3</v>
      </c>
      <c r="AQ666" s="199">
        <v>13</v>
      </c>
      <c r="AU666" s="199">
        <v>0</v>
      </c>
      <c r="AW666" s="250">
        <f t="shared" si="794"/>
        <v>0</v>
      </c>
      <c r="AX666" s="199">
        <v>1</v>
      </c>
      <c r="AY666" s="199">
        <f t="shared" si="811"/>
        <v>23655.462171189421</v>
      </c>
      <c r="AZ666" s="199">
        <f t="shared" si="812"/>
        <v>23655.462171189421</v>
      </c>
      <c r="BA666" s="252">
        <f t="shared" si="795"/>
        <v>1.8594728343196421E-3</v>
      </c>
      <c r="BB666" s="284">
        <v>0</v>
      </c>
      <c r="BC666" s="199">
        <f t="shared" si="813"/>
        <v>0</v>
      </c>
      <c r="BD666" s="270">
        <f t="shared" si="752"/>
        <v>0</v>
      </c>
      <c r="BE666" s="199">
        <f t="shared" si="814"/>
        <v>0</v>
      </c>
      <c r="BF666" s="251">
        <f t="shared" si="753"/>
        <v>0</v>
      </c>
      <c r="BG666" s="204">
        <f t="shared" si="815"/>
        <v>0</v>
      </c>
      <c r="BH666" s="636">
        <v>1</v>
      </c>
      <c r="BI666" s="199">
        <f t="shared" si="796"/>
        <v>103197.15840884262</v>
      </c>
      <c r="BJ666" s="199">
        <f t="shared" si="797"/>
        <v>206394.31681768523</v>
      </c>
      <c r="BK666" s="199">
        <f t="shared" si="805"/>
        <v>309591.47522652784</v>
      </c>
      <c r="BL666" s="251">
        <f t="shared" si="798"/>
        <v>1.306295343621814E-3</v>
      </c>
      <c r="BM666" s="199">
        <f t="shared" si="816"/>
        <v>28009.204574282634</v>
      </c>
      <c r="BN666" s="251">
        <f t="shared" si="799"/>
        <v>1.2095245606219022E-3</v>
      </c>
      <c r="BT666" s="199">
        <f>'Detailed Budget'!$AD$12</f>
        <v>194045122715</v>
      </c>
      <c r="BU666" s="199">
        <f>'Detailed Budget'!$AD$24</f>
        <v>194045122715</v>
      </c>
      <c r="BV666" s="596">
        <f t="shared" si="817"/>
        <v>0</v>
      </c>
      <c r="BW666" s="278"/>
      <c r="BX666" s="275">
        <f t="shared" si="768"/>
        <v>0</v>
      </c>
      <c r="BY666" s="275">
        <f t="shared" si="769"/>
        <v>0</v>
      </c>
      <c r="CA666" s="199">
        <f>'Detailed Budget'!$AD$96</f>
        <v>71050111380.677719</v>
      </c>
      <c r="CB666" s="275">
        <f t="shared" si="800"/>
        <v>132115751.98775506</v>
      </c>
      <c r="CE666" s="199">
        <f>'Detailed Budget'!$AD$175</f>
        <v>4330586076.5988197</v>
      </c>
      <c r="CF666" s="275">
        <f t="shared" si="818"/>
        <v>0</v>
      </c>
      <c r="CG666" s="199">
        <f>'Detailed Budget'!$AD$176</f>
        <v>20662817754.37001</v>
      </c>
      <c r="CH666" s="275">
        <f t="shared" si="819"/>
        <v>0</v>
      </c>
      <c r="CI666" s="275">
        <f t="shared" si="833"/>
        <v>0</v>
      </c>
      <c r="CJ666" s="275">
        <f>'Detailed Budget'!$AD$178</f>
        <v>46025131033.061455</v>
      </c>
      <c r="CK666" s="275">
        <f t="shared" si="808"/>
        <v>0</v>
      </c>
      <c r="CL666" s="275">
        <f t="shared" si="834"/>
        <v>0</v>
      </c>
      <c r="CM666" s="278">
        <f>'Detailed Budget'!$AD$189</f>
        <v>77498869683.252869</v>
      </c>
      <c r="CN666" s="275">
        <f t="shared" si="801"/>
        <v>101236412.60318699</v>
      </c>
      <c r="CO666" s="140">
        <f>'Detailed Budget'!$AD$191</f>
        <v>2684962805.4134097</v>
      </c>
      <c r="CP666" s="616">
        <f t="shared" si="802"/>
        <v>3507354.4105093004</v>
      </c>
      <c r="CQ666" s="616">
        <f t="shared" si="803"/>
        <v>104743767.0136963</v>
      </c>
      <c r="CR666" s="199">
        <f>'Detailed Budget'!$AD$195</f>
        <v>18734176418</v>
      </c>
      <c r="CS666" s="275">
        <f t="shared" si="820"/>
        <v>22659446.500594653</v>
      </c>
      <c r="CW666" s="278"/>
      <c r="DH666" s="140">
        <f>'Detailed Budget'!$AD$163</f>
        <v>4928560000</v>
      </c>
      <c r="DI666" s="616">
        <f t="shared" si="821"/>
        <v>7280000.0000000009</v>
      </c>
    </row>
    <row r="667" spans="1:113" outlineLevel="1">
      <c r="A667" s="214" t="s">
        <v>1405</v>
      </c>
      <c r="B667" s="215" t="s">
        <v>1406</v>
      </c>
      <c r="C667" s="216" t="s">
        <v>234</v>
      </c>
      <c r="D667" s="217"/>
      <c r="E667" s="216"/>
      <c r="F667" s="216"/>
      <c r="G667" s="216" t="s">
        <v>234</v>
      </c>
      <c r="H667" s="216" t="s">
        <v>234</v>
      </c>
      <c r="I667" s="217" t="s">
        <v>234</v>
      </c>
      <c r="J667" s="217"/>
      <c r="K667" s="216"/>
      <c r="L667" s="216"/>
      <c r="M667" s="217" t="s">
        <v>234</v>
      </c>
      <c r="N667" s="216"/>
      <c r="O667" s="217"/>
      <c r="P667" s="216"/>
      <c r="Q667" s="217"/>
      <c r="R667" s="217" t="s">
        <v>234</v>
      </c>
      <c r="S667" s="217"/>
      <c r="T667" s="217"/>
      <c r="U667" s="218">
        <f t="shared" si="809"/>
        <v>6</v>
      </c>
      <c r="V667" s="867" t="s">
        <v>235</v>
      </c>
      <c r="W667" s="219">
        <v>211557</v>
      </c>
      <c r="X667" s="220">
        <v>2.89</v>
      </c>
      <c r="Y667" s="221">
        <f t="shared" si="770"/>
        <v>1.0288999999999999</v>
      </c>
      <c r="Z667" s="199">
        <v>19</v>
      </c>
      <c r="AA667" s="221">
        <f t="shared" si="771"/>
        <v>1.7182651319612778</v>
      </c>
      <c r="AB667" s="199">
        <f t="shared" si="774"/>
        <v>363511.01652233204</v>
      </c>
      <c r="AC667">
        <v>12.9</v>
      </c>
      <c r="AD667" s="199">
        <f t="shared" si="775"/>
        <v>46892.921131380834</v>
      </c>
      <c r="AE667" s="199">
        <f t="shared" si="772"/>
        <v>44548.275074811791</v>
      </c>
      <c r="AF667" s="199">
        <f t="shared" si="823"/>
        <v>0</v>
      </c>
      <c r="AG667" s="614">
        <f t="shared" si="807"/>
        <v>2.0597166688672564E-3</v>
      </c>
      <c r="AH667" s="199">
        <f t="shared" si="822"/>
        <v>18175.550826116603</v>
      </c>
      <c r="AI667" s="252">
        <f t="shared" si="790"/>
        <v>1.4080323838498818E-3</v>
      </c>
      <c r="AJ667" s="199">
        <f t="shared" si="810"/>
        <v>65068.471957497437</v>
      </c>
      <c r="AK667" s="199">
        <f t="shared" si="829"/>
        <v>14540.440660893282</v>
      </c>
      <c r="AL667" s="199">
        <f t="shared" si="830"/>
        <v>14540.440660893282</v>
      </c>
      <c r="AM667" s="199">
        <f t="shared" si="791"/>
        <v>29080.881321786565</v>
      </c>
      <c r="AN667" s="645">
        <f t="shared" si="792"/>
        <v>1.4080323838498818E-3</v>
      </c>
      <c r="AO667" s="199">
        <v>11</v>
      </c>
      <c r="AP667" s="250">
        <f t="shared" si="793"/>
        <v>1.2498579706851495E-3</v>
      </c>
      <c r="AQ667" s="199">
        <v>11</v>
      </c>
      <c r="AU667" s="199">
        <v>0</v>
      </c>
      <c r="AW667" s="250">
        <f t="shared" si="794"/>
        <v>0</v>
      </c>
      <c r="AX667" s="199">
        <v>1</v>
      </c>
      <c r="AY667" s="199">
        <f t="shared" si="811"/>
        <v>25497.799524893235</v>
      </c>
      <c r="AZ667" s="199">
        <f t="shared" si="812"/>
        <v>25497.799524893235</v>
      </c>
      <c r="BA667" s="252">
        <f t="shared" si="795"/>
        <v>2.004292505821851E-3</v>
      </c>
      <c r="BB667" s="284">
        <v>0</v>
      </c>
      <c r="BC667" s="199">
        <f t="shared" si="813"/>
        <v>0</v>
      </c>
      <c r="BD667" s="270">
        <f t="shared" si="752"/>
        <v>0</v>
      </c>
      <c r="BE667" s="199">
        <f t="shared" si="814"/>
        <v>0</v>
      </c>
      <c r="BF667" s="251">
        <f t="shared" si="753"/>
        <v>0</v>
      </c>
      <c r="BG667" s="204">
        <f t="shared" si="815"/>
        <v>0</v>
      </c>
      <c r="BH667" s="636">
        <v>1</v>
      </c>
      <c r="BI667" s="199">
        <f t="shared" si="796"/>
        <v>111234.3710558336</v>
      </c>
      <c r="BJ667" s="199">
        <f t="shared" si="797"/>
        <v>222468.7421116672</v>
      </c>
      <c r="BK667" s="199">
        <f t="shared" si="805"/>
        <v>333703.11316750082</v>
      </c>
      <c r="BL667" s="251">
        <f t="shared" si="798"/>
        <v>1.4080323838498818E-3</v>
      </c>
      <c r="BM667" s="199">
        <f t="shared" si="816"/>
        <v>30190.620581346764</v>
      </c>
      <c r="BN667" s="251">
        <f t="shared" si="799"/>
        <v>1.3037248878921886E-3</v>
      </c>
      <c r="BT667" s="199">
        <f>'Detailed Budget'!$AD$12</f>
        <v>194045122715</v>
      </c>
      <c r="BU667" s="199">
        <f>'Detailed Budget'!$AD$24</f>
        <v>194045122715</v>
      </c>
      <c r="BV667" s="596">
        <f t="shared" si="817"/>
        <v>0</v>
      </c>
      <c r="BW667" s="278"/>
      <c r="BX667" s="275">
        <f t="shared" si="768"/>
        <v>0</v>
      </c>
      <c r="BY667" s="275">
        <f t="shared" si="769"/>
        <v>0</v>
      </c>
      <c r="CA667" s="199">
        <f>'Detailed Budget'!$AD$96</f>
        <v>71050111380.677719</v>
      </c>
      <c r="CB667" s="275">
        <f t="shared" si="800"/>
        <v>142405205.77810016</v>
      </c>
      <c r="CE667" s="199">
        <f>'Detailed Budget'!$AD$175</f>
        <v>4330586076.5988197</v>
      </c>
      <c r="CF667" s="275">
        <f t="shared" si="818"/>
        <v>0</v>
      </c>
      <c r="CG667" s="199">
        <f>'Detailed Budget'!$AD$176</f>
        <v>20662817754.37001</v>
      </c>
      <c r="CH667" s="275">
        <f t="shared" si="819"/>
        <v>0</v>
      </c>
      <c r="CI667" s="275">
        <f t="shared" si="833"/>
        <v>0</v>
      </c>
      <c r="CJ667" s="275">
        <f>'Detailed Budget'!$AD$178</f>
        <v>46025131033.061455</v>
      </c>
      <c r="CK667" s="275">
        <f t="shared" si="808"/>
        <v>0</v>
      </c>
      <c r="CL667" s="275">
        <f t="shared" si="834"/>
        <v>0</v>
      </c>
      <c r="CM667" s="278">
        <f>'Detailed Budget'!$AD$189</f>
        <v>77498869683.252869</v>
      </c>
      <c r="CN667" s="275">
        <f t="shared" si="801"/>
        <v>109120918.22578187</v>
      </c>
      <c r="CO667" s="140">
        <f>'Detailed Budget'!$AD$191</f>
        <v>2684962805.4134097</v>
      </c>
      <c r="CP667" s="616">
        <f t="shared" si="802"/>
        <v>3780514.5794545095</v>
      </c>
      <c r="CQ667" s="616">
        <f t="shared" si="803"/>
        <v>112901432.80523638</v>
      </c>
      <c r="CR667" s="199">
        <f>'Detailed Budget'!$AD$195</f>
        <v>18734176418</v>
      </c>
      <c r="CS667" s="275">
        <f t="shared" si="820"/>
        <v>24424212.050309535</v>
      </c>
      <c r="CW667" s="278"/>
      <c r="DH667" s="140">
        <f>'Detailed Budget'!$AD$163</f>
        <v>4928560000</v>
      </c>
      <c r="DI667" s="616">
        <f t="shared" si="821"/>
        <v>6160000</v>
      </c>
    </row>
    <row r="668" spans="1:113" outlineLevel="1">
      <c r="A668" s="214"/>
      <c r="B668" s="215"/>
      <c r="C668" s="216"/>
      <c r="D668" s="217"/>
      <c r="E668" s="216"/>
      <c r="F668" s="216"/>
      <c r="G668" s="216"/>
      <c r="H668" s="216"/>
      <c r="I668" s="217"/>
      <c r="J668" s="217"/>
      <c r="K668" s="216"/>
      <c r="L668" s="216"/>
      <c r="M668" s="217"/>
      <c r="N668" s="216"/>
      <c r="O668" s="217"/>
      <c r="P668" s="216"/>
      <c r="Q668" s="217"/>
      <c r="R668" s="217"/>
      <c r="S668" s="217"/>
      <c r="T668" s="217"/>
      <c r="U668" s="218"/>
      <c r="V668" s="867"/>
      <c r="W668" s="219"/>
      <c r="X668" s="220"/>
      <c r="Y668" s="221"/>
      <c r="Z668" s="199"/>
      <c r="AA668" s="221"/>
      <c r="AF668" s="199">
        <f t="shared" si="823"/>
        <v>0</v>
      </c>
      <c r="AG668" s="614">
        <f t="shared" si="807"/>
        <v>0</v>
      </c>
      <c r="AJ668" s="199"/>
      <c r="AK668" s="199">
        <f t="shared" si="829"/>
        <v>0</v>
      </c>
      <c r="AL668" s="199">
        <f t="shared" si="830"/>
        <v>0</v>
      </c>
      <c r="AM668" s="199">
        <f t="shared" si="791"/>
        <v>0</v>
      </c>
      <c r="AN668" s="645">
        <f t="shared" si="792"/>
        <v>0</v>
      </c>
      <c r="AP668" s="250">
        <f t="shared" si="793"/>
        <v>0</v>
      </c>
      <c r="AW668" s="250">
        <f t="shared" si="794"/>
        <v>0</v>
      </c>
      <c r="AX668" s="199"/>
      <c r="BA668" s="252">
        <f t="shared" si="795"/>
        <v>0</v>
      </c>
      <c r="BB668" s="284"/>
      <c r="BD668" s="270"/>
      <c r="BF668" s="251"/>
      <c r="BG668" s="204"/>
      <c r="BH668" s="636"/>
      <c r="BI668" s="199">
        <f t="shared" si="796"/>
        <v>0</v>
      </c>
      <c r="BJ668" s="199">
        <f t="shared" si="797"/>
        <v>0</v>
      </c>
      <c r="BK668" s="199">
        <f t="shared" si="805"/>
        <v>0</v>
      </c>
      <c r="BL668" s="251">
        <f t="shared" si="798"/>
        <v>0</v>
      </c>
      <c r="BN668" s="251">
        <f t="shared" si="799"/>
        <v>0</v>
      </c>
      <c r="BT668" s="199"/>
      <c r="BU668" s="199"/>
      <c r="BV668" s="596"/>
      <c r="BW668" s="278"/>
      <c r="BX668" s="275"/>
      <c r="BY668" s="275"/>
      <c r="CA668" s="199">
        <f>'Detailed Budget'!$AD$96</f>
        <v>71050111380.677719</v>
      </c>
      <c r="CB668" s="275">
        <f t="shared" si="800"/>
        <v>0</v>
      </c>
      <c r="CE668" s="199"/>
      <c r="CF668" s="275"/>
      <c r="CG668" s="199"/>
      <c r="CH668" s="275"/>
      <c r="CI668" s="275"/>
      <c r="CJ668" s="275"/>
      <c r="CK668" s="275"/>
      <c r="CL668" s="275"/>
      <c r="CM668" s="278">
        <f>'Detailed Budget'!$AD$189</f>
        <v>77498869683.252869</v>
      </c>
      <c r="CN668" s="275">
        <f t="shared" si="801"/>
        <v>0</v>
      </c>
      <c r="CO668" s="140">
        <f>'Detailed Budget'!$AD$191</f>
        <v>2684962805.4134097</v>
      </c>
      <c r="CP668" s="616">
        <f t="shared" si="802"/>
        <v>0</v>
      </c>
      <c r="CQ668" s="616">
        <f t="shared" si="803"/>
        <v>0</v>
      </c>
      <c r="CR668" s="199"/>
      <c r="CS668" s="275"/>
      <c r="CW668" s="278"/>
      <c r="DH668" s="140">
        <f>'Detailed Budget'!$AD$163</f>
        <v>4928560000</v>
      </c>
      <c r="DI668" s="616">
        <f t="shared" si="821"/>
        <v>0</v>
      </c>
    </row>
    <row r="669" spans="1:113" s="213" customFormat="1">
      <c r="A669" s="206">
        <v>5.4</v>
      </c>
      <c r="B669" s="207" t="s">
        <v>1407</v>
      </c>
      <c r="C669" s="208">
        <f>COUNTA(C671:C695)</f>
        <v>25</v>
      </c>
      <c r="D669" s="208">
        <f t="shared" ref="D669:T669" si="835">COUNTA(D671:D695)</f>
        <v>0</v>
      </c>
      <c r="E669" s="208">
        <f t="shared" si="835"/>
        <v>0</v>
      </c>
      <c r="F669" s="208">
        <f t="shared" si="835"/>
        <v>0</v>
      </c>
      <c r="G669" s="208">
        <f t="shared" si="835"/>
        <v>25</v>
      </c>
      <c r="H669" s="208">
        <f t="shared" si="835"/>
        <v>25</v>
      </c>
      <c r="I669" s="208">
        <f t="shared" si="835"/>
        <v>25</v>
      </c>
      <c r="J669" s="208">
        <f t="shared" si="835"/>
        <v>0</v>
      </c>
      <c r="K669" s="208">
        <f t="shared" si="835"/>
        <v>2</v>
      </c>
      <c r="L669" s="208">
        <f t="shared" si="835"/>
        <v>0</v>
      </c>
      <c r="M669" s="208">
        <f t="shared" si="835"/>
        <v>20</v>
      </c>
      <c r="N669" s="208">
        <f t="shared" si="835"/>
        <v>3</v>
      </c>
      <c r="O669" s="208">
        <f t="shared" si="835"/>
        <v>0</v>
      </c>
      <c r="P669" s="208">
        <f t="shared" si="835"/>
        <v>0</v>
      </c>
      <c r="Q669" s="208">
        <f t="shared" si="835"/>
        <v>3</v>
      </c>
      <c r="R669" s="208">
        <f t="shared" si="835"/>
        <v>22</v>
      </c>
      <c r="S669" s="208">
        <f t="shared" si="835"/>
        <v>0</v>
      </c>
      <c r="T669" s="208">
        <f t="shared" si="835"/>
        <v>0</v>
      </c>
      <c r="U669" s="209">
        <f>SUM(C669:T669)</f>
        <v>150</v>
      </c>
      <c r="V669" s="866"/>
      <c r="W669" s="210">
        <f>SUM(W671:W695)</f>
        <v>4112445</v>
      </c>
      <c r="X669" s="211">
        <v>3.22</v>
      </c>
      <c r="Y669" s="212">
        <f t="shared" si="770"/>
        <v>1.0322</v>
      </c>
      <c r="Z669" s="210">
        <v>19</v>
      </c>
      <c r="AA669" s="212">
        <f t="shared" si="771"/>
        <v>1.8260524174418462</v>
      </c>
      <c r="AB669" s="210">
        <f t="shared" si="774"/>
        <v>7509540.1338466331</v>
      </c>
      <c r="AC669" s="213">
        <v>12.7</v>
      </c>
      <c r="AD669" s="210">
        <f t="shared" si="775"/>
        <v>953711.59699852229</v>
      </c>
      <c r="AE669" s="210">
        <f t="shared" si="772"/>
        <v>906026.01714859612</v>
      </c>
      <c r="AF669" s="210">
        <f>SUM(AF671:AF695)</f>
        <v>0</v>
      </c>
      <c r="AG669" s="614">
        <f t="shared" si="807"/>
        <v>4.1890665504207697E-2</v>
      </c>
      <c r="AH669" s="210">
        <f>SUM(AH671:AH695)</f>
        <v>375477.00669233163</v>
      </c>
      <c r="AI669" s="252">
        <f t="shared" si="790"/>
        <v>2.9087634805221502E-2</v>
      </c>
      <c r="AJ669" s="210">
        <f>SUM(AJ671:AJ695)</f>
        <v>1329188.6036908543</v>
      </c>
      <c r="AK669" s="199">
        <f t="shared" si="829"/>
        <v>300381.60535386531</v>
      </c>
      <c r="AL669" s="199">
        <f t="shared" si="830"/>
        <v>300381.60535386531</v>
      </c>
      <c r="AM669" s="199">
        <f t="shared" si="791"/>
        <v>600763.21070773061</v>
      </c>
      <c r="AN669" s="645">
        <f t="shared" si="792"/>
        <v>2.9087634805221502E-2</v>
      </c>
      <c r="AO669" s="210">
        <f>SUM(AO671:AO695)</f>
        <v>270</v>
      </c>
      <c r="AP669" s="250">
        <f t="shared" si="793"/>
        <v>3.0678332007726395E-2</v>
      </c>
      <c r="AQ669" s="210">
        <f>SUM(AQ671:AQ695)</f>
        <v>270</v>
      </c>
      <c r="AR669" s="210"/>
      <c r="AS669" s="210"/>
      <c r="AT669" s="210"/>
      <c r="AU669" s="199"/>
      <c r="AV669" s="210">
        <v>4171967</v>
      </c>
      <c r="AW669" s="250">
        <f t="shared" si="794"/>
        <v>0.12007740967147142</v>
      </c>
      <c r="AX669" s="199"/>
      <c r="AY669" s="210">
        <v>385271</v>
      </c>
      <c r="AZ669" s="210">
        <f>SUM(AZ671:AZ695)</f>
        <v>0</v>
      </c>
      <c r="BA669" s="252">
        <f t="shared" si="795"/>
        <v>0</v>
      </c>
      <c r="BB669" s="284"/>
      <c r="BC669" s="210"/>
      <c r="BD669" s="270">
        <f t="shared" si="752"/>
        <v>0</v>
      </c>
      <c r="BE669" s="210"/>
      <c r="BF669" s="251">
        <f t="shared" si="753"/>
        <v>0</v>
      </c>
      <c r="BH669"/>
      <c r="BI669" s="199">
        <f t="shared" si="796"/>
        <v>2297919.2809570697</v>
      </c>
      <c r="BJ669" s="199">
        <f t="shared" si="797"/>
        <v>4595838.5619141394</v>
      </c>
      <c r="BK669" s="199">
        <f t="shared" si="805"/>
        <v>6893757.8428712096</v>
      </c>
      <c r="BL669" s="251">
        <f t="shared" si="798"/>
        <v>2.9087634805221505E-2</v>
      </c>
      <c r="BM669" s="210">
        <v>530688</v>
      </c>
      <c r="BN669" s="251">
        <f t="shared" si="799"/>
        <v>2.2916758250845676E-2</v>
      </c>
      <c r="BT669" s="210">
        <f>'Detailed Budget'!$AD$12</f>
        <v>194045122715</v>
      </c>
      <c r="BU669" s="210">
        <f>'Detailed Budget'!$AD$24</f>
        <v>194045122715</v>
      </c>
      <c r="BV669" s="596">
        <f>AV669/34743979</f>
        <v>0.12007740967147142</v>
      </c>
      <c r="BW669" s="278">
        <v>1</v>
      </c>
      <c r="BX669" s="613">
        <f t="shared" si="768"/>
        <v>23300435695</v>
      </c>
      <c r="BY669" s="613">
        <f t="shared" si="769"/>
        <v>23300435695</v>
      </c>
      <c r="BZ669" s="613">
        <f>BX669+BY669</f>
        <v>46600871390</v>
      </c>
      <c r="CA669" s="210">
        <f>'Detailed Budget'!$AD$96</f>
        <v>71050111380.677719</v>
      </c>
      <c r="CB669" s="613">
        <f t="shared" si="800"/>
        <v>0</v>
      </c>
      <c r="CE669" s="210">
        <f>'Detailed Budget'!$AD$175</f>
        <v>4330586076.5988197</v>
      </c>
      <c r="CF669" s="613">
        <f>SUM(CF671:CF695)</f>
        <v>0</v>
      </c>
      <c r="CG669" s="632">
        <f>'Detailed Budget'!$AD$176</f>
        <v>20662817754.37001</v>
      </c>
      <c r="CH669" s="613">
        <f>SUM(CH671:CH695)</f>
        <v>0</v>
      </c>
      <c r="CI669" s="613">
        <f>SUM(CI671:CI695)</f>
        <v>0</v>
      </c>
      <c r="CJ669" s="275">
        <f>'Detailed Budget'!$AD$178</f>
        <v>46025131033.061455</v>
      </c>
      <c r="CK669" s="613">
        <f>SUM(CK671:CK695)</f>
        <v>0</v>
      </c>
      <c r="CL669" s="613">
        <f>SUM(CL671:CL695)</f>
        <v>0</v>
      </c>
      <c r="CM669" s="278">
        <f>'Detailed Budget'!$AD$189</f>
        <v>77498869683.252869</v>
      </c>
      <c r="CN669" s="275">
        <f t="shared" si="801"/>
        <v>0</v>
      </c>
      <c r="CO669" s="140">
        <f>'Detailed Budget'!$AD$191</f>
        <v>2684962805.4134097</v>
      </c>
      <c r="CP669" s="616">
        <f t="shared" si="802"/>
        <v>0</v>
      </c>
      <c r="CQ669" s="616">
        <f t="shared" si="803"/>
        <v>0</v>
      </c>
      <c r="CR669" s="210">
        <f>'Detailed Budget'!$AD$195</f>
        <v>18734176418</v>
      </c>
      <c r="CS669" s="275">
        <f>BN669*CR669</f>
        <v>429326592</v>
      </c>
      <c r="CW669" s="278"/>
      <c r="DH669" s="140">
        <f>'Detailed Budget'!$AD$163</f>
        <v>4928560000</v>
      </c>
      <c r="DI669" s="616">
        <f t="shared" si="821"/>
        <v>151200000</v>
      </c>
    </row>
    <row r="670" spans="1:113" s="213" customFormat="1">
      <c r="A670" s="214" t="s">
        <v>2347</v>
      </c>
      <c r="B670" s="215" t="s">
        <v>2318</v>
      </c>
      <c r="C670" s="208"/>
      <c r="D670" s="208"/>
      <c r="E670" s="208"/>
      <c r="F670" s="208"/>
      <c r="G670" s="208"/>
      <c r="H670" s="208"/>
      <c r="I670" s="208"/>
      <c r="J670" s="208"/>
      <c r="K670" s="208"/>
      <c r="L670" s="208"/>
      <c r="M670" s="208"/>
      <c r="N670" s="208"/>
      <c r="O670" s="208"/>
      <c r="P670" s="208"/>
      <c r="Q670" s="208"/>
      <c r="R670" s="208"/>
      <c r="S670" s="208"/>
      <c r="T670" s="208"/>
      <c r="U670" s="209"/>
      <c r="V670" s="866"/>
      <c r="W670" s="210"/>
      <c r="X670" s="211"/>
      <c r="Y670" s="212"/>
      <c r="Z670" s="210"/>
      <c r="AA670" s="212"/>
      <c r="AB670" s="210"/>
      <c r="AD670" s="210"/>
      <c r="AE670" s="199"/>
      <c r="AF670" s="199"/>
      <c r="AG670" s="614">
        <f t="shared" si="807"/>
        <v>0</v>
      </c>
      <c r="AH670" s="210"/>
      <c r="AI670" s="252"/>
      <c r="AJ670" s="199"/>
      <c r="AK670" s="199">
        <f t="shared" si="829"/>
        <v>0</v>
      </c>
      <c r="AL670" s="199">
        <f t="shared" si="830"/>
        <v>0</v>
      </c>
      <c r="AM670" s="199">
        <f t="shared" si="791"/>
        <v>0</v>
      </c>
      <c r="AN670" s="645">
        <f t="shared" si="792"/>
        <v>0</v>
      </c>
      <c r="AO670" s="210"/>
      <c r="AP670" s="250"/>
      <c r="AQ670" s="210"/>
      <c r="AR670" s="210"/>
      <c r="AS670" s="210"/>
      <c r="AT670" s="210"/>
      <c r="AU670" s="199"/>
      <c r="AV670" s="240"/>
      <c r="AW670" s="250">
        <f t="shared" si="794"/>
        <v>0</v>
      </c>
      <c r="AX670" s="199"/>
      <c r="AY670" s="210"/>
      <c r="AZ670" s="199"/>
      <c r="BA670" s="252">
        <f t="shared" si="795"/>
        <v>0</v>
      </c>
      <c r="BB670" s="284"/>
      <c r="BC670" s="210"/>
      <c r="BD670" s="270">
        <f t="shared" si="752"/>
        <v>0</v>
      </c>
      <c r="BE670" s="210"/>
      <c r="BF670" s="251">
        <f t="shared" si="753"/>
        <v>0</v>
      </c>
      <c r="BH670"/>
      <c r="BI670" s="199">
        <f t="shared" si="796"/>
        <v>0</v>
      </c>
      <c r="BJ670" s="199">
        <f t="shared" si="797"/>
        <v>0</v>
      </c>
      <c r="BK670" s="199">
        <f t="shared" si="805"/>
        <v>0</v>
      </c>
      <c r="BL670" s="251">
        <f t="shared" si="798"/>
        <v>0</v>
      </c>
      <c r="BM670" s="210"/>
      <c r="BN670" s="251">
        <f t="shared" si="799"/>
        <v>0</v>
      </c>
      <c r="BT670" s="210"/>
      <c r="BU670" s="210">
        <f>'Detailed Budget'!$AD$24</f>
        <v>194045122715</v>
      </c>
      <c r="BV670" s="596"/>
      <c r="BW670" s="278"/>
      <c r="BX670" s="275"/>
      <c r="BY670" s="275"/>
      <c r="CA670" s="210">
        <f>'Detailed Budget'!$AD$96</f>
        <v>71050111380.677719</v>
      </c>
      <c r="CB670" s="275"/>
      <c r="CE670" s="210"/>
      <c r="CF670" s="275"/>
      <c r="CG670" s="240"/>
      <c r="CH670" s="275"/>
      <c r="CI670" s="275"/>
      <c r="CJ670" s="275"/>
      <c r="CK670" s="275"/>
      <c r="CL670" s="275"/>
      <c r="CM670" s="278">
        <f>'Detailed Budget'!$AD$189</f>
        <v>77498869683.252869</v>
      </c>
      <c r="CN670" s="275">
        <f t="shared" si="801"/>
        <v>0</v>
      </c>
      <c r="CO670" s="140">
        <f>'Detailed Budget'!$AD$191</f>
        <v>2684962805.4134097</v>
      </c>
      <c r="CP670" s="616">
        <f t="shared" si="802"/>
        <v>0</v>
      </c>
      <c r="CQ670" s="616">
        <f t="shared" si="803"/>
        <v>0</v>
      </c>
      <c r="CR670" s="210"/>
      <c r="CS670" s="275"/>
      <c r="CW670" s="278"/>
      <c r="DH670" s="140"/>
      <c r="DI670" s="616"/>
    </row>
    <row r="671" spans="1:113" outlineLevel="1">
      <c r="A671" s="214" t="s">
        <v>1408</v>
      </c>
      <c r="B671" s="215" t="s">
        <v>1409</v>
      </c>
      <c r="C671" s="216" t="s">
        <v>234</v>
      </c>
      <c r="D671" s="217"/>
      <c r="E671" s="216"/>
      <c r="F671" s="216"/>
      <c r="G671" s="216" t="s">
        <v>234</v>
      </c>
      <c r="H671" s="216" t="s">
        <v>234</v>
      </c>
      <c r="I671" s="217" t="s">
        <v>234</v>
      </c>
      <c r="J671" s="217"/>
      <c r="K671" s="216"/>
      <c r="L671" s="216"/>
      <c r="M671" s="217" t="s">
        <v>234</v>
      </c>
      <c r="N671" s="216"/>
      <c r="O671" s="217"/>
      <c r="P671" s="216"/>
      <c r="Q671" s="217"/>
      <c r="R671" s="217" t="s">
        <v>234</v>
      </c>
      <c r="S671" s="217"/>
      <c r="T671" s="217"/>
      <c r="U671" s="218">
        <f t="shared" ref="U671:U695" si="836">COUNTA(C671:T671)</f>
        <v>6</v>
      </c>
      <c r="V671" s="867" t="s">
        <v>235</v>
      </c>
      <c r="W671" s="219">
        <v>104062</v>
      </c>
      <c r="X671" s="220">
        <v>3.22</v>
      </c>
      <c r="Y671" s="221">
        <f t="shared" si="770"/>
        <v>1.0322</v>
      </c>
      <c r="Z671" s="199">
        <v>19</v>
      </c>
      <c r="AA671" s="221">
        <f t="shared" si="771"/>
        <v>1.8260524174418462</v>
      </c>
      <c r="AB671" s="199">
        <f t="shared" si="774"/>
        <v>190022.6666638334</v>
      </c>
      <c r="AC671">
        <v>12.7</v>
      </c>
      <c r="AD671" s="199">
        <f t="shared" si="775"/>
        <v>24132.878666306842</v>
      </c>
      <c r="AE671" s="199">
        <f t="shared" si="772"/>
        <v>22926.234732991499</v>
      </c>
      <c r="AF671" s="199">
        <f t="shared" si="823"/>
        <v>0</v>
      </c>
      <c r="AG671" s="614">
        <f t="shared" si="807"/>
        <v>1.0600084459971774E-3</v>
      </c>
      <c r="AH671" s="199">
        <f>AB671*0.05</f>
        <v>9501.1333331916703</v>
      </c>
      <c r="AI671" s="252">
        <f t="shared" si="790"/>
        <v>7.3603840369924954E-4</v>
      </c>
      <c r="AJ671" s="199">
        <f t="shared" si="810"/>
        <v>33634.011999498514</v>
      </c>
      <c r="AK671" s="199">
        <f t="shared" si="829"/>
        <v>7600.9066665533364</v>
      </c>
      <c r="AL671" s="199">
        <f t="shared" si="830"/>
        <v>7600.9066665533364</v>
      </c>
      <c r="AM671" s="199">
        <f t="shared" si="791"/>
        <v>15201.813333106673</v>
      </c>
      <c r="AN671" s="645">
        <f t="shared" si="792"/>
        <v>7.3603840369924954E-4</v>
      </c>
      <c r="AO671" s="199">
        <v>10</v>
      </c>
      <c r="AP671" s="250">
        <f t="shared" si="793"/>
        <v>1.1362345188046814E-3</v>
      </c>
      <c r="AQ671" s="199">
        <v>10</v>
      </c>
      <c r="AU671" s="199">
        <v>1</v>
      </c>
      <c r="AV671" s="199">
        <f t="shared" ref="AV671:AV695" si="837">W671/4112445*4171967</f>
        <v>105568.15469969811</v>
      </c>
      <c r="AW671" s="250">
        <f t="shared" si="794"/>
        <v>3.0384589715443389E-3</v>
      </c>
      <c r="AX671" s="199">
        <v>0</v>
      </c>
      <c r="AY671" s="199">
        <f t="shared" ref="AY671:AY695" si="838">AJ671/1329189*385271</f>
        <v>9748.9592804776385</v>
      </c>
      <c r="AZ671" s="199">
        <f t="shared" si="812"/>
        <v>0</v>
      </c>
      <c r="BA671" s="252">
        <f t="shared" si="795"/>
        <v>0</v>
      </c>
      <c r="BB671" s="284">
        <v>0</v>
      </c>
      <c r="BC671" s="199">
        <f t="shared" ref="BC671:BC695" si="839">AD671*BB671*0.18*4</f>
        <v>0</v>
      </c>
      <c r="BD671" s="270">
        <f t="shared" ref="BD671:BD736" si="840">BC671/11104067</f>
        <v>0</v>
      </c>
      <c r="BE671" s="199">
        <f t="shared" ref="BE671:BE695" si="841">AD671*BB671*0.77*4</f>
        <v>0</v>
      </c>
      <c r="BF671" s="251">
        <f t="shared" ref="BF671:BF736" si="842">BE671/47500730</f>
        <v>0</v>
      </c>
      <c r="BG671" s="204">
        <f t="shared" ref="BG671:BG695" si="843">BC671+BE671</f>
        <v>0</v>
      </c>
      <c r="BH671" s="636">
        <v>1</v>
      </c>
      <c r="BI671" s="199">
        <f t="shared" si="796"/>
        <v>58146.935999133013</v>
      </c>
      <c r="BJ671" s="199">
        <f t="shared" si="797"/>
        <v>116293.87199826603</v>
      </c>
      <c r="BK671" s="199">
        <f t="shared" si="805"/>
        <v>174440.80799739904</v>
      </c>
      <c r="BL671" s="251">
        <f t="shared" si="798"/>
        <v>7.3603840369924943E-4</v>
      </c>
      <c r="BM671" s="199">
        <f t="shared" ref="BM671:BM695" si="844">AH671/375477*530688</f>
        <v>13428.61865393838</v>
      </c>
      <c r="BN671" s="251">
        <f t="shared" si="799"/>
        <v>5.7988951575144436E-4</v>
      </c>
      <c r="BT671" s="199">
        <f>'Detailed Budget'!$AD$12</f>
        <v>194045122715</v>
      </c>
      <c r="BU671" s="199">
        <f>'Detailed Budget'!$AD$24</f>
        <v>194045122715</v>
      </c>
      <c r="BV671" s="596">
        <f t="shared" ref="BV671:BV695" si="845">AV671/34743979</f>
        <v>3.0384589715443389E-3</v>
      </c>
      <c r="BW671" s="278"/>
      <c r="BX671" s="275">
        <f t="shared" si="768"/>
        <v>589598143.99781394</v>
      </c>
      <c r="BY671" s="275">
        <f t="shared" si="769"/>
        <v>589598143.99781394</v>
      </c>
      <c r="CA671" s="199">
        <f>'Detailed Budget'!$AD$96</f>
        <v>71050111380.677719</v>
      </c>
      <c r="CB671" s="275">
        <f t="shared" si="800"/>
        <v>0</v>
      </c>
      <c r="CE671" s="199">
        <f>'Detailed Budget'!$AD$175</f>
        <v>4330586076.5988197</v>
      </c>
      <c r="CF671" s="275">
        <f t="shared" ref="CF671:CF695" si="846">BB671*BD671*CE671</f>
        <v>0</v>
      </c>
      <c r="CG671" s="199">
        <f>'Detailed Budget'!$AD$176</f>
        <v>20662817754.37001</v>
      </c>
      <c r="CH671" s="275">
        <f t="shared" ref="CH671:CH695" si="847">BB671*BF671*CG671</f>
        <v>0</v>
      </c>
      <c r="CI671" s="275">
        <f t="shared" si="833"/>
        <v>0</v>
      </c>
      <c r="CJ671" s="275">
        <f>'Detailed Budget'!$AD$178</f>
        <v>46025131033.061455</v>
      </c>
      <c r="CK671" s="275">
        <f t="shared" ref="CK671:CK695" si="848">BB671*AG671*CJ671</f>
        <v>0</v>
      </c>
      <c r="CL671" s="275">
        <f t="shared" si="834"/>
        <v>0</v>
      </c>
      <c r="CM671" s="278">
        <f>'Detailed Budget'!$AD$189</f>
        <v>77498869683.252869</v>
      </c>
      <c r="CN671" s="275">
        <f t="shared" si="801"/>
        <v>57042144.3301576</v>
      </c>
      <c r="CO671" s="140">
        <f>'Detailed Budget'!$AD$191</f>
        <v>2684962805.4134097</v>
      </c>
      <c r="CP671" s="616">
        <f t="shared" si="802"/>
        <v>1976235.7372883449</v>
      </c>
      <c r="CQ671" s="616">
        <f t="shared" si="803"/>
        <v>59018380.067445949</v>
      </c>
      <c r="CR671" s="199">
        <f>'Detailed Budget'!$AD$195</f>
        <v>18734176418</v>
      </c>
      <c r="CS671" s="275">
        <f t="shared" ref="CS671:CS695" si="849">BN671*CR671</f>
        <v>10863752.491036149</v>
      </c>
      <c r="CW671" s="278"/>
      <c r="DH671" s="140">
        <f>'Detailed Budget'!$AD$163</f>
        <v>4928560000</v>
      </c>
      <c r="DI671" s="616">
        <f t="shared" ref="DI671:DI697" si="850">AP671*DH671</f>
        <v>5600000</v>
      </c>
    </row>
    <row r="672" spans="1:113" outlineLevel="1">
      <c r="A672" s="214" t="s">
        <v>1410</v>
      </c>
      <c r="B672" s="215" t="s">
        <v>1411</v>
      </c>
      <c r="C672" s="216" t="s">
        <v>234</v>
      </c>
      <c r="D672" s="217"/>
      <c r="E672" s="216"/>
      <c r="F672" s="216"/>
      <c r="G672" s="216" t="s">
        <v>234</v>
      </c>
      <c r="H672" s="216" t="s">
        <v>234</v>
      </c>
      <c r="I672" s="217" t="s">
        <v>234</v>
      </c>
      <c r="J672" s="217"/>
      <c r="K672" s="216"/>
      <c r="L672" s="216"/>
      <c r="M672" s="217" t="s">
        <v>234</v>
      </c>
      <c r="N672" s="216"/>
      <c r="O672" s="217"/>
      <c r="P672" s="216"/>
      <c r="Q672" s="217"/>
      <c r="R672" s="217" t="s">
        <v>234</v>
      </c>
      <c r="S672" s="217"/>
      <c r="T672" s="217"/>
      <c r="U672" s="218">
        <f t="shared" si="836"/>
        <v>6</v>
      </c>
      <c r="V672" s="867" t="s">
        <v>235</v>
      </c>
      <c r="W672" s="219">
        <v>142045</v>
      </c>
      <c r="X672" s="220">
        <v>3.22</v>
      </c>
      <c r="Y672" s="221">
        <f t="shared" si="770"/>
        <v>1.0322</v>
      </c>
      <c r="Z672" s="199">
        <v>19</v>
      </c>
      <c r="AA672" s="221">
        <f t="shared" si="771"/>
        <v>1.8260524174418462</v>
      </c>
      <c r="AB672" s="199">
        <f t="shared" si="774"/>
        <v>259381.61563552704</v>
      </c>
      <c r="AC672">
        <v>12.7</v>
      </c>
      <c r="AD672" s="199">
        <f t="shared" si="775"/>
        <v>32941.465185711932</v>
      </c>
      <c r="AE672" s="199">
        <f t="shared" si="772"/>
        <v>31294.391926426335</v>
      </c>
      <c r="AF672" s="199">
        <f t="shared" si="823"/>
        <v>0</v>
      </c>
      <c r="AG672" s="614">
        <f t="shared" si="807"/>
        <v>1.4469152977231753E-3</v>
      </c>
      <c r="AH672" s="199">
        <f t="shared" ref="AH672:AH695" si="851">AB672*0.05</f>
        <v>12969.080781776353</v>
      </c>
      <c r="AI672" s="252">
        <f t="shared" si="790"/>
        <v>1.0046950380874853E-3</v>
      </c>
      <c r="AJ672" s="199">
        <f t="shared" si="810"/>
        <v>45910.545967488288</v>
      </c>
      <c r="AK672" s="199">
        <f t="shared" si="829"/>
        <v>10375.264625421081</v>
      </c>
      <c r="AL672" s="199">
        <f t="shared" si="830"/>
        <v>10375.264625421081</v>
      </c>
      <c r="AM672" s="199">
        <f t="shared" si="791"/>
        <v>20750.529250842163</v>
      </c>
      <c r="AN672" s="645">
        <f t="shared" si="792"/>
        <v>1.0046950380874853E-3</v>
      </c>
      <c r="AO672" s="199">
        <v>11</v>
      </c>
      <c r="AP672" s="250">
        <f t="shared" si="793"/>
        <v>1.2498579706851495E-3</v>
      </c>
      <c r="AQ672" s="199">
        <v>11</v>
      </c>
      <c r="AU672" s="199">
        <v>1</v>
      </c>
      <c r="AV672" s="199">
        <f t="shared" si="837"/>
        <v>144100.90652033038</v>
      </c>
      <c r="AW672" s="250">
        <f t="shared" si="794"/>
        <v>4.1475072996196086E-3</v>
      </c>
      <c r="AX672" s="199">
        <v>0</v>
      </c>
      <c r="AY672" s="199">
        <f t="shared" si="838"/>
        <v>13307.364080984857</v>
      </c>
      <c r="AZ672" s="199">
        <f t="shared" si="812"/>
        <v>0</v>
      </c>
      <c r="BA672" s="252">
        <f t="shared" si="795"/>
        <v>0</v>
      </c>
      <c r="BB672" s="284">
        <v>0</v>
      </c>
      <c r="BC672" s="199">
        <f t="shared" si="839"/>
        <v>0</v>
      </c>
      <c r="BD672" s="270">
        <f t="shared" si="840"/>
        <v>0</v>
      </c>
      <c r="BE672" s="199">
        <f t="shared" si="841"/>
        <v>0</v>
      </c>
      <c r="BF672" s="251">
        <f t="shared" si="842"/>
        <v>0</v>
      </c>
      <c r="BG672" s="204">
        <f t="shared" si="843"/>
        <v>0</v>
      </c>
      <c r="BH672" s="636">
        <v>1</v>
      </c>
      <c r="BI672" s="199">
        <f t="shared" si="796"/>
        <v>79370.774384471282</v>
      </c>
      <c r="BJ672" s="199">
        <f t="shared" si="797"/>
        <v>158741.54876894256</v>
      </c>
      <c r="BK672" s="199">
        <f t="shared" si="805"/>
        <v>238112.32315341383</v>
      </c>
      <c r="BL672" s="251">
        <f t="shared" si="798"/>
        <v>1.0046950380874853E-3</v>
      </c>
      <c r="BM672" s="199">
        <f t="shared" si="844"/>
        <v>18330.112209054958</v>
      </c>
      <c r="BN672" s="251">
        <f t="shared" si="799"/>
        <v>7.9155125084001763E-4</v>
      </c>
      <c r="BT672" s="199">
        <f>'Detailed Budget'!$AD$12</f>
        <v>194045122715</v>
      </c>
      <c r="BU672" s="199">
        <f>'Detailed Budget'!$AD$24</f>
        <v>194045122715</v>
      </c>
      <c r="BV672" s="596">
        <f t="shared" si="845"/>
        <v>4.1475072996196086E-3</v>
      </c>
      <c r="BW672" s="278"/>
      <c r="BX672" s="275">
        <f t="shared" si="768"/>
        <v>804803562.91604519</v>
      </c>
      <c r="BY672" s="275">
        <f t="shared" si="769"/>
        <v>804803562.91604519</v>
      </c>
      <c r="CA672" s="199">
        <f>'Detailed Budget'!$AD$96</f>
        <v>71050111380.677719</v>
      </c>
      <c r="CB672" s="275">
        <f t="shared" si="800"/>
        <v>0</v>
      </c>
      <c r="CE672" s="199">
        <f>'Detailed Budget'!$AD$175</f>
        <v>4330586076.5988197</v>
      </c>
      <c r="CF672" s="275">
        <f t="shared" si="846"/>
        <v>0</v>
      </c>
      <c r="CG672" s="199">
        <f>'Detailed Budget'!$AD$176</f>
        <v>20662817754.37001</v>
      </c>
      <c r="CH672" s="275">
        <f t="shared" si="847"/>
        <v>0</v>
      </c>
      <c r="CI672" s="275">
        <f t="shared" si="833"/>
        <v>0</v>
      </c>
      <c r="CJ672" s="275">
        <f>'Detailed Budget'!$AD$178</f>
        <v>46025131033.061455</v>
      </c>
      <c r="CK672" s="275">
        <f t="shared" si="848"/>
        <v>0</v>
      </c>
      <c r="CL672" s="275">
        <f t="shared" si="834"/>
        <v>0</v>
      </c>
      <c r="CM672" s="278">
        <f>'Detailed Budget'!$AD$189</f>
        <v>77498869683.252869</v>
      </c>
      <c r="CN672" s="275">
        <f t="shared" si="801"/>
        <v>77862729.828152806</v>
      </c>
      <c r="CO672" s="140">
        <f>'Detailed Budget'!$AD$191</f>
        <v>2684962805.4134097</v>
      </c>
      <c r="CP672" s="616">
        <f t="shared" si="802"/>
        <v>2697568.808048307</v>
      </c>
      <c r="CQ672" s="616">
        <f t="shared" si="803"/>
        <v>80560298.636201113</v>
      </c>
      <c r="CR672" s="199">
        <f>'Detailed Budget'!$AD$195</f>
        <v>18734176418</v>
      </c>
      <c r="CS672" s="275">
        <f t="shared" si="849"/>
        <v>14829060.777125461</v>
      </c>
      <c r="CW672" s="278"/>
      <c r="DH672" s="140">
        <f>'Detailed Budget'!$AD$163</f>
        <v>4928560000</v>
      </c>
      <c r="DI672" s="616">
        <f t="shared" si="850"/>
        <v>6160000</v>
      </c>
    </row>
    <row r="673" spans="1:113" outlineLevel="1">
      <c r="A673" s="214" t="s">
        <v>1412</v>
      </c>
      <c r="B673" s="215" t="s">
        <v>1413</v>
      </c>
      <c r="C673" s="216" t="s">
        <v>234</v>
      </c>
      <c r="D673" s="217"/>
      <c r="E673" s="216"/>
      <c r="F673" s="216"/>
      <c r="G673" s="216" t="s">
        <v>234</v>
      </c>
      <c r="H673" s="216" t="s">
        <v>234</v>
      </c>
      <c r="I673" s="217" t="s">
        <v>234</v>
      </c>
      <c r="J673" s="217"/>
      <c r="K673" s="216" t="s">
        <v>234</v>
      </c>
      <c r="L673" s="216"/>
      <c r="M673" s="217"/>
      <c r="N673" s="216"/>
      <c r="O673" s="217"/>
      <c r="P673" s="216"/>
      <c r="Q673" s="217"/>
      <c r="R673" s="217" t="s">
        <v>234</v>
      </c>
      <c r="S673" s="217"/>
      <c r="T673" s="217"/>
      <c r="U673" s="218">
        <f t="shared" si="836"/>
        <v>6</v>
      </c>
      <c r="V673" s="867" t="s">
        <v>235</v>
      </c>
      <c r="W673" s="219">
        <v>86016</v>
      </c>
      <c r="X673" s="220">
        <v>3.22</v>
      </c>
      <c r="Y673" s="221">
        <f t="shared" si="770"/>
        <v>1.0322</v>
      </c>
      <c r="Z673" s="199">
        <v>19</v>
      </c>
      <c r="AA673" s="221">
        <f t="shared" si="771"/>
        <v>1.8260524174418462</v>
      </c>
      <c r="AB673" s="199">
        <f t="shared" si="774"/>
        <v>157069.72473867785</v>
      </c>
      <c r="AC673">
        <v>12.7</v>
      </c>
      <c r="AD673" s="199">
        <f t="shared" si="775"/>
        <v>19947.855041812087</v>
      </c>
      <c r="AE673" s="199">
        <f t="shared" si="772"/>
        <v>18950.462289721483</v>
      </c>
      <c r="AF673" s="199">
        <f t="shared" si="823"/>
        <v>0</v>
      </c>
      <c r="AG673" s="614">
        <f t="shared" si="807"/>
        <v>8.7618618218843788E-4</v>
      </c>
      <c r="AH673" s="199">
        <f t="shared" si="851"/>
        <v>7853.4862369338925</v>
      </c>
      <c r="AI673" s="252">
        <f t="shared" si="790"/>
        <v>6.0839767958135202E-4</v>
      </c>
      <c r="AJ673" s="199">
        <f t="shared" si="810"/>
        <v>27801.341278745978</v>
      </c>
      <c r="AK673" s="199">
        <f t="shared" si="829"/>
        <v>6282.7889895471144</v>
      </c>
      <c r="AL673" s="199">
        <f t="shared" si="830"/>
        <v>6282.7889895471144</v>
      </c>
      <c r="AM673" s="199">
        <f t="shared" si="791"/>
        <v>12565.577979094229</v>
      </c>
      <c r="AN673" s="645">
        <f t="shared" si="792"/>
        <v>6.0839767958135202E-4</v>
      </c>
      <c r="AO673" s="199">
        <v>10</v>
      </c>
      <c r="AP673" s="250">
        <f t="shared" si="793"/>
        <v>1.1362345188046814E-3</v>
      </c>
      <c r="AQ673" s="199">
        <v>10</v>
      </c>
      <c r="AU673" s="199">
        <v>1</v>
      </c>
      <c r="AV673" s="199">
        <f t="shared" si="837"/>
        <v>87260.963604862787</v>
      </c>
      <c r="AW673" s="250">
        <f t="shared" si="794"/>
        <v>2.5115420316384252E-3</v>
      </c>
      <c r="AX673" s="199">
        <v>0</v>
      </c>
      <c r="AY673" s="199">
        <f t="shared" si="838"/>
        <v>8058.3352373543121</v>
      </c>
      <c r="AZ673" s="199">
        <f t="shared" si="812"/>
        <v>0</v>
      </c>
      <c r="BA673" s="252">
        <f t="shared" si="795"/>
        <v>0</v>
      </c>
      <c r="BB673" s="284">
        <v>0</v>
      </c>
      <c r="BC673" s="199">
        <f t="shared" si="839"/>
        <v>0</v>
      </c>
      <c r="BD673" s="270">
        <f t="shared" si="840"/>
        <v>0</v>
      </c>
      <c r="BE673" s="199">
        <f t="shared" si="841"/>
        <v>0</v>
      </c>
      <c r="BF673" s="251">
        <f t="shared" si="842"/>
        <v>0</v>
      </c>
      <c r="BG673" s="204">
        <f t="shared" si="843"/>
        <v>0</v>
      </c>
      <c r="BH673" s="636">
        <v>1</v>
      </c>
      <c r="BI673" s="199">
        <f t="shared" si="796"/>
        <v>48063.335770035425</v>
      </c>
      <c r="BJ673" s="199">
        <f t="shared" si="797"/>
        <v>96126.671540070849</v>
      </c>
      <c r="BK673" s="199">
        <f t="shared" si="805"/>
        <v>144190.00731010627</v>
      </c>
      <c r="BL673" s="251">
        <f t="shared" si="798"/>
        <v>6.0839767958135202E-4</v>
      </c>
      <c r="BM673" s="199">
        <f t="shared" si="844"/>
        <v>11099.883359316213</v>
      </c>
      <c r="BN673" s="251">
        <f t="shared" si="799"/>
        <v>4.793274834894221E-4</v>
      </c>
      <c r="BT673" s="199">
        <f>'Detailed Budget'!$AD$12</f>
        <v>194045122715</v>
      </c>
      <c r="BU673" s="199">
        <f>'Detailed Budget'!$AD$24</f>
        <v>194045122715</v>
      </c>
      <c r="BV673" s="596">
        <f t="shared" si="845"/>
        <v>2.5115420316384252E-3</v>
      </c>
      <c r="BW673" s="278"/>
      <c r="BX673" s="275">
        <f t="shared" si="768"/>
        <v>487352481.73315865</v>
      </c>
      <c r="BY673" s="275">
        <f t="shared" si="769"/>
        <v>487352481.73315865</v>
      </c>
      <c r="CA673" s="199">
        <f>'Detailed Budget'!$AD$96</f>
        <v>71050111380.677719</v>
      </c>
      <c r="CB673" s="275">
        <f t="shared" si="800"/>
        <v>0</v>
      </c>
      <c r="CE673" s="199">
        <f>'Detailed Budget'!$AD$175</f>
        <v>4330586076.5988197</v>
      </c>
      <c r="CF673" s="275">
        <f t="shared" si="846"/>
        <v>0</v>
      </c>
      <c r="CG673" s="199">
        <f>'Detailed Budget'!$AD$176</f>
        <v>20662817754.37001</v>
      </c>
      <c r="CH673" s="275">
        <f t="shared" si="847"/>
        <v>0</v>
      </c>
      <c r="CI673" s="275">
        <f t="shared" si="833"/>
        <v>0</v>
      </c>
      <c r="CJ673" s="275">
        <f>'Detailed Budget'!$AD$178</f>
        <v>46025131033.061455</v>
      </c>
      <c r="CK673" s="275">
        <f t="shared" si="848"/>
        <v>0</v>
      </c>
      <c r="CL673" s="275">
        <f t="shared" si="834"/>
        <v>0</v>
      </c>
      <c r="CM673" s="278">
        <f>'Detailed Budget'!$AD$189</f>
        <v>77498869683.252869</v>
      </c>
      <c r="CN673" s="275">
        <f t="shared" si="801"/>
        <v>47150132.485468633</v>
      </c>
      <c r="CO673" s="140">
        <f>'Detailed Budget'!$AD$191</f>
        <v>2684962805.4134097</v>
      </c>
      <c r="CP673" s="616">
        <f t="shared" si="802"/>
        <v>1633525.1405757556</v>
      </c>
      <c r="CQ673" s="616">
        <f t="shared" si="803"/>
        <v>48783657.626044393</v>
      </c>
      <c r="CR673" s="199">
        <f>'Detailed Budget'!$AD$195</f>
        <v>18734176418</v>
      </c>
      <c r="CS673" s="275">
        <f t="shared" si="849"/>
        <v>8979805.6376868151</v>
      </c>
      <c r="CW673" s="278"/>
      <c r="DH673" s="140">
        <f>'Detailed Budget'!$AD$163</f>
        <v>4928560000</v>
      </c>
      <c r="DI673" s="616">
        <f t="shared" si="850"/>
        <v>5600000</v>
      </c>
    </row>
    <row r="674" spans="1:113" outlineLevel="1">
      <c r="A674" s="214" t="s">
        <v>1414</v>
      </c>
      <c r="B674" s="215" t="s">
        <v>1415</v>
      </c>
      <c r="C674" s="216" t="s">
        <v>234</v>
      </c>
      <c r="D674" s="217"/>
      <c r="E674" s="216"/>
      <c r="F674" s="216"/>
      <c r="G674" s="216" t="s">
        <v>234</v>
      </c>
      <c r="H674" s="216" t="s">
        <v>234</v>
      </c>
      <c r="I674" s="217" t="s">
        <v>234</v>
      </c>
      <c r="J674" s="217"/>
      <c r="K674" s="216" t="s">
        <v>234</v>
      </c>
      <c r="L674" s="216"/>
      <c r="M674" s="217"/>
      <c r="N674" s="216"/>
      <c r="O674" s="217"/>
      <c r="P674" s="216"/>
      <c r="Q674" s="217"/>
      <c r="R674" s="217" t="s">
        <v>234</v>
      </c>
      <c r="S674" s="217"/>
      <c r="T674" s="217"/>
      <c r="U674" s="218">
        <f t="shared" si="836"/>
        <v>6</v>
      </c>
      <c r="V674" s="867" t="s">
        <v>235</v>
      </c>
      <c r="W674" s="219">
        <v>207977</v>
      </c>
      <c r="X674" s="220">
        <v>3.22</v>
      </c>
      <c r="Y674" s="221">
        <f t="shared" si="770"/>
        <v>1.0322</v>
      </c>
      <c r="Z674" s="199">
        <v>19</v>
      </c>
      <c r="AA674" s="221">
        <f t="shared" si="771"/>
        <v>1.8260524174418462</v>
      </c>
      <c r="AB674" s="199">
        <f t="shared" ref="AB674:AB707" si="852">W674*AA674</f>
        <v>379776.90362230287</v>
      </c>
      <c r="AC674">
        <v>12.7</v>
      </c>
      <c r="AD674" s="199">
        <f t="shared" ref="AD674:AD707" si="853">AB674*AC674/100</f>
        <v>48231.666760032465</v>
      </c>
      <c r="AE674" s="199">
        <f t="shared" si="772"/>
        <v>45820.083422030839</v>
      </c>
      <c r="AF674" s="199">
        <f t="shared" si="823"/>
        <v>0</v>
      </c>
      <c r="AG674" s="614">
        <f t="shared" si="807"/>
        <v>2.1185195034994042E-3</v>
      </c>
      <c r="AH674" s="199">
        <f t="shared" si="851"/>
        <v>18988.845181115143</v>
      </c>
      <c r="AI674" s="252">
        <f t="shared" si="790"/>
        <v>1.4710370652703084E-3</v>
      </c>
      <c r="AJ674" s="199">
        <f t="shared" si="810"/>
        <v>67220.511941147604</v>
      </c>
      <c r="AK674" s="199">
        <f t="shared" si="829"/>
        <v>15191.076144892115</v>
      </c>
      <c r="AL674" s="199">
        <f t="shared" si="830"/>
        <v>15191.076144892115</v>
      </c>
      <c r="AM674" s="199">
        <f t="shared" si="791"/>
        <v>30382.15228978423</v>
      </c>
      <c r="AN674" s="645">
        <f t="shared" si="792"/>
        <v>1.4710370652703084E-3</v>
      </c>
      <c r="AO674" s="199">
        <v>11</v>
      </c>
      <c r="AP674" s="250">
        <f t="shared" si="793"/>
        <v>1.2498579706851495E-3</v>
      </c>
      <c r="AQ674" s="199">
        <v>11</v>
      </c>
      <c r="AU674" s="199">
        <v>1</v>
      </c>
      <c r="AV674" s="199">
        <f t="shared" si="837"/>
        <v>210987.18177604806</v>
      </c>
      <c r="AW674" s="250">
        <f t="shared" si="794"/>
        <v>6.0726257569994517E-3</v>
      </c>
      <c r="AX674" s="199">
        <v>0</v>
      </c>
      <c r="AY674" s="199">
        <f t="shared" si="838"/>
        <v>19484.146991946127</v>
      </c>
      <c r="AZ674" s="199">
        <f t="shared" si="812"/>
        <v>0</v>
      </c>
      <c r="BA674" s="252">
        <f t="shared" si="795"/>
        <v>0</v>
      </c>
      <c r="BB674" s="284">
        <v>0</v>
      </c>
      <c r="BC674" s="199">
        <f t="shared" si="839"/>
        <v>0</v>
      </c>
      <c r="BD674" s="270">
        <f t="shared" si="840"/>
        <v>0</v>
      </c>
      <c r="BE674" s="199">
        <f t="shared" si="841"/>
        <v>0</v>
      </c>
      <c r="BF674" s="251">
        <f t="shared" si="842"/>
        <v>0</v>
      </c>
      <c r="BG674" s="204">
        <f t="shared" si="843"/>
        <v>0</v>
      </c>
      <c r="BH674" s="636">
        <v>1</v>
      </c>
      <c r="BI674" s="199">
        <f t="shared" si="796"/>
        <v>116211.73250842467</v>
      </c>
      <c r="BJ674" s="199">
        <f t="shared" si="797"/>
        <v>232423.46501684934</v>
      </c>
      <c r="BK674" s="199">
        <f t="shared" si="805"/>
        <v>348635.19752527401</v>
      </c>
      <c r="BL674" s="251">
        <f t="shared" si="798"/>
        <v>1.4710370652703082E-3</v>
      </c>
      <c r="BM674" s="199">
        <f t="shared" si="844"/>
        <v>26838.267780651368</v>
      </c>
      <c r="BN674" s="251">
        <f t="shared" si="799"/>
        <v>1.1589598683230974E-3</v>
      </c>
      <c r="BT674" s="199">
        <f>'Detailed Budget'!$AD$12</f>
        <v>194045122715</v>
      </c>
      <c r="BU674" s="199">
        <f>'Detailed Budget'!$AD$24</f>
        <v>194045122715</v>
      </c>
      <c r="BV674" s="596">
        <f t="shared" si="845"/>
        <v>6.0726257569994517E-3</v>
      </c>
      <c r="BW674" s="278"/>
      <c r="BX674" s="275">
        <f t="shared" si="768"/>
        <v>1178363410.2192283</v>
      </c>
      <c r="BY674" s="275">
        <f t="shared" si="769"/>
        <v>1178363410.2192283</v>
      </c>
      <c r="CA674" s="199">
        <f>'Detailed Budget'!$AD$96</f>
        <v>71050111380.677719</v>
      </c>
      <c r="CB674" s="275">
        <f t="shared" si="800"/>
        <v>0</v>
      </c>
      <c r="CE674" s="199">
        <f>'Detailed Budget'!$AD$175</f>
        <v>4330586076.5988197</v>
      </c>
      <c r="CF674" s="275">
        <f t="shared" si="846"/>
        <v>0</v>
      </c>
      <c r="CG674" s="199">
        <f>'Detailed Budget'!$AD$176</f>
        <v>20662817754.37001</v>
      </c>
      <c r="CH674" s="275">
        <f t="shared" si="847"/>
        <v>0</v>
      </c>
      <c r="CI674" s="275">
        <f t="shared" si="833"/>
        <v>0</v>
      </c>
      <c r="CJ674" s="275">
        <f>'Detailed Budget'!$AD$178</f>
        <v>46025131033.061455</v>
      </c>
      <c r="CK674" s="275">
        <f t="shared" si="848"/>
        <v>0</v>
      </c>
      <c r="CL674" s="275">
        <f t="shared" si="834"/>
        <v>0</v>
      </c>
      <c r="CM674" s="278">
        <f>'Detailed Budget'!$AD$189</f>
        <v>77498869683.252869</v>
      </c>
      <c r="CN674" s="275">
        <f t="shared" si="801"/>
        <v>114003709.82061836</v>
      </c>
      <c r="CO674" s="140">
        <f>'Detailed Budget'!$AD$191</f>
        <v>2684962805.4134097</v>
      </c>
      <c r="CP674" s="616">
        <f t="shared" si="802"/>
        <v>3949679.8056352763</v>
      </c>
      <c r="CQ674" s="616">
        <f t="shared" si="803"/>
        <v>117953389.62625363</v>
      </c>
      <c r="CR674" s="199">
        <f>'Detailed Budget'!$AD$195</f>
        <v>18734176418</v>
      </c>
      <c r="CS674" s="275">
        <f t="shared" si="849"/>
        <v>21712158.634546958</v>
      </c>
      <c r="CW674" s="278"/>
      <c r="DH674" s="140">
        <f>'Detailed Budget'!$AD$163</f>
        <v>4928560000</v>
      </c>
      <c r="DI674" s="616">
        <f t="shared" si="850"/>
        <v>6160000</v>
      </c>
    </row>
    <row r="675" spans="1:113" outlineLevel="1">
      <c r="A675" s="214" t="s">
        <v>1416</v>
      </c>
      <c r="B675" s="215" t="s">
        <v>1417</v>
      </c>
      <c r="C675" s="216" t="s">
        <v>234</v>
      </c>
      <c r="D675" s="217"/>
      <c r="E675" s="216"/>
      <c r="F675" s="216"/>
      <c r="G675" s="216" t="s">
        <v>234</v>
      </c>
      <c r="H675" s="216" t="s">
        <v>234</v>
      </c>
      <c r="I675" s="217" t="s">
        <v>234</v>
      </c>
      <c r="J675" s="217"/>
      <c r="K675" s="216"/>
      <c r="L675" s="216"/>
      <c r="M675" s="217" t="s">
        <v>234</v>
      </c>
      <c r="N675" s="216"/>
      <c r="O675" s="217"/>
      <c r="P675" s="216"/>
      <c r="Q675" s="217"/>
      <c r="R675" s="217" t="s">
        <v>234</v>
      </c>
      <c r="S675" s="217"/>
      <c r="T675" s="217"/>
      <c r="U675" s="218">
        <f t="shared" si="836"/>
        <v>6</v>
      </c>
      <c r="V675" s="867" t="s">
        <v>235</v>
      </c>
      <c r="W675" s="219">
        <v>200942</v>
      </c>
      <c r="X675" s="220">
        <v>3.22</v>
      </c>
      <c r="Y675" s="221">
        <f t="shared" si="770"/>
        <v>1.0322</v>
      </c>
      <c r="Z675" s="199">
        <v>19</v>
      </c>
      <c r="AA675" s="221">
        <f t="shared" si="771"/>
        <v>1.8260524174418462</v>
      </c>
      <c r="AB675" s="199">
        <f t="shared" si="852"/>
        <v>366930.62486559944</v>
      </c>
      <c r="AC675">
        <v>12.7</v>
      </c>
      <c r="AD675" s="199">
        <f t="shared" si="853"/>
        <v>46600.189357931129</v>
      </c>
      <c r="AE675" s="199">
        <f t="shared" si="772"/>
        <v>44270.179890034568</v>
      </c>
      <c r="AF675" s="199">
        <f t="shared" si="823"/>
        <v>0</v>
      </c>
      <c r="AG675" s="614">
        <f t="shared" si="807"/>
        <v>2.0468587683838942E-3</v>
      </c>
      <c r="AH675" s="199">
        <f t="shared" si="851"/>
        <v>18346.531243279973</v>
      </c>
      <c r="AI675" s="252">
        <f t="shared" si="790"/>
        <v>1.4212779777068921E-3</v>
      </c>
      <c r="AJ675" s="199">
        <f t="shared" si="810"/>
        <v>64946.720601211098</v>
      </c>
      <c r="AK675" s="199">
        <f t="shared" si="829"/>
        <v>14677.224994623977</v>
      </c>
      <c r="AL675" s="199">
        <f t="shared" si="830"/>
        <v>14677.224994623977</v>
      </c>
      <c r="AM675" s="199">
        <f t="shared" si="791"/>
        <v>29354.449989247954</v>
      </c>
      <c r="AN675" s="645">
        <f t="shared" si="792"/>
        <v>1.4212779777068919E-3</v>
      </c>
      <c r="AO675" s="199">
        <v>11</v>
      </c>
      <c r="AP675" s="250">
        <f t="shared" si="793"/>
        <v>1.2498579706851495E-3</v>
      </c>
      <c r="AQ675" s="199">
        <v>11</v>
      </c>
      <c r="AU675" s="199">
        <v>1</v>
      </c>
      <c r="AV675" s="199">
        <f t="shared" si="837"/>
        <v>203850.35980152927</v>
      </c>
      <c r="AW675" s="250">
        <f t="shared" si="794"/>
        <v>5.8672139941579309E-3</v>
      </c>
      <c r="AX675" s="199">
        <v>0</v>
      </c>
      <c r="AY675" s="199">
        <f t="shared" si="838"/>
        <v>18825.07904650821</v>
      </c>
      <c r="AZ675" s="199">
        <f t="shared" si="812"/>
        <v>0</v>
      </c>
      <c r="BA675" s="252">
        <f t="shared" si="795"/>
        <v>0</v>
      </c>
      <c r="BB675" s="284">
        <v>0</v>
      </c>
      <c r="BC675" s="199">
        <f t="shared" si="839"/>
        <v>0</v>
      </c>
      <c r="BD675" s="270">
        <f t="shared" si="840"/>
        <v>0</v>
      </c>
      <c r="BE675" s="199">
        <f t="shared" si="841"/>
        <v>0</v>
      </c>
      <c r="BF675" s="251">
        <f t="shared" si="842"/>
        <v>0</v>
      </c>
      <c r="BG675" s="204">
        <f t="shared" si="843"/>
        <v>0</v>
      </c>
      <c r="BH675" s="636">
        <v>1</v>
      </c>
      <c r="BI675" s="199">
        <f t="shared" si="796"/>
        <v>112280.77120887343</v>
      </c>
      <c r="BJ675" s="199">
        <f t="shared" si="797"/>
        <v>224561.54241774685</v>
      </c>
      <c r="BK675" s="199">
        <f t="shared" si="805"/>
        <v>336842.31362662028</v>
      </c>
      <c r="BL675" s="251">
        <f t="shared" si="798"/>
        <v>1.4212779777068919E-3</v>
      </c>
      <c r="BM675" s="199">
        <f t="shared" si="844"/>
        <v>25930.440406293226</v>
      </c>
      <c r="BN675" s="251">
        <f t="shared" si="799"/>
        <v>1.1197570590045043E-3</v>
      </c>
      <c r="BT675" s="199">
        <f>'Detailed Budget'!$AD$12</f>
        <v>194045122715</v>
      </c>
      <c r="BU675" s="199">
        <f>'Detailed Budget'!$AD$24</f>
        <v>194045122715</v>
      </c>
      <c r="BV675" s="596">
        <f t="shared" si="845"/>
        <v>5.8672139941579309E-3</v>
      </c>
      <c r="BW675" s="278"/>
      <c r="BX675" s="275">
        <f t="shared" si="768"/>
        <v>1138504259.4915409</v>
      </c>
      <c r="BY675" s="275">
        <f t="shared" si="769"/>
        <v>1138504259.4915409</v>
      </c>
      <c r="CA675" s="199">
        <f>'Detailed Budget'!$AD$96</f>
        <v>71050111380.677719</v>
      </c>
      <c r="CB675" s="275">
        <f t="shared" si="800"/>
        <v>0</v>
      </c>
      <c r="CE675" s="199">
        <f>'Detailed Budget'!$AD$175</f>
        <v>4330586076.5988197</v>
      </c>
      <c r="CF675" s="275">
        <f t="shared" si="846"/>
        <v>0</v>
      </c>
      <c r="CG675" s="199">
        <f>'Detailed Budget'!$AD$176</f>
        <v>20662817754.37001</v>
      </c>
      <c r="CH675" s="275">
        <f t="shared" si="847"/>
        <v>0</v>
      </c>
      <c r="CI675" s="275">
        <f t="shared" si="833"/>
        <v>0</v>
      </c>
      <c r="CJ675" s="275">
        <f>'Detailed Budget'!$AD$178</f>
        <v>46025131033.061455</v>
      </c>
      <c r="CK675" s="275">
        <f t="shared" si="848"/>
        <v>0</v>
      </c>
      <c r="CL675" s="275">
        <f t="shared" si="834"/>
        <v>0</v>
      </c>
      <c r="CM675" s="278">
        <f>'Detailed Budget'!$AD$189</f>
        <v>77498869683.252869</v>
      </c>
      <c r="CN675" s="275">
        <f t="shared" si="801"/>
        <v>110147436.77798359</v>
      </c>
      <c r="CO675" s="140">
        <f>'Detailed Budget'!$AD$191</f>
        <v>2684962805.4134097</v>
      </c>
      <c r="CP675" s="616">
        <f t="shared" si="802"/>
        <v>3816078.5062961942</v>
      </c>
      <c r="CQ675" s="616">
        <f t="shared" si="803"/>
        <v>113963515.28427978</v>
      </c>
      <c r="CR675" s="199">
        <f>'Detailed Budget'!$AD$195</f>
        <v>18734176418</v>
      </c>
      <c r="CS675" s="275">
        <f t="shared" si="849"/>
        <v>20977726.288691219</v>
      </c>
      <c r="CW675" s="278"/>
      <c r="DH675" s="140">
        <f>'Detailed Budget'!$AD$163</f>
        <v>4928560000</v>
      </c>
      <c r="DI675" s="616">
        <f t="shared" si="850"/>
        <v>6160000</v>
      </c>
    </row>
    <row r="676" spans="1:113" outlineLevel="1">
      <c r="A676" s="214" t="s">
        <v>1418</v>
      </c>
      <c r="B676" s="215" t="s">
        <v>1419</v>
      </c>
      <c r="C676" s="216" t="s">
        <v>234</v>
      </c>
      <c r="D676" s="217"/>
      <c r="E676" s="216"/>
      <c r="F676" s="216"/>
      <c r="G676" s="216" t="s">
        <v>234</v>
      </c>
      <c r="H676" s="216" t="s">
        <v>234</v>
      </c>
      <c r="I676" s="217" t="s">
        <v>234</v>
      </c>
      <c r="J676" s="217"/>
      <c r="K676" s="216"/>
      <c r="L676" s="216"/>
      <c r="M676" s="217" t="s">
        <v>234</v>
      </c>
      <c r="N676" s="216"/>
      <c r="O676" s="217"/>
      <c r="P676" s="216"/>
      <c r="Q676" s="217"/>
      <c r="R676" s="217" t="s">
        <v>234</v>
      </c>
      <c r="S676" s="217"/>
      <c r="T676" s="217"/>
      <c r="U676" s="218">
        <f t="shared" si="836"/>
        <v>6</v>
      </c>
      <c r="V676" s="867" t="s">
        <v>235</v>
      </c>
      <c r="W676" s="219">
        <v>202712</v>
      </c>
      <c r="X676" s="220">
        <v>3.22</v>
      </c>
      <c r="Y676" s="221">
        <f t="shared" si="770"/>
        <v>1.0322</v>
      </c>
      <c r="Z676" s="199">
        <v>19</v>
      </c>
      <c r="AA676" s="221">
        <f t="shared" si="771"/>
        <v>1.8260524174418462</v>
      </c>
      <c r="AB676" s="199">
        <f t="shared" si="852"/>
        <v>370162.73764447152</v>
      </c>
      <c r="AC676">
        <v>12.7</v>
      </c>
      <c r="AD676" s="199">
        <f t="shared" si="853"/>
        <v>47010.667680847881</v>
      </c>
      <c r="AE676" s="199">
        <f t="shared" si="772"/>
        <v>44660.134296805481</v>
      </c>
      <c r="AF676" s="199">
        <f t="shared" si="823"/>
        <v>0</v>
      </c>
      <c r="AG676" s="614">
        <f t="shared" si="807"/>
        <v>2.0648885482210588E-3</v>
      </c>
      <c r="AH676" s="199">
        <f t="shared" si="851"/>
        <v>18508.136882223578</v>
      </c>
      <c r="AI676" s="252">
        <f t="shared" si="790"/>
        <v>1.4337973216993936E-3</v>
      </c>
      <c r="AJ676" s="199">
        <f t="shared" si="810"/>
        <v>65518.804563071462</v>
      </c>
      <c r="AK676" s="199">
        <f t="shared" si="829"/>
        <v>14806.50950577886</v>
      </c>
      <c r="AL676" s="199">
        <f t="shared" si="830"/>
        <v>14806.50950577886</v>
      </c>
      <c r="AM676" s="199">
        <f t="shared" si="791"/>
        <v>29613.019011557721</v>
      </c>
      <c r="AN676" s="645">
        <f t="shared" si="792"/>
        <v>1.4337973216993934E-3</v>
      </c>
      <c r="AO676" s="199">
        <v>11</v>
      </c>
      <c r="AP676" s="250">
        <f t="shared" si="793"/>
        <v>1.2498579706851495E-3</v>
      </c>
      <c r="AQ676" s="199">
        <v>11</v>
      </c>
      <c r="AU676" s="199">
        <v>1</v>
      </c>
      <c r="AV676" s="199">
        <f t="shared" si="837"/>
        <v>205645.97812347641</v>
      </c>
      <c r="AW676" s="250">
        <f t="shared" si="794"/>
        <v>5.9188954184975877E-3</v>
      </c>
      <c r="AX676" s="199">
        <v>0</v>
      </c>
      <c r="AY676" s="199">
        <f t="shared" si="838"/>
        <v>18990.899979475533</v>
      </c>
      <c r="AZ676" s="199">
        <f t="shared" si="812"/>
        <v>0</v>
      </c>
      <c r="BA676" s="252">
        <f t="shared" si="795"/>
        <v>0</v>
      </c>
      <c r="BB676" s="284">
        <v>0</v>
      </c>
      <c r="BC676" s="199">
        <f t="shared" si="839"/>
        <v>0</v>
      </c>
      <c r="BD676" s="270">
        <f t="shared" si="840"/>
        <v>0</v>
      </c>
      <c r="BE676" s="199">
        <f t="shared" si="841"/>
        <v>0</v>
      </c>
      <c r="BF676" s="251">
        <f t="shared" si="842"/>
        <v>0</v>
      </c>
      <c r="BG676" s="204">
        <f t="shared" si="843"/>
        <v>0</v>
      </c>
      <c r="BH676" s="636">
        <v>1</v>
      </c>
      <c r="BI676" s="199">
        <f t="shared" si="796"/>
        <v>113269.79771920829</v>
      </c>
      <c r="BJ676" s="199">
        <f t="shared" si="797"/>
        <v>226539.59543841658</v>
      </c>
      <c r="BK676" s="199">
        <f t="shared" si="805"/>
        <v>339809.39315762487</v>
      </c>
      <c r="BL676" s="251">
        <f t="shared" si="798"/>
        <v>1.4337973216993934E-3</v>
      </c>
      <c r="BM676" s="199">
        <f t="shared" si="844"/>
        <v>26158.848999415321</v>
      </c>
      <c r="BN676" s="251">
        <f t="shared" si="799"/>
        <v>1.1296204523938307E-3</v>
      </c>
      <c r="BT676" s="199">
        <f>'Detailed Budget'!$AD$12</f>
        <v>194045122715</v>
      </c>
      <c r="BU676" s="199">
        <f>'Detailed Budget'!$AD$24</f>
        <v>194045122715</v>
      </c>
      <c r="BV676" s="596">
        <f t="shared" si="845"/>
        <v>5.9188954184975877E-3</v>
      </c>
      <c r="BW676" s="278"/>
      <c r="BX676" s="275">
        <f t="shared" si="768"/>
        <v>1148532787.8196156</v>
      </c>
      <c r="BY676" s="275">
        <f t="shared" si="769"/>
        <v>1148532787.8196156</v>
      </c>
      <c r="CA676" s="199">
        <f>'Detailed Budget'!$AD$96</f>
        <v>71050111380.677719</v>
      </c>
      <c r="CB676" s="275">
        <f t="shared" si="800"/>
        <v>0</v>
      </c>
      <c r="CE676" s="199">
        <f>'Detailed Budget'!$AD$175</f>
        <v>4330586076.5988197</v>
      </c>
      <c r="CF676" s="275">
        <f t="shared" si="846"/>
        <v>0</v>
      </c>
      <c r="CG676" s="199">
        <f>'Detailed Budget'!$AD$176</f>
        <v>20662817754.37001</v>
      </c>
      <c r="CH676" s="275">
        <f t="shared" si="847"/>
        <v>0</v>
      </c>
      <c r="CI676" s="275">
        <f t="shared" si="833"/>
        <v>0</v>
      </c>
      <c r="CJ676" s="275">
        <f>'Detailed Budget'!$AD$178</f>
        <v>46025131033.061455</v>
      </c>
      <c r="CK676" s="275">
        <f t="shared" si="848"/>
        <v>0</v>
      </c>
      <c r="CL676" s="275">
        <f t="shared" si="834"/>
        <v>0</v>
      </c>
      <c r="CM676" s="278">
        <f>'Detailed Budget'!$AD$189</f>
        <v>77498869683.252869</v>
      </c>
      <c r="CN676" s="275">
        <f t="shared" si="801"/>
        <v>111117671.78657828</v>
      </c>
      <c r="CO676" s="140">
        <f>'Detailed Budget'!$AD$191</f>
        <v>2684962805.4134097</v>
      </c>
      <c r="CP676" s="616">
        <f t="shared" si="802"/>
        <v>3849692.4792642365</v>
      </c>
      <c r="CQ676" s="616">
        <f t="shared" si="803"/>
        <v>114967364.26584251</v>
      </c>
      <c r="CR676" s="199">
        <f>'Detailed Budget'!$AD$195</f>
        <v>18734176418</v>
      </c>
      <c r="CS676" s="275">
        <f t="shared" si="849"/>
        <v>21162508.840526994</v>
      </c>
      <c r="CW676" s="278"/>
      <c r="DH676" s="140">
        <f>'Detailed Budget'!$AD$163</f>
        <v>4928560000</v>
      </c>
      <c r="DI676" s="616">
        <f t="shared" si="850"/>
        <v>6160000</v>
      </c>
    </row>
    <row r="677" spans="1:113" outlineLevel="1">
      <c r="A677" s="214" t="s">
        <v>1420</v>
      </c>
      <c r="B677" s="215" t="s">
        <v>1421</v>
      </c>
      <c r="C677" s="216" t="s">
        <v>234</v>
      </c>
      <c r="D677" s="217"/>
      <c r="E677" s="216"/>
      <c r="F677" s="216"/>
      <c r="G677" s="216" t="s">
        <v>234</v>
      </c>
      <c r="H677" s="216" t="s">
        <v>234</v>
      </c>
      <c r="I677" s="217" t="s">
        <v>234</v>
      </c>
      <c r="J677" s="217"/>
      <c r="K677" s="216"/>
      <c r="L677" s="216"/>
      <c r="M677" s="217"/>
      <c r="N677" s="216" t="s">
        <v>234</v>
      </c>
      <c r="O677" s="217"/>
      <c r="P677" s="216"/>
      <c r="Q677" s="217"/>
      <c r="R677" s="217" t="s">
        <v>234</v>
      </c>
      <c r="S677" s="217"/>
      <c r="T677" s="217"/>
      <c r="U677" s="218">
        <f t="shared" si="836"/>
        <v>6</v>
      </c>
      <c r="V677" s="867" t="s">
        <v>235</v>
      </c>
      <c r="W677" s="219">
        <v>182819</v>
      </c>
      <c r="X677" s="220">
        <v>3.22</v>
      </c>
      <c r="Y677" s="221">
        <f t="shared" si="770"/>
        <v>1.0322</v>
      </c>
      <c r="Z677" s="199">
        <v>19</v>
      </c>
      <c r="AA677" s="221">
        <f t="shared" si="771"/>
        <v>1.8260524174418462</v>
      </c>
      <c r="AB677" s="199">
        <f t="shared" si="852"/>
        <v>333837.07690430089</v>
      </c>
      <c r="AC677">
        <v>12.7</v>
      </c>
      <c r="AD677" s="199">
        <f t="shared" si="853"/>
        <v>42397.30876684621</v>
      </c>
      <c r="AE677" s="199">
        <f t="shared" si="772"/>
        <v>40277.443328503898</v>
      </c>
      <c r="AF677" s="199">
        <f t="shared" si="823"/>
        <v>0</v>
      </c>
      <c r="AG677" s="614">
        <f t="shared" si="807"/>
        <v>1.8622521582206566E-3</v>
      </c>
      <c r="AH677" s="199">
        <f t="shared" si="851"/>
        <v>16691.853845215046</v>
      </c>
      <c r="AI677" s="252">
        <f t="shared" si="790"/>
        <v>1.2930926267599424E-3</v>
      </c>
      <c r="AJ677" s="199">
        <f t="shared" si="810"/>
        <v>59089.162612061256</v>
      </c>
      <c r="AK677" s="199">
        <f t="shared" si="829"/>
        <v>13353.483076172037</v>
      </c>
      <c r="AL677" s="199">
        <f t="shared" si="830"/>
        <v>13353.483076172037</v>
      </c>
      <c r="AM677" s="199">
        <f t="shared" si="791"/>
        <v>26706.966152344074</v>
      </c>
      <c r="AN677" s="645">
        <f t="shared" si="792"/>
        <v>1.2930926267599424E-3</v>
      </c>
      <c r="AO677" s="199">
        <v>14</v>
      </c>
      <c r="AP677" s="250">
        <f t="shared" si="793"/>
        <v>1.5907283263265539E-3</v>
      </c>
      <c r="AQ677" s="199">
        <v>14</v>
      </c>
      <c r="AU677" s="199">
        <v>1</v>
      </c>
      <c r="AV677" s="199">
        <f t="shared" si="837"/>
        <v>185465.05423732111</v>
      </c>
      <c r="AW677" s="250">
        <f t="shared" si="794"/>
        <v>5.3380487663005185E-3</v>
      </c>
      <c r="AX677" s="199">
        <v>0</v>
      </c>
      <c r="AY677" s="199">
        <f t="shared" si="838"/>
        <v>17127.241324380091</v>
      </c>
      <c r="AZ677" s="199">
        <f t="shared" si="812"/>
        <v>0</v>
      </c>
      <c r="BA677" s="252">
        <f t="shared" si="795"/>
        <v>0</v>
      </c>
      <c r="BB677" s="284">
        <v>0</v>
      </c>
      <c r="BC677" s="199">
        <f t="shared" si="839"/>
        <v>0</v>
      </c>
      <c r="BD677" s="270">
        <f t="shared" si="840"/>
        <v>0</v>
      </c>
      <c r="BE677" s="199">
        <f t="shared" si="841"/>
        <v>0</v>
      </c>
      <c r="BF677" s="251">
        <f t="shared" si="842"/>
        <v>0</v>
      </c>
      <c r="BG677" s="204">
        <f t="shared" si="843"/>
        <v>0</v>
      </c>
      <c r="BH677" s="636">
        <v>1</v>
      </c>
      <c r="BI677" s="199">
        <f t="shared" si="796"/>
        <v>102154.14553271607</v>
      </c>
      <c r="BJ677" s="199">
        <f t="shared" si="797"/>
        <v>204308.29106543213</v>
      </c>
      <c r="BK677" s="199">
        <f t="shared" si="805"/>
        <v>306462.4365981482</v>
      </c>
      <c r="BL677" s="251">
        <f t="shared" si="798"/>
        <v>1.2930926267599421E-3</v>
      </c>
      <c r="BM677" s="199">
        <f t="shared" si="844"/>
        <v>23591.768692648238</v>
      </c>
      <c r="BN677" s="251">
        <f t="shared" si="799"/>
        <v>1.0187659412673534E-3</v>
      </c>
      <c r="BT677" s="199">
        <f>'Detailed Budget'!$AD$12</f>
        <v>194045122715</v>
      </c>
      <c r="BU677" s="199">
        <f>'Detailed Budget'!$AD$24</f>
        <v>194045122715</v>
      </c>
      <c r="BV677" s="596">
        <f t="shared" si="845"/>
        <v>5.3380487663005185E-3</v>
      </c>
      <c r="BW677" s="278"/>
      <c r="BX677" s="275">
        <f t="shared" si="768"/>
        <v>1035822327.9154384</v>
      </c>
      <c r="BY677" s="275">
        <f t="shared" si="769"/>
        <v>1035822327.9154384</v>
      </c>
      <c r="CA677" s="199">
        <f>'Detailed Budget'!$AD$96</f>
        <v>71050111380.677719</v>
      </c>
      <c r="CB677" s="275">
        <f t="shared" si="800"/>
        <v>0</v>
      </c>
      <c r="CE677" s="199">
        <f>'Detailed Budget'!$AD$175</f>
        <v>4330586076.5988197</v>
      </c>
      <c r="CF677" s="275">
        <f t="shared" si="846"/>
        <v>0</v>
      </c>
      <c r="CG677" s="199">
        <f>'Detailed Budget'!$AD$176</f>
        <v>20662817754.37001</v>
      </c>
      <c r="CH677" s="275">
        <f t="shared" si="847"/>
        <v>0</v>
      </c>
      <c r="CI677" s="275">
        <f t="shared" si="833"/>
        <v>0</v>
      </c>
      <c r="CJ677" s="275">
        <f>'Detailed Budget'!$AD$178</f>
        <v>46025131033.061455</v>
      </c>
      <c r="CK677" s="275">
        <f t="shared" si="848"/>
        <v>0</v>
      </c>
      <c r="CL677" s="275">
        <f t="shared" si="834"/>
        <v>0</v>
      </c>
      <c r="CM677" s="278">
        <f>'Detailed Budget'!$AD$189</f>
        <v>77498869683.252869</v>
      </c>
      <c r="CN677" s="275">
        <f t="shared" si="801"/>
        <v>100213216.96964389</v>
      </c>
      <c r="CO677" s="140">
        <f>'Detailed Budget'!$AD$191</f>
        <v>2684962805.4134097</v>
      </c>
      <c r="CP677" s="616">
        <f t="shared" si="802"/>
        <v>3471905.60680477</v>
      </c>
      <c r="CQ677" s="616">
        <f t="shared" si="803"/>
        <v>103685122.57644866</v>
      </c>
      <c r="CR677" s="199">
        <f>'Detailed Budget'!$AD$195</f>
        <v>18734176418</v>
      </c>
      <c r="CS677" s="275">
        <f t="shared" si="849"/>
        <v>19085740.872352425</v>
      </c>
      <c r="CW677" s="278"/>
      <c r="DH677" s="140">
        <f>'Detailed Budget'!$AD$163</f>
        <v>4928560000</v>
      </c>
      <c r="DI677" s="616">
        <f t="shared" si="850"/>
        <v>7840000.0000000009</v>
      </c>
    </row>
    <row r="678" spans="1:113" outlineLevel="1">
      <c r="A678" s="214" t="s">
        <v>1422</v>
      </c>
      <c r="B678" s="215" t="s">
        <v>1423</v>
      </c>
      <c r="C678" s="216" t="s">
        <v>234</v>
      </c>
      <c r="D678" s="217"/>
      <c r="E678" s="216"/>
      <c r="F678" s="216"/>
      <c r="G678" s="216" t="s">
        <v>234</v>
      </c>
      <c r="H678" s="216" t="s">
        <v>234</v>
      </c>
      <c r="I678" s="217" t="s">
        <v>234</v>
      </c>
      <c r="J678" s="217"/>
      <c r="K678" s="216"/>
      <c r="L678" s="216"/>
      <c r="M678" s="217"/>
      <c r="N678" s="216" t="s">
        <v>234</v>
      </c>
      <c r="O678" s="217"/>
      <c r="P678" s="216"/>
      <c r="Q678" s="217"/>
      <c r="R678" s="217" t="s">
        <v>234</v>
      </c>
      <c r="S678" s="217"/>
      <c r="T678" s="217"/>
      <c r="U678" s="218">
        <f t="shared" si="836"/>
        <v>6</v>
      </c>
      <c r="V678" s="867" t="s">
        <v>235</v>
      </c>
      <c r="W678" s="219">
        <v>167060</v>
      </c>
      <c r="X678" s="220">
        <v>3.22</v>
      </c>
      <c r="Y678" s="221">
        <f t="shared" si="770"/>
        <v>1.0322</v>
      </c>
      <c r="Z678" s="199">
        <v>19</v>
      </c>
      <c r="AA678" s="221">
        <f t="shared" si="771"/>
        <v>1.8260524174418462</v>
      </c>
      <c r="AB678" s="199">
        <f t="shared" si="852"/>
        <v>305060.31685783481</v>
      </c>
      <c r="AC678">
        <v>12.7</v>
      </c>
      <c r="AD678" s="199">
        <f t="shared" si="853"/>
        <v>38742.660240945021</v>
      </c>
      <c r="AE678" s="199">
        <f t="shared" si="772"/>
        <v>36805.527228897765</v>
      </c>
      <c r="AF678" s="199">
        <f t="shared" si="823"/>
        <v>0</v>
      </c>
      <c r="AG678" s="614">
        <f t="shared" si="807"/>
        <v>1.7017259997721401E-3</v>
      </c>
      <c r="AH678" s="199">
        <f t="shared" si="851"/>
        <v>15253.015842891742</v>
      </c>
      <c r="AI678" s="252">
        <f t="shared" si="790"/>
        <v>1.1816280267724687E-3</v>
      </c>
      <c r="AJ678" s="199">
        <f t="shared" si="810"/>
        <v>53995.676083836763</v>
      </c>
      <c r="AK678" s="199">
        <f t="shared" si="829"/>
        <v>12202.412674313393</v>
      </c>
      <c r="AL678" s="199">
        <f t="shared" si="830"/>
        <v>12202.412674313393</v>
      </c>
      <c r="AM678" s="199">
        <f t="shared" si="791"/>
        <v>24404.825348626786</v>
      </c>
      <c r="AN678" s="645">
        <f t="shared" si="792"/>
        <v>1.1816280267724685E-3</v>
      </c>
      <c r="AO678" s="199">
        <v>12</v>
      </c>
      <c r="AP678" s="250">
        <f t="shared" si="793"/>
        <v>1.3634814225656176E-3</v>
      </c>
      <c r="AQ678" s="199">
        <v>12</v>
      </c>
      <c r="AU678" s="199">
        <v>1</v>
      </c>
      <c r="AV678" s="199">
        <f t="shared" si="837"/>
        <v>169477.96433022205</v>
      </c>
      <c r="AW678" s="250">
        <f t="shared" si="794"/>
        <v>4.8779088984086151E-3</v>
      </c>
      <c r="AX678" s="199">
        <v>0</v>
      </c>
      <c r="AY678" s="199">
        <f t="shared" si="838"/>
        <v>15650.872916113414</v>
      </c>
      <c r="AZ678" s="199">
        <f t="shared" si="812"/>
        <v>0</v>
      </c>
      <c r="BA678" s="252">
        <f t="shared" si="795"/>
        <v>0</v>
      </c>
      <c r="BB678" s="284">
        <v>0</v>
      </c>
      <c r="BC678" s="199">
        <f t="shared" si="839"/>
        <v>0</v>
      </c>
      <c r="BD678" s="270">
        <f t="shared" si="840"/>
        <v>0</v>
      </c>
      <c r="BE678" s="199">
        <f t="shared" si="841"/>
        <v>0</v>
      </c>
      <c r="BF678" s="251">
        <f t="shared" si="842"/>
        <v>0</v>
      </c>
      <c r="BG678" s="204">
        <f t="shared" si="843"/>
        <v>0</v>
      </c>
      <c r="BH678" s="636">
        <v>1</v>
      </c>
      <c r="BI678" s="199">
        <f t="shared" si="796"/>
        <v>93348.456958497467</v>
      </c>
      <c r="BJ678" s="199">
        <f t="shared" si="797"/>
        <v>186696.91391699493</v>
      </c>
      <c r="BK678" s="199">
        <f t="shared" si="805"/>
        <v>280045.3708754924</v>
      </c>
      <c r="BL678" s="251">
        <f t="shared" si="798"/>
        <v>1.1816280267724687E-3</v>
      </c>
      <c r="BM678" s="199">
        <f t="shared" si="844"/>
        <v>21558.157947444273</v>
      </c>
      <c r="BN678" s="251">
        <f t="shared" si="799"/>
        <v>9.3094830487052251E-4</v>
      </c>
      <c r="BT678" s="199">
        <f>'Detailed Budget'!$AD$12</f>
        <v>194045122715</v>
      </c>
      <c r="BU678" s="199">
        <f>'Detailed Budget'!$AD$24</f>
        <v>194045122715</v>
      </c>
      <c r="BV678" s="596">
        <f t="shared" si="845"/>
        <v>4.8779088984086151E-3</v>
      </c>
      <c r="BW678" s="278"/>
      <c r="BX678" s="275">
        <f t="shared" si="768"/>
        <v>946534430.78429019</v>
      </c>
      <c r="BY678" s="275">
        <f t="shared" si="769"/>
        <v>946534430.78429019</v>
      </c>
      <c r="CA678" s="199">
        <f>'Detailed Budget'!$AD$96</f>
        <v>71050111380.677719</v>
      </c>
      <c r="CB678" s="275">
        <f t="shared" si="800"/>
        <v>0</v>
      </c>
      <c r="CE678" s="199">
        <f>'Detailed Budget'!$AD$175</f>
        <v>4330586076.5988197</v>
      </c>
      <c r="CF678" s="275">
        <f t="shared" si="846"/>
        <v>0</v>
      </c>
      <c r="CG678" s="199">
        <f>'Detailed Budget'!$AD$176</f>
        <v>20662817754.37001</v>
      </c>
      <c r="CH678" s="275">
        <f t="shared" si="847"/>
        <v>0</v>
      </c>
      <c r="CI678" s="275">
        <f t="shared" si="833"/>
        <v>0</v>
      </c>
      <c r="CJ678" s="275">
        <f>'Detailed Budget'!$AD$178</f>
        <v>46025131033.061455</v>
      </c>
      <c r="CK678" s="275">
        <f t="shared" si="848"/>
        <v>0</v>
      </c>
      <c r="CL678" s="275">
        <f t="shared" si="834"/>
        <v>0</v>
      </c>
      <c r="CM678" s="278">
        <f>'Detailed Budget'!$AD$189</f>
        <v>77498869683.252869</v>
      </c>
      <c r="CN678" s="275">
        <f t="shared" si="801"/>
        <v>91574836.460918784</v>
      </c>
      <c r="CO678" s="140">
        <f>'Detailed Budget'!$AD$191</f>
        <v>2684962805.4134097</v>
      </c>
      <c r="CP678" s="616">
        <f t="shared" si="802"/>
        <v>3172627.3017181186</v>
      </c>
      <c r="CQ678" s="616">
        <f t="shared" si="803"/>
        <v>94747463.7626369</v>
      </c>
      <c r="CR678" s="199">
        <f>'Detailed Budget'!$AD$195</f>
        <v>18734176418</v>
      </c>
      <c r="CS678" s="275">
        <f t="shared" si="849"/>
        <v>17440549.779482417</v>
      </c>
      <c r="CW678" s="278"/>
      <c r="DH678" s="140">
        <f>'Detailed Budget'!$AD$163</f>
        <v>4928560000</v>
      </c>
      <c r="DI678" s="616">
        <f t="shared" si="850"/>
        <v>6720000</v>
      </c>
    </row>
    <row r="679" spans="1:113" outlineLevel="1">
      <c r="A679" s="214" t="s">
        <v>1424</v>
      </c>
      <c r="B679" s="215" t="s">
        <v>1425</v>
      </c>
      <c r="C679" s="216" t="s">
        <v>234</v>
      </c>
      <c r="D679" s="217"/>
      <c r="E679" s="216"/>
      <c r="F679" s="216"/>
      <c r="G679" s="216" t="s">
        <v>234</v>
      </c>
      <c r="H679" s="216" t="s">
        <v>234</v>
      </c>
      <c r="I679" s="217" t="s">
        <v>234</v>
      </c>
      <c r="J679" s="217"/>
      <c r="K679" s="216"/>
      <c r="L679" s="216"/>
      <c r="M679" s="217" t="s">
        <v>234</v>
      </c>
      <c r="N679" s="216"/>
      <c r="O679" s="217"/>
      <c r="P679" s="216"/>
      <c r="Q679" s="217"/>
      <c r="R679" s="217" t="s">
        <v>234</v>
      </c>
      <c r="S679" s="217"/>
      <c r="T679" s="217"/>
      <c r="U679" s="218">
        <f t="shared" si="836"/>
        <v>6</v>
      </c>
      <c r="V679" s="867" t="s">
        <v>235</v>
      </c>
      <c r="W679" s="219">
        <v>143559</v>
      </c>
      <c r="X679" s="220">
        <v>3.22</v>
      </c>
      <c r="Y679" s="221">
        <f t="shared" si="770"/>
        <v>1.0322</v>
      </c>
      <c r="Z679" s="199">
        <v>19</v>
      </c>
      <c r="AA679" s="221">
        <f t="shared" si="771"/>
        <v>1.8260524174418462</v>
      </c>
      <c r="AB679" s="199">
        <f t="shared" si="852"/>
        <v>262146.25899553398</v>
      </c>
      <c r="AC679">
        <v>12.7</v>
      </c>
      <c r="AD679" s="199">
        <f t="shared" si="853"/>
        <v>33292.574892432815</v>
      </c>
      <c r="AE679" s="199">
        <f t="shared" si="772"/>
        <v>31627.946147811173</v>
      </c>
      <c r="AF679" s="199">
        <f t="shared" si="823"/>
        <v>0</v>
      </c>
      <c r="AG679" s="614">
        <f t="shared" si="807"/>
        <v>1.4623373805895408E-3</v>
      </c>
      <c r="AH679" s="199">
        <f t="shared" si="851"/>
        <v>13107.3129497767</v>
      </c>
      <c r="AI679" s="252">
        <f t="shared" si="790"/>
        <v>1.0154036747002802E-3</v>
      </c>
      <c r="AJ679" s="199">
        <f t="shared" si="810"/>
        <v>46399.887842209515</v>
      </c>
      <c r="AK679" s="199">
        <f t="shared" si="829"/>
        <v>10485.850359821359</v>
      </c>
      <c r="AL679" s="199">
        <f t="shared" si="830"/>
        <v>10485.850359821359</v>
      </c>
      <c r="AM679" s="199">
        <f t="shared" si="791"/>
        <v>20971.700719642718</v>
      </c>
      <c r="AN679" s="645">
        <f t="shared" si="792"/>
        <v>1.0154036747002802E-3</v>
      </c>
      <c r="AO679" s="199">
        <v>13</v>
      </c>
      <c r="AP679" s="250">
        <f t="shared" si="793"/>
        <v>1.4771048744460858E-3</v>
      </c>
      <c r="AQ679" s="199">
        <v>13</v>
      </c>
      <c r="AU679" s="199">
        <v>1</v>
      </c>
      <c r="AV679" s="199">
        <f t="shared" si="837"/>
        <v>145636.81959345352</v>
      </c>
      <c r="AW679" s="250">
        <f t="shared" si="794"/>
        <v>4.1917138964841514E-3</v>
      </c>
      <c r="AX679" s="199">
        <v>0</v>
      </c>
      <c r="AY679" s="199">
        <f t="shared" si="838"/>
        <v>13449.201873364815</v>
      </c>
      <c r="AZ679" s="199">
        <f t="shared" si="812"/>
        <v>0</v>
      </c>
      <c r="BA679" s="252">
        <f t="shared" si="795"/>
        <v>0</v>
      </c>
      <c r="BB679" s="284">
        <v>0</v>
      </c>
      <c r="BC679" s="199">
        <f t="shared" si="839"/>
        <v>0</v>
      </c>
      <c r="BD679" s="270">
        <f t="shared" si="840"/>
        <v>0</v>
      </c>
      <c r="BE679" s="199">
        <f t="shared" si="841"/>
        <v>0</v>
      </c>
      <c r="BF679" s="251">
        <f t="shared" si="842"/>
        <v>0</v>
      </c>
      <c r="BG679" s="204">
        <f t="shared" si="843"/>
        <v>0</v>
      </c>
      <c r="BH679" s="636">
        <v>1</v>
      </c>
      <c r="BI679" s="199">
        <f t="shared" si="796"/>
        <v>80216.755252633404</v>
      </c>
      <c r="BJ679" s="199">
        <f t="shared" si="797"/>
        <v>160433.51050526681</v>
      </c>
      <c r="BK679" s="199">
        <f t="shared" si="805"/>
        <v>240650.2657579002</v>
      </c>
      <c r="BL679" s="251">
        <f t="shared" si="798"/>
        <v>1.0154036747002802E-3</v>
      </c>
      <c r="BM679" s="199">
        <f t="shared" si="844"/>
        <v>18525.485435036229</v>
      </c>
      <c r="BN679" s="251">
        <f t="shared" si="799"/>
        <v>7.999880743380063E-4</v>
      </c>
      <c r="BT679" s="199">
        <f>'Detailed Budget'!$AD$12</f>
        <v>194045122715</v>
      </c>
      <c r="BU679" s="199">
        <f>'Detailed Budget'!$AD$24</f>
        <v>194045122715</v>
      </c>
      <c r="BV679" s="596">
        <f t="shared" si="845"/>
        <v>4.1917138964841514E-3</v>
      </c>
      <c r="BW679" s="278"/>
      <c r="BX679" s="275">
        <f t="shared" si="768"/>
        <v>813381637.42943799</v>
      </c>
      <c r="BY679" s="275">
        <f t="shared" si="769"/>
        <v>813381637.42943799</v>
      </c>
      <c r="CA679" s="199">
        <f>'Detailed Budget'!$AD$96</f>
        <v>71050111380.677719</v>
      </c>
      <c r="CB679" s="275">
        <f t="shared" si="800"/>
        <v>0</v>
      </c>
      <c r="CE679" s="199">
        <f>'Detailed Budget'!$AD$175</f>
        <v>4330586076.5988197</v>
      </c>
      <c r="CF679" s="275">
        <f t="shared" si="846"/>
        <v>0</v>
      </c>
      <c r="CG679" s="199">
        <f>'Detailed Budget'!$AD$176</f>
        <v>20662817754.37001</v>
      </c>
      <c r="CH679" s="275">
        <f t="shared" si="847"/>
        <v>0</v>
      </c>
      <c r="CI679" s="275">
        <f t="shared" si="833"/>
        <v>0</v>
      </c>
      <c r="CJ679" s="275">
        <f>'Detailed Budget'!$AD$178</f>
        <v>46025131033.061455</v>
      </c>
      <c r="CK679" s="275">
        <f t="shared" si="848"/>
        <v>0</v>
      </c>
      <c r="CL679" s="275">
        <f t="shared" si="834"/>
        <v>0</v>
      </c>
      <c r="CM679" s="278">
        <f>'Detailed Budget'!$AD$189</f>
        <v>77498869683.252869</v>
      </c>
      <c r="CN679" s="275">
        <f t="shared" si="801"/>
        <v>78692637.061493114</v>
      </c>
      <c r="CO679" s="140">
        <f>'Detailed Budget'!$AD$191</f>
        <v>2684962805.4134097</v>
      </c>
      <c r="CP679" s="616">
        <f t="shared" si="802"/>
        <v>2726321.0990503496</v>
      </c>
      <c r="CQ679" s="616">
        <f t="shared" si="803"/>
        <v>81418958.160543457</v>
      </c>
      <c r="CR679" s="199">
        <f>'Detailed Budget'!$AD$195</f>
        <v>18734176418</v>
      </c>
      <c r="CS679" s="275">
        <f t="shared" si="849"/>
        <v>14987117.716944309</v>
      </c>
      <c r="CW679" s="278"/>
      <c r="DH679" s="140">
        <f>'Detailed Budget'!$AD$163</f>
        <v>4928560000</v>
      </c>
      <c r="DI679" s="616">
        <f t="shared" si="850"/>
        <v>7280000.0000000009</v>
      </c>
    </row>
    <row r="680" spans="1:113" outlineLevel="1">
      <c r="A680" s="214" t="s">
        <v>1426</v>
      </c>
      <c r="B680" s="215" t="s">
        <v>1427</v>
      </c>
      <c r="C680" s="216" t="s">
        <v>234</v>
      </c>
      <c r="D680" s="217"/>
      <c r="E680" s="216"/>
      <c r="F680" s="216"/>
      <c r="G680" s="216" t="s">
        <v>234</v>
      </c>
      <c r="H680" s="216" t="s">
        <v>234</v>
      </c>
      <c r="I680" s="217" t="s">
        <v>234</v>
      </c>
      <c r="J680" s="217"/>
      <c r="K680" s="216"/>
      <c r="L680" s="216"/>
      <c r="M680" s="217" t="s">
        <v>234</v>
      </c>
      <c r="N680" s="216"/>
      <c r="O680" s="217"/>
      <c r="P680" s="216"/>
      <c r="Q680" s="217"/>
      <c r="R680" s="217" t="s">
        <v>234</v>
      </c>
      <c r="S680" s="217"/>
      <c r="T680" s="217"/>
      <c r="U680" s="218">
        <f t="shared" si="836"/>
        <v>6</v>
      </c>
      <c r="V680" s="867" t="s">
        <v>235</v>
      </c>
      <c r="W680" s="219">
        <v>235147</v>
      </c>
      <c r="X680" s="220">
        <v>3.22</v>
      </c>
      <c r="Y680" s="221">
        <f t="shared" si="770"/>
        <v>1.0322</v>
      </c>
      <c r="Z680" s="199">
        <v>19</v>
      </c>
      <c r="AA680" s="221">
        <f t="shared" si="771"/>
        <v>1.8260524174418462</v>
      </c>
      <c r="AB680" s="199">
        <f t="shared" si="852"/>
        <v>429390.74780419783</v>
      </c>
      <c r="AC680">
        <v>12.7</v>
      </c>
      <c r="AD680" s="199">
        <f t="shared" si="853"/>
        <v>54532.624971133126</v>
      </c>
      <c r="AE680" s="199">
        <f t="shared" si="772"/>
        <v>51805.993722576466</v>
      </c>
      <c r="AF680" s="199">
        <f t="shared" si="823"/>
        <v>0</v>
      </c>
      <c r="AG680" s="614">
        <f t="shared" si="807"/>
        <v>2.3952817171580239E-3</v>
      </c>
      <c r="AH680" s="199">
        <f t="shared" si="851"/>
        <v>21469.537390209895</v>
      </c>
      <c r="AI680" s="252">
        <f t="shared" si="790"/>
        <v>1.6632125320930548E-3</v>
      </c>
      <c r="AJ680" s="199">
        <f t="shared" si="810"/>
        <v>76002.162361343013</v>
      </c>
      <c r="AK680" s="199">
        <f t="shared" si="829"/>
        <v>17175.629912167915</v>
      </c>
      <c r="AL680" s="199">
        <f t="shared" si="830"/>
        <v>17175.629912167915</v>
      </c>
      <c r="AM680" s="199">
        <f t="shared" si="791"/>
        <v>34351.25982433583</v>
      </c>
      <c r="AN680" s="645">
        <f t="shared" si="792"/>
        <v>1.6632125320930546E-3</v>
      </c>
      <c r="AO680" s="199">
        <v>11</v>
      </c>
      <c r="AP680" s="250">
        <f t="shared" si="793"/>
        <v>1.2498579706851495E-3</v>
      </c>
      <c r="AQ680" s="199">
        <v>11</v>
      </c>
      <c r="AU680" s="199">
        <v>1</v>
      </c>
      <c r="AV680" s="199">
        <f t="shared" si="837"/>
        <v>238550.43025475115</v>
      </c>
      <c r="AW680" s="250">
        <f t="shared" si="794"/>
        <v>6.8659502198856141E-3</v>
      </c>
      <c r="AX680" s="199">
        <v>0</v>
      </c>
      <c r="AY680" s="199">
        <f t="shared" si="838"/>
        <v>22029.545155065971</v>
      </c>
      <c r="AZ680" s="199">
        <f t="shared" si="812"/>
        <v>0</v>
      </c>
      <c r="BA680" s="252">
        <f t="shared" si="795"/>
        <v>0</v>
      </c>
      <c r="BB680" s="284">
        <v>0</v>
      </c>
      <c r="BC680" s="199">
        <f t="shared" si="839"/>
        <v>0</v>
      </c>
      <c r="BD680" s="270">
        <f t="shared" si="840"/>
        <v>0</v>
      </c>
      <c r="BE680" s="199">
        <f t="shared" si="841"/>
        <v>0</v>
      </c>
      <c r="BF680" s="251">
        <f t="shared" si="842"/>
        <v>0</v>
      </c>
      <c r="BG680" s="204">
        <f t="shared" si="843"/>
        <v>0</v>
      </c>
      <c r="BH680" s="636">
        <v>1</v>
      </c>
      <c r="BI680" s="199">
        <f t="shared" si="796"/>
        <v>131393.56882808454</v>
      </c>
      <c r="BJ680" s="199">
        <f t="shared" si="797"/>
        <v>262787.13765616907</v>
      </c>
      <c r="BK680" s="199">
        <f t="shared" si="805"/>
        <v>394180.70648425363</v>
      </c>
      <c r="BL680" s="251">
        <f t="shared" si="798"/>
        <v>1.6632125320930546E-3</v>
      </c>
      <c r="BM680" s="199">
        <f t="shared" si="844"/>
        <v>30344.404207276901</v>
      </c>
      <c r="BN680" s="251">
        <f t="shared" si="799"/>
        <v>1.3103657431185727E-3</v>
      </c>
      <c r="BT680" s="199">
        <f>'Detailed Budget'!$AD$12</f>
        <v>194045122715</v>
      </c>
      <c r="BU680" s="199">
        <f>'Detailed Budget'!$AD$24</f>
        <v>194045122715</v>
      </c>
      <c r="BV680" s="596">
        <f t="shared" si="845"/>
        <v>6.8659502198856141E-3</v>
      </c>
      <c r="BW680" s="278"/>
      <c r="BX680" s="275">
        <f t="shared" si="768"/>
        <v>1332304152.9727852</v>
      </c>
      <c r="BY680" s="275">
        <f t="shared" si="769"/>
        <v>1332304152.9727852</v>
      </c>
      <c r="CA680" s="199">
        <f>'Detailed Budget'!$AD$96</f>
        <v>71050111380.677719</v>
      </c>
      <c r="CB680" s="275">
        <f t="shared" si="800"/>
        <v>0</v>
      </c>
      <c r="CE680" s="199">
        <f>'Detailed Budget'!$AD$175</f>
        <v>4330586076.5988197</v>
      </c>
      <c r="CF680" s="275">
        <f t="shared" si="846"/>
        <v>0</v>
      </c>
      <c r="CG680" s="199">
        <f>'Detailed Budget'!$AD$176</f>
        <v>20662817754.37001</v>
      </c>
      <c r="CH680" s="275">
        <f t="shared" si="847"/>
        <v>0</v>
      </c>
      <c r="CI680" s="275">
        <f t="shared" si="833"/>
        <v>0</v>
      </c>
      <c r="CJ680" s="275">
        <f>'Detailed Budget'!$AD$178</f>
        <v>46025131033.061455</v>
      </c>
      <c r="CK680" s="275">
        <f t="shared" si="848"/>
        <v>0</v>
      </c>
      <c r="CL680" s="275">
        <f t="shared" si="834"/>
        <v>0</v>
      </c>
      <c r="CM680" s="278">
        <f>'Detailed Budget'!$AD$189</f>
        <v>77498869683.252869</v>
      </c>
      <c r="CN680" s="275">
        <f t="shared" si="801"/>
        <v>128897091.28023267</v>
      </c>
      <c r="CO680" s="140">
        <f>'Detailed Budget'!$AD$191</f>
        <v>2684962805.4134097</v>
      </c>
      <c r="CP680" s="616">
        <f t="shared" si="802"/>
        <v>4465663.7861673087</v>
      </c>
      <c r="CQ680" s="616">
        <f t="shared" si="803"/>
        <v>133362755.06639998</v>
      </c>
      <c r="CR680" s="199">
        <f>'Detailed Budget'!$AD$195</f>
        <v>18734176418</v>
      </c>
      <c r="CS680" s="275">
        <f t="shared" si="849"/>
        <v>24548623.003687009</v>
      </c>
      <c r="CW680" s="278"/>
      <c r="DH680" s="140">
        <f>'Detailed Budget'!$AD$163</f>
        <v>4928560000</v>
      </c>
      <c r="DI680" s="616">
        <f t="shared" si="850"/>
        <v>6160000</v>
      </c>
    </row>
    <row r="681" spans="1:113" outlineLevel="1">
      <c r="A681" s="214" t="s">
        <v>1428</v>
      </c>
      <c r="B681" s="215" t="s">
        <v>1429</v>
      </c>
      <c r="C681" s="216" t="s">
        <v>234</v>
      </c>
      <c r="D681" s="217"/>
      <c r="E681" s="216"/>
      <c r="F681" s="216"/>
      <c r="G681" s="216" t="s">
        <v>234</v>
      </c>
      <c r="H681" s="216" t="s">
        <v>234</v>
      </c>
      <c r="I681" s="217" t="s">
        <v>234</v>
      </c>
      <c r="J681" s="217"/>
      <c r="K681" s="216"/>
      <c r="L681" s="216"/>
      <c r="M681" s="217" t="s">
        <v>234</v>
      </c>
      <c r="N681" s="216"/>
      <c r="O681" s="217"/>
      <c r="P681" s="216"/>
      <c r="Q681" s="217"/>
      <c r="R681" s="217" t="s">
        <v>234</v>
      </c>
      <c r="S681" s="217"/>
      <c r="T681" s="217"/>
      <c r="U681" s="218">
        <f t="shared" si="836"/>
        <v>6</v>
      </c>
      <c r="V681" s="867" t="s">
        <v>235</v>
      </c>
      <c r="W681" s="219">
        <v>103224</v>
      </c>
      <c r="X681" s="220">
        <v>3.22</v>
      </c>
      <c r="Y681" s="221">
        <f t="shared" si="770"/>
        <v>1.0322</v>
      </c>
      <c r="Z681" s="199">
        <v>19</v>
      </c>
      <c r="AA681" s="221">
        <f t="shared" si="771"/>
        <v>1.8260524174418462</v>
      </c>
      <c r="AB681" s="199">
        <f t="shared" si="852"/>
        <v>188492.43473801712</v>
      </c>
      <c r="AC681">
        <v>12.7</v>
      </c>
      <c r="AD681" s="199">
        <f t="shared" si="853"/>
        <v>23938.539211728174</v>
      </c>
      <c r="AE681" s="199">
        <f t="shared" si="772"/>
        <v>22741.612251141763</v>
      </c>
      <c r="AF681" s="199">
        <f t="shared" si="823"/>
        <v>0</v>
      </c>
      <c r="AG681" s="614">
        <f t="shared" si="807"/>
        <v>1.0514723129443277E-3</v>
      </c>
      <c r="AH681" s="199">
        <f t="shared" si="851"/>
        <v>9424.6217369008573</v>
      </c>
      <c r="AI681" s="252">
        <f t="shared" si="790"/>
        <v>7.3011116626099193E-4</v>
      </c>
      <c r="AJ681" s="199">
        <f t="shared" si="810"/>
        <v>33363.160948629033</v>
      </c>
      <c r="AK681" s="199">
        <f t="shared" si="829"/>
        <v>7539.6973895206847</v>
      </c>
      <c r="AL681" s="199">
        <f t="shared" si="830"/>
        <v>7539.6973895206847</v>
      </c>
      <c r="AM681" s="199">
        <f t="shared" si="791"/>
        <v>15079.394779041369</v>
      </c>
      <c r="AN681" s="645">
        <f t="shared" si="792"/>
        <v>7.3011116626099182E-4</v>
      </c>
      <c r="AO681" s="199">
        <v>10</v>
      </c>
      <c r="AP681" s="250">
        <f t="shared" si="793"/>
        <v>1.1362345188046814E-3</v>
      </c>
      <c r="AQ681" s="199">
        <v>10</v>
      </c>
      <c r="AU681" s="199">
        <v>1</v>
      </c>
      <c r="AV681" s="199">
        <f t="shared" si="837"/>
        <v>104718.02579925081</v>
      </c>
      <c r="AW681" s="250">
        <f t="shared" si="794"/>
        <v>3.0139905909812694E-3</v>
      </c>
      <c r="AX681" s="199">
        <v>0</v>
      </c>
      <c r="AY681" s="199">
        <f t="shared" si="838"/>
        <v>9670.4519687111897</v>
      </c>
      <c r="AZ681" s="199">
        <f t="shared" si="812"/>
        <v>0</v>
      </c>
      <c r="BA681" s="252">
        <f t="shared" si="795"/>
        <v>0</v>
      </c>
      <c r="BB681" s="284">
        <v>0</v>
      </c>
      <c r="BC681" s="199">
        <f t="shared" si="839"/>
        <v>0</v>
      </c>
      <c r="BD681" s="270">
        <f t="shared" si="840"/>
        <v>0</v>
      </c>
      <c r="BE681" s="199">
        <f t="shared" si="841"/>
        <v>0</v>
      </c>
      <c r="BF681" s="251">
        <f t="shared" si="842"/>
        <v>0</v>
      </c>
      <c r="BG681" s="204">
        <f t="shared" si="843"/>
        <v>0</v>
      </c>
      <c r="BH681" s="636">
        <v>1</v>
      </c>
      <c r="BI681" s="199">
        <f t="shared" si="796"/>
        <v>57678.685029833243</v>
      </c>
      <c r="BJ681" s="199">
        <f t="shared" si="797"/>
        <v>115357.37005966649</v>
      </c>
      <c r="BK681" s="199">
        <f t="shared" si="805"/>
        <v>173036.05508949974</v>
      </c>
      <c r="BL681" s="251">
        <f t="shared" si="798"/>
        <v>7.3011116626099193E-4</v>
      </c>
      <c r="BM681" s="199">
        <f t="shared" si="844"/>
        <v>13320.479444313347</v>
      </c>
      <c r="BN681" s="251">
        <f t="shared" si="799"/>
        <v>5.7521972837276919E-4</v>
      </c>
      <c r="BT681" s="199">
        <f>'Detailed Budget'!$AD$12</f>
        <v>194045122715</v>
      </c>
      <c r="BU681" s="199">
        <f>'Detailed Budget'!$AD$24</f>
        <v>194045122715</v>
      </c>
      <c r="BV681" s="596">
        <f t="shared" si="845"/>
        <v>3.0139905909812694E-3</v>
      </c>
      <c r="BW681" s="278"/>
      <c r="BX681" s="275">
        <f t="shared" si="768"/>
        <v>584850174.08881581</v>
      </c>
      <c r="BY681" s="275">
        <f t="shared" si="769"/>
        <v>584850174.08881581</v>
      </c>
      <c r="CA681" s="199">
        <f>'Detailed Budget'!$AD$96</f>
        <v>71050111380.677719</v>
      </c>
      <c r="CB681" s="275">
        <f t="shared" si="800"/>
        <v>0</v>
      </c>
      <c r="CE681" s="199">
        <f>'Detailed Budget'!$AD$175</f>
        <v>4330586076.5988197</v>
      </c>
      <c r="CF681" s="275">
        <f t="shared" si="846"/>
        <v>0</v>
      </c>
      <c r="CG681" s="199">
        <f>'Detailed Budget'!$AD$176</f>
        <v>20662817754.37001</v>
      </c>
      <c r="CH681" s="275">
        <f t="shared" si="847"/>
        <v>0</v>
      </c>
      <c r="CI681" s="275">
        <f t="shared" si="833"/>
        <v>0</v>
      </c>
      <c r="CJ681" s="275">
        <f>'Detailed Budget'!$AD$178</f>
        <v>46025131033.061455</v>
      </c>
      <c r="CK681" s="275">
        <f t="shared" si="848"/>
        <v>0</v>
      </c>
      <c r="CL681" s="275">
        <f t="shared" si="834"/>
        <v>0</v>
      </c>
      <c r="CM681" s="278">
        <f>'Detailed Budget'!$AD$189</f>
        <v>77498869683.252869</v>
      </c>
      <c r="CN681" s="275">
        <f t="shared" si="801"/>
        <v>56582790.12834838</v>
      </c>
      <c r="CO681" s="140">
        <f>'Detailed Budget'!$AD$191</f>
        <v>2684962805.4134097</v>
      </c>
      <c r="CP681" s="616">
        <f t="shared" si="802"/>
        <v>1960321.3252277691</v>
      </c>
      <c r="CQ681" s="616">
        <f t="shared" si="803"/>
        <v>58543111.453576148</v>
      </c>
      <c r="CR681" s="199">
        <f>'Detailed Budget'!$AD$195</f>
        <v>18734176418</v>
      </c>
      <c r="CS681" s="275">
        <f t="shared" si="849"/>
        <v>10776267.870449498</v>
      </c>
      <c r="CW681" s="278"/>
      <c r="DH681" s="140">
        <f>'Detailed Budget'!$AD$163</f>
        <v>4928560000</v>
      </c>
      <c r="DI681" s="616">
        <f t="shared" si="850"/>
        <v>5600000</v>
      </c>
    </row>
    <row r="682" spans="1:113" outlineLevel="1">
      <c r="A682" s="214" t="s">
        <v>1430</v>
      </c>
      <c r="B682" s="215" t="s">
        <v>1431</v>
      </c>
      <c r="C682" s="216" t="s">
        <v>234</v>
      </c>
      <c r="D682" s="217"/>
      <c r="E682" s="216"/>
      <c r="F682" s="216"/>
      <c r="G682" s="216" t="s">
        <v>234</v>
      </c>
      <c r="H682" s="216" t="s">
        <v>234</v>
      </c>
      <c r="I682" s="217" t="s">
        <v>234</v>
      </c>
      <c r="J682" s="217"/>
      <c r="K682" s="216"/>
      <c r="L682" s="216"/>
      <c r="M682" s="217" t="s">
        <v>234</v>
      </c>
      <c r="N682" s="216"/>
      <c r="O682" s="217"/>
      <c r="P682" s="216"/>
      <c r="Q682" s="217"/>
      <c r="R682" s="217" t="s">
        <v>234</v>
      </c>
      <c r="S682" s="217"/>
      <c r="T682" s="217"/>
      <c r="U682" s="218">
        <f t="shared" si="836"/>
        <v>6</v>
      </c>
      <c r="V682" s="867" t="s">
        <v>235</v>
      </c>
      <c r="W682" s="219">
        <v>150024</v>
      </c>
      <c r="X682" s="220">
        <v>3.22</v>
      </c>
      <c r="Y682" s="221">
        <f t="shared" si="770"/>
        <v>1.0322</v>
      </c>
      <c r="Z682" s="199">
        <v>19</v>
      </c>
      <c r="AA682" s="221">
        <f t="shared" si="771"/>
        <v>1.8260524174418462</v>
      </c>
      <c r="AB682" s="199">
        <f t="shared" si="852"/>
        <v>273951.68787429552</v>
      </c>
      <c r="AC682">
        <v>12.7</v>
      </c>
      <c r="AD682" s="199">
        <f t="shared" si="853"/>
        <v>34791.864360035528</v>
      </c>
      <c r="AE682" s="199">
        <f t="shared" si="772"/>
        <v>33052.271142033751</v>
      </c>
      <c r="AF682" s="199">
        <f t="shared" si="823"/>
        <v>0</v>
      </c>
      <c r="AG682" s="614">
        <f t="shared" si="807"/>
        <v>1.5281919154185057E-3</v>
      </c>
      <c r="AH682" s="199">
        <f t="shared" si="851"/>
        <v>13697.584393714777</v>
      </c>
      <c r="AI682" s="252">
        <f t="shared" si="790"/>
        <v>1.061131109113569E-3</v>
      </c>
      <c r="AJ682" s="199">
        <f t="shared" si="810"/>
        <v>48489.448753750301</v>
      </c>
      <c r="AK682" s="199">
        <f t="shared" si="829"/>
        <v>10958.067514971821</v>
      </c>
      <c r="AL682" s="199">
        <f t="shared" si="830"/>
        <v>10958.067514971821</v>
      </c>
      <c r="AM682" s="199">
        <f t="shared" si="791"/>
        <v>21916.135029943642</v>
      </c>
      <c r="AN682" s="645">
        <f t="shared" si="792"/>
        <v>1.061131109113569E-3</v>
      </c>
      <c r="AO682" s="199">
        <v>10</v>
      </c>
      <c r="AP682" s="250">
        <f t="shared" si="793"/>
        <v>1.1362345188046814E-3</v>
      </c>
      <c r="AQ682" s="199">
        <v>10</v>
      </c>
      <c r="AU682" s="199">
        <v>1</v>
      </c>
      <c r="AV682" s="199">
        <f t="shared" si="837"/>
        <v>152195.39159988766</v>
      </c>
      <c r="AW682" s="250">
        <f t="shared" si="794"/>
        <v>4.3804824887756135E-3</v>
      </c>
      <c r="AX682" s="199">
        <v>0</v>
      </c>
      <c r="AY682" s="199">
        <f t="shared" si="838"/>
        <v>14054.869857338672</v>
      </c>
      <c r="AZ682" s="199">
        <f t="shared" si="812"/>
        <v>0</v>
      </c>
      <c r="BA682" s="252">
        <f t="shared" si="795"/>
        <v>0</v>
      </c>
      <c r="BB682" s="284">
        <v>0</v>
      </c>
      <c r="BC682" s="199">
        <f t="shared" si="839"/>
        <v>0</v>
      </c>
      <c r="BD682" s="270">
        <f t="shared" si="840"/>
        <v>0</v>
      </c>
      <c r="BE682" s="199">
        <f t="shared" si="841"/>
        <v>0</v>
      </c>
      <c r="BF682" s="251">
        <f t="shared" si="842"/>
        <v>0</v>
      </c>
      <c r="BG682" s="204">
        <f t="shared" si="843"/>
        <v>0</v>
      </c>
      <c r="BH682" s="636">
        <v>1</v>
      </c>
      <c r="BI682" s="199">
        <f t="shared" si="796"/>
        <v>83829.216489534418</v>
      </c>
      <c r="BJ682" s="199">
        <f t="shared" si="797"/>
        <v>167658.43297906884</v>
      </c>
      <c r="BK682" s="199">
        <f t="shared" si="805"/>
        <v>251487.64946860325</v>
      </c>
      <c r="BL682" s="251">
        <f t="shared" si="798"/>
        <v>1.0611311091135688E-3</v>
      </c>
      <c r="BM682" s="199">
        <f t="shared" si="844"/>
        <v>19359.757499744879</v>
      </c>
      <c r="BN682" s="251">
        <f t="shared" si="799"/>
        <v>8.3601453663291784E-4</v>
      </c>
      <c r="BT682" s="199">
        <f>'Detailed Budget'!$AD$12</f>
        <v>194045122715</v>
      </c>
      <c r="BU682" s="199">
        <f>'Detailed Budget'!$AD$24</f>
        <v>194045122715</v>
      </c>
      <c r="BV682" s="596">
        <f t="shared" si="845"/>
        <v>4.3804824887756135E-3</v>
      </c>
      <c r="BW682" s="278"/>
      <c r="BX682" s="275">
        <f t="shared" si="768"/>
        <v>850011262.08537257</v>
      </c>
      <c r="BY682" s="275">
        <f t="shared" si="769"/>
        <v>850011262.08537257</v>
      </c>
      <c r="CA682" s="199">
        <f>'Detailed Budget'!$AD$96</f>
        <v>71050111380.677719</v>
      </c>
      <c r="CB682" s="275">
        <f t="shared" si="800"/>
        <v>0</v>
      </c>
      <c r="CE682" s="199">
        <f>'Detailed Budget'!$AD$175</f>
        <v>4330586076.5988197</v>
      </c>
      <c r="CF682" s="275">
        <f t="shared" si="846"/>
        <v>0</v>
      </c>
      <c r="CG682" s="199">
        <f>'Detailed Budget'!$AD$176</f>
        <v>20662817754.37001</v>
      </c>
      <c r="CH682" s="275">
        <f t="shared" si="847"/>
        <v>0</v>
      </c>
      <c r="CI682" s="275">
        <f t="shared" si="833"/>
        <v>0</v>
      </c>
      <c r="CJ682" s="275">
        <f>'Detailed Budget'!$AD$178</f>
        <v>46025131033.061455</v>
      </c>
      <c r="CK682" s="275">
        <f t="shared" si="848"/>
        <v>0</v>
      </c>
      <c r="CL682" s="275">
        <f t="shared" si="834"/>
        <v>0</v>
      </c>
      <c r="CM682" s="278">
        <f>'Detailed Budget'!$AD$189</f>
        <v>77498869683.252869</v>
      </c>
      <c r="CN682" s="275">
        <f t="shared" si="801"/>
        <v>82236461.542038038</v>
      </c>
      <c r="CO682" s="140">
        <f>'Detailed Budget'!$AD$191</f>
        <v>2684962805.4134097</v>
      </c>
      <c r="CP682" s="616">
        <f t="shared" si="802"/>
        <v>2849097.559637011</v>
      </c>
      <c r="CQ682" s="616">
        <f t="shared" si="803"/>
        <v>85085559.101675048</v>
      </c>
      <c r="CR682" s="199">
        <f>'Detailed Budget'!$AD$195</f>
        <v>18734176418</v>
      </c>
      <c r="CS682" s="275">
        <f t="shared" si="849"/>
        <v>15662043.817293607</v>
      </c>
      <c r="CW682" s="278"/>
      <c r="DH682" s="140">
        <f>'Detailed Budget'!$AD$163</f>
        <v>4928560000</v>
      </c>
      <c r="DI682" s="616">
        <f t="shared" si="850"/>
        <v>5600000</v>
      </c>
    </row>
    <row r="683" spans="1:113" outlineLevel="1">
      <c r="A683" s="214" t="s">
        <v>1432</v>
      </c>
      <c r="B683" s="215" t="s">
        <v>1433</v>
      </c>
      <c r="C683" s="216" t="s">
        <v>234</v>
      </c>
      <c r="D683" s="217"/>
      <c r="E683" s="216"/>
      <c r="F683" s="216"/>
      <c r="G683" s="216" t="s">
        <v>234</v>
      </c>
      <c r="H683" s="216" t="s">
        <v>234</v>
      </c>
      <c r="I683" s="217" t="s">
        <v>234</v>
      </c>
      <c r="J683" s="217"/>
      <c r="K683" s="216"/>
      <c r="L683" s="216"/>
      <c r="M683" s="217" t="s">
        <v>234</v>
      </c>
      <c r="N683" s="216"/>
      <c r="O683" s="217"/>
      <c r="P683" s="216"/>
      <c r="Q683" s="217"/>
      <c r="R683" s="217" t="s">
        <v>234</v>
      </c>
      <c r="S683" s="217"/>
      <c r="T683" s="217"/>
      <c r="U683" s="218">
        <f t="shared" si="836"/>
        <v>6</v>
      </c>
      <c r="V683" s="867" t="s">
        <v>235</v>
      </c>
      <c r="W683" s="219">
        <v>128398</v>
      </c>
      <c r="X683" s="220">
        <v>3.22</v>
      </c>
      <c r="Y683" s="221">
        <f t="shared" si="770"/>
        <v>1.0322</v>
      </c>
      <c r="Z683" s="199">
        <v>19</v>
      </c>
      <c r="AA683" s="221">
        <f t="shared" si="771"/>
        <v>1.8260524174418462</v>
      </c>
      <c r="AB683" s="199">
        <f t="shared" si="852"/>
        <v>234461.47829469817</v>
      </c>
      <c r="AC683">
        <v>12.7</v>
      </c>
      <c r="AD683" s="199">
        <f t="shared" si="853"/>
        <v>29776.60774342667</v>
      </c>
      <c r="AE683" s="199">
        <f t="shared" si="772"/>
        <v>28287.777356255334</v>
      </c>
      <c r="AF683" s="199">
        <f t="shared" si="823"/>
        <v>0</v>
      </c>
      <c r="AG683" s="614">
        <f t="shared" si="807"/>
        <v>1.30790263928375E-3</v>
      </c>
      <c r="AH683" s="199">
        <f t="shared" si="851"/>
        <v>11723.073914734909</v>
      </c>
      <c r="AI683" s="252">
        <f t="shared" si="790"/>
        <v>9.081687739825896E-4</v>
      </c>
      <c r="AJ683" s="199">
        <f t="shared" si="810"/>
        <v>41499.681658161579</v>
      </c>
      <c r="AK683" s="199">
        <f t="shared" si="829"/>
        <v>9378.4591317879276</v>
      </c>
      <c r="AL683" s="199">
        <f t="shared" si="830"/>
        <v>9378.4591317879276</v>
      </c>
      <c r="AM683" s="199">
        <f t="shared" si="791"/>
        <v>18756.918263575855</v>
      </c>
      <c r="AN683" s="645">
        <f t="shared" si="792"/>
        <v>9.0816877398258971E-4</v>
      </c>
      <c r="AO683" s="199">
        <v>10</v>
      </c>
      <c r="AP683" s="250">
        <f t="shared" si="793"/>
        <v>1.1362345188046814E-3</v>
      </c>
      <c r="AQ683" s="199">
        <v>10</v>
      </c>
      <c r="AU683" s="199">
        <v>1</v>
      </c>
      <c r="AV683" s="199">
        <f t="shared" si="837"/>
        <v>130256.38491602927</v>
      </c>
      <c r="AW683" s="250">
        <f t="shared" si="794"/>
        <v>3.7490347583973983E-3</v>
      </c>
      <c r="AX683" s="199">
        <v>0</v>
      </c>
      <c r="AY683" s="199">
        <f t="shared" si="838"/>
        <v>12028.856582563933</v>
      </c>
      <c r="AZ683" s="199">
        <f t="shared" si="812"/>
        <v>0</v>
      </c>
      <c r="BA683" s="252">
        <f t="shared" si="795"/>
        <v>0</v>
      </c>
      <c r="BB683" s="284">
        <v>0</v>
      </c>
      <c r="BC683" s="199">
        <f t="shared" si="839"/>
        <v>0</v>
      </c>
      <c r="BD683" s="270">
        <f t="shared" si="840"/>
        <v>0</v>
      </c>
      <c r="BE683" s="199">
        <f t="shared" si="841"/>
        <v>0</v>
      </c>
      <c r="BF683" s="251">
        <f t="shared" si="842"/>
        <v>0</v>
      </c>
      <c r="BG683" s="204">
        <f t="shared" si="843"/>
        <v>0</v>
      </c>
      <c r="BH683" s="636">
        <v>1</v>
      </c>
      <c r="BI683" s="199">
        <f t="shared" si="796"/>
        <v>71745.21235817764</v>
      </c>
      <c r="BJ683" s="199">
        <f t="shared" si="797"/>
        <v>143490.42471635528</v>
      </c>
      <c r="BK683" s="199">
        <f t="shared" si="805"/>
        <v>215235.63707453292</v>
      </c>
      <c r="BL683" s="251">
        <f t="shared" si="798"/>
        <v>9.081687739825896E-4</v>
      </c>
      <c r="BM683" s="199">
        <f t="shared" si="844"/>
        <v>16569.043242762778</v>
      </c>
      <c r="BN683" s="251">
        <f t="shared" si="799"/>
        <v>7.1550281604672186E-4</v>
      </c>
      <c r="BT683" s="199">
        <f>'Detailed Budget'!$AD$12</f>
        <v>194045122715</v>
      </c>
      <c r="BU683" s="199">
        <f>'Detailed Budget'!$AD$24</f>
        <v>194045122715</v>
      </c>
      <c r="BV683" s="596">
        <f t="shared" si="845"/>
        <v>3.7490347583973983E-3</v>
      </c>
      <c r="BW683" s="278"/>
      <c r="BX683" s="275">
        <f t="shared" si="768"/>
        <v>727481909.75602353</v>
      </c>
      <c r="BY683" s="275">
        <f t="shared" si="769"/>
        <v>727481909.75602353</v>
      </c>
      <c r="CA683" s="199">
        <f>'Detailed Budget'!$AD$96</f>
        <v>71050111380.677719</v>
      </c>
      <c r="CB683" s="275">
        <f t="shared" si="800"/>
        <v>0</v>
      </c>
      <c r="CE683" s="199">
        <f>'Detailed Budget'!$AD$175</f>
        <v>4330586076.5988197</v>
      </c>
      <c r="CF683" s="275">
        <f t="shared" si="846"/>
        <v>0</v>
      </c>
      <c r="CG683" s="199">
        <f>'Detailed Budget'!$AD$176</f>
        <v>20662817754.37001</v>
      </c>
      <c r="CH683" s="275">
        <f t="shared" si="847"/>
        <v>0</v>
      </c>
      <c r="CI683" s="275">
        <f t="shared" si="833"/>
        <v>0</v>
      </c>
      <c r="CJ683" s="275">
        <f>'Detailed Budget'!$AD$178</f>
        <v>46025131033.061455</v>
      </c>
      <c r="CK683" s="275">
        <f t="shared" si="848"/>
        <v>0</v>
      </c>
      <c r="CL683" s="275">
        <f t="shared" si="834"/>
        <v>0</v>
      </c>
      <c r="CM683" s="278">
        <f>'Detailed Budget'!$AD$189</f>
        <v>77498869683.252869</v>
      </c>
      <c r="CN683" s="275">
        <f t="shared" si="801"/>
        <v>70382053.465276241</v>
      </c>
      <c r="CO683" s="140">
        <f>'Detailed Budget'!$AD$191</f>
        <v>2684962805.4134097</v>
      </c>
      <c r="CP683" s="616">
        <f t="shared" si="802"/>
        <v>2438399.3791811508</v>
      </c>
      <c r="CQ683" s="616">
        <f t="shared" si="803"/>
        <v>72820452.844457388</v>
      </c>
      <c r="CR683" s="199">
        <f>'Detailed Budget'!$AD$195</f>
        <v>18734176418</v>
      </c>
      <c r="CS683" s="275">
        <f t="shared" si="849"/>
        <v>13404355.983395088</v>
      </c>
      <c r="CW683" s="278"/>
      <c r="DH683" s="140">
        <f>'Detailed Budget'!$AD$163</f>
        <v>4928560000</v>
      </c>
      <c r="DI683" s="616">
        <f t="shared" si="850"/>
        <v>5600000</v>
      </c>
    </row>
    <row r="684" spans="1:113" outlineLevel="1">
      <c r="A684" s="214" t="s">
        <v>1434</v>
      </c>
      <c r="B684" s="215" t="s">
        <v>1435</v>
      </c>
      <c r="C684" s="216" t="s">
        <v>234</v>
      </c>
      <c r="D684" s="217"/>
      <c r="E684" s="216"/>
      <c r="F684" s="216"/>
      <c r="G684" s="216" t="s">
        <v>234</v>
      </c>
      <c r="H684" s="216" t="s">
        <v>234</v>
      </c>
      <c r="I684" s="217" t="s">
        <v>234</v>
      </c>
      <c r="J684" s="217"/>
      <c r="K684" s="216"/>
      <c r="L684" s="216"/>
      <c r="M684" s="217" t="s">
        <v>234</v>
      </c>
      <c r="N684" s="216"/>
      <c r="O684" s="217"/>
      <c r="P684" s="216"/>
      <c r="Q684" s="217"/>
      <c r="R684" s="217" t="s">
        <v>234</v>
      </c>
      <c r="S684" s="217"/>
      <c r="T684" s="217"/>
      <c r="U684" s="218">
        <f t="shared" si="836"/>
        <v>6</v>
      </c>
      <c r="V684" s="867" t="s">
        <v>235</v>
      </c>
      <c r="W684" s="219">
        <v>118540</v>
      </c>
      <c r="X684" s="220">
        <v>3.22</v>
      </c>
      <c r="Y684" s="221">
        <f t="shared" si="770"/>
        <v>1.0322</v>
      </c>
      <c r="Z684" s="199">
        <v>19</v>
      </c>
      <c r="AA684" s="221">
        <f t="shared" si="771"/>
        <v>1.8260524174418462</v>
      </c>
      <c r="AB684" s="199">
        <f t="shared" si="852"/>
        <v>216460.25356355644</v>
      </c>
      <c r="AC684">
        <v>12.7</v>
      </c>
      <c r="AD684" s="199">
        <f t="shared" si="853"/>
        <v>27490.452202571669</v>
      </c>
      <c r="AE684" s="199">
        <f t="shared" si="772"/>
        <v>26115.929592443084</v>
      </c>
      <c r="AF684" s="199">
        <f t="shared" si="823"/>
        <v>0</v>
      </c>
      <c r="AG684" s="614">
        <f t="shared" si="807"/>
        <v>1.2074859332754072E-3</v>
      </c>
      <c r="AH684" s="199">
        <f t="shared" si="851"/>
        <v>10823.012678177824</v>
      </c>
      <c r="AI684" s="252">
        <f t="shared" si="790"/>
        <v>8.3844239371248916E-4</v>
      </c>
      <c r="AJ684" s="199">
        <f t="shared" si="810"/>
        <v>38313.464880749496</v>
      </c>
      <c r="AK684" s="199">
        <f t="shared" si="829"/>
        <v>8658.4101425422577</v>
      </c>
      <c r="AL684" s="199">
        <f t="shared" si="830"/>
        <v>8658.4101425422577</v>
      </c>
      <c r="AM684" s="199">
        <f t="shared" si="791"/>
        <v>17316.820285084515</v>
      </c>
      <c r="AN684" s="645">
        <f t="shared" si="792"/>
        <v>8.3844239371248905E-4</v>
      </c>
      <c r="AO684" s="199">
        <v>10</v>
      </c>
      <c r="AP684" s="250">
        <f t="shared" si="793"/>
        <v>1.1362345188046814E-3</v>
      </c>
      <c r="AQ684" s="199">
        <v>10</v>
      </c>
      <c r="AU684" s="199">
        <v>1</v>
      </c>
      <c r="AV684" s="199">
        <f t="shared" si="837"/>
        <v>120255.70388904898</v>
      </c>
      <c r="AW684" s="250">
        <f t="shared" si="794"/>
        <v>3.461195503515846E-3</v>
      </c>
      <c r="AX684" s="199">
        <v>0</v>
      </c>
      <c r="AY684" s="199">
        <f t="shared" si="838"/>
        <v>11105.318301664578</v>
      </c>
      <c r="AZ684" s="199">
        <f t="shared" si="812"/>
        <v>0</v>
      </c>
      <c r="BA684" s="252">
        <f t="shared" si="795"/>
        <v>0</v>
      </c>
      <c r="BB684" s="284">
        <v>0</v>
      </c>
      <c r="BC684" s="199">
        <f t="shared" si="839"/>
        <v>0</v>
      </c>
      <c r="BD684" s="270">
        <f t="shared" si="840"/>
        <v>0</v>
      </c>
      <c r="BE684" s="199">
        <f t="shared" si="841"/>
        <v>0</v>
      </c>
      <c r="BF684" s="251">
        <f t="shared" si="842"/>
        <v>0</v>
      </c>
      <c r="BG684" s="204">
        <f t="shared" si="843"/>
        <v>0</v>
      </c>
      <c r="BH684" s="636">
        <v>1</v>
      </c>
      <c r="BI684" s="199">
        <f t="shared" si="796"/>
        <v>66236.837590448267</v>
      </c>
      <c r="BJ684" s="199">
        <f t="shared" si="797"/>
        <v>132473.67518089653</v>
      </c>
      <c r="BK684" s="199">
        <f t="shared" si="805"/>
        <v>198710.5127713448</v>
      </c>
      <c r="BL684" s="251">
        <f t="shared" si="798"/>
        <v>8.3844239371248905E-4</v>
      </c>
      <c r="BM684" s="199">
        <f t="shared" si="844"/>
        <v>15296.923519035343</v>
      </c>
      <c r="BN684" s="251">
        <f t="shared" si="799"/>
        <v>6.6056873015294954E-4</v>
      </c>
      <c r="BT684" s="199">
        <f>'Detailed Budget'!$AD$12</f>
        <v>194045122715</v>
      </c>
      <c r="BU684" s="199">
        <f>'Detailed Budget'!$AD$24</f>
        <v>194045122715</v>
      </c>
      <c r="BV684" s="596">
        <f t="shared" si="845"/>
        <v>3.461195503515846E-3</v>
      </c>
      <c r="BW684" s="278"/>
      <c r="BX684" s="275">
        <f t="shared" si="768"/>
        <v>671628106.22033858</v>
      </c>
      <c r="BY684" s="275">
        <f t="shared" si="769"/>
        <v>671628106.22033858</v>
      </c>
      <c r="CA684" s="199">
        <f>'Detailed Budget'!$AD$96</f>
        <v>71050111380.677719</v>
      </c>
      <c r="CB684" s="275">
        <f t="shared" si="800"/>
        <v>0</v>
      </c>
      <c r="CE684" s="199">
        <f>'Detailed Budget'!$AD$175</f>
        <v>4330586076.5988197</v>
      </c>
      <c r="CF684" s="275">
        <f t="shared" si="846"/>
        <v>0</v>
      </c>
      <c r="CG684" s="199">
        <f>'Detailed Budget'!$AD$176</f>
        <v>20662817754.37001</v>
      </c>
      <c r="CH684" s="275">
        <f t="shared" si="847"/>
        <v>0</v>
      </c>
      <c r="CI684" s="275">
        <f t="shared" si="833"/>
        <v>0</v>
      </c>
      <c r="CJ684" s="275">
        <f>'Detailed Budget'!$AD$178</f>
        <v>46025131033.061455</v>
      </c>
      <c r="CK684" s="275">
        <f t="shared" si="848"/>
        <v>0</v>
      </c>
      <c r="CL684" s="275">
        <f t="shared" si="834"/>
        <v>0</v>
      </c>
      <c r="CM684" s="278">
        <f>'Detailed Budget'!$AD$189</f>
        <v>77498869683.252869</v>
      </c>
      <c r="CN684" s="275">
        <f t="shared" si="801"/>
        <v>64978337.80723878</v>
      </c>
      <c r="CO684" s="140">
        <f>'Detailed Budget'!$AD$191</f>
        <v>2684962805.4134097</v>
      </c>
      <c r="CP684" s="616">
        <f t="shared" si="802"/>
        <v>2251186.6415998191</v>
      </c>
      <c r="CQ684" s="616">
        <f t="shared" si="803"/>
        <v>67229524.448838592</v>
      </c>
      <c r="CR684" s="199">
        <f>'Detailed Budget'!$AD$195</f>
        <v>18734176418</v>
      </c>
      <c r="CS684" s="275">
        <f t="shared" si="849"/>
        <v>12375211.126899593</v>
      </c>
      <c r="CW684" s="278"/>
      <c r="DH684" s="140">
        <f>'Detailed Budget'!$AD$163</f>
        <v>4928560000</v>
      </c>
      <c r="DI684" s="616">
        <f t="shared" si="850"/>
        <v>5600000</v>
      </c>
    </row>
    <row r="685" spans="1:113" outlineLevel="1">
      <c r="A685" s="214" t="s">
        <v>1436</v>
      </c>
      <c r="B685" s="215" t="s">
        <v>1437</v>
      </c>
      <c r="C685" s="216" t="s">
        <v>234</v>
      </c>
      <c r="D685" s="217"/>
      <c r="E685" s="216"/>
      <c r="F685" s="216"/>
      <c r="G685" s="216" t="s">
        <v>234</v>
      </c>
      <c r="H685" s="216" t="s">
        <v>234</v>
      </c>
      <c r="I685" s="217" t="s">
        <v>234</v>
      </c>
      <c r="J685" s="217"/>
      <c r="K685" s="216"/>
      <c r="L685" s="216"/>
      <c r="M685" s="217"/>
      <c r="N685" s="216" t="s">
        <v>234</v>
      </c>
      <c r="O685" s="217"/>
      <c r="P685" s="216"/>
      <c r="Q685" s="217"/>
      <c r="R685" s="217" t="s">
        <v>234</v>
      </c>
      <c r="S685" s="217"/>
      <c r="T685" s="217"/>
      <c r="U685" s="218">
        <f t="shared" si="836"/>
        <v>6</v>
      </c>
      <c r="V685" s="867" t="s">
        <v>235</v>
      </c>
      <c r="W685" s="219">
        <v>150032</v>
      </c>
      <c r="X685" s="220">
        <v>3.22</v>
      </c>
      <c r="Y685" s="221">
        <f t="shared" si="770"/>
        <v>1.0322</v>
      </c>
      <c r="Z685" s="199">
        <v>19</v>
      </c>
      <c r="AA685" s="221">
        <f t="shared" si="771"/>
        <v>1.8260524174418462</v>
      </c>
      <c r="AB685" s="199">
        <f t="shared" si="852"/>
        <v>273966.2962936351</v>
      </c>
      <c r="AC685">
        <v>12.7</v>
      </c>
      <c r="AD685" s="199">
        <f t="shared" si="853"/>
        <v>34793.719629291656</v>
      </c>
      <c r="AE685" s="199">
        <f t="shared" si="772"/>
        <v>33054.033647827069</v>
      </c>
      <c r="AF685" s="199">
        <f t="shared" si="823"/>
        <v>0</v>
      </c>
      <c r="AG685" s="614">
        <f t="shared" si="807"/>
        <v>1.5282734059488432E-3</v>
      </c>
      <c r="AH685" s="199">
        <f t="shared" si="851"/>
        <v>13698.314814681755</v>
      </c>
      <c r="AI685" s="252">
        <f t="shared" si="790"/>
        <v>1.0611876937191849E-3</v>
      </c>
      <c r="AJ685" s="199">
        <f t="shared" si="810"/>
        <v>48492.034443973411</v>
      </c>
      <c r="AK685" s="199">
        <f t="shared" si="829"/>
        <v>10958.651851745404</v>
      </c>
      <c r="AL685" s="199">
        <f t="shared" si="830"/>
        <v>10958.651851745404</v>
      </c>
      <c r="AM685" s="199">
        <f t="shared" si="791"/>
        <v>21917.303703490808</v>
      </c>
      <c r="AN685" s="645">
        <f t="shared" si="792"/>
        <v>1.0611876937191849E-3</v>
      </c>
      <c r="AO685" s="199">
        <v>11</v>
      </c>
      <c r="AP685" s="250">
        <f t="shared" si="793"/>
        <v>1.2498579706851495E-3</v>
      </c>
      <c r="AQ685" s="199">
        <v>11</v>
      </c>
      <c r="AU685" s="199">
        <v>1</v>
      </c>
      <c r="AV685" s="199">
        <f t="shared" si="837"/>
        <v>152203.50738891339</v>
      </c>
      <c r="AW685" s="250">
        <f t="shared" si="794"/>
        <v>4.3807160771342103E-3</v>
      </c>
      <c r="AX685" s="199">
        <v>0</v>
      </c>
      <c r="AY685" s="199">
        <f t="shared" si="838"/>
        <v>14055.619330482032</v>
      </c>
      <c r="AZ685" s="199">
        <f t="shared" si="812"/>
        <v>0</v>
      </c>
      <c r="BA685" s="252">
        <f t="shared" si="795"/>
        <v>0</v>
      </c>
      <c r="BB685" s="284">
        <v>0</v>
      </c>
      <c r="BC685" s="199">
        <f t="shared" si="839"/>
        <v>0</v>
      </c>
      <c r="BD685" s="270">
        <f t="shared" si="840"/>
        <v>0</v>
      </c>
      <c r="BE685" s="199">
        <f t="shared" si="841"/>
        <v>0</v>
      </c>
      <c r="BF685" s="251">
        <f t="shared" si="842"/>
        <v>0</v>
      </c>
      <c r="BG685" s="204">
        <f t="shared" si="843"/>
        <v>0</v>
      </c>
      <c r="BH685" s="636">
        <v>1</v>
      </c>
      <c r="BI685" s="199">
        <f t="shared" si="796"/>
        <v>83833.686665852336</v>
      </c>
      <c r="BJ685" s="199">
        <f t="shared" si="797"/>
        <v>167667.37333170467</v>
      </c>
      <c r="BK685" s="199">
        <f t="shared" si="805"/>
        <v>251501.05999755702</v>
      </c>
      <c r="BL685" s="251">
        <f t="shared" si="798"/>
        <v>1.0611876937191849E-3</v>
      </c>
      <c r="BM685" s="199">
        <f t="shared" si="844"/>
        <v>19360.789854968029</v>
      </c>
      <c r="BN685" s="251">
        <f t="shared" si="799"/>
        <v>8.3605911694202215E-4</v>
      </c>
      <c r="BT685" s="199">
        <f>'Detailed Budget'!$AD$12</f>
        <v>194045122715</v>
      </c>
      <c r="BU685" s="199">
        <f>'Detailed Budget'!$AD$24</f>
        <v>194045122715</v>
      </c>
      <c r="BV685" s="596">
        <f t="shared" si="845"/>
        <v>4.3807160771342103E-3</v>
      </c>
      <c r="BW685" s="278"/>
      <c r="BX685" s="275">
        <f t="shared" si="768"/>
        <v>850056588.76708126</v>
      </c>
      <c r="BY685" s="275">
        <f t="shared" si="769"/>
        <v>850056588.76708126</v>
      </c>
      <c r="CA685" s="199">
        <f>'Detailed Budget'!$AD$96</f>
        <v>71050111380.677719</v>
      </c>
      <c r="CB685" s="275">
        <f t="shared" si="800"/>
        <v>0</v>
      </c>
      <c r="CE685" s="199">
        <f>'Detailed Budget'!$AD$175</f>
        <v>4330586076.5988197</v>
      </c>
      <c r="CF685" s="275">
        <f t="shared" si="846"/>
        <v>0</v>
      </c>
      <c r="CG685" s="199">
        <f>'Detailed Budget'!$AD$176</f>
        <v>20662817754.37001</v>
      </c>
      <c r="CH685" s="275">
        <f t="shared" si="847"/>
        <v>0</v>
      </c>
      <c r="CI685" s="275">
        <f t="shared" si="833"/>
        <v>0</v>
      </c>
      <c r="CJ685" s="275">
        <f>'Detailed Budget'!$AD$178</f>
        <v>46025131033.061455</v>
      </c>
      <c r="CK685" s="275">
        <f t="shared" si="848"/>
        <v>0</v>
      </c>
      <c r="CL685" s="275">
        <f t="shared" si="834"/>
        <v>0</v>
      </c>
      <c r="CM685" s="278">
        <f>'Detailed Budget'!$AD$189</f>
        <v>77498869683.252869</v>
      </c>
      <c r="CN685" s="275">
        <f t="shared" si="801"/>
        <v>82240846.785014763</v>
      </c>
      <c r="CO685" s="140">
        <f>'Detailed Budget'!$AD$191</f>
        <v>2684962805.4134097</v>
      </c>
      <c r="CP685" s="616">
        <f t="shared" si="802"/>
        <v>2849249.4871984487</v>
      </c>
      <c r="CQ685" s="616">
        <f t="shared" si="803"/>
        <v>85090096.272213206</v>
      </c>
      <c r="CR685" s="199">
        <f>'Detailed Budget'!$AD$195</f>
        <v>18734176418</v>
      </c>
      <c r="CS685" s="275">
        <f t="shared" si="849"/>
        <v>15662878.992669135</v>
      </c>
      <c r="CW685" s="278"/>
      <c r="DH685" s="140">
        <f>'Detailed Budget'!$AD$163</f>
        <v>4928560000</v>
      </c>
      <c r="DI685" s="616">
        <f t="shared" si="850"/>
        <v>6160000</v>
      </c>
    </row>
    <row r="686" spans="1:113" outlineLevel="1">
      <c r="A686" s="214" t="s">
        <v>1438</v>
      </c>
      <c r="B686" s="215" t="s">
        <v>1439</v>
      </c>
      <c r="C686" s="216" t="s">
        <v>234</v>
      </c>
      <c r="D686" s="217"/>
      <c r="E686" s="216"/>
      <c r="F686" s="216"/>
      <c r="G686" s="216" t="s">
        <v>234</v>
      </c>
      <c r="H686" s="216" t="s">
        <v>234</v>
      </c>
      <c r="I686" s="217" t="s">
        <v>234</v>
      </c>
      <c r="J686" s="217"/>
      <c r="K686" s="216"/>
      <c r="L686" s="216"/>
      <c r="M686" s="217" t="s">
        <v>234</v>
      </c>
      <c r="N686" s="216"/>
      <c r="O686" s="217"/>
      <c r="P686" s="216"/>
      <c r="Q686" s="217"/>
      <c r="R686" s="217" t="s">
        <v>234</v>
      </c>
      <c r="S686" s="217"/>
      <c r="T686" s="217"/>
      <c r="U686" s="218">
        <f t="shared" si="836"/>
        <v>6</v>
      </c>
      <c r="V686" s="867" t="s">
        <v>235</v>
      </c>
      <c r="W686" s="219">
        <v>67391</v>
      </c>
      <c r="X686" s="220">
        <v>3.22</v>
      </c>
      <c r="Y686" s="221">
        <f t="shared" si="770"/>
        <v>1.0322</v>
      </c>
      <c r="Z686" s="199">
        <v>19</v>
      </c>
      <c r="AA686" s="221">
        <f t="shared" si="771"/>
        <v>1.8260524174418462</v>
      </c>
      <c r="AB686" s="199">
        <f t="shared" si="852"/>
        <v>123059.49846382346</v>
      </c>
      <c r="AC686">
        <v>12.7</v>
      </c>
      <c r="AD686" s="199">
        <f t="shared" si="853"/>
        <v>15628.556304905578</v>
      </c>
      <c r="AE686" s="199">
        <f t="shared" si="772"/>
        <v>14847.128489660299</v>
      </c>
      <c r="AF686" s="199">
        <f t="shared" si="823"/>
        <v>0</v>
      </c>
      <c r="AG686" s="614">
        <f t="shared" si="807"/>
        <v>6.8646604124652404E-4</v>
      </c>
      <c r="AH686" s="199">
        <f t="shared" si="851"/>
        <v>6152.9749231911737</v>
      </c>
      <c r="AI686" s="252">
        <f t="shared" si="790"/>
        <v>4.7666164463200909E-4</v>
      </c>
      <c r="AJ686" s="199">
        <f t="shared" si="810"/>
        <v>21781.531228096752</v>
      </c>
      <c r="AK686" s="199">
        <f t="shared" si="829"/>
        <v>4922.3799385529383</v>
      </c>
      <c r="AL686" s="199">
        <f t="shared" si="830"/>
        <v>4922.3799385529383</v>
      </c>
      <c r="AM686" s="199">
        <f t="shared" si="791"/>
        <v>9844.7598771058765</v>
      </c>
      <c r="AN686" s="645">
        <f t="shared" si="792"/>
        <v>4.7666164463200904E-4</v>
      </c>
      <c r="AO686" s="199">
        <v>10</v>
      </c>
      <c r="AP686" s="250">
        <f t="shared" si="793"/>
        <v>1.1362345188046814E-3</v>
      </c>
      <c r="AQ686" s="199">
        <v>10</v>
      </c>
      <c r="AU686" s="199">
        <v>1</v>
      </c>
      <c r="AV686" s="199">
        <f t="shared" si="837"/>
        <v>68366.392279288833</v>
      </c>
      <c r="AW686" s="250">
        <f t="shared" si="794"/>
        <v>1.9677191342790312E-3</v>
      </c>
      <c r="AX686" s="199">
        <v>0</v>
      </c>
      <c r="AY686" s="199">
        <f t="shared" si="838"/>
        <v>6313.4680754806604</v>
      </c>
      <c r="AZ686" s="199">
        <f t="shared" si="812"/>
        <v>0</v>
      </c>
      <c r="BA686" s="252">
        <f t="shared" si="795"/>
        <v>0</v>
      </c>
      <c r="BB686" s="284">
        <v>0</v>
      </c>
      <c r="BC686" s="199">
        <f t="shared" si="839"/>
        <v>0</v>
      </c>
      <c r="BD686" s="270">
        <f t="shared" si="840"/>
        <v>0</v>
      </c>
      <c r="BE686" s="199">
        <f t="shared" si="841"/>
        <v>0</v>
      </c>
      <c r="BF686" s="251">
        <f t="shared" si="842"/>
        <v>0</v>
      </c>
      <c r="BG686" s="204">
        <f t="shared" si="843"/>
        <v>0</v>
      </c>
      <c r="BH686" s="636">
        <v>1</v>
      </c>
      <c r="BI686" s="199">
        <f t="shared" si="796"/>
        <v>37656.206529929979</v>
      </c>
      <c r="BJ686" s="199">
        <f t="shared" si="797"/>
        <v>75312.413059859959</v>
      </c>
      <c r="BK686" s="199">
        <f t="shared" si="805"/>
        <v>112968.61958978995</v>
      </c>
      <c r="BL686" s="251">
        <f t="shared" si="798"/>
        <v>4.7666164463200909E-4</v>
      </c>
      <c r="BM686" s="199">
        <f t="shared" si="844"/>
        <v>8696.4313554185137</v>
      </c>
      <c r="BN686" s="251">
        <f t="shared" si="799"/>
        <v>3.7553895135597617E-4</v>
      </c>
      <c r="BT686" s="199">
        <f>'Detailed Budget'!$AD$12</f>
        <v>194045122715</v>
      </c>
      <c r="BU686" s="199">
        <f>'Detailed Budget'!$AD$24</f>
        <v>194045122715</v>
      </c>
      <c r="BV686" s="596">
        <f t="shared" si="845"/>
        <v>1.9677191342790312E-3</v>
      </c>
      <c r="BW686" s="278"/>
      <c r="BX686" s="275">
        <f t="shared" si="768"/>
        <v>381826300.87982816</v>
      </c>
      <c r="BY686" s="275">
        <f t="shared" si="769"/>
        <v>381826300.87982816</v>
      </c>
      <c r="CA686" s="199">
        <f>'Detailed Budget'!$AD$96</f>
        <v>71050111380.677719</v>
      </c>
      <c r="CB686" s="275">
        <f t="shared" si="800"/>
        <v>0</v>
      </c>
      <c r="CE686" s="199">
        <f>'Detailed Budget'!$AD$175</f>
        <v>4330586076.5988197</v>
      </c>
      <c r="CF686" s="275">
        <f t="shared" si="846"/>
        <v>0</v>
      </c>
      <c r="CG686" s="199">
        <f>'Detailed Budget'!$AD$176</f>
        <v>20662817754.37001</v>
      </c>
      <c r="CH686" s="275">
        <f t="shared" si="847"/>
        <v>0</v>
      </c>
      <c r="CI686" s="275">
        <f t="shared" si="833"/>
        <v>0</v>
      </c>
      <c r="CJ686" s="275">
        <f>'Detailed Budget'!$AD$178</f>
        <v>46025131033.061455</v>
      </c>
      <c r="CK686" s="275">
        <f t="shared" si="848"/>
        <v>0</v>
      </c>
      <c r="CL686" s="275">
        <f t="shared" si="834"/>
        <v>0</v>
      </c>
      <c r="CM686" s="278">
        <f>'Detailed Budget'!$AD$189</f>
        <v>77498869683.252869</v>
      </c>
      <c r="CN686" s="275">
        <f t="shared" si="801"/>
        <v>36940738.680341065</v>
      </c>
      <c r="CO686" s="140">
        <f>'Detailed Budget'!$AD$191</f>
        <v>2684962805.4134097</v>
      </c>
      <c r="CP686" s="616">
        <f t="shared" si="802"/>
        <v>1279818.7866041288</v>
      </c>
      <c r="CQ686" s="616">
        <f t="shared" si="803"/>
        <v>38220557.466945194</v>
      </c>
      <c r="CR686" s="199">
        <f>'Detailed Budget'!$AD$195</f>
        <v>18734176418</v>
      </c>
      <c r="CS686" s="275">
        <f t="shared" si="849"/>
        <v>7035412.966533578</v>
      </c>
      <c r="CW686" s="278"/>
      <c r="DH686" s="140">
        <f>'Detailed Budget'!$AD$163</f>
        <v>4928560000</v>
      </c>
      <c r="DI686" s="616">
        <f t="shared" si="850"/>
        <v>5600000</v>
      </c>
    </row>
    <row r="687" spans="1:113" outlineLevel="1">
      <c r="A687" s="214" t="s">
        <v>1440</v>
      </c>
      <c r="B687" s="215" t="s">
        <v>1441</v>
      </c>
      <c r="C687" s="216" t="s">
        <v>234</v>
      </c>
      <c r="D687" s="217"/>
      <c r="E687" s="216"/>
      <c r="F687" s="216"/>
      <c r="G687" s="216" t="s">
        <v>234</v>
      </c>
      <c r="H687" s="216" t="s">
        <v>234</v>
      </c>
      <c r="I687" s="217" t="s">
        <v>234</v>
      </c>
      <c r="J687" s="217"/>
      <c r="K687" s="216"/>
      <c r="L687" s="216"/>
      <c r="M687" s="217" t="s">
        <v>234</v>
      </c>
      <c r="N687" s="216"/>
      <c r="O687" s="217"/>
      <c r="P687" s="216"/>
      <c r="Q687" s="217"/>
      <c r="R687" s="217" t="s">
        <v>234</v>
      </c>
      <c r="S687" s="217"/>
      <c r="T687" s="217"/>
      <c r="U687" s="218">
        <f t="shared" si="836"/>
        <v>6</v>
      </c>
      <c r="V687" s="867" t="s">
        <v>235</v>
      </c>
      <c r="W687" s="219">
        <v>174273</v>
      </c>
      <c r="X687" s="220">
        <v>3.22</v>
      </c>
      <c r="Y687" s="221">
        <f t="shared" si="770"/>
        <v>1.0322</v>
      </c>
      <c r="Z687" s="199">
        <v>19</v>
      </c>
      <c r="AA687" s="221">
        <f t="shared" si="771"/>
        <v>1.8260524174418462</v>
      </c>
      <c r="AB687" s="199">
        <f t="shared" si="852"/>
        <v>318231.63294484286</v>
      </c>
      <c r="AC687">
        <v>12.7</v>
      </c>
      <c r="AD687" s="199">
        <f t="shared" si="853"/>
        <v>40415.417383995045</v>
      </c>
      <c r="AE687" s="199">
        <f t="shared" si="772"/>
        <v>38394.646514795291</v>
      </c>
      <c r="AF687" s="199">
        <f t="shared" si="823"/>
        <v>0</v>
      </c>
      <c r="AG687" s="614">
        <f t="shared" si="807"/>
        <v>1.7751998991876585E-3</v>
      </c>
      <c r="AH687" s="199">
        <f t="shared" si="851"/>
        <v>15911.581647242143</v>
      </c>
      <c r="AI687" s="252">
        <f t="shared" si="790"/>
        <v>1.2326461218108368E-3</v>
      </c>
      <c r="AJ687" s="199">
        <f t="shared" si="810"/>
        <v>56326.999031237188</v>
      </c>
      <c r="AK687" s="199">
        <f t="shared" si="829"/>
        <v>12729.265317793715</v>
      </c>
      <c r="AL687" s="199">
        <f t="shared" si="830"/>
        <v>12729.265317793715</v>
      </c>
      <c r="AM687" s="199">
        <f t="shared" si="791"/>
        <v>25458.530635587431</v>
      </c>
      <c r="AN687" s="645">
        <f t="shared" si="792"/>
        <v>1.232646121810837E-3</v>
      </c>
      <c r="AO687" s="199">
        <v>11</v>
      </c>
      <c r="AP687" s="250">
        <f t="shared" si="793"/>
        <v>1.2498579706851495E-3</v>
      </c>
      <c r="AQ687" s="199">
        <v>11</v>
      </c>
      <c r="AU687" s="199">
        <v>1</v>
      </c>
      <c r="AV687" s="199">
        <f t="shared" si="837"/>
        <v>176795.36261056378</v>
      </c>
      <c r="AW687" s="250">
        <f t="shared" si="794"/>
        <v>5.0885180022289265E-3</v>
      </c>
      <c r="AX687" s="199">
        <v>0</v>
      </c>
      <c r="AY687" s="199">
        <f t="shared" si="838"/>
        <v>16326.616638990981</v>
      </c>
      <c r="AZ687" s="199">
        <f t="shared" si="812"/>
        <v>0</v>
      </c>
      <c r="BA687" s="252">
        <f t="shared" si="795"/>
        <v>0</v>
      </c>
      <c r="BB687" s="284">
        <v>0</v>
      </c>
      <c r="BC687" s="199">
        <f t="shared" si="839"/>
        <v>0</v>
      </c>
      <c r="BD687" s="270">
        <f t="shared" si="840"/>
        <v>0</v>
      </c>
      <c r="BE687" s="199">
        <f t="shared" si="841"/>
        <v>0</v>
      </c>
      <c r="BF687" s="251">
        <f t="shared" si="842"/>
        <v>0</v>
      </c>
      <c r="BG687" s="204">
        <f t="shared" si="843"/>
        <v>0</v>
      </c>
      <c r="BH687" s="636">
        <v>1</v>
      </c>
      <c r="BI687" s="199">
        <f t="shared" si="796"/>
        <v>97378.879681121922</v>
      </c>
      <c r="BJ687" s="199">
        <f t="shared" si="797"/>
        <v>194757.75936224384</v>
      </c>
      <c r="BK687" s="199">
        <f t="shared" si="805"/>
        <v>292136.63904336578</v>
      </c>
      <c r="BL687" s="251">
        <f t="shared" si="798"/>
        <v>1.232646121810837E-3</v>
      </c>
      <c r="BM687" s="199">
        <f t="shared" si="844"/>
        <v>22488.955225517511</v>
      </c>
      <c r="BN687" s="251">
        <f t="shared" si="799"/>
        <v>9.7114302606668597E-4</v>
      </c>
      <c r="BT687" s="199">
        <f>'Detailed Budget'!$AD$12</f>
        <v>194045122715</v>
      </c>
      <c r="BU687" s="199">
        <f>'Detailed Budget'!$AD$24</f>
        <v>194045122715</v>
      </c>
      <c r="BV687" s="596">
        <f t="shared" si="845"/>
        <v>5.0885180022289265E-3</v>
      </c>
      <c r="BW687" s="278"/>
      <c r="BX687" s="275">
        <f t="shared" si="768"/>
        <v>987402100.17999864</v>
      </c>
      <c r="BY687" s="275">
        <f t="shared" si="769"/>
        <v>987402100.17999864</v>
      </c>
      <c r="CA687" s="199">
        <f>'Detailed Budget'!$AD$96</f>
        <v>71050111380.677719</v>
      </c>
      <c r="CB687" s="275">
        <f t="shared" si="800"/>
        <v>0</v>
      </c>
      <c r="CE687" s="199">
        <f>'Detailed Budget'!$AD$175</f>
        <v>4330586076.5988197</v>
      </c>
      <c r="CF687" s="275">
        <f t="shared" si="846"/>
        <v>0</v>
      </c>
      <c r="CG687" s="199">
        <f>'Detailed Budget'!$AD$176</f>
        <v>20662817754.37001</v>
      </c>
      <c r="CH687" s="275">
        <f t="shared" si="847"/>
        <v>0</v>
      </c>
      <c r="CI687" s="275">
        <f t="shared" si="833"/>
        <v>0</v>
      </c>
      <c r="CJ687" s="275">
        <f>'Detailed Budget'!$AD$178</f>
        <v>46025131033.061455</v>
      </c>
      <c r="CK687" s="275">
        <f t="shared" si="848"/>
        <v>0</v>
      </c>
      <c r="CL687" s="275">
        <f t="shared" si="834"/>
        <v>0</v>
      </c>
      <c r="CM687" s="278">
        <f>'Detailed Budget'!$AD$189</f>
        <v>77498869683.252869</v>
      </c>
      <c r="CN687" s="275">
        <f t="shared" si="801"/>
        <v>95528681.159785107</v>
      </c>
      <c r="CO687" s="140">
        <f>'Detailed Budget'!$AD$191</f>
        <v>2684962805.4134097</v>
      </c>
      <c r="CP687" s="616">
        <f t="shared" si="802"/>
        <v>3309608.9892991846</v>
      </c>
      <c r="CQ687" s="616">
        <f t="shared" si="803"/>
        <v>98838290.149084285</v>
      </c>
      <c r="CR687" s="199">
        <f>'Detailed Budget'!$AD$195</f>
        <v>18734176418</v>
      </c>
      <c r="CS687" s="275">
        <f t="shared" si="849"/>
        <v>18193564.777443666</v>
      </c>
      <c r="CW687" s="278"/>
      <c r="DH687" s="140">
        <f>'Detailed Budget'!$AD$163</f>
        <v>4928560000</v>
      </c>
      <c r="DI687" s="616">
        <f t="shared" si="850"/>
        <v>6160000</v>
      </c>
    </row>
    <row r="688" spans="1:113" outlineLevel="1">
      <c r="A688" s="214" t="s">
        <v>1442</v>
      </c>
      <c r="B688" s="215" t="s">
        <v>1443</v>
      </c>
      <c r="C688" s="216" t="s">
        <v>234</v>
      </c>
      <c r="D688" s="217"/>
      <c r="E688" s="216"/>
      <c r="F688" s="216"/>
      <c r="G688" s="216" t="s">
        <v>234</v>
      </c>
      <c r="H688" s="216" t="s">
        <v>234</v>
      </c>
      <c r="I688" s="217" t="s">
        <v>234</v>
      </c>
      <c r="J688" s="217"/>
      <c r="K688" s="216"/>
      <c r="L688" s="216"/>
      <c r="M688" s="217" t="s">
        <v>234</v>
      </c>
      <c r="N688" s="216"/>
      <c r="O688" s="217"/>
      <c r="P688" s="216"/>
      <c r="Q688" s="217"/>
      <c r="R688" s="217" t="s">
        <v>234</v>
      </c>
      <c r="S688" s="217"/>
      <c r="T688" s="217"/>
      <c r="U688" s="218">
        <f t="shared" si="836"/>
        <v>6</v>
      </c>
      <c r="V688" s="867" t="s">
        <v>235</v>
      </c>
      <c r="W688" s="219">
        <v>142480</v>
      </c>
      <c r="X688" s="220">
        <v>3.22</v>
      </c>
      <c r="Y688" s="221">
        <f t="shared" si="770"/>
        <v>1.0322</v>
      </c>
      <c r="Z688" s="199">
        <v>19</v>
      </c>
      <c r="AA688" s="221">
        <f t="shared" si="771"/>
        <v>1.8260524174418462</v>
      </c>
      <c r="AB688" s="199">
        <f t="shared" si="852"/>
        <v>260175.94843711425</v>
      </c>
      <c r="AC688">
        <v>12.7</v>
      </c>
      <c r="AD688" s="199">
        <f t="shared" si="853"/>
        <v>33042.345451513509</v>
      </c>
      <c r="AE688" s="199">
        <f t="shared" si="772"/>
        <v>31390.228178937832</v>
      </c>
      <c r="AF688" s="199">
        <f t="shared" si="823"/>
        <v>0</v>
      </c>
      <c r="AG688" s="614">
        <f t="shared" si="807"/>
        <v>1.451346345310275E-3</v>
      </c>
      <c r="AH688" s="199">
        <f t="shared" si="851"/>
        <v>13008.797421855714</v>
      </c>
      <c r="AI688" s="252">
        <f t="shared" si="790"/>
        <v>1.0077718260178459E-3</v>
      </c>
      <c r="AJ688" s="199">
        <f t="shared" si="810"/>
        <v>46051.142873369223</v>
      </c>
      <c r="AK688" s="199">
        <f t="shared" si="829"/>
        <v>10407.037937484571</v>
      </c>
      <c r="AL688" s="199">
        <f t="shared" si="830"/>
        <v>10407.037937484571</v>
      </c>
      <c r="AM688" s="199">
        <f t="shared" si="791"/>
        <v>20814.075874969141</v>
      </c>
      <c r="AN688" s="645">
        <f t="shared" si="792"/>
        <v>1.0077718260178459E-3</v>
      </c>
      <c r="AO688" s="199">
        <v>10</v>
      </c>
      <c r="AP688" s="250">
        <f t="shared" si="793"/>
        <v>1.1362345188046814E-3</v>
      </c>
      <c r="AQ688" s="199">
        <v>10</v>
      </c>
      <c r="AU688" s="199">
        <v>1</v>
      </c>
      <c r="AV688" s="199">
        <f t="shared" si="837"/>
        <v>144542.20254860554</v>
      </c>
      <c r="AW688" s="250">
        <f t="shared" si="794"/>
        <v>4.1602086666183381E-3</v>
      </c>
      <c r="AX688" s="199">
        <v>0</v>
      </c>
      <c r="AY688" s="199">
        <f t="shared" si="838"/>
        <v>13348.116683154791</v>
      </c>
      <c r="AZ688" s="199">
        <f t="shared" si="812"/>
        <v>0</v>
      </c>
      <c r="BA688" s="252">
        <f t="shared" si="795"/>
        <v>0</v>
      </c>
      <c r="BB688" s="284">
        <v>0</v>
      </c>
      <c r="BC688" s="199">
        <f t="shared" si="839"/>
        <v>0</v>
      </c>
      <c r="BD688" s="270">
        <f t="shared" si="840"/>
        <v>0</v>
      </c>
      <c r="BE688" s="199">
        <f t="shared" si="841"/>
        <v>0</v>
      </c>
      <c r="BF688" s="251">
        <f t="shared" si="842"/>
        <v>0</v>
      </c>
      <c r="BG688" s="204">
        <f t="shared" si="843"/>
        <v>0</v>
      </c>
      <c r="BH688" s="636">
        <v>1</v>
      </c>
      <c r="BI688" s="199">
        <f t="shared" si="796"/>
        <v>79613.840221756953</v>
      </c>
      <c r="BJ688" s="199">
        <f t="shared" si="797"/>
        <v>159227.68044351391</v>
      </c>
      <c r="BK688" s="199">
        <f t="shared" si="805"/>
        <v>238841.52066527086</v>
      </c>
      <c r="BL688" s="251">
        <f t="shared" si="798"/>
        <v>1.0077718260178457E-3</v>
      </c>
      <c r="BM688" s="199">
        <f t="shared" si="844"/>
        <v>18386.246524313778</v>
      </c>
      <c r="BN688" s="251">
        <f t="shared" si="799"/>
        <v>7.9397530514756394E-4</v>
      </c>
      <c r="BT688" s="199">
        <f>'Detailed Budget'!$AD$12</f>
        <v>194045122715</v>
      </c>
      <c r="BU688" s="199">
        <f>'Detailed Budget'!$AD$24</f>
        <v>194045122715</v>
      </c>
      <c r="BV688" s="596">
        <f t="shared" si="845"/>
        <v>4.1602086666183381E-3</v>
      </c>
      <c r="BW688" s="278"/>
      <c r="BX688" s="275">
        <f t="shared" si="768"/>
        <v>807268201.23396194</v>
      </c>
      <c r="BY688" s="275">
        <f t="shared" si="769"/>
        <v>807268201.23396194</v>
      </c>
      <c r="CA688" s="199">
        <f>'Detailed Budget'!$AD$96</f>
        <v>71050111380.677719</v>
      </c>
      <c r="CB688" s="275">
        <f t="shared" si="800"/>
        <v>0</v>
      </c>
      <c r="CE688" s="199">
        <f>'Detailed Budget'!$AD$175</f>
        <v>4330586076.5988197</v>
      </c>
      <c r="CF688" s="275">
        <f t="shared" si="846"/>
        <v>0</v>
      </c>
      <c r="CG688" s="199">
        <f>'Detailed Budget'!$AD$176</f>
        <v>20662817754.37001</v>
      </c>
      <c r="CH688" s="275">
        <f t="shared" si="847"/>
        <v>0</v>
      </c>
      <c r="CI688" s="275">
        <f t="shared" si="833"/>
        <v>0</v>
      </c>
      <c r="CJ688" s="275">
        <f>'Detailed Budget'!$AD$178</f>
        <v>46025131033.061455</v>
      </c>
      <c r="CK688" s="275">
        <f t="shared" si="848"/>
        <v>0</v>
      </c>
      <c r="CL688" s="275">
        <f t="shared" si="834"/>
        <v>0</v>
      </c>
      <c r="CM688" s="278">
        <f>'Detailed Budget'!$AD$189</f>
        <v>77498869683.252869</v>
      </c>
      <c r="CN688" s="275">
        <f t="shared" si="801"/>
        <v>78101177.41501081</v>
      </c>
      <c r="CO688" s="140">
        <f>'Detailed Budget'!$AD$191</f>
        <v>2684962805.4134097</v>
      </c>
      <c r="CP688" s="616">
        <f t="shared" si="802"/>
        <v>2705829.8692014702</v>
      </c>
      <c r="CQ688" s="616">
        <f t="shared" si="803"/>
        <v>80807007.284212276</v>
      </c>
      <c r="CR688" s="199">
        <f>'Detailed Budget'!$AD$195</f>
        <v>18734176418</v>
      </c>
      <c r="CS688" s="275">
        <f t="shared" si="849"/>
        <v>14874473.438169846</v>
      </c>
      <c r="CW688" s="278"/>
      <c r="DH688" s="140">
        <f>'Detailed Budget'!$AD$163</f>
        <v>4928560000</v>
      </c>
      <c r="DI688" s="616">
        <f t="shared" si="850"/>
        <v>5600000</v>
      </c>
    </row>
    <row r="689" spans="1:113" outlineLevel="1">
      <c r="A689" s="214" t="s">
        <v>1444</v>
      </c>
      <c r="B689" s="215" t="s">
        <v>1445</v>
      </c>
      <c r="C689" s="216" t="s">
        <v>234</v>
      </c>
      <c r="D689" s="217"/>
      <c r="E689" s="216"/>
      <c r="F689" s="216"/>
      <c r="G689" s="216" t="s">
        <v>234</v>
      </c>
      <c r="H689" s="216" t="s">
        <v>234</v>
      </c>
      <c r="I689" s="217" t="s">
        <v>234</v>
      </c>
      <c r="J689" s="217"/>
      <c r="K689" s="216"/>
      <c r="L689" s="216"/>
      <c r="M689" s="217" t="s">
        <v>234</v>
      </c>
      <c r="N689" s="216"/>
      <c r="O689" s="217"/>
      <c r="P689" s="216"/>
      <c r="Q689" s="217"/>
      <c r="R689" s="217" t="s">
        <v>234</v>
      </c>
      <c r="S689" s="217"/>
      <c r="T689" s="217"/>
      <c r="U689" s="218">
        <f t="shared" si="836"/>
        <v>6</v>
      </c>
      <c r="V689" s="867" t="s">
        <v>235</v>
      </c>
      <c r="W689" s="219">
        <v>320687</v>
      </c>
      <c r="X689" s="220">
        <v>3.22</v>
      </c>
      <c r="Y689" s="221">
        <f t="shared" si="770"/>
        <v>1.0322</v>
      </c>
      <c r="Z689" s="199">
        <v>19</v>
      </c>
      <c r="AA689" s="221">
        <f t="shared" si="771"/>
        <v>1.8260524174418462</v>
      </c>
      <c r="AB689" s="199">
        <f t="shared" si="852"/>
        <v>585591.27159217338</v>
      </c>
      <c r="AC689">
        <v>12.7</v>
      </c>
      <c r="AD689" s="199">
        <f t="shared" si="853"/>
        <v>74370.091492206018</v>
      </c>
      <c r="AE689" s="199">
        <f t="shared" si="772"/>
        <v>70651.58691759572</v>
      </c>
      <c r="AF689" s="199">
        <f t="shared" si="823"/>
        <v>0</v>
      </c>
      <c r="AG689" s="614">
        <f t="shared" si="807"/>
        <v>3.2666192127913827E-3</v>
      </c>
      <c r="AH689" s="199">
        <f t="shared" si="851"/>
        <v>29279.563579608672</v>
      </c>
      <c r="AI689" s="252">
        <f t="shared" si="790"/>
        <v>2.2682434276402653E-3</v>
      </c>
      <c r="AJ689" s="199">
        <f t="shared" si="810"/>
        <v>103649.65507181469</v>
      </c>
      <c r="AK689" s="199">
        <f t="shared" si="829"/>
        <v>23423.650863686937</v>
      </c>
      <c r="AL689" s="199">
        <f t="shared" si="830"/>
        <v>23423.650863686937</v>
      </c>
      <c r="AM689" s="199">
        <f t="shared" si="791"/>
        <v>46847.301727373873</v>
      </c>
      <c r="AN689" s="645">
        <f t="shared" si="792"/>
        <v>2.2682434276402653E-3</v>
      </c>
      <c r="AO689" s="199">
        <v>11</v>
      </c>
      <c r="AP689" s="250">
        <f t="shared" si="793"/>
        <v>1.2498579706851495E-3</v>
      </c>
      <c r="AQ689" s="199">
        <v>11</v>
      </c>
      <c r="AU689" s="199">
        <v>1</v>
      </c>
      <c r="AV689" s="199">
        <f t="shared" si="837"/>
        <v>325328.50441258185</v>
      </c>
      <c r="AW689" s="250">
        <f t="shared" si="794"/>
        <v>9.3635937441874997E-3</v>
      </c>
      <c r="AX689" s="199">
        <v>0</v>
      </c>
      <c r="AY689" s="199">
        <f t="shared" si="838"/>
        <v>30043.286740390657</v>
      </c>
      <c r="AZ689" s="199">
        <f t="shared" si="812"/>
        <v>0</v>
      </c>
      <c r="BA689" s="252">
        <f t="shared" si="795"/>
        <v>0</v>
      </c>
      <c r="BB689" s="284">
        <v>0</v>
      </c>
      <c r="BC689" s="199">
        <f t="shared" si="839"/>
        <v>0</v>
      </c>
      <c r="BD689" s="270">
        <f t="shared" si="840"/>
        <v>0</v>
      </c>
      <c r="BE689" s="199">
        <f t="shared" si="841"/>
        <v>0</v>
      </c>
      <c r="BF689" s="251">
        <f t="shared" si="842"/>
        <v>0</v>
      </c>
      <c r="BG689" s="204">
        <f t="shared" si="843"/>
        <v>0</v>
      </c>
      <c r="BH689" s="636">
        <v>1</v>
      </c>
      <c r="BI689" s="199">
        <f t="shared" si="796"/>
        <v>179190.92910720504</v>
      </c>
      <c r="BJ689" s="199">
        <f t="shared" si="797"/>
        <v>358381.85821441008</v>
      </c>
      <c r="BK689" s="199">
        <f t="shared" si="805"/>
        <v>537572.78732161515</v>
      </c>
      <c r="BL689" s="251">
        <f t="shared" si="798"/>
        <v>2.2682434276402649E-3</v>
      </c>
      <c r="BM689" s="199">
        <f t="shared" si="844"/>
        <v>41382.86243081565</v>
      </c>
      <c r="BN689" s="251">
        <f t="shared" si="799"/>
        <v>1.7870406982162892E-3</v>
      </c>
      <c r="BT689" s="199">
        <f>'Detailed Budget'!$AD$12</f>
        <v>194045122715</v>
      </c>
      <c r="BU689" s="199">
        <f>'Detailed Budget'!$AD$24</f>
        <v>194045122715</v>
      </c>
      <c r="BV689" s="596">
        <f t="shared" si="845"/>
        <v>9.3635937441874997E-3</v>
      </c>
      <c r="BW689" s="278"/>
      <c r="BX689" s="275">
        <f t="shared" si="768"/>
        <v>1816959697.1442697</v>
      </c>
      <c r="BY689" s="275">
        <f t="shared" si="769"/>
        <v>1816959697.1442697</v>
      </c>
      <c r="CA689" s="199">
        <f>'Detailed Budget'!$AD$96</f>
        <v>71050111380.677719</v>
      </c>
      <c r="CB689" s="275">
        <f t="shared" si="800"/>
        <v>0</v>
      </c>
      <c r="CE689" s="199">
        <f>'Detailed Budget'!$AD$175</f>
        <v>4330586076.5988197</v>
      </c>
      <c r="CF689" s="275">
        <f t="shared" si="846"/>
        <v>0</v>
      </c>
      <c r="CG689" s="199">
        <f>'Detailed Budget'!$AD$176</f>
        <v>20662817754.37001</v>
      </c>
      <c r="CH689" s="275">
        <f t="shared" si="847"/>
        <v>0</v>
      </c>
      <c r="CI689" s="275">
        <f t="shared" si="833"/>
        <v>0</v>
      </c>
      <c r="CJ689" s="275">
        <f>'Detailed Budget'!$AD$178</f>
        <v>46025131033.061455</v>
      </c>
      <c r="CK689" s="275">
        <f t="shared" si="848"/>
        <v>0</v>
      </c>
      <c r="CL689" s="275">
        <f t="shared" si="834"/>
        <v>0</v>
      </c>
      <c r="CM689" s="278">
        <f>'Detailed Budget'!$AD$189</f>
        <v>77498869683.252869</v>
      </c>
      <c r="CN689" s="275">
        <f t="shared" si="801"/>
        <v>175786301.8085877</v>
      </c>
      <c r="CO689" s="140">
        <f>'Detailed Budget'!$AD$191</f>
        <v>2684962805.4134097</v>
      </c>
      <c r="CP689" s="616">
        <f t="shared" si="802"/>
        <v>6090149.2368375352</v>
      </c>
      <c r="CQ689" s="616">
        <f t="shared" si="803"/>
        <v>181876451.04542524</v>
      </c>
      <c r="CR689" s="199">
        <f>'Detailed Budget'!$AD$195</f>
        <v>18734176418</v>
      </c>
      <c r="CS689" s="275">
        <f t="shared" si="849"/>
        <v>33478735.706529859</v>
      </c>
      <c r="CW689" s="278"/>
      <c r="DH689" s="140">
        <f>'Detailed Budget'!$AD$163</f>
        <v>4928560000</v>
      </c>
      <c r="DI689" s="616">
        <f t="shared" si="850"/>
        <v>6160000</v>
      </c>
    </row>
    <row r="690" spans="1:113" outlineLevel="1">
      <c r="A690" s="214" t="s">
        <v>1446</v>
      </c>
      <c r="B690" s="215" t="s">
        <v>1447</v>
      </c>
      <c r="C690" s="216" t="s">
        <v>234</v>
      </c>
      <c r="D690" s="217"/>
      <c r="E690" s="216"/>
      <c r="F690" s="216"/>
      <c r="G690" s="216" t="s">
        <v>234</v>
      </c>
      <c r="H690" s="216" t="s">
        <v>234</v>
      </c>
      <c r="I690" s="217" t="s">
        <v>234</v>
      </c>
      <c r="J690" s="217"/>
      <c r="K690" s="216"/>
      <c r="L690" s="216"/>
      <c r="M690" s="217" t="s">
        <v>234</v>
      </c>
      <c r="N690" s="216"/>
      <c r="O690" s="217"/>
      <c r="P690" s="216"/>
      <c r="Q690" s="217"/>
      <c r="R690" s="217" t="s">
        <v>234</v>
      </c>
      <c r="S690" s="217"/>
      <c r="T690" s="217"/>
      <c r="U690" s="218">
        <f t="shared" si="836"/>
        <v>6</v>
      </c>
      <c r="V690" s="867" t="s">
        <v>235</v>
      </c>
      <c r="W690" s="219">
        <v>212638</v>
      </c>
      <c r="X690" s="220">
        <v>3.22</v>
      </c>
      <c r="Y690" s="221">
        <f t="shared" si="770"/>
        <v>1.0322</v>
      </c>
      <c r="Z690" s="199">
        <v>19</v>
      </c>
      <c r="AA690" s="221">
        <f t="shared" si="771"/>
        <v>1.8260524174418462</v>
      </c>
      <c r="AB690" s="199">
        <f t="shared" si="852"/>
        <v>388288.13393999927</v>
      </c>
      <c r="AC690">
        <v>12.7</v>
      </c>
      <c r="AD690" s="199">
        <f t="shared" si="853"/>
        <v>49312.593010379904</v>
      </c>
      <c r="AE690" s="199">
        <f t="shared" si="772"/>
        <v>46846.963359860907</v>
      </c>
      <c r="AF690" s="199">
        <f t="shared" si="823"/>
        <v>0</v>
      </c>
      <c r="AG690" s="614">
        <f t="shared" si="807"/>
        <v>2.1659979237372701E-3</v>
      </c>
      <c r="AH690" s="199">
        <f t="shared" si="851"/>
        <v>19414.406696999966</v>
      </c>
      <c r="AI690" s="252">
        <f t="shared" si="790"/>
        <v>1.5040046711172284E-3</v>
      </c>
      <c r="AJ690" s="199">
        <f t="shared" si="810"/>
        <v>68726.999707379873</v>
      </c>
      <c r="AK690" s="199">
        <f t="shared" si="829"/>
        <v>15531.52535759997</v>
      </c>
      <c r="AL690" s="199">
        <f t="shared" si="830"/>
        <v>15531.52535759997</v>
      </c>
      <c r="AM690" s="199">
        <f t="shared" si="791"/>
        <v>31063.050715199941</v>
      </c>
      <c r="AN690" s="645">
        <f t="shared" si="792"/>
        <v>1.5040046711172282E-3</v>
      </c>
      <c r="AO690" s="199">
        <v>11</v>
      </c>
      <c r="AP690" s="250">
        <f t="shared" si="793"/>
        <v>1.2498579706851495E-3</v>
      </c>
      <c r="AQ690" s="199">
        <v>11</v>
      </c>
      <c r="AU690" s="199">
        <v>1</v>
      </c>
      <c r="AV690" s="199">
        <f t="shared" si="837"/>
        <v>215715.64335717561</v>
      </c>
      <c r="AW690" s="250">
        <f t="shared" si="794"/>
        <v>6.2087201744272184E-3</v>
      </c>
      <c r="AX690" s="199">
        <v>0</v>
      </c>
      <c r="AY690" s="199">
        <f t="shared" si="838"/>
        <v>19920.808782093405</v>
      </c>
      <c r="AZ690" s="199">
        <f t="shared" si="812"/>
        <v>0</v>
      </c>
      <c r="BA690" s="252">
        <f t="shared" si="795"/>
        <v>0</v>
      </c>
      <c r="BB690" s="284">
        <v>0</v>
      </c>
      <c r="BC690" s="199">
        <f t="shared" si="839"/>
        <v>0</v>
      </c>
      <c r="BD690" s="270">
        <f t="shared" si="840"/>
        <v>0</v>
      </c>
      <c r="BE690" s="199">
        <f t="shared" si="841"/>
        <v>0</v>
      </c>
      <c r="BF690" s="251">
        <f t="shared" si="842"/>
        <v>0</v>
      </c>
      <c r="BG690" s="204">
        <f t="shared" si="843"/>
        <v>0</v>
      </c>
      <c r="BH690" s="636">
        <v>1</v>
      </c>
      <c r="BI690" s="199">
        <f t="shared" si="796"/>
        <v>118816.16898563979</v>
      </c>
      <c r="BJ690" s="199">
        <f t="shared" si="797"/>
        <v>237632.33797127957</v>
      </c>
      <c r="BK690" s="199">
        <f t="shared" si="805"/>
        <v>356448.50695691933</v>
      </c>
      <c r="BL690" s="251">
        <f t="shared" si="798"/>
        <v>1.5040046711172284E-3</v>
      </c>
      <c r="BM690" s="199">
        <f t="shared" si="844"/>
        <v>27439.743742539536</v>
      </c>
      <c r="BN690" s="251">
        <f t="shared" si="799"/>
        <v>1.1849334709149895E-3</v>
      </c>
      <c r="BT690" s="199">
        <f>'Detailed Budget'!$AD$12</f>
        <v>194045122715</v>
      </c>
      <c r="BU690" s="199">
        <f>'Detailed Budget'!$AD$24</f>
        <v>194045122715</v>
      </c>
      <c r="BV690" s="596">
        <f t="shared" si="845"/>
        <v>6.2087201744272184E-3</v>
      </c>
      <c r="BW690" s="278"/>
      <c r="BX690" s="275">
        <f t="shared" si="768"/>
        <v>1204771868.1498258</v>
      </c>
      <c r="BY690" s="275">
        <f t="shared" si="769"/>
        <v>1204771868.1498258</v>
      </c>
      <c r="CA690" s="199">
        <f>'Detailed Budget'!$AD$96</f>
        <v>71050111380.677719</v>
      </c>
      <c r="CB690" s="275">
        <f t="shared" si="800"/>
        <v>0</v>
      </c>
      <c r="CE690" s="199">
        <f>'Detailed Budget'!$AD$175</f>
        <v>4330586076.5988197</v>
      </c>
      <c r="CF690" s="275">
        <f t="shared" si="846"/>
        <v>0</v>
      </c>
      <c r="CG690" s="199">
        <f>'Detailed Budget'!$AD$176</f>
        <v>20662817754.37001</v>
      </c>
      <c r="CH690" s="275">
        <f t="shared" si="847"/>
        <v>0</v>
      </c>
      <c r="CI690" s="275">
        <f t="shared" si="833"/>
        <v>0</v>
      </c>
      <c r="CJ690" s="275">
        <f>'Detailed Budget'!$AD$178</f>
        <v>46025131033.061455</v>
      </c>
      <c r="CK690" s="275">
        <f t="shared" si="848"/>
        <v>0</v>
      </c>
      <c r="CL690" s="275">
        <f t="shared" si="834"/>
        <v>0</v>
      </c>
      <c r="CM690" s="278">
        <f>'Detailed Budget'!$AD$189</f>
        <v>77498869683.252869</v>
      </c>
      <c r="CN690" s="275">
        <f t="shared" si="801"/>
        <v>116558662.00991768</v>
      </c>
      <c r="CO690" s="140">
        <f>'Detailed Budget'!$AD$191</f>
        <v>2684962805.4134097</v>
      </c>
      <c r="CP690" s="616">
        <f t="shared" si="802"/>
        <v>4038196.6011177856</v>
      </c>
      <c r="CQ690" s="616">
        <f t="shared" si="803"/>
        <v>120596858.61103547</v>
      </c>
      <c r="CR690" s="199">
        <f>'Detailed Budget'!$AD$195</f>
        <v>18734176418</v>
      </c>
      <c r="CS690" s="275">
        <f t="shared" si="849"/>
        <v>22198752.687714484</v>
      </c>
      <c r="CW690" s="278"/>
      <c r="DH690" s="140">
        <f>'Detailed Budget'!$AD$163</f>
        <v>4928560000</v>
      </c>
      <c r="DI690" s="616">
        <f t="shared" si="850"/>
        <v>6160000</v>
      </c>
    </row>
    <row r="691" spans="1:113" outlineLevel="1">
      <c r="A691" s="214" t="s">
        <v>1448</v>
      </c>
      <c r="B691" s="215" t="s">
        <v>1449</v>
      </c>
      <c r="C691" s="216" t="s">
        <v>234</v>
      </c>
      <c r="D691" s="217"/>
      <c r="E691" s="216"/>
      <c r="F691" s="216"/>
      <c r="G691" s="216" t="s">
        <v>234</v>
      </c>
      <c r="H691" s="216" t="s">
        <v>234</v>
      </c>
      <c r="I691" s="217" t="s">
        <v>234</v>
      </c>
      <c r="J691" s="217"/>
      <c r="K691" s="216"/>
      <c r="L691" s="216"/>
      <c r="M691" s="217" t="s">
        <v>234</v>
      </c>
      <c r="N691" s="216"/>
      <c r="O691" s="217"/>
      <c r="P691" s="216"/>
      <c r="Q691" s="217"/>
      <c r="R691" s="217" t="s">
        <v>234</v>
      </c>
      <c r="S691" s="217"/>
      <c r="T691" s="217"/>
      <c r="U691" s="218">
        <f t="shared" si="836"/>
        <v>6</v>
      </c>
      <c r="V691" s="867" t="s">
        <v>235</v>
      </c>
      <c r="W691" s="219">
        <v>119034</v>
      </c>
      <c r="X691" s="220">
        <v>3.22</v>
      </c>
      <c r="Y691" s="221">
        <f t="shared" si="770"/>
        <v>1.0322</v>
      </c>
      <c r="Z691" s="199">
        <v>19</v>
      </c>
      <c r="AA691" s="221">
        <f t="shared" si="771"/>
        <v>1.8260524174418462</v>
      </c>
      <c r="AB691" s="199">
        <f t="shared" si="852"/>
        <v>217362.32345777273</v>
      </c>
      <c r="AC691">
        <v>12.7</v>
      </c>
      <c r="AD691" s="199">
        <f t="shared" si="853"/>
        <v>27605.015079137134</v>
      </c>
      <c r="AE691" s="199">
        <f t="shared" si="772"/>
        <v>26224.764325180277</v>
      </c>
      <c r="AF691" s="199">
        <f t="shared" si="823"/>
        <v>0</v>
      </c>
      <c r="AG691" s="614">
        <f t="shared" si="807"/>
        <v>1.2125179735237455E-3</v>
      </c>
      <c r="AH691" s="199">
        <f t="shared" si="851"/>
        <v>10868.116172888636</v>
      </c>
      <c r="AI691" s="252">
        <f t="shared" si="790"/>
        <v>8.4193649310926625E-4</v>
      </c>
      <c r="AJ691" s="199">
        <f t="shared" si="810"/>
        <v>38473.131252025771</v>
      </c>
      <c r="AK691" s="199">
        <f t="shared" si="829"/>
        <v>8694.4929383109084</v>
      </c>
      <c r="AL691" s="199">
        <f t="shared" si="830"/>
        <v>8694.4929383109084</v>
      </c>
      <c r="AM691" s="199">
        <f t="shared" si="791"/>
        <v>17388.985876621817</v>
      </c>
      <c r="AN691" s="645">
        <f t="shared" si="792"/>
        <v>8.4193649310926625E-4</v>
      </c>
      <c r="AO691" s="199">
        <v>10</v>
      </c>
      <c r="AP691" s="250">
        <f t="shared" si="793"/>
        <v>1.1362345188046814E-3</v>
      </c>
      <c r="AQ691" s="199">
        <v>10</v>
      </c>
      <c r="AU691" s="199">
        <v>1</v>
      </c>
      <c r="AV691" s="199">
        <f t="shared" si="837"/>
        <v>120756.85386138903</v>
      </c>
      <c r="AW691" s="250">
        <f t="shared" si="794"/>
        <v>3.4756195846592304E-3</v>
      </c>
      <c r="AX691" s="199">
        <v>0</v>
      </c>
      <c r="AY691" s="199">
        <f t="shared" si="838"/>
        <v>11151.598268266756</v>
      </c>
      <c r="AZ691" s="199">
        <f t="shared" si="812"/>
        <v>0</v>
      </c>
      <c r="BA691" s="252">
        <f t="shared" si="795"/>
        <v>0</v>
      </c>
      <c r="BB691" s="284">
        <v>0</v>
      </c>
      <c r="BC691" s="199">
        <f t="shared" si="839"/>
        <v>0</v>
      </c>
      <c r="BD691" s="270">
        <f t="shared" si="840"/>
        <v>0</v>
      </c>
      <c r="BE691" s="199">
        <f t="shared" si="841"/>
        <v>0</v>
      </c>
      <c r="BF691" s="251">
        <f t="shared" si="842"/>
        <v>0</v>
      </c>
      <c r="BG691" s="204">
        <f t="shared" si="843"/>
        <v>0</v>
      </c>
      <c r="BH691" s="636">
        <v>1</v>
      </c>
      <c r="BI691" s="199">
        <f t="shared" si="796"/>
        <v>66512.870978078456</v>
      </c>
      <c r="BJ691" s="199">
        <f t="shared" si="797"/>
        <v>133025.74195615691</v>
      </c>
      <c r="BK691" s="199">
        <f t="shared" si="805"/>
        <v>199538.61293423537</v>
      </c>
      <c r="BL691" s="251">
        <f t="shared" si="798"/>
        <v>8.4193649310926636E-4</v>
      </c>
      <c r="BM691" s="199">
        <f t="shared" si="844"/>
        <v>15360.671454064894</v>
      </c>
      <c r="BN691" s="251">
        <f t="shared" si="799"/>
        <v>6.6332156424013977E-4</v>
      </c>
      <c r="BT691" s="199">
        <f>'Detailed Budget'!$AD$12</f>
        <v>194045122715</v>
      </c>
      <c r="BU691" s="199">
        <f>'Detailed Budget'!$AD$24</f>
        <v>194045122715</v>
      </c>
      <c r="BV691" s="596">
        <f t="shared" si="845"/>
        <v>3.4756195846592304E-3</v>
      </c>
      <c r="BW691" s="278"/>
      <c r="BX691" s="275">
        <f t="shared" si="768"/>
        <v>674427028.81585765</v>
      </c>
      <c r="BY691" s="275">
        <f t="shared" si="769"/>
        <v>674427028.81585765</v>
      </c>
      <c r="CA691" s="199">
        <f>'Detailed Budget'!$AD$96</f>
        <v>71050111380.677719</v>
      </c>
      <c r="CB691" s="275">
        <f t="shared" si="800"/>
        <v>0</v>
      </c>
      <c r="CE691" s="199">
        <f>'Detailed Budget'!$AD$175</f>
        <v>4330586076.5988197</v>
      </c>
      <c r="CF691" s="275">
        <f t="shared" si="846"/>
        <v>0</v>
      </c>
      <c r="CG691" s="199">
        <f>'Detailed Budget'!$AD$176</f>
        <v>20662817754.37001</v>
      </c>
      <c r="CH691" s="275">
        <f t="shared" si="847"/>
        <v>0</v>
      </c>
      <c r="CI691" s="275">
        <f t="shared" si="833"/>
        <v>0</v>
      </c>
      <c r="CJ691" s="275">
        <f>'Detailed Budget'!$AD$178</f>
        <v>46025131033.061455</v>
      </c>
      <c r="CK691" s="275">
        <f t="shared" si="848"/>
        <v>0</v>
      </c>
      <c r="CL691" s="275">
        <f t="shared" si="834"/>
        <v>0</v>
      </c>
      <c r="CM691" s="278">
        <f>'Detailed Budget'!$AD$189</f>
        <v>77498869683.252869</v>
      </c>
      <c r="CN691" s="275">
        <f t="shared" si="801"/>
        <v>65249126.561049961</v>
      </c>
      <c r="CO691" s="140">
        <f>'Detailed Budget'!$AD$191</f>
        <v>2684962805.4134097</v>
      </c>
      <c r="CP691" s="616">
        <f t="shared" si="802"/>
        <v>2260568.1685185833</v>
      </c>
      <c r="CQ691" s="616">
        <f t="shared" si="803"/>
        <v>67509694.729568541</v>
      </c>
      <c r="CR691" s="199">
        <f>'Detailed Budget'!$AD$195</f>
        <v>18734176418</v>
      </c>
      <c r="CS691" s="275">
        <f t="shared" si="849"/>
        <v>12426783.206338499</v>
      </c>
      <c r="CW691" s="278"/>
      <c r="DH691" s="140">
        <f>'Detailed Budget'!$AD$163</f>
        <v>4928560000</v>
      </c>
      <c r="DI691" s="616">
        <f t="shared" si="850"/>
        <v>5600000</v>
      </c>
    </row>
    <row r="692" spans="1:113" outlineLevel="1">
      <c r="A692" s="214" t="s">
        <v>1450</v>
      </c>
      <c r="B692" s="215" t="s">
        <v>1451</v>
      </c>
      <c r="C692" s="216" t="s">
        <v>234</v>
      </c>
      <c r="D692" s="217"/>
      <c r="E692" s="216"/>
      <c r="F692" s="216"/>
      <c r="G692" s="216" t="s">
        <v>234</v>
      </c>
      <c r="H692" s="216" t="s">
        <v>234</v>
      </c>
      <c r="I692" s="217" t="s">
        <v>234</v>
      </c>
      <c r="J692" s="217"/>
      <c r="K692" s="216"/>
      <c r="L692" s="216"/>
      <c r="M692" s="217" t="s">
        <v>234</v>
      </c>
      <c r="N692" s="216"/>
      <c r="O692" s="217"/>
      <c r="P692" s="216"/>
      <c r="Q692" s="217"/>
      <c r="R692" s="217" t="s">
        <v>234</v>
      </c>
      <c r="S692" s="217"/>
      <c r="T692" s="217"/>
      <c r="U692" s="218">
        <f t="shared" si="836"/>
        <v>6</v>
      </c>
      <c r="V692" s="867" t="s">
        <v>235</v>
      </c>
      <c r="W692" s="219">
        <v>188728</v>
      </c>
      <c r="X692" s="220">
        <v>3.22</v>
      </c>
      <c r="Y692" s="221">
        <f t="shared" si="770"/>
        <v>1.0322</v>
      </c>
      <c r="Z692" s="199">
        <v>19</v>
      </c>
      <c r="AA692" s="221">
        <f t="shared" si="771"/>
        <v>1.8260524174418462</v>
      </c>
      <c r="AB692" s="199">
        <f t="shared" si="852"/>
        <v>344627.22063896473</v>
      </c>
      <c r="AC692">
        <v>12.7</v>
      </c>
      <c r="AD692" s="199">
        <f t="shared" si="853"/>
        <v>43767.657021148523</v>
      </c>
      <c r="AE692" s="199">
        <f t="shared" si="772"/>
        <v>41579.274170091092</v>
      </c>
      <c r="AF692" s="199">
        <f t="shared" si="823"/>
        <v>0</v>
      </c>
      <c r="AG692" s="614">
        <f t="shared" si="807"/>
        <v>1.9224431011911677E-3</v>
      </c>
      <c r="AH692" s="199">
        <f t="shared" si="851"/>
        <v>17231.361031948236</v>
      </c>
      <c r="AI692" s="252">
        <f t="shared" si="790"/>
        <v>1.3348874310829309E-3</v>
      </c>
      <c r="AJ692" s="199">
        <f t="shared" si="810"/>
        <v>60999.018053096763</v>
      </c>
      <c r="AK692" s="199">
        <f t="shared" si="829"/>
        <v>13785.088825558589</v>
      </c>
      <c r="AL692" s="199">
        <f t="shared" si="830"/>
        <v>13785.088825558589</v>
      </c>
      <c r="AM692" s="199">
        <f t="shared" si="791"/>
        <v>27570.177651117177</v>
      </c>
      <c r="AN692" s="645">
        <f t="shared" si="792"/>
        <v>1.3348874310829309E-3</v>
      </c>
      <c r="AO692" s="199">
        <v>10</v>
      </c>
      <c r="AP692" s="250">
        <f t="shared" si="793"/>
        <v>1.1362345188046814E-3</v>
      </c>
      <c r="AQ692" s="199">
        <v>10</v>
      </c>
      <c r="AU692" s="199">
        <v>1</v>
      </c>
      <c r="AV692" s="199">
        <f t="shared" si="837"/>
        <v>191459.57890646561</v>
      </c>
      <c r="AW692" s="250">
        <f t="shared" si="794"/>
        <v>5.5105829676694662E-3</v>
      </c>
      <c r="AX692" s="199">
        <v>0</v>
      </c>
      <c r="AY692" s="199">
        <f t="shared" si="838"/>
        <v>17680.820924890773</v>
      </c>
      <c r="AZ692" s="199">
        <f t="shared" si="812"/>
        <v>0</v>
      </c>
      <c r="BA692" s="252">
        <f t="shared" si="795"/>
        <v>0</v>
      </c>
      <c r="BB692" s="284">
        <v>0</v>
      </c>
      <c r="BC692" s="199">
        <f t="shared" si="839"/>
        <v>0</v>
      </c>
      <c r="BD692" s="270">
        <f t="shared" si="840"/>
        <v>0</v>
      </c>
      <c r="BE692" s="199">
        <f t="shared" si="841"/>
        <v>0</v>
      </c>
      <c r="BF692" s="251">
        <f t="shared" si="842"/>
        <v>0</v>
      </c>
      <c r="BG692" s="204">
        <f t="shared" si="843"/>
        <v>0</v>
      </c>
      <c r="BH692" s="636">
        <v>1</v>
      </c>
      <c r="BI692" s="199">
        <f t="shared" si="796"/>
        <v>105455.9295155232</v>
      </c>
      <c r="BJ692" s="199">
        <f t="shared" si="797"/>
        <v>210911.85903104639</v>
      </c>
      <c r="BK692" s="199">
        <f t="shared" si="805"/>
        <v>316367.78854656959</v>
      </c>
      <c r="BL692" s="251">
        <f t="shared" si="798"/>
        <v>1.3348874310829307E-3</v>
      </c>
      <c r="BM692" s="199">
        <f t="shared" si="844"/>
        <v>24354.292069347914</v>
      </c>
      <c r="BN692" s="251">
        <f t="shared" si="799"/>
        <v>1.0516940720795161E-3</v>
      </c>
      <c r="BT692" s="199">
        <f>'Detailed Budget'!$AD$12</f>
        <v>194045122715</v>
      </c>
      <c r="BU692" s="199">
        <f>'Detailed Budget'!$AD$24</f>
        <v>194045122715</v>
      </c>
      <c r="BV692" s="596">
        <f t="shared" si="845"/>
        <v>5.5105829676694662E-3</v>
      </c>
      <c r="BW692" s="278"/>
      <c r="BX692" s="275">
        <f t="shared" si="768"/>
        <v>1069301748.1926105</v>
      </c>
      <c r="BY692" s="275">
        <f t="shared" si="769"/>
        <v>1069301748.1926105</v>
      </c>
      <c r="CA692" s="199">
        <f>'Detailed Budget'!$AD$96</f>
        <v>71050111380.677719</v>
      </c>
      <c r="CB692" s="275">
        <f t="shared" si="800"/>
        <v>0</v>
      </c>
      <c r="CE692" s="199">
        <f>'Detailed Budget'!$AD$175</f>
        <v>4330586076.5988197</v>
      </c>
      <c r="CF692" s="275">
        <f t="shared" si="846"/>
        <v>0</v>
      </c>
      <c r="CG692" s="199">
        <f>'Detailed Budget'!$AD$176</f>
        <v>20662817754.37001</v>
      </c>
      <c r="CH692" s="275">
        <f t="shared" si="847"/>
        <v>0</v>
      </c>
      <c r="CI692" s="275">
        <f t="shared" si="833"/>
        <v>0</v>
      </c>
      <c r="CJ692" s="275">
        <f>'Detailed Budget'!$AD$178</f>
        <v>46025131033.061455</v>
      </c>
      <c r="CK692" s="275">
        <f t="shared" si="848"/>
        <v>0</v>
      </c>
      <c r="CL692" s="275">
        <f t="shared" si="834"/>
        <v>0</v>
      </c>
      <c r="CM692" s="278">
        <f>'Detailed Budget'!$AD$189</f>
        <v>77498869683.252869</v>
      </c>
      <c r="CN692" s="275">
        <f t="shared" si="801"/>
        <v>103452267.06330824</v>
      </c>
      <c r="CO692" s="140">
        <f>'Detailed Budget'!$AD$191</f>
        <v>2684962805.4134097</v>
      </c>
      <c r="CP692" s="616">
        <f t="shared" si="802"/>
        <v>3584123.1018715259</v>
      </c>
      <c r="CQ692" s="616">
        <f t="shared" si="803"/>
        <v>107036390.16517976</v>
      </c>
      <c r="CR692" s="199">
        <f>'Detailed Budget'!$AD$195</f>
        <v>18734176418</v>
      </c>
      <c r="CS692" s="275">
        <f t="shared" si="849"/>
        <v>19702622.284102462</v>
      </c>
      <c r="CW692" s="278"/>
      <c r="DH692" s="140">
        <f>'Detailed Budget'!$AD$163</f>
        <v>4928560000</v>
      </c>
      <c r="DI692" s="616">
        <f t="shared" si="850"/>
        <v>5600000</v>
      </c>
    </row>
    <row r="693" spans="1:113" outlineLevel="1">
      <c r="A693" s="214" t="s">
        <v>1452</v>
      </c>
      <c r="B693" s="215" t="s">
        <v>1453</v>
      </c>
      <c r="C693" s="216" t="s">
        <v>234</v>
      </c>
      <c r="D693" s="217"/>
      <c r="E693" s="216"/>
      <c r="F693" s="216"/>
      <c r="G693" s="216" t="s">
        <v>234</v>
      </c>
      <c r="H693" s="216" t="s">
        <v>234</v>
      </c>
      <c r="I693" s="217" t="s">
        <v>234</v>
      </c>
      <c r="J693" s="217"/>
      <c r="K693" s="216"/>
      <c r="L693" s="216"/>
      <c r="M693" s="217" t="s">
        <v>234</v>
      </c>
      <c r="N693" s="216"/>
      <c r="O693" s="217"/>
      <c r="P693" s="216"/>
      <c r="Q693" s="217" t="s">
        <v>234</v>
      </c>
      <c r="R693" s="217"/>
      <c r="S693" s="217"/>
      <c r="T693" s="217"/>
      <c r="U693" s="218">
        <f t="shared" si="836"/>
        <v>6</v>
      </c>
      <c r="V693" s="867" t="s">
        <v>1096</v>
      </c>
      <c r="W693" s="219">
        <v>136149</v>
      </c>
      <c r="X693" s="220">
        <v>3.22</v>
      </c>
      <c r="Y693" s="221">
        <f t="shared" si="770"/>
        <v>1.0322</v>
      </c>
      <c r="Z693" s="199">
        <v>19</v>
      </c>
      <c r="AA693" s="221">
        <f t="shared" si="771"/>
        <v>1.8260524174418462</v>
      </c>
      <c r="AB693" s="199">
        <f t="shared" si="852"/>
        <v>248615.21058228993</v>
      </c>
      <c r="AC693">
        <v>12.7</v>
      </c>
      <c r="AD693" s="199">
        <f t="shared" si="853"/>
        <v>31574.13174395082</v>
      </c>
      <c r="AE693" s="199">
        <f t="shared" si="772"/>
        <v>29995.425156753277</v>
      </c>
      <c r="AF693" s="199">
        <f t="shared" si="823"/>
        <v>0</v>
      </c>
      <c r="AG693" s="614">
        <f t="shared" si="807"/>
        <v>1.3868567768644626E-3</v>
      </c>
      <c r="AH693" s="199">
        <f t="shared" si="851"/>
        <v>12430.760529114497</v>
      </c>
      <c r="AI693" s="252">
        <f t="shared" si="790"/>
        <v>9.629921837486223E-4</v>
      </c>
      <c r="AJ693" s="199">
        <f t="shared" si="810"/>
        <v>44004.892273065314</v>
      </c>
      <c r="AK693" s="199">
        <f t="shared" si="829"/>
        <v>9944.6084232915982</v>
      </c>
      <c r="AL693" s="199">
        <f t="shared" si="830"/>
        <v>9944.6084232915982</v>
      </c>
      <c r="AM693" s="199">
        <f t="shared" si="791"/>
        <v>19889.216846583196</v>
      </c>
      <c r="AN693" s="645">
        <f t="shared" si="792"/>
        <v>9.629921837486223E-4</v>
      </c>
      <c r="AO693" s="199">
        <v>10</v>
      </c>
      <c r="AP693" s="250">
        <f t="shared" si="793"/>
        <v>1.1362345188046814E-3</v>
      </c>
      <c r="AQ693" s="199">
        <v>10</v>
      </c>
      <c r="AU693" s="199">
        <v>1</v>
      </c>
      <c r="AV693" s="199">
        <f t="shared" si="837"/>
        <v>138119.57000835269</v>
      </c>
      <c r="AW693" s="250">
        <f t="shared" si="794"/>
        <v>3.9753526793333801E-3</v>
      </c>
      <c r="AX693" s="199">
        <v>0</v>
      </c>
      <c r="AY693" s="199">
        <f t="shared" si="838"/>
        <v>12755.002374332127</v>
      </c>
      <c r="AZ693" s="199">
        <f t="shared" si="812"/>
        <v>0</v>
      </c>
      <c r="BA693" s="252">
        <f t="shared" si="795"/>
        <v>0</v>
      </c>
      <c r="BB693" s="284">
        <v>0</v>
      </c>
      <c r="BC693" s="199">
        <f t="shared" si="839"/>
        <v>0</v>
      </c>
      <c r="BD693" s="270">
        <f t="shared" si="840"/>
        <v>0</v>
      </c>
      <c r="BE693" s="199">
        <f t="shared" si="841"/>
        <v>0</v>
      </c>
      <c r="BF693" s="251">
        <f t="shared" si="842"/>
        <v>0</v>
      </c>
      <c r="BG693" s="204">
        <f t="shared" si="843"/>
        <v>0</v>
      </c>
      <c r="BH693" s="636">
        <v>1</v>
      </c>
      <c r="BI693" s="199">
        <f t="shared" si="796"/>
        <v>76076.254438180738</v>
      </c>
      <c r="BJ693" s="199">
        <f t="shared" si="797"/>
        <v>152152.50887636148</v>
      </c>
      <c r="BK693" s="199">
        <f t="shared" si="805"/>
        <v>228228.76331454222</v>
      </c>
      <c r="BL693" s="251">
        <f t="shared" si="798"/>
        <v>9.6299218374862252E-4</v>
      </c>
      <c r="BM693" s="199">
        <f t="shared" si="844"/>
        <v>17569.266409592903</v>
      </c>
      <c r="BN693" s="251">
        <f t="shared" si="799"/>
        <v>7.5869556303014951E-4</v>
      </c>
      <c r="BT693" s="199">
        <f>'Detailed Budget'!$AD$12</f>
        <v>194045122715</v>
      </c>
      <c r="BU693" s="199">
        <f>'Detailed Budget'!$AD$24</f>
        <v>194045122715</v>
      </c>
      <c r="BV693" s="596">
        <f t="shared" si="845"/>
        <v>3.9753526793333801E-3</v>
      </c>
      <c r="BW693" s="278"/>
      <c r="BX693" s="275">
        <f t="shared" si="768"/>
        <v>771397798.49664974</v>
      </c>
      <c r="BY693" s="275">
        <f t="shared" si="769"/>
        <v>771397798.49664974</v>
      </c>
      <c r="CA693" s="199">
        <f>'Detailed Budget'!$AD$96</f>
        <v>71050111380.677719</v>
      </c>
      <c r="CB693" s="275">
        <f t="shared" si="800"/>
        <v>0</v>
      </c>
      <c r="CE693" s="199">
        <f>'Detailed Budget'!$AD$175</f>
        <v>4330586076.5988197</v>
      </c>
      <c r="CF693" s="275">
        <f t="shared" si="846"/>
        <v>0</v>
      </c>
      <c r="CG693" s="199">
        <f>'Detailed Budget'!$AD$176</f>
        <v>20662817754.37001</v>
      </c>
      <c r="CH693" s="275">
        <f t="shared" si="847"/>
        <v>0</v>
      </c>
      <c r="CI693" s="275">
        <f t="shared" si="833"/>
        <v>0</v>
      </c>
      <c r="CJ693" s="275">
        <f>'Detailed Budget'!$AD$178</f>
        <v>46025131033.061455</v>
      </c>
      <c r="CK693" s="275">
        <f t="shared" si="848"/>
        <v>0</v>
      </c>
      <c r="CL693" s="275">
        <f t="shared" si="834"/>
        <v>0</v>
      </c>
      <c r="CM693" s="278">
        <f>'Detailed Budget'!$AD$189</f>
        <v>77498869683.252869</v>
      </c>
      <c r="CN693" s="275">
        <f t="shared" si="801"/>
        <v>74630805.754325598</v>
      </c>
      <c r="CO693" s="140">
        <f>'Detailed Budget'!$AD$191</f>
        <v>2684962805.4134097</v>
      </c>
      <c r="CP693" s="616">
        <f t="shared" si="802"/>
        <v>2585598.1952688866</v>
      </c>
      <c r="CQ693" s="616">
        <f t="shared" si="803"/>
        <v>77216403.949594483</v>
      </c>
      <c r="CR693" s="199">
        <f>'Detailed Budget'!$AD$195</f>
        <v>18734176418</v>
      </c>
      <c r="CS693" s="275">
        <f t="shared" si="849"/>
        <v>14213536.525360659</v>
      </c>
      <c r="CW693" s="278"/>
      <c r="DH693" s="140">
        <f>'Detailed Budget'!$AD$163</f>
        <v>4928560000</v>
      </c>
      <c r="DI693" s="616">
        <f t="shared" si="850"/>
        <v>5600000</v>
      </c>
    </row>
    <row r="694" spans="1:113" outlineLevel="1">
      <c r="A694" s="214" t="s">
        <v>1454</v>
      </c>
      <c r="B694" s="215" t="s">
        <v>1455</v>
      </c>
      <c r="C694" s="216" t="s">
        <v>234</v>
      </c>
      <c r="D694" s="217"/>
      <c r="E694" s="216"/>
      <c r="F694" s="216"/>
      <c r="G694" s="216" t="s">
        <v>234</v>
      </c>
      <c r="H694" s="216" t="s">
        <v>234</v>
      </c>
      <c r="I694" s="217" t="s">
        <v>234</v>
      </c>
      <c r="J694" s="217"/>
      <c r="K694" s="216"/>
      <c r="L694" s="216"/>
      <c r="M694" s="217" t="s">
        <v>234</v>
      </c>
      <c r="N694" s="216"/>
      <c r="O694" s="217"/>
      <c r="P694" s="216"/>
      <c r="Q694" s="217" t="s">
        <v>234</v>
      </c>
      <c r="R694" s="217"/>
      <c r="S694" s="217"/>
      <c r="T694" s="217"/>
      <c r="U694" s="218">
        <f t="shared" si="836"/>
        <v>6</v>
      </c>
      <c r="V694" s="867" t="s">
        <v>1096</v>
      </c>
      <c r="W694" s="219">
        <v>311970</v>
      </c>
      <c r="X694" s="220">
        <v>3.22</v>
      </c>
      <c r="Y694" s="221">
        <f t="shared" si="770"/>
        <v>1.0322</v>
      </c>
      <c r="Z694" s="199">
        <v>19</v>
      </c>
      <c r="AA694" s="221">
        <f t="shared" si="771"/>
        <v>1.8260524174418462</v>
      </c>
      <c r="AB694" s="199">
        <f t="shared" si="852"/>
        <v>569673.57266933273</v>
      </c>
      <c r="AC694">
        <v>12.7</v>
      </c>
      <c r="AD694" s="199">
        <f t="shared" si="853"/>
        <v>72348.54372900525</v>
      </c>
      <c r="AE694" s="199">
        <f t="shared" si="772"/>
        <v>68731.116542554984</v>
      </c>
      <c r="AF694" s="199">
        <f t="shared" si="823"/>
        <v>0</v>
      </c>
      <c r="AG694" s="614">
        <f t="shared" si="807"/>
        <v>3.1778250936724201E-3</v>
      </c>
      <c r="AH694" s="199">
        <f t="shared" si="851"/>
        <v>28483.678633466639</v>
      </c>
      <c r="AI694" s="252">
        <f t="shared" si="790"/>
        <v>2.2065874267461214E-3</v>
      </c>
      <c r="AJ694" s="199">
        <f t="shared" si="810"/>
        <v>100832.22236247189</v>
      </c>
      <c r="AK694" s="199">
        <f t="shared" si="829"/>
        <v>22786.942906773311</v>
      </c>
      <c r="AL694" s="199">
        <f t="shared" si="830"/>
        <v>22786.942906773311</v>
      </c>
      <c r="AM694" s="199">
        <f t="shared" si="791"/>
        <v>45573.885813546622</v>
      </c>
      <c r="AN694" s="645">
        <f t="shared" si="792"/>
        <v>2.2065874267461214E-3</v>
      </c>
      <c r="AO694" s="199">
        <v>12</v>
      </c>
      <c r="AP694" s="250">
        <f t="shared" si="793"/>
        <v>1.3634814225656176E-3</v>
      </c>
      <c r="AQ694" s="199">
        <v>12</v>
      </c>
      <c r="AU694" s="199">
        <v>1</v>
      </c>
      <c r="AV694" s="199">
        <f t="shared" si="837"/>
        <v>316485.33779539907</v>
      </c>
      <c r="AW694" s="250">
        <f t="shared" si="794"/>
        <v>9.1090700289508889E-3</v>
      </c>
      <c r="AX694" s="199">
        <v>0</v>
      </c>
      <c r="AY694" s="199">
        <f t="shared" si="838"/>
        <v>29226.642066562319</v>
      </c>
      <c r="AZ694" s="199">
        <f t="shared" si="812"/>
        <v>0</v>
      </c>
      <c r="BA694" s="252">
        <f t="shared" si="795"/>
        <v>0</v>
      </c>
      <c r="BB694" s="284">
        <v>0</v>
      </c>
      <c r="BC694" s="199">
        <f t="shared" si="839"/>
        <v>0</v>
      </c>
      <c r="BD694" s="270">
        <f t="shared" si="840"/>
        <v>0</v>
      </c>
      <c r="BE694" s="199">
        <f t="shared" si="841"/>
        <v>0</v>
      </c>
      <c r="BF694" s="251">
        <f t="shared" si="842"/>
        <v>0</v>
      </c>
      <c r="BG694" s="204">
        <f t="shared" si="843"/>
        <v>0</v>
      </c>
      <c r="BH694" s="636">
        <v>1</v>
      </c>
      <c r="BI694" s="199">
        <f t="shared" si="796"/>
        <v>174320.11323681584</v>
      </c>
      <c r="BJ694" s="199">
        <f t="shared" si="797"/>
        <v>348640.22647363169</v>
      </c>
      <c r="BK694" s="199">
        <f t="shared" si="805"/>
        <v>522960.33971044753</v>
      </c>
      <c r="BL694" s="251">
        <f t="shared" si="798"/>
        <v>2.2065874267461214E-3</v>
      </c>
      <c r="BM694" s="199">
        <f t="shared" si="844"/>
        <v>40257.982370790072</v>
      </c>
      <c r="BN694" s="251">
        <f t="shared" si="799"/>
        <v>1.7384648789085173E-3</v>
      </c>
      <c r="BT694" s="199">
        <f>'Detailed Budget'!$AD$12</f>
        <v>194045122715</v>
      </c>
      <c r="BU694" s="199">
        <f>'Detailed Budget'!$AD$24</f>
        <v>194045122715</v>
      </c>
      <c r="BV694" s="596">
        <f t="shared" si="845"/>
        <v>9.1090700289508889E-3</v>
      </c>
      <c r="BW694" s="278"/>
      <c r="BX694" s="275">
        <f t="shared" si="768"/>
        <v>1767570611.5873039</v>
      </c>
      <c r="BY694" s="275">
        <f t="shared" si="769"/>
        <v>1767570611.5873039</v>
      </c>
      <c r="CA694" s="199">
        <f>'Detailed Budget'!$AD$96</f>
        <v>71050111380.677719</v>
      </c>
      <c r="CB694" s="275">
        <f t="shared" si="800"/>
        <v>0</v>
      </c>
      <c r="CE694" s="199">
        <f>'Detailed Budget'!$AD$175</f>
        <v>4330586076.5988197</v>
      </c>
      <c r="CF694" s="275">
        <f t="shared" si="846"/>
        <v>0</v>
      </c>
      <c r="CG694" s="199">
        <f>'Detailed Budget'!$AD$176</f>
        <v>20662817754.37001</v>
      </c>
      <c r="CH694" s="275">
        <f t="shared" si="847"/>
        <v>0</v>
      </c>
      <c r="CI694" s="275">
        <f t="shared" si="833"/>
        <v>0</v>
      </c>
      <c r="CJ694" s="275">
        <f>'Detailed Budget'!$AD$178</f>
        <v>46025131033.061455</v>
      </c>
      <c r="CK694" s="275">
        <f t="shared" si="848"/>
        <v>0</v>
      </c>
      <c r="CL694" s="275">
        <f t="shared" si="834"/>
        <v>0</v>
      </c>
      <c r="CM694" s="278">
        <f>'Detailed Budget'!$AD$189</f>
        <v>77498869683.252869</v>
      </c>
      <c r="CN694" s="275">
        <f t="shared" si="801"/>
        <v>171008031.43010196</v>
      </c>
      <c r="CO694" s="140">
        <f>'Detailed Budget'!$AD$191</f>
        <v>2684962805.4134097</v>
      </c>
      <c r="CP694" s="616">
        <f t="shared" si="802"/>
        <v>5924605.1677062232</v>
      </c>
      <c r="CQ694" s="616">
        <f t="shared" si="803"/>
        <v>176932636.59780818</v>
      </c>
      <c r="CR694" s="199">
        <f>'Detailed Budget'!$AD$195</f>
        <v>18734176418</v>
      </c>
      <c r="CS694" s="275">
        <f t="shared" si="849"/>
        <v>32568707.737969171</v>
      </c>
      <c r="CW694" s="278"/>
      <c r="DH694" s="140">
        <f>'Detailed Budget'!$AD$163</f>
        <v>4928560000</v>
      </c>
      <c r="DI694" s="616">
        <f t="shared" si="850"/>
        <v>6720000</v>
      </c>
    </row>
    <row r="695" spans="1:113" outlineLevel="1">
      <c r="A695" s="214" t="s">
        <v>1456</v>
      </c>
      <c r="B695" s="215" t="s">
        <v>1457</v>
      </c>
      <c r="C695" s="216" t="s">
        <v>234</v>
      </c>
      <c r="D695" s="217"/>
      <c r="E695" s="216"/>
      <c r="F695" s="216"/>
      <c r="G695" s="216" t="s">
        <v>234</v>
      </c>
      <c r="H695" s="216" t="s">
        <v>234</v>
      </c>
      <c r="I695" s="217" t="s">
        <v>234</v>
      </c>
      <c r="J695" s="217"/>
      <c r="K695" s="216"/>
      <c r="L695" s="216"/>
      <c r="M695" s="217" t="s">
        <v>234</v>
      </c>
      <c r="N695" s="216"/>
      <c r="O695" s="217"/>
      <c r="P695" s="216"/>
      <c r="Q695" s="217" t="s">
        <v>234</v>
      </c>
      <c r="R695" s="217"/>
      <c r="S695" s="217"/>
      <c r="T695" s="217"/>
      <c r="U695" s="218">
        <f t="shared" si="836"/>
        <v>6</v>
      </c>
      <c r="V695" s="867" t="s">
        <v>1096</v>
      </c>
      <c r="W695" s="219">
        <v>116538</v>
      </c>
      <c r="X695" s="220">
        <v>3.22</v>
      </c>
      <c r="Y695" s="221">
        <f t="shared" si="770"/>
        <v>1.0322</v>
      </c>
      <c r="Z695" s="199">
        <v>19</v>
      </c>
      <c r="AA695" s="221">
        <f t="shared" si="771"/>
        <v>1.8260524174418462</v>
      </c>
      <c r="AB695" s="199">
        <f t="shared" si="852"/>
        <v>212804.49662383788</v>
      </c>
      <c r="AC695">
        <v>12.7</v>
      </c>
      <c r="AD695" s="199">
        <f t="shared" si="853"/>
        <v>27026.171071227411</v>
      </c>
      <c r="AE695" s="199">
        <f t="shared" si="772"/>
        <v>25674.862517666039</v>
      </c>
      <c r="AF695" s="199">
        <f t="shared" si="823"/>
        <v>0</v>
      </c>
      <c r="AG695" s="614">
        <f t="shared" si="807"/>
        <v>1.1870929280584561E-3</v>
      </c>
      <c r="AH695" s="199">
        <f t="shared" si="851"/>
        <v>10640.224831191896</v>
      </c>
      <c r="AI695" s="252">
        <f t="shared" si="790"/>
        <v>8.2428209615712899E-4</v>
      </c>
      <c r="AJ695" s="199">
        <f t="shared" si="810"/>
        <v>37666.395902419303</v>
      </c>
      <c r="AK695" s="199">
        <f t="shared" si="829"/>
        <v>8512.1798649535158</v>
      </c>
      <c r="AL695" s="199">
        <f t="shared" si="830"/>
        <v>8512.1798649535158</v>
      </c>
      <c r="AM695" s="199">
        <f t="shared" si="791"/>
        <v>17024.359729907032</v>
      </c>
      <c r="AN695" s="645">
        <f t="shared" si="792"/>
        <v>8.2428209615712888E-4</v>
      </c>
      <c r="AO695" s="199">
        <v>10</v>
      </c>
      <c r="AP695" s="250">
        <f t="shared" si="793"/>
        <v>1.1362345188046814E-3</v>
      </c>
      <c r="AQ695" s="199">
        <v>10</v>
      </c>
      <c r="AU695" s="199">
        <v>1</v>
      </c>
      <c r="AV695" s="199">
        <f t="shared" si="837"/>
        <v>118224.72768535506</v>
      </c>
      <c r="AW695" s="250">
        <f t="shared" si="794"/>
        <v>3.4027400167768655E-3</v>
      </c>
      <c r="AX695" s="199">
        <v>0</v>
      </c>
      <c r="AY695" s="199">
        <f t="shared" si="838"/>
        <v>10917.762647539957</v>
      </c>
      <c r="AZ695" s="199">
        <f t="shared" si="812"/>
        <v>0</v>
      </c>
      <c r="BA695" s="252">
        <f t="shared" si="795"/>
        <v>0</v>
      </c>
      <c r="BB695" s="284">
        <v>0</v>
      </c>
      <c r="BC695" s="199">
        <f t="shared" si="839"/>
        <v>0</v>
      </c>
      <c r="BD695" s="270">
        <f t="shared" si="840"/>
        <v>0</v>
      </c>
      <c r="BE695" s="199">
        <f t="shared" si="841"/>
        <v>0</v>
      </c>
      <c r="BF695" s="251">
        <f t="shared" si="842"/>
        <v>0</v>
      </c>
      <c r="BG695" s="204">
        <f t="shared" si="843"/>
        <v>0</v>
      </c>
      <c r="BH695" s="636">
        <v>1</v>
      </c>
      <c r="BI695" s="199">
        <f t="shared" si="796"/>
        <v>65118.1759668944</v>
      </c>
      <c r="BJ695" s="199">
        <f t="shared" si="797"/>
        <v>130236.3519337888</v>
      </c>
      <c r="BK695" s="199">
        <f t="shared" si="805"/>
        <v>195354.5279006832</v>
      </c>
      <c r="BL695" s="251">
        <f t="shared" si="798"/>
        <v>8.2428209615712899E-4</v>
      </c>
      <c r="BM695" s="199">
        <f t="shared" si="844"/>
        <v>15038.576624441883</v>
      </c>
      <c r="BN695" s="251">
        <f t="shared" si="799"/>
        <v>6.4941250779959874E-4</v>
      </c>
      <c r="BT695" s="199">
        <f>'Detailed Budget'!$AD$12</f>
        <v>194045122715</v>
      </c>
      <c r="BU695" s="199">
        <f>'Detailed Budget'!$AD$24</f>
        <v>194045122715</v>
      </c>
      <c r="BV695" s="596">
        <f t="shared" si="845"/>
        <v>3.4027400167768655E-3</v>
      </c>
      <c r="BW695" s="278"/>
      <c r="BX695" s="275">
        <f t="shared" si="768"/>
        <v>660285104.12270808</v>
      </c>
      <c r="BY695" s="275">
        <f t="shared" si="769"/>
        <v>660285104.12270808</v>
      </c>
      <c r="CA695" s="199">
        <f>'Detailed Budget'!$AD$96</f>
        <v>71050111380.677719</v>
      </c>
      <c r="CB695" s="275">
        <f t="shared" si="800"/>
        <v>0</v>
      </c>
      <c r="CE695" s="199">
        <f>'Detailed Budget'!$AD$175</f>
        <v>4330586076.5988197</v>
      </c>
      <c r="CF695" s="275">
        <f t="shared" si="846"/>
        <v>0</v>
      </c>
      <c r="CG695" s="199">
        <f>'Detailed Budget'!$AD$176</f>
        <v>20662817754.37001</v>
      </c>
      <c r="CH695" s="275">
        <f t="shared" si="847"/>
        <v>0</v>
      </c>
      <c r="CI695" s="275">
        <f t="shared" si="833"/>
        <v>0</v>
      </c>
      <c r="CJ695" s="275">
        <f>'Detailed Budget'!$AD$178</f>
        <v>46025131033.061455</v>
      </c>
      <c r="CK695" s="275">
        <f t="shared" si="848"/>
        <v>0</v>
      </c>
      <c r="CL695" s="275">
        <f t="shared" si="834"/>
        <v>0</v>
      </c>
      <c r="CM695" s="278">
        <f>'Detailed Budget'!$AD$189</f>
        <v>77498869683.252869</v>
      </c>
      <c r="CN695" s="275">
        <f t="shared" si="801"/>
        <v>63880930.75231985</v>
      </c>
      <c r="CO695" s="140">
        <f>'Detailed Budget'!$AD$191</f>
        <v>2684962805.4134097</v>
      </c>
      <c r="CP695" s="616">
        <f t="shared" si="802"/>
        <v>2213166.7693500905</v>
      </c>
      <c r="CQ695" s="616">
        <f t="shared" si="803"/>
        <v>66094097.521669939</v>
      </c>
      <c r="CR695" s="199">
        <f>'Detailed Budget'!$AD$195</f>
        <v>18734176418</v>
      </c>
      <c r="CS695" s="275">
        <f t="shared" si="849"/>
        <v>12166208.489173483</v>
      </c>
      <c r="CW695" s="278"/>
      <c r="DH695" s="140">
        <f>'Detailed Budget'!$AD$163</f>
        <v>4928560000</v>
      </c>
      <c r="DI695" s="616">
        <f t="shared" si="850"/>
        <v>5600000</v>
      </c>
    </row>
    <row r="696" spans="1:113" outlineLevel="1">
      <c r="A696" s="214"/>
      <c r="B696" s="215"/>
      <c r="C696" s="216"/>
      <c r="D696" s="217"/>
      <c r="E696" s="216"/>
      <c r="F696" s="216"/>
      <c r="G696" s="216"/>
      <c r="H696" s="216"/>
      <c r="I696" s="217"/>
      <c r="J696" s="217"/>
      <c r="K696" s="216"/>
      <c r="L696" s="216"/>
      <c r="M696" s="217"/>
      <c r="N696" s="216"/>
      <c r="O696" s="217"/>
      <c r="P696" s="216"/>
      <c r="Q696" s="217"/>
      <c r="R696" s="217"/>
      <c r="S696" s="217"/>
      <c r="T696" s="217"/>
      <c r="U696" s="218"/>
      <c r="V696" s="867"/>
      <c r="W696" s="219"/>
      <c r="X696" s="220"/>
      <c r="Y696" s="221"/>
      <c r="Z696" s="199"/>
      <c r="AA696" s="221"/>
      <c r="AF696" s="199">
        <f t="shared" si="823"/>
        <v>0</v>
      </c>
      <c r="AG696" s="614">
        <f t="shared" si="807"/>
        <v>0</v>
      </c>
      <c r="AJ696" s="199"/>
      <c r="AK696" s="199">
        <f t="shared" si="829"/>
        <v>0</v>
      </c>
      <c r="AL696" s="199">
        <f t="shared" si="830"/>
        <v>0</v>
      </c>
      <c r="AM696" s="199">
        <f t="shared" si="791"/>
        <v>0</v>
      </c>
      <c r="AN696" s="645">
        <f t="shared" si="792"/>
        <v>0</v>
      </c>
      <c r="AP696" s="250">
        <f t="shared" si="793"/>
        <v>0</v>
      </c>
      <c r="AW696" s="250">
        <f t="shared" si="794"/>
        <v>0</v>
      </c>
      <c r="AX696" s="199"/>
      <c r="BA696" s="252">
        <f t="shared" si="795"/>
        <v>0</v>
      </c>
      <c r="BB696" s="284"/>
      <c r="BD696" s="270"/>
      <c r="BF696" s="251"/>
      <c r="BG696" s="204"/>
      <c r="BH696" s="636"/>
      <c r="BI696" s="199">
        <f t="shared" si="796"/>
        <v>0</v>
      </c>
      <c r="BJ696" s="199">
        <f t="shared" si="797"/>
        <v>0</v>
      </c>
      <c r="BK696" s="199">
        <f t="shared" si="805"/>
        <v>0</v>
      </c>
      <c r="BL696" s="251">
        <f t="shared" si="798"/>
        <v>0</v>
      </c>
      <c r="BN696" s="251">
        <f t="shared" si="799"/>
        <v>0</v>
      </c>
      <c r="BT696" s="199"/>
      <c r="BU696" s="199"/>
      <c r="BV696" s="596"/>
      <c r="BW696" s="278"/>
      <c r="BX696" s="275"/>
      <c r="BY696" s="275"/>
      <c r="CA696" s="199">
        <f>'Detailed Budget'!$AD$96</f>
        <v>71050111380.677719</v>
      </c>
      <c r="CB696" s="275">
        <f t="shared" si="800"/>
        <v>0</v>
      </c>
      <c r="CE696" s="199"/>
      <c r="CF696" s="275"/>
      <c r="CG696" s="199"/>
      <c r="CH696" s="275"/>
      <c r="CI696" s="275"/>
      <c r="CJ696" s="275"/>
      <c r="CK696" s="275"/>
      <c r="CL696" s="275"/>
      <c r="CM696" s="278">
        <f>'Detailed Budget'!$AD$189</f>
        <v>77498869683.252869</v>
      </c>
      <c r="CN696" s="275">
        <f t="shared" si="801"/>
        <v>0</v>
      </c>
      <c r="CO696" s="140">
        <f>'Detailed Budget'!$AD$191</f>
        <v>2684962805.4134097</v>
      </c>
      <c r="CP696" s="616">
        <f t="shared" si="802"/>
        <v>0</v>
      </c>
      <c r="CQ696" s="616">
        <f t="shared" si="803"/>
        <v>0</v>
      </c>
      <c r="CR696" s="199"/>
      <c r="CS696" s="275"/>
      <c r="CW696" s="278"/>
      <c r="DH696" s="140">
        <f>'Detailed Budget'!$AD$163</f>
        <v>4928560000</v>
      </c>
      <c r="DI696" s="616">
        <f t="shared" si="850"/>
        <v>0</v>
      </c>
    </row>
    <row r="697" spans="1:113" s="213" customFormat="1">
      <c r="A697" s="206">
        <v>5.5</v>
      </c>
      <c r="B697" s="207" t="s">
        <v>1458</v>
      </c>
      <c r="C697" s="208">
        <f>COUNTA(C699:C716)</f>
        <v>18</v>
      </c>
      <c r="D697" s="208">
        <f t="shared" ref="D697:T697" si="854">COUNTA(D699:D716)</f>
        <v>0</v>
      </c>
      <c r="E697" s="208">
        <f t="shared" si="854"/>
        <v>0</v>
      </c>
      <c r="F697" s="208">
        <f t="shared" si="854"/>
        <v>0</v>
      </c>
      <c r="G697" s="208">
        <f t="shared" si="854"/>
        <v>18</v>
      </c>
      <c r="H697" s="208">
        <f t="shared" si="854"/>
        <v>18</v>
      </c>
      <c r="I697" s="208">
        <f t="shared" si="854"/>
        <v>18</v>
      </c>
      <c r="J697" s="208">
        <f t="shared" si="854"/>
        <v>0</v>
      </c>
      <c r="K697" s="208">
        <f t="shared" si="854"/>
        <v>0</v>
      </c>
      <c r="L697" s="208">
        <f t="shared" si="854"/>
        <v>0</v>
      </c>
      <c r="M697" s="208">
        <f t="shared" si="854"/>
        <v>5</v>
      </c>
      <c r="N697" s="208">
        <f t="shared" si="854"/>
        <v>13</v>
      </c>
      <c r="O697" s="208">
        <f t="shared" si="854"/>
        <v>0</v>
      </c>
      <c r="P697" s="208">
        <f t="shared" si="854"/>
        <v>0</v>
      </c>
      <c r="Q697" s="208">
        <f t="shared" si="854"/>
        <v>4</v>
      </c>
      <c r="R697" s="208">
        <f t="shared" si="854"/>
        <v>14</v>
      </c>
      <c r="S697" s="208">
        <f t="shared" si="854"/>
        <v>0</v>
      </c>
      <c r="T697" s="208">
        <f t="shared" si="854"/>
        <v>0</v>
      </c>
      <c r="U697" s="209">
        <f>SUM(C697:T697)</f>
        <v>108</v>
      </c>
      <c r="V697" s="866"/>
      <c r="W697" s="210">
        <f>SUM(W699:W716)</f>
        <v>3233366</v>
      </c>
      <c r="X697" s="211">
        <v>2.78</v>
      </c>
      <c r="Y697" s="212">
        <f t="shared" si="770"/>
        <v>1.0278</v>
      </c>
      <c r="Z697" s="210">
        <v>19</v>
      </c>
      <c r="AA697" s="212">
        <f t="shared" si="771"/>
        <v>1.6836958972696243</v>
      </c>
      <c r="AB697" s="210">
        <f t="shared" si="852"/>
        <v>5444005.0685710963</v>
      </c>
      <c r="AC697" s="213">
        <v>12.7</v>
      </c>
      <c r="AD697" s="210">
        <f t="shared" si="853"/>
        <v>691388.64370852918</v>
      </c>
      <c r="AE697" s="210">
        <f t="shared" si="772"/>
        <v>656819.21152310271</v>
      </c>
      <c r="AF697" s="210">
        <f>SUM(AF699:AF716)</f>
        <v>0</v>
      </c>
      <c r="AG697" s="614">
        <f t="shared" si="807"/>
        <v>3.0368436850460895E-2</v>
      </c>
      <c r="AH697" s="210">
        <f>SUM(AH699:AH716)</f>
        <v>272200.25342855486</v>
      </c>
      <c r="AI697" s="252">
        <f t="shared" si="790"/>
        <v>2.1086941209442236E-2</v>
      </c>
      <c r="AJ697" s="210">
        <f>SUM(AJ699:AJ716)</f>
        <v>963588.89713708416</v>
      </c>
      <c r="AK697" s="199">
        <f t="shared" si="829"/>
        <v>217760.20274284386</v>
      </c>
      <c r="AL697" s="199">
        <f t="shared" si="830"/>
        <v>217760.20274284386</v>
      </c>
      <c r="AM697" s="199">
        <f t="shared" si="791"/>
        <v>435520.40548568772</v>
      </c>
      <c r="AN697" s="645">
        <f t="shared" si="792"/>
        <v>2.1086941209442232E-2</v>
      </c>
      <c r="AO697" s="210">
        <f>SUM(AO699:AO716)</f>
        <v>192</v>
      </c>
      <c r="AP697" s="250">
        <f t="shared" si="793"/>
        <v>2.1815702761049882E-2</v>
      </c>
      <c r="AQ697" s="210">
        <f>SUM(AQ699:AQ716)</f>
        <v>192</v>
      </c>
      <c r="AR697" s="210"/>
      <c r="AS697" s="210"/>
      <c r="AT697" s="210"/>
      <c r="AU697" s="199"/>
      <c r="AV697" s="199"/>
      <c r="AW697" s="250">
        <f t="shared" si="794"/>
        <v>0</v>
      </c>
      <c r="AX697" s="199"/>
      <c r="AY697" s="210">
        <v>400708</v>
      </c>
      <c r="AZ697" s="210">
        <f>SUM(AZ699:AZ716)</f>
        <v>400707.95722450822</v>
      </c>
      <c r="BA697" s="252">
        <f t="shared" si="795"/>
        <v>3.1498245756625839E-2</v>
      </c>
      <c r="BB697" s="284"/>
      <c r="BC697" s="199"/>
      <c r="BD697" s="270">
        <f t="shared" si="840"/>
        <v>0</v>
      </c>
      <c r="BE697" s="199"/>
      <c r="BF697" s="251">
        <f t="shared" si="842"/>
        <v>0</v>
      </c>
      <c r="BH697"/>
      <c r="BI697" s="199">
        <f t="shared" si="796"/>
        <v>1665865.5509827556</v>
      </c>
      <c r="BJ697" s="199">
        <f t="shared" si="797"/>
        <v>3331731.1019655112</v>
      </c>
      <c r="BK697" s="199">
        <f t="shared" si="805"/>
        <v>4997596.6529482668</v>
      </c>
      <c r="BL697" s="251">
        <f t="shared" si="798"/>
        <v>2.1086941209442232E-2</v>
      </c>
      <c r="BM697" s="210">
        <v>461889</v>
      </c>
      <c r="BN697" s="251">
        <f t="shared" si="799"/>
        <v>1.9945803469693792E-2</v>
      </c>
      <c r="BT697" s="210">
        <f>'Detailed Budget'!$AD$12</f>
        <v>194045122715</v>
      </c>
      <c r="BU697" s="210">
        <f>'Detailed Budget'!$AD$24</f>
        <v>194045122715</v>
      </c>
      <c r="BV697" s="596">
        <f>AV697/34743979</f>
        <v>0</v>
      </c>
      <c r="BW697" s="278"/>
      <c r="BX697" s="613">
        <f t="shared" si="768"/>
        <v>0</v>
      </c>
      <c r="BY697" s="613">
        <f t="shared" si="769"/>
        <v>0</v>
      </c>
      <c r="CA697" s="210">
        <f>'Detailed Budget'!$AD$96</f>
        <v>71050111380.677719</v>
      </c>
      <c r="CB697" s="613">
        <f t="shared" si="800"/>
        <v>2237953869.3042254</v>
      </c>
      <c r="CE697" s="210">
        <f>'Detailed Budget'!$AD$175</f>
        <v>4330586076.5988197</v>
      </c>
      <c r="CF697" s="613">
        <f>SUM(CF699:CF716)</f>
        <v>0</v>
      </c>
      <c r="CG697" s="632">
        <f>'Detailed Budget'!$AD$176</f>
        <v>20662817754.37001</v>
      </c>
      <c r="CH697" s="613">
        <f>SUM(CH699:CH716)</f>
        <v>0</v>
      </c>
      <c r="CI697" s="613">
        <f>SUM(CI699:CI716)</f>
        <v>0</v>
      </c>
      <c r="CJ697" s="275">
        <f>'Detailed Budget'!$AD$178</f>
        <v>46025131033.061455</v>
      </c>
      <c r="CK697" s="613">
        <f>SUM(CK699:CK716)</f>
        <v>0</v>
      </c>
      <c r="CL697" s="613">
        <f>SUM(CL699:CL716)</f>
        <v>0</v>
      </c>
      <c r="CM697" s="278">
        <f>'Detailed Budget'!$AD$189</f>
        <v>77498869683.252869</v>
      </c>
      <c r="CN697" s="275">
        <f t="shared" si="801"/>
        <v>0</v>
      </c>
      <c r="CO697" s="140">
        <f>'Detailed Budget'!$AD$191</f>
        <v>2684962805.4134097</v>
      </c>
      <c r="CP697" s="616">
        <f t="shared" si="802"/>
        <v>0</v>
      </c>
      <c r="CQ697" s="616">
        <f t="shared" si="803"/>
        <v>0</v>
      </c>
      <c r="CR697" s="210">
        <f>'Detailed Budget'!$AD$195</f>
        <v>18734176418</v>
      </c>
      <c r="CS697" s="275">
        <f>BN697*CR697</f>
        <v>373668201</v>
      </c>
      <c r="CW697" s="278"/>
      <c r="DH697" s="140">
        <f>'Detailed Budget'!$AD$163</f>
        <v>4928560000</v>
      </c>
      <c r="DI697" s="616">
        <f t="shared" si="850"/>
        <v>107520000</v>
      </c>
    </row>
    <row r="698" spans="1:113" s="213" customFormat="1">
      <c r="A698" s="214" t="s">
        <v>2348</v>
      </c>
      <c r="B698" s="215" t="s">
        <v>2318</v>
      </c>
      <c r="C698" s="208"/>
      <c r="D698" s="208"/>
      <c r="E698" s="208"/>
      <c r="F698" s="208"/>
      <c r="G698" s="208"/>
      <c r="H698" s="208"/>
      <c r="I698" s="208"/>
      <c r="J698" s="208"/>
      <c r="K698" s="208"/>
      <c r="L698" s="208"/>
      <c r="M698" s="208"/>
      <c r="N698" s="208"/>
      <c r="O698" s="208"/>
      <c r="P698" s="208"/>
      <c r="Q698" s="208"/>
      <c r="R698" s="208"/>
      <c r="S698" s="208"/>
      <c r="T698" s="208"/>
      <c r="U698" s="209"/>
      <c r="V698" s="866"/>
      <c r="W698" s="210"/>
      <c r="X698" s="211"/>
      <c r="Y698" s="212"/>
      <c r="Z698" s="210"/>
      <c r="AA698" s="212"/>
      <c r="AB698" s="210"/>
      <c r="AD698" s="210"/>
      <c r="AE698" s="199"/>
      <c r="AF698" s="199"/>
      <c r="AG698" s="614">
        <f t="shared" si="807"/>
        <v>0</v>
      </c>
      <c r="AH698" s="210"/>
      <c r="AI698" s="252"/>
      <c r="AJ698" s="199"/>
      <c r="AK698" s="199">
        <f t="shared" si="829"/>
        <v>0</v>
      </c>
      <c r="AL698" s="199">
        <f t="shared" si="830"/>
        <v>0</v>
      </c>
      <c r="AM698" s="199">
        <f t="shared" si="791"/>
        <v>0</v>
      </c>
      <c r="AN698" s="645">
        <f t="shared" si="792"/>
        <v>0</v>
      </c>
      <c r="AO698" s="210"/>
      <c r="AP698" s="250"/>
      <c r="AQ698" s="210"/>
      <c r="AR698" s="210"/>
      <c r="AS698" s="210"/>
      <c r="AT698" s="210"/>
      <c r="AU698" s="199"/>
      <c r="AV698" s="199"/>
      <c r="AW698" s="250">
        <f t="shared" si="794"/>
        <v>0</v>
      </c>
      <c r="AX698" s="199"/>
      <c r="AY698" s="210"/>
      <c r="AZ698" s="199"/>
      <c r="BA698" s="252">
        <f t="shared" si="795"/>
        <v>0</v>
      </c>
      <c r="BB698" s="284"/>
      <c r="BC698" s="199"/>
      <c r="BD698" s="270">
        <f t="shared" si="840"/>
        <v>0</v>
      </c>
      <c r="BE698" s="199"/>
      <c r="BF698" s="251">
        <f t="shared" si="842"/>
        <v>0</v>
      </c>
      <c r="BH698"/>
      <c r="BI698" s="199">
        <f t="shared" si="796"/>
        <v>0</v>
      </c>
      <c r="BJ698" s="199">
        <f t="shared" si="797"/>
        <v>0</v>
      </c>
      <c r="BK698" s="199">
        <f t="shared" si="805"/>
        <v>0</v>
      </c>
      <c r="BL698" s="251">
        <f t="shared" si="798"/>
        <v>0</v>
      </c>
      <c r="BM698" s="210"/>
      <c r="BN698" s="251">
        <f t="shared" si="799"/>
        <v>0</v>
      </c>
      <c r="BT698" s="210"/>
      <c r="BU698" s="210"/>
      <c r="BV698" s="596"/>
      <c r="BW698" s="278"/>
      <c r="BX698" s="275"/>
      <c r="BY698" s="275"/>
      <c r="CA698" s="210">
        <f>'Detailed Budget'!$AD$96</f>
        <v>71050111380.677719</v>
      </c>
      <c r="CB698" s="275"/>
      <c r="CE698" s="210"/>
      <c r="CF698" s="275"/>
      <c r="CG698" s="240"/>
      <c r="CH698" s="275"/>
      <c r="CI698" s="275"/>
      <c r="CJ698" s="275"/>
      <c r="CK698" s="275"/>
      <c r="CL698" s="275"/>
      <c r="CM698" s="278">
        <f>'Detailed Budget'!$AD$189</f>
        <v>77498869683.252869</v>
      </c>
      <c r="CN698" s="275">
        <f t="shared" si="801"/>
        <v>0</v>
      </c>
      <c r="CO698" s="140">
        <f>'Detailed Budget'!$AD$191</f>
        <v>2684962805.4134097</v>
      </c>
      <c r="CP698" s="616">
        <f t="shared" si="802"/>
        <v>0</v>
      </c>
      <c r="CQ698" s="616">
        <f t="shared" si="803"/>
        <v>0</v>
      </c>
      <c r="CR698" s="210"/>
      <c r="CS698" s="275"/>
      <c r="CW698" s="278"/>
      <c r="DH698" s="140"/>
      <c r="DI698" s="616"/>
    </row>
    <row r="699" spans="1:113" outlineLevel="1">
      <c r="A699" s="214" t="s">
        <v>1459</v>
      </c>
      <c r="B699" s="215" t="s">
        <v>1460</v>
      </c>
      <c r="C699" s="216" t="s">
        <v>234</v>
      </c>
      <c r="D699" s="217"/>
      <c r="E699" s="216"/>
      <c r="F699" s="216"/>
      <c r="G699" s="216" t="s">
        <v>234</v>
      </c>
      <c r="H699" s="216" t="s">
        <v>234</v>
      </c>
      <c r="I699" s="217" t="s">
        <v>234</v>
      </c>
      <c r="J699" s="217"/>
      <c r="K699" s="216"/>
      <c r="L699" s="216"/>
      <c r="M699" s="217"/>
      <c r="N699" s="216" t="s">
        <v>234</v>
      </c>
      <c r="O699" s="217"/>
      <c r="P699" s="216"/>
      <c r="Q699" s="217"/>
      <c r="R699" s="217" t="s">
        <v>234</v>
      </c>
      <c r="S699" s="217"/>
      <c r="T699" s="217"/>
      <c r="U699" s="218">
        <f t="shared" ref="U699:U716" si="855">COUNTA(C699:T699)</f>
        <v>6</v>
      </c>
      <c r="V699" s="867" t="s">
        <v>235</v>
      </c>
      <c r="W699" s="219">
        <v>261567</v>
      </c>
      <c r="X699" s="220">
        <v>2.78</v>
      </c>
      <c r="Y699" s="221">
        <f t="shared" si="770"/>
        <v>1.0278</v>
      </c>
      <c r="Z699" s="199">
        <v>19</v>
      </c>
      <c r="AA699" s="221">
        <f t="shared" si="771"/>
        <v>1.6836958972696243</v>
      </c>
      <c r="AB699" s="199">
        <f t="shared" si="852"/>
        <v>440399.28476112382</v>
      </c>
      <c r="AC699">
        <v>12.7</v>
      </c>
      <c r="AD699" s="199">
        <f t="shared" si="853"/>
        <v>55930.709164662723</v>
      </c>
      <c r="AE699" s="199">
        <f t="shared" si="772"/>
        <v>53134.173706429581</v>
      </c>
      <c r="AF699" s="199">
        <f t="shared" si="823"/>
        <v>0</v>
      </c>
      <c r="AG699" s="614">
        <f t="shared" si="807"/>
        <v>2.4566909287920091E-3</v>
      </c>
      <c r="AH699" s="199">
        <f>AB699*0.05</f>
        <v>22019.964238056193</v>
      </c>
      <c r="AI699" s="252">
        <f t="shared" si="790"/>
        <v>1.7058532660175732E-3</v>
      </c>
      <c r="AJ699" s="199">
        <f t="shared" si="810"/>
        <v>77950.673402718909</v>
      </c>
      <c r="AK699" s="199">
        <f t="shared" si="829"/>
        <v>17615.971390444953</v>
      </c>
      <c r="AL699" s="199">
        <f t="shared" si="830"/>
        <v>17615.971390444953</v>
      </c>
      <c r="AM699" s="199">
        <f t="shared" si="791"/>
        <v>35231.942780889905</v>
      </c>
      <c r="AN699" s="645">
        <f t="shared" si="792"/>
        <v>1.705853266017573E-3</v>
      </c>
      <c r="AO699" s="199">
        <v>10</v>
      </c>
      <c r="AP699" s="250">
        <f t="shared" si="793"/>
        <v>1.1362345188046814E-3</v>
      </c>
      <c r="AQ699" s="199">
        <v>10</v>
      </c>
      <c r="AU699" s="199">
        <v>0</v>
      </c>
      <c r="AW699" s="250">
        <f t="shared" si="794"/>
        <v>0</v>
      </c>
      <c r="AX699" s="199">
        <v>1</v>
      </c>
      <c r="AY699" s="199">
        <f t="shared" ref="AY699:AY716" si="856">AJ699/963589*400708</f>
        <v>32415.748247288717</v>
      </c>
      <c r="AZ699" s="199">
        <f t="shared" si="812"/>
        <v>32415.748247288717</v>
      </c>
      <c r="BA699" s="252">
        <f t="shared" si="795"/>
        <v>2.5480881681267599E-3</v>
      </c>
      <c r="BB699" s="284">
        <v>0</v>
      </c>
      <c r="BC699" s="199">
        <f t="shared" ref="BC699:BC716" si="857">AD699*BB699*0.18*4</f>
        <v>0</v>
      </c>
      <c r="BD699" s="270">
        <f t="shared" si="840"/>
        <v>0</v>
      </c>
      <c r="BE699" s="199">
        <f t="shared" ref="BE699:BE716" si="858">AD699*BB699*0.77*4</f>
        <v>0</v>
      </c>
      <c r="BF699" s="251">
        <f t="shared" si="842"/>
        <v>0</v>
      </c>
      <c r="BG699" s="204">
        <f t="shared" ref="BG699:BG716" si="859">BC699+BE699</f>
        <v>0</v>
      </c>
      <c r="BH699" s="636">
        <v>1</v>
      </c>
      <c r="BI699" s="199">
        <f t="shared" si="796"/>
        <v>134762.18113690388</v>
      </c>
      <c r="BJ699" s="199">
        <f t="shared" si="797"/>
        <v>269524.36227380775</v>
      </c>
      <c r="BK699" s="199">
        <f t="shared" si="805"/>
        <v>404286.54341071163</v>
      </c>
      <c r="BL699" s="251">
        <f t="shared" si="798"/>
        <v>1.7058532660175728E-3</v>
      </c>
      <c r="BM699" s="199">
        <f t="shared" ref="BM699:BM716" si="860">AH699/272200*461889</f>
        <v>37365.096480350978</v>
      </c>
      <c r="BN699" s="251">
        <f t="shared" si="799"/>
        <v>1.6135410694414194E-3</v>
      </c>
      <c r="BT699" s="199">
        <f>'Detailed Budget'!$AD$12</f>
        <v>194045122715</v>
      </c>
      <c r="BU699" s="199">
        <f>'Detailed Budget'!$AD$24</f>
        <v>194045122715</v>
      </c>
      <c r="BV699" s="596">
        <f t="shared" ref="BV699:BV716" si="861">AV699/34743979</f>
        <v>0</v>
      </c>
      <c r="BW699" s="278"/>
      <c r="BX699" s="275">
        <f t="shared" si="768"/>
        <v>0</v>
      </c>
      <c r="BY699" s="275">
        <f t="shared" si="769"/>
        <v>0</v>
      </c>
      <c r="CA699" s="199">
        <f>'Detailed Budget'!$AD$96</f>
        <v>71050111380.677719</v>
      </c>
      <c r="CB699" s="275">
        <f t="shared" si="800"/>
        <v>181041948.15319335</v>
      </c>
      <c r="CE699" s="199">
        <f>'Detailed Budget'!$AD$175</f>
        <v>4330586076.5988197</v>
      </c>
      <c r="CF699" s="275">
        <f t="shared" ref="CF699:CF716" si="862">BB699*BD699*CE699</f>
        <v>0</v>
      </c>
      <c r="CG699" s="199">
        <f>'Detailed Budget'!$AD$176</f>
        <v>20662817754.37001</v>
      </c>
      <c r="CH699" s="275">
        <f t="shared" ref="CH699:CH716" si="863">BB699*BF699*CG699</f>
        <v>0</v>
      </c>
      <c r="CI699" s="275">
        <f t="shared" si="833"/>
        <v>0</v>
      </c>
      <c r="CJ699" s="275">
        <f>'Detailed Budget'!$AD$178</f>
        <v>46025131033.061455</v>
      </c>
      <c r="CK699" s="275">
        <f t="shared" ref="CK699:CK716" si="864">BB699*AG699*CJ699</f>
        <v>0</v>
      </c>
      <c r="CL699" s="275">
        <f t="shared" si="834"/>
        <v>0</v>
      </c>
      <c r="CM699" s="278">
        <f>'Detailed Budget'!$AD$189</f>
        <v>77498869683.252869</v>
      </c>
      <c r="CN699" s="275">
        <f t="shared" si="801"/>
        <v>132201699.96184716</v>
      </c>
      <c r="CO699" s="140">
        <f>'Detailed Budget'!$AD$191</f>
        <v>2684962805.4134097</v>
      </c>
      <c r="CP699" s="616">
        <f t="shared" si="802"/>
        <v>4580152.5707501704</v>
      </c>
      <c r="CQ699" s="616">
        <f t="shared" si="803"/>
        <v>136781852.53259733</v>
      </c>
      <c r="CR699" s="199">
        <f>'Detailed Budget'!$AD$195</f>
        <v>18734176418</v>
      </c>
      <c r="CS699" s="275">
        <f t="shared" ref="CS699:CS716" si="865">BN699*CR699</f>
        <v>30228363.052603941</v>
      </c>
      <c r="CW699" s="278"/>
      <c r="DH699" s="140">
        <f>'Detailed Budget'!$AD$163</f>
        <v>4928560000</v>
      </c>
      <c r="DI699" s="616">
        <f t="shared" ref="DI699:DI718" si="866">AP699*DH699</f>
        <v>5600000</v>
      </c>
    </row>
    <row r="700" spans="1:113" outlineLevel="1">
      <c r="A700" s="214" t="s">
        <v>1461</v>
      </c>
      <c r="B700" s="215" t="s">
        <v>1462</v>
      </c>
      <c r="C700" s="216" t="s">
        <v>234</v>
      </c>
      <c r="D700" s="217"/>
      <c r="E700" s="216"/>
      <c r="F700" s="216"/>
      <c r="G700" s="216" t="s">
        <v>234</v>
      </c>
      <c r="H700" s="216" t="s">
        <v>234</v>
      </c>
      <c r="I700" s="217" t="s">
        <v>234</v>
      </c>
      <c r="J700" s="217"/>
      <c r="K700" s="216"/>
      <c r="L700" s="216"/>
      <c r="M700" s="217"/>
      <c r="N700" s="216" t="s">
        <v>234</v>
      </c>
      <c r="O700" s="217"/>
      <c r="P700" s="216"/>
      <c r="Q700" s="217" t="s">
        <v>234</v>
      </c>
      <c r="R700" s="217"/>
      <c r="S700" s="217"/>
      <c r="T700" s="217"/>
      <c r="U700" s="218">
        <f t="shared" si="855"/>
        <v>6</v>
      </c>
      <c r="V700" s="867" t="s">
        <v>1096</v>
      </c>
      <c r="W700" s="219">
        <v>340287</v>
      </c>
      <c r="X700" s="220">
        <v>2.78</v>
      </c>
      <c r="Y700" s="221">
        <f t="shared" si="770"/>
        <v>1.0278</v>
      </c>
      <c r="Z700" s="199">
        <v>19</v>
      </c>
      <c r="AA700" s="221">
        <f t="shared" si="771"/>
        <v>1.6836958972696243</v>
      </c>
      <c r="AB700" s="199">
        <f t="shared" si="852"/>
        <v>572939.82579418865</v>
      </c>
      <c r="AC700">
        <v>12.7</v>
      </c>
      <c r="AD700" s="199">
        <f t="shared" si="853"/>
        <v>72763.357875861955</v>
      </c>
      <c r="AE700" s="199">
        <f t="shared" si="772"/>
        <v>69125.189982068856</v>
      </c>
      <c r="AF700" s="199">
        <f t="shared" si="823"/>
        <v>0</v>
      </c>
      <c r="AG700" s="614">
        <f t="shared" si="807"/>
        <v>3.1960453195007264E-3</v>
      </c>
      <c r="AH700" s="199">
        <f t="shared" ref="AH700:AH716" si="867">AB700*0.05</f>
        <v>28646.991289709433</v>
      </c>
      <c r="AI700" s="252">
        <f t="shared" si="790"/>
        <v>2.2192390107824071E-3</v>
      </c>
      <c r="AJ700" s="199">
        <f t="shared" si="810"/>
        <v>101410.34916557139</v>
      </c>
      <c r="AK700" s="199">
        <f t="shared" si="829"/>
        <v>22917.593031767548</v>
      </c>
      <c r="AL700" s="199">
        <f t="shared" si="830"/>
        <v>22917.593031767548</v>
      </c>
      <c r="AM700" s="199">
        <f t="shared" si="791"/>
        <v>45835.186063535097</v>
      </c>
      <c r="AN700" s="645">
        <f t="shared" si="792"/>
        <v>2.2192390107824075E-3</v>
      </c>
      <c r="AO700" s="199">
        <v>10</v>
      </c>
      <c r="AP700" s="250">
        <f t="shared" si="793"/>
        <v>1.1362345188046814E-3</v>
      </c>
      <c r="AQ700" s="199">
        <v>10</v>
      </c>
      <c r="AU700" s="199">
        <v>0</v>
      </c>
      <c r="AW700" s="250">
        <f t="shared" si="794"/>
        <v>0</v>
      </c>
      <c r="AX700" s="199">
        <v>1</v>
      </c>
      <c r="AY700" s="199">
        <f t="shared" si="856"/>
        <v>42171.44258956649</v>
      </c>
      <c r="AZ700" s="199">
        <f t="shared" si="812"/>
        <v>42171.44258956649</v>
      </c>
      <c r="BA700" s="252">
        <f t="shared" si="795"/>
        <v>3.3149490511698758E-3</v>
      </c>
      <c r="BB700" s="284">
        <v>0</v>
      </c>
      <c r="BC700" s="199">
        <f t="shared" si="857"/>
        <v>0</v>
      </c>
      <c r="BD700" s="270">
        <f t="shared" si="840"/>
        <v>0</v>
      </c>
      <c r="BE700" s="199">
        <f t="shared" si="858"/>
        <v>0</v>
      </c>
      <c r="BF700" s="251">
        <f t="shared" si="842"/>
        <v>0</v>
      </c>
      <c r="BG700" s="204">
        <f t="shared" si="859"/>
        <v>0</v>
      </c>
      <c r="BH700" s="636">
        <v>1</v>
      </c>
      <c r="BI700" s="199">
        <f t="shared" si="796"/>
        <v>175319.5866930217</v>
      </c>
      <c r="BJ700" s="199">
        <f t="shared" si="797"/>
        <v>350639.1733860434</v>
      </c>
      <c r="BK700" s="199">
        <f t="shared" si="805"/>
        <v>525958.7600790651</v>
      </c>
      <c r="BL700" s="251">
        <f t="shared" si="798"/>
        <v>2.2192390107824067E-3</v>
      </c>
      <c r="BM700" s="199">
        <f t="shared" si="860"/>
        <v>48610.323878811905</v>
      </c>
      <c r="BN700" s="251">
        <f t="shared" si="799"/>
        <v>2.099144960553175E-3</v>
      </c>
      <c r="BT700" s="199">
        <f>'Detailed Budget'!$AD$12</f>
        <v>194045122715</v>
      </c>
      <c r="BU700" s="199">
        <f>'Detailed Budget'!$AD$24</f>
        <v>194045122715</v>
      </c>
      <c r="BV700" s="596">
        <f t="shared" si="861"/>
        <v>0</v>
      </c>
      <c r="BW700" s="278"/>
      <c r="BX700" s="275">
        <f t="shared" si="768"/>
        <v>0</v>
      </c>
      <c r="BY700" s="275">
        <f t="shared" si="769"/>
        <v>0</v>
      </c>
      <c r="CA700" s="199">
        <f>'Detailed Budget'!$AD$96</f>
        <v>71050111380.677719</v>
      </c>
      <c r="CB700" s="275">
        <f t="shared" si="800"/>
        <v>235527499.30689159</v>
      </c>
      <c r="CE700" s="199">
        <f>'Detailed Budget'!$AD$175</f>
        <v>4330586076.5988197</v>
      </c>
      <c r="CF700" s="275">
        <f t="shared" si="862"/>
        <v>0</v>
      </c>
      <c r="CG700" s="199">
        <f>'Detailed Budget'!$AD$176</f>
        <v>20662817754.37001</v>
      </c>
      <c r="CH700" s="275">
        <f t="shared" si="863"/>
        <v>0</v>
      </c>
      <c r="CI700" s="275">
        <f t="shared" si="833"/>
        <v>0</v>
      </c>
      <c r="CJ700" s="275">
        <f>'Detailed Budget'!$AD$178</f>
        <v>46025131033.061455</v>
      </c>
      <c r="CK700" s="275">
        <f t="shared" si="864"/>
        <v>0</v>
      </c>
      <c r="CL700" s="275">
        <f t="shared" si="834"/>
        <v>0</v>
      </c>
      <c r="CM700" s="278">
        <f>'Detailed Budget'!$AD$189</f>
        <v>77498869683.252869</v>
      </c>
      <c r="CN700" s="275">
        <f t="shared" si="801"/>
        <v>171988514.89261675</v>
      </c>
      <c r="CO700" s="140">
        <f>'Detailed Budget'!$AD$191</f>
        <v>2684962805.4134097</v>
      </c>
      <c r="CP700" s="616">
        <f t="shared" si="802"/>
        <v>5958574.200273213</v>
      </c>
      <c r="CQ700" s="616">
        <f t="shared" si="803"/>
        <v>177947089.09288996</v>
      </c>
      <c r="CR700" s="199">
        <f>'Detailed Budget'!$AD$195</f>
        <v>18734176418</v>
      </c>
      <c r="CS700" s="275">
        <f t="shared" si="865"/>
        <v>39325752.017958835</v>
      </c>
      <c r="CW700" s="278"/>
      <c r="DH700" s="140">
        <f>'Detailed Budget'!$AD$163</f>
        <v>4928560000</v>
      </c>
      <c r="DI700" s="616">
        <f t="shared" si="866"/>
        <v>5600000</v>
      </c>
    </row>
    <row r="701" spans="1:113" outlineLevel="1">
      <c r="A701" s="214" t="s">
        <v>1463</v>
      </c>
      <c r="B701" s="215" t="s">
        <v>1464</v>
      </c>
      <c r="C701" s="216" t="s">
        <v>234</v>
      </c>
      <c r="D701" s="217"/>
      <c r="E701" s="216"/>
      <c r="F701" s="216"/>
      <c r="G701" s="216" t="s">
        <v>234</v>
      </c>
      <c r="H701" s="216" t="s">
        <v>234</v>
      </c>
      <c r="I701" s="217" t="s">
        <v>234</v>
      </c>
      <c r="J701" s="217"/>
      <c r="K701" s="216"/>
      <c r="L701" s="216"/>
      <c r="M701" s="217"/>
      <c r="N701" s="216" t="s">
        <v>234</v>
      </c>
      <c r="O701" s="217"/>
      <c r="P701" s="216"/>
      <c r="Q701" s="217"/>
      <c r="R701" s="217" t="s">
        <v>234</v>
      </c>
      <c r="S701" s="217"/>
      <c r="T701" s="217"/>
      <c r="U701" s="218">
        <f t="shared" si="855"/>
        <v>6</v>
      </c>
      <c r="V701" s="867" t="s">
        <v>235</v>
      </c>
      <c r="W701" s="219">
        <v>105242</v>
      </c>
      <c r="X701" s="220">
        <v>2.78</v>
      </c>
      <c r="Y701" s="221">
        <f t="shared" si="770"/>
        <v>1.0278</v>
      </c>
      <c r="Z701" s="199">
        <v>19</v>
      </c>
      <c r="AA701" s="221">
        <f t="shared" si="771"/>
        <v>1.6836958972696243</v>
      </c>
      <c r="AB701" s="199">
        <f t="shared" si="852"/>
        <v>177195.52362044979</v>
      </c>
      <c r="AC701">
        <v>12.7</v>
      </c>
      <c r="AD701" s="199">
        <f t="shared" si="853"/>
        <v>22503.831499797125</v>
      </c>
      <c r="AE701" s="199">
        <f t="shared" si="772"/>
        <v>21378.639924807267</v>
      </c>
      <c r="AF701" s="199">
        <f t="shared" si="823"/>
        <v>0</v>
      </c>
      <c r="AG701" s="614">
        <f t="shared" si="807"/>
        <v>9.8845445613524887E-4</v>
      </c>
      <c r="AH701" s="199">
        <f t="shared" si="867"/>
        <v>8859.7761810224893</v>
      </c>
      <c r="AI701" s="252">
        <f t="shared" si="790"/>
        <v>6.8635343687170559E-4</v>
      </c>
      <c r="AJ701" s="199">
        <f t="shared" si="810"/>
        <v>31363.607680819616</v>
      </c>
      <c r="AK701" s="199">
        <f t="shared" si="829"/>
        <v>7087.8209448179914</v>
      </c>
      <c r="AL701" s="199">
        <f t="shared" si="830"/>
        <v>7087.8209448179914</v>
      </c>
      <c r="AM701" s="199">
        <f t="shared" si="791"/>
        <v>14175.641889635983</v>
      </c>
      <c r="AN701" s="645">
        <f t="shared" si="792"/>
        <v>6.8635343687170559E-4</v>
      </c>
      <c r="AO701" s="199">
        <v>10</v>
      </c>
      <c r="AP701" s="250">
        <f t="shared" si="793"/>
        <v>1.1362345188046814E-3</v>
      </c>
      <c r="AQ701" s="199">
        <v>10</v>
      </c>
      <c r="AU701" s="199">
        <v>0</v>
      </c>
      <c r="AW701" s="250">
        <f t="shared" si="794"/>
        <v>0</v>
      </c>
      <c r="AX701" s="199">
        <v>1</v>
      </c>
      <c r="AY701" s="199">
        <f t="shared" si="856"/>
        <v>13042.54044677333</v>
      </c>
      <c r="AZ701" s="199">
        <f t="shared" si="812"/>
        <v>13042.54044677333</v>
      </c>
      <c r="BA701" s="252">
        <f t="shared" si="795"/>
        <v>1.0252283162248926E-3</v>
      </c>
      <c r="BB701" s="284">
        <v>0</v>
      </c>
      <c r="BC701" s="199">
        <f t="shared" si="857"/>
        <v>0</v>
      </c>
      <c r="BD701" s="270">
        <f t="shared" si="840"/>
        <v>0</v>
      </c>
      <c r="BE701" s="199">
        <f t="shared" si="858"/>
        <v>0</v>
      </c>
      <c r="BF701" s="251">
        <f t="shared" si="842"/>
        <v>0</v>
      </c>
      <c r="BG701" s="204">
        <f t="shared" si="859"/>
        <v>0</v>
      </c>
      <c r="BH701" s="636">
        <v>1</v>
      </c>
      <c r="BI701" s="199">
        <f t="shared" si="796"/>
        <v>54221.83022785763</v>
      </c>
      <c r="BJ701" s="199">
        <f t="shared" si="797"/>
        <v>108443.66045571526</v>
      </c>
      <c r="BK701" s="199">
        <f t="shared" si="805"/>
        <v>162665.49068357289</v>
      </c>
      <c r="BL701" s="251">
        <f t="shared" si="798"/>
        <v>6.8635343687170548E-4</v>
      </c>
      <c r="BM701" s="199">
        <f t="shared" si="860"/>
        <v>15033.920501382428</v>
      </c>
      <c r="BN701" s="251">
        <f t="shared" si="799"/>
        <v>6.4921144192560171E-4</v>
      </c>
      <c r="BT701" s="199">
        <f>'Detailed Budget'!$AD$12</f>
        <v>194045122715</v>
      </c>
      <c r="BU701" s="199">
        <f>'Detailed Budget'!$AD$24</f>
        <v>194045122715</v>
      </c>
      <c r="BV701" s="596">
        <f t="shared" si="861"/>
        <v>0</v>
      </c>
      <c r="BW701" s="278"/>
      <c r="BX701" s="275">
        <f t="shared" si="768"/>
        <v>0</v>
      </c>
      <c r="BY701" s="275">
        <f t="shared" si="769"/>
        <v>0</v>
      </c>
      <c r="CA701" s="199">
        <f>'Detailed Budget'!$AD$96</f>
        <v>71050111380.677719</v>
      </c>
      <c r="CB701" s="275">
        <f t="shared" si="800"/>
        <v>72842586.058403298</v>
      </c>
      <c r="CE701" s="199">
        <f>'Detailed Budget'!$AD$175</f>
        <v>4330586076.5988197</v>
      </c>
      <c r="CF701" s="275">
        <f t="shared" si="862"/>
        <v>0</v>
      </c>
      <c r="CG701" s="199">
        <f>'Detailed Budget'!$AD$176</f>
        <v>20662817754.37001</v>
      </c>
      <c r="CH701" s="275">
        <f t="shared" si="863"/>
        <v>0</v>
      </c>
      <c r="CI701" s="275">
        <f t="shared" si="833"/>
        <v>0</v>
      </c>
      <c r="CJ701" s="275">
        <f>'Detailed Budget'!$AD$178</f>
        <v>46025131033.061455</v>
      </c>
      <c r="CK701" s="275">
        <f t="shared" si="864"/>
        <v>0</v>
      </c>
      <c r="CL701" s="275">
        <f t="shared" si="834"/>
        <v>0</v>
      </c>
      <c r="CM701" s="278">
        <f>'Detailed Budget'!$AD$189</f>
        <v>77498869683.252869</v>
      </c>
      <c r="CN701" s="275">
        <f t="shared" si="801"/>
        <v>53191615.56077303</v>
      </c>
      <c r="CO701" s="140">
        <f>'Detailed Budget'!$AD$191</f>
        <v>2684962805.4134097</v>
      </c>
      <c r="CP701" s="616">
        <f t="shared" si="802"/>
        <v>1842833.4493681903</v>
      </c>
      <c r="CQ701" s="616">
        <f t="shared" si="803"/>
        <v>55034449.010141224</v>
      </c>
      <c r="CR701" s="199">
        <f>'Detailed Budget'!$AD$195</f>
        <v>18734176418</v>
      </c>
      <c r="CS701" s="275">
        <f t="shared" si="865"/>
        <v>12162441.685618384</v>
      </c>
      <c r="CW701" s="278"/>
      <c r="DH701" s="140">
        <f>'Detailed Budget'!$AD$163</f>
        <v>4928560000</v>
      </c>
      <c r="DI701" s="616">
        <f t="shared" si="866"/>
        <v>5600000</v>
      </c>
    </row>
    <row r="702" spans="1:113" outlineLevel="1">
      <c r="A702" s="214" t="s">
        <v>1465</v>
      </c>
      <c r="B702" s="215" t="s">
        <v>1466</v>
      </c>
      <c r="C702" s="216" t="s">
        <v>234</v>
      </c>
      <c r="D702" s="217"/>
      <c r="E702" s="216"/>
      <c r="F702" s="216"/>
      <c r="G702" s="216" t="s">
        <v>234</v>
      </c>
      <c r="H702" s="216" t="s">
        <v>234</v>
      </c>
      <c r="I702" s="217" t="s">
        <v>234</v>
      </c>
      <c r="J702" s="217"/>
      <c r="K702" s="216"/>
      <c r="L702" s="216"/>
      <c r="M702" s="217" t="s">
        <v>234</v>
      </c>
      <c r="N702" s="216"/>
      <c r="O702" s="217"/>
      <c r="P702" s="216"/>
      <c r="Q702" s="217"/>
      <c r="R702" s="217" t="s">
        <v>234</v>
      </c>
      <c r="S702" s="217"/>
      <c r="T702" s="217"/>
      <c r="U702" s="218">
        <f t="shared" si="855"/>
        <v>6</v>
      </c>
      <c r="V702" s="867" t="s">
        <v>235</v>
      </c>
      <c r="W702" s="219">
        <v>121989</v>
      </c>
      <c r="X702" s="220">
        <v>2.78</v>
      </c>
      <c r="Y702" s="221">
        <f t="shared" si="770"/>
        <v>1.0278</v>
      </c>
      <c r="Z702" s="199">
        <v>19</v>
      </c>
      <c r="AA702" s="221">
        <f t="shared" si="771"/>
        <v>1.6836958972696243</v>
      </c>
      <c r="AB702" s="199">
        <f t="shared" si="852"/>
        <v>205392.3788120242</v>
      </c>
      <c r="AC702">
        <v>12.7</v>
      </c>
      <c r="AD702" s="199">
        <f t="shared" si="853"/>
        <v>26084.832109127074</v>
      </c>
      <c r="AE702" s="199">
        <f t="shared" si="772"/>
        <v>24780.590503670719</v>
      </c>
      <c r="AF702" s="199">
        <f t="shared" si="823"/>
        <v>0</v>
      </c>
      <c r="AG702" s="614">
        <f t="shared" si="807"/>
        <v>1.1457457160590153E-3</v>
      </c>
      <c r="AH702" s="199">
        <f t="shared" si="867"/>
        <v>10269.618940601211</v>
      </c>
      <c r="AI702" s="252">
        <f t="shared" si="790"/>
        <v>7.9557181933584029E-4</v>
      </c>
      <c r="AJ702" s="199">
        <f t="shared" si="810"/>
        <v>36354.451049728283</v>
      </c>
      <c r="AK702" s="199">
        <f t="shared" si="829"/>
        <v>8215.6951524809683</v>
      </c>
      <c r="AL702" s="199">
        <f t="shared" si="830"/>
        <v>8215.6951524809683</v>
      </c>
      <c r="AM702" s="199">
        <f t="shared" si="791"/>
        <v>16431.390304961937</v>
      </c>
      <c r="AN702" s="645">
        <f t="shared" si="792"/>
        <v>7.9557181933584029E-4</v>
      </c>
      <c r="AO702" s="199">
        <v>11</v>
      </c>
      <c r="AP702" s="250">
        <f t="shared" si="793"/>
        <v>1.2498579706851495E-3</v>
      </c>
      <c r="AQ702" s="199">
        <v>11</v>
      </c>
      <c r="AU702" s="199">
        <v>0</v>
      </c>
      <c r="AW702" s="250">
        <f t="shared" si="794"/>
        <v>0</v>
      </c>
      <c r="AX702" s="199">
        <v>1</v>
      </c>
      <c r="AY702" s="199">
        <f t="shared" si="856"/>
        <v>15117.980146343016</v>
      </c>
      <c r="AZ702" s="199">
        <f t="shared" si="812"/>
        <v>15117.980146343016</v>
      </c>
      <c r="BA702" s="252">
        <f t="shared" si="795"/>
        <v>1.188371344785907E-3</v>
      </c>
      <c r="BB702" s="284">
        <v>0</v>
      </c>
      <c r="BC702" s="199">
        <f t="shared" si="857"/>
        <v>0</v>
      </c>
      <c r="BD702" s="270">
        <f t="shared" si="840"/>
        <v>0</v>
      </c>
      <c r="BE702" s="199">
        <f t="shared" si="858"/>
        <v>0</v>
      </c>
      <c r="BF702" s="251">
        <f t="shared" si="842"/>
        <v>0</v>
      </c>
      <c r="BG702" s="204">
        <f t="shared" si="859"/>
        <v>0</v>
      </c>
      <c r="BH702" s="636">
        <v>1</v>
      </c>
      <c r="BI702" s="199">
        <f t="shared" si="796"/>
        <v>62850.067916479398</v>
      </c>
      <c r="BJ702" s="199">
        <f t="shared" si="797"/>
        <v>125700.1358329588</v>
      </c>
      <c r="BK702" s="199">
        <f t="shared" si="805"/>
        <v>188550.20374943819</v>
      </c>
      <c r="BL702" s="251">
        <f t="shared" si="798"/>
        <v>7.9557181933584008E-4</v>
      </c>
      <c r="BM702" s="199">
        <f t="shared" si="860"/>
        <v>17426.245491753682</v>
      </c>
      <c r="BN702" s="251">
        <f t="shared" si="799"/>
        <v>7.5251947501056831E-4</v>
      </c>
      <c r="BT702" s="199">
        <f>'Detailed Budget'!$AD$12</f>
        <v>194045122715</v>
      </c>
      <c r="BU702" s="199">
        <f>'Detailed Budget'!$AD$24</f>
        <v>194045122715</v>
      </c>
      <c r="BV702" s="596">
        <f t="shared" si="861"/>
        <v>0</v>
      </c>
      <c r="BW702" s="278"/>
      <c r="BX702" s="275">
        <f t="shared" si="768"/>
        <v>0</v>
      </c>
      <c r="BY702" s="275">
        <f t="shared" si="769"/>
        <v>0</v>
      </c>
      <c r="CA702" s="199">
        <f>'Detailed Budget'!$AD$96</f>
        <v>71050111380.677719</v>
      </c>
      <c r="CB702" s="275">
        <f t="shared" si="800"/>
        <v>84433916.408644453</v>
      </c>
      <c r="CE702" s="199">
        <f>'Detailed Budget'!$AD$175</f>
        <v>4330586076.5988197</v>
      </c>
      <c r="CF702" s="275">
        <f t="shared" si="862"/>
        <v>0</v>
      </c>
      <c r="CG702" s="199">
        <f>'Detailed Budget'!$AD$176</f>
        <v>20662817754.37001</v>
      </c>
      <c r="CH702" s="275">
        <f t="shared" si="863"/>
        <v>0</v>
      </c>
      <c r="CI702" s="275">
        <f t="shared" si="833"/>
        <v>0</v>
      </c>
      <c r="CJ702" s="275">
        <f>'Detailed Budget'!$AD$178</f>
        <v>46025131033.061455</v>
      </c>
      <c r="CK702" s="275">
        <f t="shared" si="864"/>
        <v>0</v>
      </c>
      <c r="CL702" s="275">
        <f t="shared" si="834"/>
        <v>0</v>
      </c>
      <c r="CM702" s="278">
        <f>'Detailed Budget'!$AD$189</f>
        <v>77498869683.252869</v>
      </c>
      <c r="CN702" s="275">
        <f t="shared" si="801"/>
        <v>61655916.750376664</v>
      </c>
      <c r="CO702" s="140">
        <f>'Detailed Budget'!$AD$191</f>
        <v>2684962805.4134097</v>
      </c>
      <c r="CP702" s="616">
        <f t="shared" si="802"/>
        <v>2136080.7439518082</v>
      </c>
      <c r="CQ702" s="616">
        <f t="shared" si="803"/>
        <v>63791997.494328469</v>
      </c>
      <c r="CR702" s="199">
        <f>'Detailed Budget'!$AD$195</f>
        <v>18734176418</v>
      </c>
      <c r="CS702" s="275">
        <f t="shared" si="865"/>
        <v>14097832.60282873</v>
      </c>
      <c r="CW702" s="278"/>
      <c r="DH702" s="140">
        <f>'Detailed Budget'!$AD$163</f>
        <v>4928560000</v>
      </c>
      <c r="DI702" s="616">
        <f t="shared" si="866"/>
        <v>6160000</v>
      </c>
    </row>
    <row r="703" spans="1:113" outlineLevel="1">
      <c r="A703" s="214" t="s">
        <v>1467</v>
      </c>
      <c r="B703" s="215" t="s">
        <v>1468</v>
      </c>
      <c r="C703" s="216" t="s">
        <v>234</v>
      </c>
      <c r="D703" s="217"/>
      <c r="E703" s="216"/>
      <c r="F703" s="216"/>
      <c r="G703" s="216" t="s">
        <v>234</v>
      </c>
      <c r="H703" s="216" t="s">
        <v>234</v>
      </c>
      <c r="I703" s="217" t="s">
        <v>234</v>
      </c>
      <c r="J703" s="217"/>
      <c r="K703" s="216"/>
      <c r="L703" s="216"/>
      <c r="M703" s="217" t="s">
        <v>234</v>
      </c>
      <c r="N703" s="216"/>
      <c r="O703" s="217"/>
      <c r="P703" s="216"/>
      <c r="Q703" s="217"/>
      <c r="R703" s="217" t="s">
        <v>234</v>
      </c>
      <c r="S703" s="217"/>
      <c r="T703" s="217"/>
      <c r="U703" s="218">
        <f t="shared" si="855"/>
        <v>6</v>
      </c>
      <c r="V703" s="867" t="s">
        <v>235</v>
      </c>
      <c r="W703" s="219">
        <v>166309</v>
      </c>
      <c r="X703" s="220">
        <v>2.78</v>
      </c>
      <c r="Y703" s="221">
        <f t="shared" si="770"/>
        <v>1.0278</v>
      </c>
      <c r="Z703" s="199">
        <v>19</v>
      </c>
      <c r="AA703" s="221">
        <f t="shared" si="771"/>
        <v>1.6836958972696243</v>
      </c>
      <c r="AB703" s="199">
        <f t="shared" si="852"/>
        <v>280013.78097901394</v>
      </c>
      <c r="AC703">
        <v>12.7</v>
      </c>
      <c r="AD703" s="199">
        <f t="shared" si="853"/>
        <v>35561.750184334771</v>
      </c>
      <c r="AE703" s="199">
        <f t="shared" si="772"/>
        <v>33783.66267511803</v>
      </c>
      <c r="AF703" s="199">
        <f t="shared" si="823"/>
        <v>0</v>
      </c>
      <c r="AG703" s="614">
        <f t="shared" si="807"/>
        <v>1.5620082490393295E-3</v>
      </c>
      <c r="AH703" s="199">
        <f t="shared" si="867"/>
        <v>14000.689048950699</v>
      </c>
      <c r="AI703" s="252">
        <f t="shared" si="790"/>
        <v>1.0846121675062855E-3</v>
      </c>
      <c r="AJ703" s="199">
        <f t="shared" si="810"/>
        <v>49562.43923328547</v>
      </c>
      <c r="AK703" s="199">
        <f t="shared" si="829"/>
        <v>11200.551239160557</v>
      </c>
      <c r="AL703" s="199">
        <f t="shared" si="830"/>
        <v>11200.551239160557</v>
      </c>
      <c r="AM703" s="199">
        <f t="shared" si="791"/>
        <v>22401.102478321114</v>
      </c>
      <c r="AN703" s="645">
        <f t="shared" si="792"/>
        <v>1.0846121675062853E-3</v>
      </c>
      <c r="AO703" s="199">
        <v>10</v>
      </c>
      <c r="AP703" s="250">
        <f t="shared" si="793"/>
        <v>1.1362345188046814E-3</v>
      </c>
      <c r="AQ703" s="199">
        <v>10</v>
      </c>
      <c r="AU703" s="199">
        <v>0</v>
      </c>
      <c r="AW703" s="250">
        <f t="shared" si="794"/>
        <v>0</v>
      </c>
      <c r="AX703" s="199">
        <v>1</v>
      </c>
      <c r="AY703" s="199">
        <f t="shared" si="856"/>
        <v>20610.515375633546</v>
      </c>
      <c r="AZ703" s="199">
        <f t="shared" si="812"/>
        <v>20610.515375633546</v>
      </c>
      <c r="BA703" s="252">
        <f t="shared" si="795"/>
        <v>1.6201202565805065E-3</v>
      </c>
      <c r="BB703" s="284">
        <v>0</v>
      </c>
      <c r="BC703" s="199">
        <f t="shared" si="857"/>
        <v>0</v>
      </c>
      <c r="BD703" s="270">
        <f t="shared" si="840"/>
        <v>0</v>
      </c>
      <c r="BE703" s="199">
        <f t="shared" si="858"/>
        <v>0</v>
      </c>
      <c r="BF703" s="251">
        <f t="shared" si="842"/>
        <v>0</v>
      </c>
      <c r="BG703" s="204">
        <f t="shared" si="859"/>
        <v>0</v>
      </c>
      <c r="BH703" s="636">
        <v>1</v>
      </c>
      <c r="BI703" s="199">
        <f t="shared" si="796"/>
        <v>85684.216979578254</v>
      </c>
      <c r="BJ703" s="199">
        <f t="shared" si="797"/>
        <v>171368.43395915651</v>
      </c>
      <c r="BK703" s="199">
        <f t="shared" si="805"/>
        <v>257052.65093873476</v>
      </c>
      <c r="BL703" s="251">
        <f t="shared" si="798"/>
        <v>1.0846121675062853E-3</v>
      </c>
      <c r="BM703" s="199">
        <f t="shared" si="860"/>
        <v>23757.39994170018</v>
      </c>
      <c r="BN703" s="251">
        <f t="shared" si="799"/>
        <v>1.0259184137056015E-3</v>
      </c>
      <c r="BT703" s="199">
        <f>'Detailed Budget'!$AD$12</f>
        <v>194045122715</v>
      </c>
      <c r="BU703" s="199">
        <f>'Detailed Budget'!$AD$24</f>
        <v>194045122715</v>
      </c>
      <c r="BV703" s="596">
        <f t="shared" si="861"/>
        <v>0</v>
      </c>
      <c r="BW703" s="278"/>
      <c r="BX703" s="275">
        <f t="shared" si="768"/>
        <v>0</v>
      </c>
      <c r="BY703" s="275">
        <f t="shared" si="769"/>
        <v>0</v>
      </c>
      <c r="CA703" s="199">
        <f>'Detailed Budget'!$AD$96</f>
        <v>71050111380.677719</v>
      </c>
      <c r="CB703" s="275">
        <f t="shared" si="800"/>
        <v>115109724.68013714</v>
      </c>
      <c r="CE703" s="199">
        <f>'Detailed Budget'!$AD$175</f>
        <v>4330586076.5988197</v>
      </c>
      <c r="CF703" s="275">
        <f t="shared" si="862"/>
        <v>0</v>
      </c>
      <c r="CG703" s="199">
        <f>'Detailed Budget'!$AD$176</f>
        <v>20662817754.37001</v>
      </c>
      <c r="CH703" s="275">
        <f t="shared" si="863"/>
        <v>0</v>
      </c>
      <c r="CI703" s="275">
        <f t="shared" si="833"/>
        <v>0</v>
      </c>
      <c r="CJ703" s="275">
        <f>'Detailed Budget'!$AD$178</f>
        <v>46025131033.061455</v>
      </c>
      <c r="CK703" s="275">
        <f t="shared" si="864"/>
        <v>0</v>
      </c>
      <c r="CL703" s="275">
        <f t="shared" si="834"/>
        <v>0</v>
      </c>
      <c r="CM703" s="278">
        <f>'Detailed Budget'!$AD$189</f>
        <v>77498869683.252869</v>
      </c>
      <c r="CN703" s="275">
        <f t="shared" si="801"/>
        <v>84056217.026440039</v>
      </c>
      <c r="CO703" s="140">
        <f>'Detailed Budget'!$AD$191</f>
        <v>2684962805.4134097</v>
      </c>
      <c r="CP703" s="616">
        <f t="shared" si="802"/>
        <v>2912143.328053195</v>
      </c>
      <c r="CQ703" s="616">
        <f t="shared" si="803"/>
        <v>86968360.354493231</v>
      </c>
      <c r="CR703" s="199">
        <f>'Detailed Budget'!$AD$195</f>
        <v>18734176418</v>
      </c>
      <c r="CS703" s="275">
        <f t="shared" si="865"/>
        <v>19219736.552835446</v>
      </c>
      <c r="CW703" s="278"/>
      <c r="DH703" s="140">
        <f>'Detailed Budget'!$AD$163</f>
        <v>4928560000</v>
      </c>
      <c r="DI703" s="616">
        <f t="shared" si="866"/>
        <v>5600000</v>
      </c>
    </row>
    <row r="704" spans="1:113" outlineLevel="1">
      <c r="A704" s="214" t="s">
        <v>1469</v>
      </c>
      <c r="B704" s="215" t="s">
        <v>1470</v>
      </c>
      <c r="C704" s="216" t="s">
        <v>234</v>
      </c>
      <c r="D704" s="217"/>
      <c r="E704" s="216"/>
      <c r="F704" s="216"/>
      <c r="G704" s="216" t="s">
        <v>234</v>
      </c>
      <c r="H704" s="216" t="s">
        <v>234</v>
      </c>
      <c r="I704" s="217" t="s">
        <v>234</v>
      </c>
      <c r="J704" s="217"/>
      <c r="K704" s="216"/>
      <c r="L704" s="216"/>
      <c r="M704" s="217"/>
      <c r="N704" s="216" t="s">
        <v>234</v>
      </c>
      <c r="O704" s="217"/>
      <c r="P704" s="216"/>
      <c r="Q704" s="217"/>
      <c r="R704" s="217" t="s">
        <v>234</v>
      </c>
      <c r="S704" s="217"/>
      <c r="T704" s="217"/>
      <c r="U704" s="218">
        <f t="shared" si="855"/>
        <v>6</v>
      </c>
      <c r="V704" s="867" t="s">
        <v>235</v>
      </c>
      <c r="W704" s="219">
        <v>127718</v>
      </c>
      <c r="X704" s="220">
        <v>2.78</v>
      </c>
      <c r="Y704" s="221">
        <f t="shared" si="770"/>
        <v>1.0278</v>
      </c>
      <c r="Z704" s="199">
        <v>19</v>
      </c>
      <c r="AA704" s="221">
        <f t="shared" si="771"/>
        <v>1.6836958972696243</v>
      </c>
      <c r="AB704" s="199">
        <f t="shared" si="852"/>
        <v>215038.27260748189</v>
      </c>
      <c r="AC704">
        <v>12.7</v>
      </c>
      <c r="AD704" s="199">
        <f t="shared" si="853"/>
        <v>27309.860621150201</v>
      </c>
      <c r="AE704" s="199">
        <f t="shared" si="772"/>
        <v>25944.36759009269</v>
      </c>
      <c r="AF704" s="199">
        <f t="shared" si="823"/>
        <v>0</v>
      </c>
      <c r="AG704" s="614">
        <f t="shared" si="807"/>
        <v>1.1995536594580276E-3</v>
      </c>
      <c r="AH704" s="199">
        <f t="shared" si="867"/>
        <v>10751.913630374096</v>
      </c>
      <c r="AI704" s="252">
        <f t="shared" si="790"/>
        <v>8.3293445820471399E-4</v>
      </c>
      <c r="AJ704" s="199">
        <f t="shared" si="810"/>
        <v>38061.774251524301</v>
      </c>
      <c r="AK704" s="199">
        <f t="shared" si="829"/>
        <v>8601.5309042992758</v>
      </c>
      <c r="AL704" s="199">
        <f t="shared" si="830"/>
        <v>8601.5309042992758</v>
      </c>
      <c r="AM704" s="199">
        <f t="shared" si="791"/>
        <v>17203.061808598552</v>
      </c>
      <c r="AN704" s="645">
        <f t="shared" si="792"/>
        <v>8.3293445820471399E-4</v>
      </c>
      <c r="AO704" s="199">
        <v>10</v>
      </c>
      <c r="AP704" s="250">
        <f t="shared" si="793"/>
        <v>1.1362345188046814E-3</v>
      </c>
      <c r="AQ704" s="199">
        <v>10</v>
      </c>
      <c r="AU704" s="199">
        <v>0</v>
      </c>
      <c r="AW704" s="250">
        <f t="shared" si="794"/>
        <v>0</v>
      </c>
      <c r="AX704" s="199">
        <v>1</v>
      </c>
      <c r="AY704" s="199">
        <f t="shared" si="856"/>
        <v>15827.969639316971</v>
      </c>
      <c r="AZ704" s="199">
        <f t="shared" si="812"/>
        <v>15827.969639316971</v>
      </c>
      <c r="BA704" s="252">
        <f t="shared" si="795"/>
        <v>1.2441811262766851E-3</v>
      </c>
      <c r="BB704" s="284">
        <v>0</v>
      </c>
      <c r="BC704" s="199">
        <f t="shared" si="857"/>
        <v>0</v>
      </c>
      <c r="BD704" s="270">
        <f t="shared" si="840"/>
        <v>0</v>
      </c>
      <c r="BE704" s="199">
        <f t="shared" si="858"/>
        <v>0</v>
      </c>
      <c r="BF704" s="251">
        <f t="shared" si="842"/>
        <v>0</v>
      </c>
      <c r="BG704" s="204">
        <f t="shared" si="859"/>
        <v>0</v>
      </c>
      <c r="BH704" s="636">
        <v>1</v>
      </c>
      <c r="BI704" s="199">
        <f t="shared" si="796"/>
        <v>65801.711417889455</v>
      </c>
      <c r="BJ704" s="199">
        <f t="shared" si="797"/>
        <v>131603.42283577891</v>
      </c>
      <c r="BK704" s="199">
        <f t="shared" si="805"/>
        <v>197405.13425366837</v>
      </c>
      <c r="BL704" s="251">
        <f t="shared" si="798"/>
        <v>8.3293445820471388E-4</v>
      </c>
      <c r="BM704" s="199">
        <f t="shared" si="860"/>
        <v>18244.638629022265</v>
      </c>
      <c r="BN704" s="251">
        <f t="shared" si="799"/>
        <v>7.8786023583601622E-4</v>
      </c>
      <c r="BT704" s="199">
        <f>'Detailed Budget'!$AD$12</f>
        <v>194045122715</v>
      </c>
      <c r="BU704" s="199">
        <f>'Detailed Budget'!$AD$24</f>
        <v>194045122715</v>
      </c>
      <c r="BV704" s="596">
        <f t="shared" si="861"/>
        <v>0</v>
      </c>
      <c r="BW704" s="278"/>
      <c r="BX704" s="275">
        <f t="shared" ref="BX704:BX772" si="868">BT704*BV704</f>
        <v>0</v>
      </c>
      <c r="BY704" s="275">
        <f t="shared" ref="BY704:BY772" si="869">BU704*BV704</f>
        <v>0</v>
      </c>
      <c r="CA704" s="199">
        <f>'Detailed Budget'!$AD$96</f>
        <v>71050111380.677719</v>
      </c>
      <c r="CB704" s="275">
        <f t="shared" si="800"/>
        <v>88399207.599695519</v>
      </c>
      <c r="CE704" s="199">
        <f>'Detailed Budget'!$AD$175</f>
        <v>4330586076.5988197</v>
      </c>
      <c r="CF704" s="275">
        <f t="shared" si="862"/>
        <v>0</v>
      </c>
      <c r="CG704" s="199">
        <f>'Detailed Budget'!$AD$176</f>
        <v>20662817754.37001</v>
      </c>
      <c r="CH704" s="275">
        <f t="shared" si="863"/>
        <v>0</v>
      </c>
      <c r="CI704" s="275">
        <f t="shared" si="833"/>
        <v>0</v>
      </c>
      <c r="CJ704" s="275">
        <f>'Detailed Budget'!$AD$178</f>
        <v>46025131033.061455</v>
      </c>
      <c r="CK704" s="275">
        <f t="shared" si="864"/>
        <v>0</v>
      </c>
      <c r="CL704" s="275">
        <f t="shared" si="834"/>
        <v>0</v>
      </c>
      <c r="CM704" s="278">
        <f>'Detailed Budget'!$AD$189</f>
        <v>77498869683.252869</v>
      </c>
      <c r="CN704" s="275">
        <f t="shared" si="801"/>
        <v>64551479.031097956</v>
      </c>
      <c r="CO704" s="140">
        <f>'Detailed Budget'!$AD$191</f>
        <v>2684962805.4134097</v>
      </c>
      <c r="CP704" s="616">
        <f t="shared" si="802"/>
        <v>2236398.0396268275</v>
      </c>
      <c r="CQ704" s="616">
        <f t="shared" si="803"/>
        <v>66787877.070724785</v>
      </c>
      <c r="CR704" s="199">
        <f>'Detailed Budget'!$AD$195</f>
        <v>18734176418</v>
      </c>
      <c r="CS704" s="275">
        <f t="shared" si="865"/>
        <v>14759912.650879014</v>
      </c>
      <c r="CW704" s="278"/>
      <c r="DH704" s="140">
        <f>'Detailed Budget'!$AD$163</f>
        <v>4928560000</v>
      </c>
      <c r="DI704" s="616">
        <f t="shared" si="866"/>
        <v>5600000</v>
      </c>
    </row>
    <row r="705" spans="1:113" outlineLevel="1">
      <c r="A705" s="214" t="s">
        <v>1471</v>
      </c>
      <c r="B705" s="215" t="s">
        <v>1472</v>
      </c>
      <c r="C705" s="216" t="s">
        <v>234</v>
      </c>
      <c r="D705" s="217"/>
      <c r="E705" s="216"/>
      <c r="F705" s="216"/>
      <c r="G705" s="216" t="s">
        <v>234</v>
      </c>
      <c r="H705" s="216" t="s">
        <v>234</v>
      </c>
      <c r="I705" s="217" t="s">
        <v>234</v>
      </c>
      <c r="J705" s="217"/>
      <c r="K705" s="216"/>
      <c r="L705" s="216"/>
      <c r="M705" s="217" t="s">
        <v>234</v>
      </c>
      <c r="N705" s="216"/>
      <c r="O705" s="217"/>
      <c r="P705" s="216"/>
      <c r="Q705" s="217"/>
      <c r="R705" s="217" t="s">
        <v>234</v>
      </c>
      <c r="S705" s="217"/>
      <c r="T705" s="217"/>
      <c r="U705" s="218">
        <f t="shared" si="855"/>
        <v>6</v>
      </c>
      <c r="V705" s="867" t="s">
        <v>235</v>
      </c>
      <c r="W705" s="219">
        <v>94228</v>
      </c>
      <c r="X705" s="220">
        <v>2.78</v>
      </c>
      <c r="Y705" s="221">
        <f t="shared" si="770"/>
        <v>1.0278</v>
      </c>
      <c r="Z705" s="199">
        <v>19</v>
      </c>
      <c r="AA705" s="221">
        <f t="shared" si="771"/>
        <v>1.6836958972696243</v>
      </c>
      <c r="AB705" s="199">
        <f t="shared" si="852"/>
        <v>158651.29700792217</v>
      </c>
      <c r="AC705">
        <v>12.7</v>
      </c>
      <c r="AD705" s="199">
        <f t="shared" si="853"/>
        <v>20148.714720006115</v>
      </c>
      <c r="AE705" s="199">
        <f t="shared" si="772"/>
        <v>19141.27898400581</v>
      </c>
      <c r="AF705" s="199">
        <f t="shared" si="823"/>
        <v>0</v>
      </c>
      <c r="AG705" s="614">
        <f t="shared" si="807"/>
        <v>8.8500870843116102E-4</v>
      </c>
      <c r="AH705" s="199">
        <f t="shared" si="867"/>
        <v>7932.5648503961093</v>
      </c>
      <c r="AI705" s="252">
        <f t="shared" si="790"/>
        <v>6.1452377995046734E-4</v>
      </c>
      <c r="AJ705" s="199">
        <f t="shared" si="810"/>
        <v>28081.279570402225</v>
      </c>
      <c r="AK705" s="199">
        <f t="shared" si="829"/>
        <v>6346.051880316887</v>
      </c>
      <c r="AL705" s="199">
        <f t="shared" si="830"/>
        <v>6346.051880316887</v>
      </c>
      <c r="AM705" s="199">
        <f t="shared" si="791"/>
        <v>12692.103760633774</v>
      </c>
      <c r="AN705" s="645">
        <f t="shared" si="792"/>
        <v>6.1452377995046734E-4</v>
      </c>
      <c r="AO705" s="199">
        <v>10</v>
      </c>
      <c r="AP705" s="250">
        <f t="shared" si="793"/>
        <v>1.1362345188046814E-3</v>
      </c>
      <c r="AQ705" s="199">
        <v>10</v>
      </c>
      <c r="AU705" s="199">
        <v>0</v>
      </c>
      <c r="AW705" s="250">
        <f t="shared" si="794"/>
        <v>0</v>
      </c>
      <c r="AX705" s="199">
        <v>1</v>
      </c>
      <c r="AY705" s="199">
        <f t="shared" si="856"/>
        <v>11677.585956353521</v>
      </c>
      <c r="AZ705" s="199">
        <f t="shared" si="812"/>
        <v>11677.585956353521</v>
      </c>
      <c r="BA705" s="252">
        <f t="shared" si="795"/>
        <v>9.1793403566294051E-4</v>
      </c>
      <c r="BB705" s="284">
        <v>0</v>
      </c>
      <c r="BC705" s="199">
        <f t="shared" si="857"/>
        <v>0</v>
      </c>
      <c r="BD705" s="270">
        <f t="shared" si="840"/>
        <v>0</v>
      </c>
      <c r="BE705" s="199">
        <f t="shared" si="858"/>
        <v>0</v>
      </c>
      <c r="BF705" s="251">
        <f t="shared" si="842"/>
        <v>0</v>
      </c>
      <c r="BG705" s="204">
        <f t="shared" si="859"/>
        <v>0</v>
      </c>
      <c r="BH705" s="636">
        <v>1</v>
      </c>
      <c r="BI705" s="199">
        <f t="shared" si="796"/>
        <v>48547.296884424184</v>
      </c>
      <c r="BJ705" s="199">
        <f t="shared" si="797"/>
        <v>97094.593768848368</v>
      </c>
      <c r="BK705" s="199">
        <f t="shared" si="805"/>
        <v>145641.89065327257</v>
      </c>
      <c r="BL705" s="251">
        <f t="shared" si="798"/>
        <v>6.1452377995046734E-4</v>
      </c>
      <c r="BM705" s="199">
        <f t="shared" si="860"/>
        <v>13460.560052110979</v>
      </c>
      <c r="BN705" s="251">
        <f t="shared" si="799"/>
        <v>5.8126884466055007E-4</v>
      </c>
      <c r="BT705" s="199">
        <f>'Detailed Budget'!$AD$12</f>
        <v>194045122715</v>
      </c>
      <c r="BU705" s="199">
        <f>'Detailed Budget'!$AD$24</f>
        <v>194045122715</v>
      </c>
      <c r="BV705" s="596">
        <f t="shared" si="861"/>
        <v>0</v>
      </c>
      <c r="BW705" s="278"/>
      <c r="BX705" s="275">
        <f t="shared" si="868"/>
        <v>0</v>
      </c>
      <c r="BY705" s="275">
        <f t="shared" si="869"/>
        <v>0</v>
      </c>
      <c r="CA705" s="199">
        <f>'Detailed Budget'!$AD$96</f>
        <v>71050111380.677719</v>
      </c>
      <c r="CB705" s="275">
        <f t="shared" si="800"/>
        <v>65219315.473966919</v>
      </c>
      <c r="CE705" s="199">
        <f>'Detailed Budget'!$AD$175</f>
        <v>4330586076.5988197</v>
      </c>
      <c r="CF705" s="275">
        <f t="shared" si="862"/>
        <v>0</v>
      </c>
      <c r="CG705" s="199">
        <f>'Detailed Budget'!$AD$176</f>
        <v>20662817754.37001</v>
      </c>
      <c r="CH705" s="275">
        <f t="shared" si="863"/>
        <v>0</v>
      </c>
      <c r="CI705" s="275">
        <f t="shared" si="833"/>
        <v>0</v>
      </c>
      <c r="CJ705" s="275">
        <f>'Detailed Budget'!$AD$178</f>
        <v>46025131033.061455</v>
      </c>
      <c r="CK705" s="275">
        <f t="shared" si="864"/>
        <v>0</v>
      </c>
      <c r="CL705" s="275">
        <f t="shared" si="834"/>
        <v>0</v>
      </c>
      <c r="CM705" s="278">
        <f>'Detailed Budget'!$AD$189</f>
        <v>77498869683.252869</v>
      </c>
      <c r="CN705" s="275">
        <f t="shared" si="801"/>
        <v>47624898.339641228</v>
      </c>
      <c r="CO705" s="140">
        <f>'Detailed Budget'!$AD$191</f>
        <v>2684962805.4134097</v>
      </c>
      <c r="CP705" s="616">
        <f t="shared" si="802"/>
        <v>1649973.4922090597</v>
      </c>
      <c r="CQ705" s="616">
        <f t="shared" si="803"/>
        <v>49274871.83185029</v>
      </c>
      <c r="CR705" s="199">
        <f>'Detailed Budget'!$AD$195</f>
        <v>18734176418</v>
      </c>
      <c r="CS705" s="275">
        <f t="shared" si="865"/>
        <v>10889593.082157783</v>
      </c>
      <c r="CW705" s="278"/>
      <c r="DH705" s="140">
        <f>'Detailed Budget'!$AD$163</f>
        <v>4928560000</v>
      </c>
      <c r="DI705" s="616">
        <f t="shared" si="866"/>
        <v>5600000</v>
      </c>
    </row>
    <row r="706" spans="1:113" outlineLevel="1">
      <c r="A706" s="214" t="s">
        <v>1473</v>
      </c>
      <c r="B706" s="215" t="s">
        <v>1474</v>
      </c>
      <c r="C706" s="216" t="s">
        <v>234</v>
      </c>
      <c r="D706" s="217"/>
      <c r="E706" s="216"/>
      <c r="F706" s="216"/>
      <c r="G706" s="216" t="s">
        <v>234</v>
      </c>
      <c r="H706" s="216" t="s">
        <v>234</v>
      </c>
      <c r="I706" s="217" t="s">
        <v>234</v>
      </c>
      <c r="J706" s="217"/>
      <c r="K706" s="216"/>
      <c r="L706" s="216"/>
      <c r="M706" s="217"/>
      <c r="N706" s="216" t="s">
        <v>234</v>
      </c>
      <c r="O706" s="217"/>
      <c r="P706" s="216"/>
      <c r="Q706" s="217"/>
      <c r="R706" s="217" t="s">
        <v>234</v>
      </c>
      <c r="S706" s="217"/>
      <c r="T706" s="217"/>
      <c r="U706" s="218">
        <f t="shared" si="855"/>
        <v>6</v>
      </c>
      <c r="V706" s="867" t="s">
        <v>235</v>
      </c>
      <c r="W706" s="219">
        <v>147335</v>
      </c>
      <c r="X706" s="220">
        <v>2.78</v>
      </c>
      <c r="Y706" s="221">
        <f t="shared" ref="Y706:Y774" si="870">1+X706/100</f>
        <v>1.0278</v>
      </c>
      <c r="Z706" s="199">
        <v>19</v>
      </c>
      <c r="AA706" s="221">
        <f t="shared" ref="AA706:AA774" si="871">POWER(Y706,Z706)</f>
        <v>1.6836958972696243</v>
      </c>
      <c r="AB706" s="199">
        <f t="shared" si="852"/>
        <v>248067.33502422011</v>
      </c>
      <c r="AC706">
        <v>12.7</v>
      </c>
      <c r="AD706" s="199">
        <f t="shared" si="853"/>
        <v>31504.55154807595</v>
      </c>
      <c r="AE706" s="199">
        <f t="shared" ref="AE706:AE774" si="872">AD706*0.95</f>
        <v>29929.323970672151</v>
      </c>
      <c r="AF706" s="199">
        <f t="shared" si="823"/>
        <v>0</v>
      </c>
      <c r="AG706" s="614">
        <f t="shared" si="807"/>
        <v>1.3838005482097156E-3</v>
      </c>
      <c r="AH706" s="199">
        <f t="shared" si="867"/>
        <v>12403.366751211006</v>
      </c>
      <c r="AI706" s="252">
        <f t="shared" si="790"/>
        <v>9.608700292800665E-4</v>
      </c>
      <c r="AJ706" s="199">
        <f t="shared" si="810"/>
        <v>43907.918299286954</v>
      </c>
      <c r="AK706" s="199">
        <f t="shared" si="829"/>
        <v>9922.6934009688048</v>
      </c>
      <c r="AL706" s="199">
        <f t="shared" si="830"/>
        <v>9922.6934009688048</v>
      </c>
      <c r="AM706" s="199">
        <f t="shared" si="791"/>
        <v>19845.38680193761</v>
      </c>
      <c r="AN706" s="645">
        <f t="shared" si="792"/>
        <v>9.608700292800665E-4</v>
      </c>
      <c r="AO706" s="199">
        <v>10</v>
      </c>
      <c r="AP706" s="250">
        <f t="shared" si="793"/>
        <v>1.1362345188046814E-3</v>
      </c>
      <c r="AQ706" s="199">
        <v>10</v>
      </c>
      <c r="AU706" s="199">
        <v>0</v>
      </c>
      <c r="AW706" s="250">
        <f t="shared" si="794"/>
        <v>0</v>
      </c>
      <c r="AX706" s="199">
        <v>1</v>
      </c>
      <c r="AY706" s="199">
        <f t="shared" si="856"/>
        <v>18259.085695115526</v>
      </c>
      <c r="AZ706" s="199">
        <f t="shared" si="812"/>
        <v>18259.085695115526</v>
      </c>
      <c r="BA706" s="252">
        <f t="shared" si="795"/>
        <v>1.435282624531979E-3</v>
      </c>
      <c r="BB706" s="284">
        <v>0</v>
      </c>
      <c r="BC706" s="199">
        <f t="shared" si="857"/>
        <v>0</v>
      </c>
      <c r="BD706" s="270">
        <f t="shared" si="840"/>
        <v>0</v>
      </c>
      <c r="BE706" s="199">
        <f t="shared" si="858"/>
        <v>0</v>
      </c>
      <c r="BF706" s="251">
        <f t="shared" si="842"/>
        <v>0</v>
      </c>
      <c r="BG706" s="204">
        <f t="shared" si="859"/>
        <v>0</v>
      </c>
      <c r="BH706" s="636">
        <v>1</v>
      </c>
      <c r="BI706" s="199">
        <f t="shared" si="796"/>
        <v>75908.604517411353</v>
      </c>
      <c r="BJ706" s="199">
        <f t="shared" si="797"/>
        <v>151817.20903482271</v>
      </c>
      <c r="BK706" s="199">
        <f t="shared" si="805"/>
        <v>227725.81355223406</v>
      </c>
      <c r="BL706" s="251">
        <f t="shared" si="798"/>
        <v>9.6087002928006639E-4</v>
      </c>
      <c r="BM706" s="199">
        <f t="shared" si="860"/>
        <v>21046.945868295741</v>
      </c>
      <c r="BN706" s="251">
        <f t="shared" si="799"/>
        <v>9.088725774510989E-4</v>
      </c>
      <c r="BT706" s="199">
        <f>'Detailed Budget'!$AD$12</f>
        <v>194045122715</v>
      </c>
      <c r="BU706" s="199">
        <f>'Detailed Budget'!$AD$24</f>
        <v>194045122715</v>
      </c>
      <c r="BV706" s="596">
        <f t="shared" si="861"/>
        <v>0</v>
      </c>
      <c r="BW706" s="278"/>
      <c r="BX706" s="275">
        <f t="shared" si="868"/>
        <v>0</v>
      </c>
      <c r="BY706" s="275">
        <f t="shared" si="869"/>
        <v>0</v>
      </c>
      <c r="CA706" s="199">
        <f>'Detailed Budget'!$AD$96</f>
        <v>71050111380.677719</v>
      </c>
      <c r="CB706" s="275">
        <f t="shared" si="800"/>
        <v>101976990.33574855</v>
      </c>
      <c r="CE706" s="199">
        <f>'Detailed Budget'!$AD$175</f>
        <v>4330586076.5988197</v>
      </c>
      <c r="CF706" s="275">
        <f t="shared" si="862"/>
        <v>0</v>
      </c>
      <c r="CG706" s="199">
        <f>'Detailed Budget'!$AD$176</f>
        <v>20662817754.37001</v>
      </c>
      <c r="CH706" s="275">
        <f t="shared" si="863"/>
        <v>0</v>
      </c>
      <c r="CI706" s="275">
        <f t="shared" si="833"/>
        <v>0</v>
      </c>
      <c r="CJ706" s="275">
        <f>'Detailed Budget'!$AD$178</f>
        <v>46025131033.061455</v>
      </c>
      <c r="CK706" s="275">
        <f t="shared" si="864"/>
        <v>0</v>
      </c>
      <c r="CL706" s="275">
        <f t="shared" si="834"/>
        <v>0</v>
      </c>
      <c r="CM706" s="278">
        <f>'Detailed Budget'!$AD$189</f>
        <v>77498869683.252869</v>
      </c>
      <c r="CN706" s="275">
        <f t="shared" si="801"/>
        <v>74466341.181719229</v>
      </c>
      <c r="CO706" s="140">
        <f>'Detailed Budget'!$AD$191</f>
        <v>2684962805.4134097</v>
      </c>
      <c r="CP706" s="616">
        <f t="shared" si="802"/>
        <v>2579900.2894534725</v>
      </c>
      <c r="CQ706" s="616">
        <f t="shared" si="803"/>
        <v>77046241.471172705</v>
      </c>
      <c r="CR706" s="199">
        <f>'Detailed Budget'!$AD$195</f>
        <v>18734176418</v>
      </c>
      <c r="CS706" s="275">
        <f t="shared" si="865"/>
        <v>17026979.207451254</v>
      </c>
      <c r="CW706" s="278"/>
      <c r="DH706" s="140">
        <f>'Detailed Budget'!$AD$163</f>
        <v>4928560000</v>
      </c>
      <c r="DI706" s="616">
        <f t="shared" si="866"/>
        <v>5600000</v>
      </c>
    </row>
    <row r="707" spans="1:113" outlineLevel="1">
      <c r="A707" s="214" t="s">
        <v>1475</v>
      </c>
      <c r="B707" s="215" t="s">
        <v>1476</v>
      </c>
      <c r="C707" s="216" t="s">
        <v>234</v>
      </c>
      <c r="D707" s="217"/>
      <c r="E707" s="216"/>
      <c r="F707" s="216"/>
      <c r="G707" s="216" t="s">
        <v>234</v>
      </c>
      <c r="H707" s="216" t="s">
        <v>234</v>
      </c>
      <c r="I707" s="217" t="s">
        <v>234</v>
      </c>
      <c r="J707" s="217"/>
      <c r="K707" s="216"/>
      <c r="L707" s="216"/>
      <c r="M707" s="217"/>
      <c r="N707" s="216" t="s">
        <v>234</v>
      </c>
      <c r="O707" s="217"/>
      <c r="P707" s="216"/>
      <c r="Q707" s="217"/>
      <c r="R707" s="217" t="s">
        <v>234</v>
      </c>
      <c r="S707" s="217"/>
      <c r="T707" s="217"/>
      <c r="U707" s="218">
        <f t="shared" si="855"/>
        <v>6</v>
      </c>
      <c r="V707" s="867" t="s">
        <v>235</v>
      </c>
      <c r="W707" s="219">
        <v>198975</v>
      </c>
      <c r="X707" s="220">
        <v>2.78</v>
      </c>
      <c r="Y707" s="221">
        <f t="shared" si="870"/>
        <v>1.0278</v>
      </c>
      <c r="Z707" s="199">
        <v>19</v>
      </c>
      <c r="AA707" s="221">
        <f t="shared" si="871"/>
        <v>1.6836958972696243</v>
      </c>
      <c r="AB707" s="199">
        <f t="shared" si="852"/>
        <v>335013.39115922351</v>
      </c>
      <c r="AC707">
        <v>12.7</v>
      </c>
      <c r="AD707" s="199">
        <f t="shared" si="853"/>
        <v>42546.700677221379</v>
      </c>
      <c r="AE707" s="199">
        <f t="shared" si="872"/>
        <v>40419.36564336031</v>
      </c>
      <c r="AF707" s="199">
        <f t="shared" si="823"/>
        <v>0</v>
      </c>
      <c r="AG707" s="614">
        <f t="shared" si="807"/>
        <v>1.8688140230089807E-3</v>
      </c>
      <c r="AH707" s="199">
        <f t="shared" si="867"/>
        <v>16750.669557961177</v>
      </c>
      <c r="AI707" s="252">
        <f t="shared" si="790"/>
        <v>1.297648990911876E-3</v>
      </c>
      <c r="AJ707" s="199">
        <f t="shared" si="810"/>
        <v>59297.370235182556</v>
      </c>
      <c r="AK707" s="199">
        <f t="shared" si="829"/>
        <v>13400.53564636894</v>
      </c>
      <c r="AL707" s="199">
        <f t="shared" si="830"/>
        <v>13400.53564636894</v>
      </c>
      <c r="AM707" s="199">
        <f t="shared" si="791"/>
        <v>26801.071292737881</v>
      </c>
      <c r="AN707" s="645">
        <f t="shared" si="792"/>
        <v>1.2976489909118758E-3</v>
      </c>
      <c r="AO707" s="199">
        <v>12</v>
      </c>
      <c r="AP707" s="250">
        <f t="shared" si="793"/>
        <v>1.3634814225656176E-3</v>
      </c>
      <c r="AQ707" s="199">
        <v>12</v>
      </c>
      <c r="AU707" s="199">
        <v>0</v>
      </c>
      <c r="AW707" s="250">
        <f t="shared" si="794"/>
        <v>0</v>
      </c>
      <c r="AX707" s="199">
        <v>1</v>
      </c>
      <c r="AY707" s="199">
        <f t="shared" si="856"/>
        <v>24658.781526355669</v>
      </c>
      <c r="AZ707" s="199">
        <f t="shared" si="812"/>
        <v>24658.781526355669</v>
      </c>
      <c r="BA707" s="252">
        <f t="shared" si="795"/>
        <v>1.9383402464876003E-3</v>
      </c>
      <c r="BB707" s="284">
        <v>0</v>
      </c>
      <c r="BC707" s="199">
        <f t="shared" si="857"/>
        <v>0</v>
      </c>
      <c r="BD707" s="270">
        <f t="shared" si="840"/>
        <v>0</v>
      </c>
      <c r="BE707" s="199">
        <f t="shared" si="858"/>
        <v>0</v>
      </c>
      <c r="BF707" s="251">
        <f t="shared" si="842"/>
        <v>0</v>
      </c>
      <c r="BG707" s="204">
        <f t="shared" si="859"/>
        <v>0</v>
      </c>
      <c r="BH707" s="636">
        <v>1</v>
      </c>
      <c r="BI707" s="199">
        <f t="shared" si="796"/>
        <v>102514.09769472238</v>
      </c>
      <c r="BJ707" s="199">
        <f t="shared" si="797"/>
        <v>205028.19538944477</v>
      </c>
      <c r="BK707" s="199">
        <f t="shared" si="805"/>
        <v>307542.29308416718</v>
      </c>
      <c r="BL707" s="251">
        <f t="shared" si="798"/>
        <v>1.2976489909118758E-3</v>
      </c>
      <c r="BM707" s="199">
        <f t="shared" si="860"/>
        <v>28423.769329379611</v>
      </c>
      <c r="BN707" s="251">
        <f t="shared" si="799"/>
        <v>1.2274267560208531E-3</v>
      </c>
      <c r="BT707" s="199">
        <f>'Detailed Budget'!$AD$12</f>
        <v>194045122715</v>
      </c>
      <c r="BU707" s="199">
        <f>'Detailed Budget'!$AD$24</f>
        <v>194045122715</v>
      </c>
      <c r="BV707" s="596">
        <f t="shared" si="861"/>
        <v>0</v>
      </c>
      <c r="BW707" s="278"/>
      <c r="BX707" s="275">
        <f t="shared" si="868"/>
        <v>0</v>
      </c>
      <c r="BY707" s="275">
        <f t="shared" si="869"/>
        <v>0</v>
      </c>
      <c r="CA707" s="199">
        <f>'Detailed Budget'!$AD$96</f>
        <v>71050111380.677719</v>
      </c>
      <c r="CB707" s="275">
        <f t="shared" si="800"/>
        <v>137719290.40659431</v>
      </c>
      <c r="CE707" s="199">
        <f>'Detailed Budget'!$AD$175</f>
        <v>4330586076.5988197</v>
      </c>
      <c r="CF707" s="275">
        <f t="shared" si="862"/>
        <v>0</v>
      </c>
      <c r="CG707" s="199">
        <f>'Detailed Budget'!$AD$176</f>
        <v>20662817754.37001</v>
      </c>
      <c r="CH707" s="275">
        <f t="shared" si="863"/>
        <v>0</v>
      </c>
      <c r="CI707" s="275">
        <f t="shared" si="833"/>
        <v>0</v>
      </c>
      <c r="CJ707" s="275">
        <f>'Detailed Budget'!$AD$178</f>
        <v>46025131033.061455</v>
      </c>
      <c r="CK707" s="275">
        <f t="shared" si="864"/>
        <v>0</v>
      </c>
      <c r="CL707" s="275">
        <f t="shared" si="834"/>
        <v>0</v>
      </c>
      <c r="CM707" s="278">
        <f>'Detailed Budget'!$AD$189</f>
        <v>77498869683.252869</v>
      </c>
      <c r="CN707" s="275">
        <f t="shared" si="801"/>
        <v>100566330.04128404</v>
      </c>
      <c r="CO707" s="140">
        <f>'Detailed Budget'!$AD$191</f>
        <v>2684962805.4134097</v>
      </c>
      <c r="CP707" s="616">
        <f t="shared" si="802"/>
        <v>3484139.2750806301</v>
      </c>
      <c r="CQ707" s="616">
        <f t="shared" si="803"/>
        <v>104050469.31636468</v>
      </c>
      <c r="CR707" s="199">
        <f>'Detailed Budget'!$AD$195</f>
        <v>18734176418</v>
      </c>
      <c r="CS707" s="275">
        <f t="shared" si="865"/>
        <v>22994829.387468107</v>
      </c>
      <c r="CW707" s="278"/>
      <c r="DH707" s="140">
        <f>'Detailed Budget'!$AD$163</f>
        <v>4928560000</v>
      </c>
      <c r="DI707" s="616">
        <f t="shared" si="866"/>
        <v>6720000</v>
      </c>
    </row>
    <row r="708" spans="1:113" outlineLevel="1">
      <c r="A708" s="214" t="s">
        <v>1477</v>
      </c>
      <c r="B708" s="215" t="s">
        <v>1478</v>
      </c>
      <c r="C708" s="216" t="s">
        <v>234</v>
      </c>
      <c r="D708" s="217"/>
      <c r="E708" s="216"/>
      <c r="F708" s="216"/>
      <c r="G708" s="216" t="s">
        <v>234</v>
      </c>
      <c r="H708" s="216" t="s">
        <v>234</v>
      </c>
      <c r="I708" s="217" t="s">
        <v>234</v>
      </c>
      <c r="J708" s="217"/>
      <c r="K708" s="216"/>
      <c r="L708" s="216"/>
      <c r="M708" s="217"/>
      <c r="N708" s="216" t="s">
        <v>234</v>
      </c>
      <c r="O708" s="217"/>
      <c r="P708" s="216"/>
      <c r="Q708" s="217"/>
      <c r="R708" s="217" t="s">
        <v>234</v>
      </c>
      <c r="S708" s="217"/>
      <c r="T708" s="217"/>
      <c r="U708" s="218">
        <f t="shared" si="855"/>
        <v>6</v>
      </c>
      <c r="V708" s="867" t="s">
        <v>1096</v>
      </c>
      <c r="W708" s="219">
        <v>70276</v>
      </c>
      <c r="X708" s="220">
        <v>2.78</v>
      </c>
      <c r="Y708" s="221">
        <f t="shared" si="870"/>
        <v>1.0278</v>
      </c>
      <c r="Z708" s="199">
        <v>19</v>
      </c>
      <c r="AA708" s="221">
        <f t="shared" si="871"/>
        <v>1.6836958972696243</v>
      </c>
      <c r="AB708" s="199">
        <f t="shared" ref="AB708:AB741" si="873">W708*AA708</f>
        <v>118323.41287652012</v>
      </c>
      <c r="AC708">
        <v>12.7</v>
      </c>
      <c r="AD708" s="199">
        <f t="shared" ref="AD708:AD741" si="874">AB708*AC708/100</f>
        <v>15027.073435318052</v>
      </c>
      <c r="AE708" s="199">
        <f t="shared" si="872"/>
        <v>14275.71976355215</v>
      </c>
      <c r="AF708" s="199">
        <f t="shared" si="823"/>
        <v>0</v>
      </c>
      <c r="AG708" s="614">
        <f t="shared" si="807"/>
        <v>6.6004661028259384E-4</v>
      </c>
      <c r="AH708" s="199">
        <f t="shared" si="867"/>
        <v>5916.1706438260062</v>
      </c>
      <c r="AI708" s="252">
        <f t="shared" si="790"/>
        <v>4.583167759031184E-4</v>
      </c>
      <c r="AJ708" s="199">
        <f t="shared" si="810"/>
        <v>20943.24407914406</v>
      </c>
      <c r="AK708" s="199">
        <f t="shared" si="829"/>
        <v>4732.9365150608046</v>
      </c>
      <c r="AL708" s="199">
        <f t="shared" si="830"/>
        <v>4732.9365150608046</v>
      </c>
      <c r="AM708" s="199">
        <f t="shared" si="791"/>
        <v>9465.8730301216092</v>
      </c>
      <c r="AN708" s="645">
        <f t="shared" si="792"/>
        <v>4.5831677590311835E-4</v>
      </c>
      <c r="AO708" s="199">
        <v>10</v>
      </c>
      <c r="AP708" s="250">
        <f t="shared" si="793"/>
        <v>1.1362345188046814E-3</v>
      </c>
      <c r="AQ708" s="199">
        <v>10</v>
      </c>
      <c r="AU708" s="199">
        <v>0</v>
      </c>
      <c r="AW708" s="250">
        <f t="shared" si="794"/>
        <v>0</v>
      </c>
      <c r="AX708" s="199">
        <v>1</v>
      </c>
      <c r="AY708" s="199">
        <f t="shared" si="856"/>
        <v>8709.237494892177</v>
      </c>
      <c r="AZ708" s="199">
        <f t="shared" si="812"/>
        <v>8709.237494892177</v>
      </c>
      <c r="BA708" s="252">
        <f t="shared" si="795"/>
        <v>6.8460258405409011E-4</v>
      </c>
      <c r="BB708" s="284">
        <v>0</v>
      </c>
      <c r="BC708" s="199">
        <f t="shared" si="857"/>
        <v>0</v>
      </c>
      <c r="BD708" s="270">
        <f t="shared" si="840"/>
        <v>0</v>
      </c>
      <c r="BE708" s="199">
        <f t="shared" si="858"/>
        <v>0</v>
      </c>
      <c r="BF708" s="251">
        <f t="shared" si="842"/>
        <v>0</v>
      </c>
      <c r="BG708" s="204">
        <f t="shared" si="859"/>
        <v>0</v>
      </c>
      <c r="BH708" s="636">
        <v>1</v>
      </c>
      <c r="BI708" s="199">
        <f t="shared" si="796"/>
        <v>36206.964340215156</v>
      </c>
      <c r="BJ708" s="199">
        <f t="shared" si="797"/>
        <v>72413.928680430312</v>
      </c>
      <c r="BK708" s="199">
        <f t="shared" si="805"/>
        <v>108620.89302064547</v>
      </c>
      <c r="BL708" s="251">
        <f t="shared" si="798"/>
        <v>4.5831677590311835E-4</v>
      </c>
      <c r="BM708" s="199">
        <f t="shared" si="860"/>
        <v>10038.993910750001</v>
      </c>
      <c r="BN708" s="251">
        <f t="shared" si="799"/>
        <v>4.3351497779179027E-4</v>
      </c>
      <c r="BT708" s="199">
        <f>'Detailed Budget'!$AD$12</f>
        <v>194045122715</v>
      </c>
      <c r="BU708" s="199">
        <f>'Detailed Budget'!$AD$24</f>
        <v>194045122715</v>
      </c>
      <c r="BV708" s="596">
        <f t="shared" si="861"/>
        <v>0</v>
      </c>
      <c r="BW708" s="278"/>
      <c r="BX708" s="275">
        <f t="shared" si="868"/>
        <v>0</v>
      </c>
      <c r="BY708" s="275">
        <f t="shared" si="869"/>
        <v>0</v>
      </c>
      <c r="CA708" s="199">
        <f>'Detailed Budget'!$AD$96</f>
        <v>71050111380.677719</v>
      </c>
      <c r="CB708" s="275">
        <f t="shared" si="800"/>
        <v>48641089.848542884</v>
      </c>
      <c r="CE708" s="199">
        <f>'Detailed Budget'!$AD$175</f>
        <v>4330586076.5988197</v>
      </c>
      <c r="CF708" s="275">
        <f t="shared" si="862"/>
        <v>0</v>
      </c>
      <c r="CG708" s="199">
        <f>'Detailed Budget'!$AD$176</f>
        <v>20662817754.37001</v>
      </c>
      <c r="CH708" s="275">
        <f t="shared" si="863"/>
        <v>0</v>
      </c>
      <c r="CI708" s="275">
        <f t="shared" si="833"/>
        <v>0</v>
      </c>
      <c r="CJ708" s="275">
        <f>'Detailed Budget'!$AD$178</f>
        <v>46025131033.061455</v>
      </c>
      <c r="CK708" s="275">
        <f t="shared" si="864"/>
        <v>0</v>
      </c>
      <c r="CL708" s="275">
        <f t="shared" si="834"/>
        <v>0</v>
      </c>
      <c r="CM708" s="278">
        <f>'Detailed Budget'!$AD$189</f>
        <v>77498869683.252869</v>
      </c>
      <c r="CN708" s="275">
        <f t="shared" si="801"/>
        <v>35519032.08936438</v>
      </c>
      <c r="CO708" s="140">
        <f>'Detailed Budget'!$AD$191</f>
        <v>2684962805.4134097</v>
      </c>
      <c r="CP708" s="616">
        <f t="shared" si="802"/>
        <v>1230563.4963968657</v>
      </c>
      <c r="CQ708" s="616">
        <f t="shared" si="803"/>
        <v>36749595.585761249</v>
      </c>
      <c r="CR708" s="199">
        <f>'Detailed Budget'!$AD$195</f>
        <v>18734176418</v>
      </c>
      <c r="CS708" s="275">
        <f t="shared" si="865"/>
        <v>8121546.073796751</v>
      </c>
      <c r="CW708" s="278"/>
      <c r="DH708" s="140">
        <f>'Detailed Budget'!$AD$163</f>
        <v>4928560000</v>
      </c>
      <c r="DI708" s="616">
        <f t="shared" si="866"/>
        <v>5600000</v>
      </c>
    </row>
    <row r="709" spans="1:113" outlineLevel="1">
      <c r="A709" s="214" t="s">
        <v>1479</v>
      </c>
      <c r="B709" s="215" t="s">
        <v>1480</v>
      </c>
      <c r="C709" s="216" t="s">
        <v>234</v>
      </c>
      <c r="D709" s="217"/>
      <c r="E709" s="216"/>
      <c r="F709" s="216"/>
      <c r="G709" s="216" t="s">
        <v>234</v>
      </c>
      <c r="H709" s="216" t="s">
        <v>234</v>
      </c>
      <c r="I709" s="217" t="s">
        <v>234</v>
      </c>
      <c r="J709" s="217"/>
      <c r="K709" s="216"/>
      <c r="L709" s="216"/>
      <c r="M709" s="217"/>
      <c r="N709" s="216" t="s">
        <v>234</v>
      </c>
      <c r="O709" s="217"/>
      <c r="P709" s="216"/>
      <c r="Q709" s="217" t="s">
        <v>234</v>
      </c>
      <c r="R709" s="217"/>
      <c r="S709" s="217"/>
      <c r="T709" s="217"/>
      <c r="U709" s="218">
        <f t="shared" si="855"/>
        <v>6</v>
      </c>
      <c r="V709" s="867" t="s">
        <v>1096</v>
      </c>
      <c r="W709" s="219">
        <v>372080</v>
      </c>
      <c r="X709" s="220">
        <v>2.78</v>
      </c>
      <c r="Y709" s="221">
        <f t="shared" si="870"/>
        <v>1.0278</v>
      </c>
      <c r="Z709" s="199">
        <v>19</v>
      </c>
      <c r="AA709" s="221">
        <f t="shared" si="871"/>
        <v>1.6836958972696243</v>
      </c>
      <c r="AB709" s="199">
        <f t="shared" si="873"/>
        <v>626469.56945608184</v>
      </c>
      <c r="AC709">
        <v>12.7</v>
      </c>
      <c r="AD709" s="199">
        <f t="shared" si="874"/>
        <v>79561.635320922389</v>
      </c>
      <c r="AE709" s="199">
        <f t="shared" si="872"/>
        <v>75583.553554876271</v>
      </c>
      <c r="AF709" s="199">
        <f t="shared" si="823"/>
        <v>0</v>
      </c>
      <c r="AG709" s="614">
        <f t="shared" si="807"/>
        <v>3.4946516983600032E-3</v>
      </c>
      <c r="AH709" s="199">
        <f t="shared" si="867"/>
        <v>31323.478472804094</v>
      </c>
      <c r="AI709" s="252">
        <f t="shared" si="790"/>
        <v>2.4265824175825645E-3</v>
      </c>
      <c r="AJ709" s="199">
        <f t="shared" si="810"/>
        <v>110885.11379372649</v>
      </c>
      <c r="AK709" s="199">
        <f t="shared" si="829"/>
        <v>25058.782778243272</v>
      </c>
      <c r="AL709" s="199">
        <f t="shared" si="830"/>
        <v>25058.782778243272</v>
      </c>
      <c r="AM709" s="199">
        <f t="shared" si="791"/>
        <v>50117.565556486545</v>
      </c>
      <c r="AN709" s="645">
        <f t="shared" si="792"/>
        <v>2.4265824175825641E-3</v>
      </c>
      <c r="AO709" s="199">
        <v>10</v>
      </c>
      <c r="AP709" s="250">
        <f t="shared" si="793"/>
        <v>1.1362345188046814E-3</v>
      </c>
      <c r="AQ709" s="199">
        <v>10</v>
      </c>
      <c r="AU709" s="199">
        <v>0</v>
      </c>
      <c r="AW709" s="250">
        <f t="shared" si="794"/>
        <v>0</v>
      </c>
      <c r="AX709" s="199">
        <v>1</v>
      </c>
      <c r="AY709" s="199">
        <f t="shared" si="856"/>
        <v>46111.518684892166</v>
      </c>
      <c r="AZ709" s="199">
        <f t="shared" si="812"/>
        <v>46111.518684892166</v>
      </c>
      <c r="BA709" s="252">
        <f t="shared" si="795"/>
        <v>3.6246646006438316E-3</v>
      </c>
      <c r="BB709" s="284">
        <v>0</v>
      </c>
      <c r="BC709" s="199">
        <f t="shared" si="857"/>
        <v>0</v>
      </c>
      <c r="BD709" s="270">
        <f t="shared" si="840"/>
        <v>0</v>
      </c>
      <c r="BE709" s="199">
        <f t="shared" si="858"/>
        <v>0</v>
      </c>
      <c r="BF709" s="251">
        <f t="shared" si="842"/>
        <v>0</v>
      </c>
      <c r="BG709" s="204">
        <f t="shared" si="859"/>
        <v>0</v>
      </c>
      <c r="BH709" s="636">
        <v>1</v>
      </c>
      <c r="BI709" s="199">
        <f t="shared" si="796"/>
        <v>191699.68825356103</v>
      </c>
      <c r="BJ709" s="199">
        <f t="shared" si="797"/>
        <v>383399.37650712207</v>
      </c>
      <c r="BK709" s="199">
        <f t="shared" si="805"/>
        <v>575099.0647606831</v>
      </c>
      <c r="BL709" s="251">
        <f t="shared" si="798"/>
        <v>2.4265824175825641E-3</v>
      </c>
      <c r="BM709" s="199">
        <f t="shared" si="860"/>
        <v>53151.984380326998</v>
      </c>
      <c r="BN709" s="251">
        <f t="shared" si="799"/>
        <v>2.2952679853259906E-3</v>
      </c>
      <c r="BT709" s="199">
        <f>'Detailed Budget'!$AD$12</f>
        <v>194045122715</v>
      </c>
      <c r="BU709" s="199">
        <f>'Detailed Budget'!$AD$24</f>
        <v>194045122715</v>
      </c>
      <c r="BV709" s="596">
        <f t="shared" si="861"/>
        <v>0</v>
      </c>
      <c r="BW709" s="278"/>
      <c r="BX709" s="275">
        <f t="shared" si="868"/>
        <v>0</v>
      </c>
      <c r="BY709" s="275">
        <f t="shared" si="869"/>
        <v>0</v>
      </c>
      <c r="CA709" s="199">
        <f>'Detailed Budget'!$AD$96</f>
        <v>71050111380.677719</v>
      </c>
      <c r="CB709" s="275">
        <f t="shared" si="800"/>
        <v>257532823.59334397</v>
      </c>
      <c r="CE709" s="199">
        <f>'Detailed Budget'!$AD$175</f>
        <v>4330586076.5988197</v>
      </c>
      <c r="CF709" s="275">
        <f t="shared" si="862"/>
        <v>0</v>
      </c>
      <c r="CG709" s="199">
        <f>'Detailed Budget'!$AD$176</f>
        <v>20662817754.37001</v>
      </c>
      <c r="CH709" s="275">
        <f t="shared" si="863"/>
        <v>0</v>
      </c>
      <c r="CI709" s="275">
        <f t="shared" si="833"/>
        <v>0</v>
      </c>
      <c r="CJ709" s="275">
        <f>'Detailed Budget'!$AD$178</f>
        <v>46025131033.061455</v>
      </c>
      <c r="CK709" s="275">
        <f t="shared" si="864"/>
        <v>0</v>
      </c>
      <c r="CL709" s="275">
        <f t="shared" si="834"/>
        <v>0</v>
      </c>
      <c r="CM709" s="278">
        <f>'Detailed Budget'!$AD$189</f>
        <v>77498869683.252869</v>
      </c>
      <c r="CN709" s="275">
        <f t="shared" si="801"/>
        <v>188057394.55590382</v>
      </c>
      <c r="CO709" s="140">
        <f>'Detailed Budget'!$AD$191</f>
        <v>2684962805.4134097</v>
      </c>
      <c r="CP709" s="616">
        <f t="shared" si="802"/>
        <v>6515283.5354793351</v>
      </c>
      <c r="CQ709" s="616">
        <f t="shared" si="803"/>
        <v>194572678.09138316</v>
      </c>
      <c r="CR709" s="199">
        <f>'Detailed Budget'!$AD$195</f>
        <v>18734176418</v>
      </c>
      <c r="CS709" s="275">
        <f t="shared" si="865"/>
        <v>42999955.363684542</v>
      </c>
      <c r="CW709" s="278"/>
      <c r="DH709" s="140">
        <f>'Detailed Budget'!$AD$163</f>
        <v>4928560000</v>
      </c>
      <c r="DI709" s="616">
        <f t="shared" si="866"/>
        <v>5600000</v>
      </c>
    </row>
    <row r="710" spans="1:113" outlineLevel="1">
      <c r="A710" s="214" t="s">
        <v>1481</v>
      </c>
      <c r="B710" s="215" t="s">
        <v>1482</v>
      </c>
      <c r="C710" s="216" t="s">
        <v>234</v>
      </c>
      <c r="D710" s="217"/>
      <c r="E710" s="216"/>
      <c r="F710" s="216"/>
      <c r="G710" s="216" t="s">
        <v>234</v>
      </c>
      <c r="H710" s="216" t="s">
        <v>234</v>
      </c>
      <c r="I710" s="217" t="s">
        <v>234</v>
      </c>
      <c r="J710" s="217"/>
      <c r="K710" s="216"/>
      <c r="L710" s="216"/>
      <c r="M710" s="217"/>
      <c r="N710" s="216" t="s">
        <v>234</v>
      </c>
      <c r="O710" s="217"/>
      <c r="P710" s="216"/>
      <c r="Q710" s="217" t="s">
        <v>234</v>
      </c>
      <c r="R710" s="217"/>
      <c r="S710" s="217"/>
      <c r="T710" s="217"/>
      <c r="U710" s="218">
        <f t="shared" si="855"/>
        <v>6</v>
      </c>
      <c r="V710" s="867" t="s">
        <v>235</v>
      </c>
      <c r="W710" s="219">
        <v>374515</v>
      </c>
      <c r="X710" s="220">
        <v>2.78</v>
      </c>
      <c r="Y710" s="221">
        <f t="shared" si="870"/>
        <v>1.0278</v>
      </c>
      <c r="Z710" s="199">
        <v>19</v>
      </c>
      <c r="AA710" s="221">
        <f t="shared" si="871"/>
        <v>1.6836958972696243</v>
      </c>
      <c r="AB710" s="199">
        <f t="shared" si="873"/>
        <v>630569.36896593333</v>
      </c>
      <c r="AC710">
        <v>12.7</v>
      </c>
      <c r="AD710" s="199">
        <f t="shared" si="874"/>
        <v>80082.309858673529</v>
      </c>
      <c r="AE710" s="199">
        <f t="shared" si="872"/>
        <v>76078.194365739851</v>
      </c>
      <c r="AF710" s="199">
        <f t="shared" si="823"/>
        <v>0</v>
      </c>
      <c r="AG710" s="614">
        <f t="shared" si="807"/>
        <v>3.517521717940487E-3</v>
      </c>
      <c r="AH710" s="199">
        <f t="shared" si="867"/>
        <v>31528.46844829667</v>
      </c>
      <c r="AI710" s="252">
        <f t="shared" ref="AI710:AI773" si="875">AH710/12908475</f>
        <v>2.442462680393824E-3</v>
      </c>
      <c r="AJ710" s="199">
        <f t="shared" si="810"/>
        <v>111610.7783069702</v>
      </c>
      <c r="AK710" s="199">
        <f t="shared" si="829"/>
        <v>25222.774758637333</v>
      </c>
      <c r="AL710" s="199">
        <f t="shared" si="830"/>
        <v>25222.774758637333</v>
      </c>
      <c r="AM710" s="199">
        <f t="shared" si="791"/>
        <v>50445.549517274667</v>
      </c>
      <c r="AN710" s="645">
        <f t="shared" si="792"/>
        <v>2.442462680393824E-3</v>
      </c>
      <c r="AO710" s="199">
        <v>12</v>
      </c>
      <c r="AP710" s="250">
        <f t="shared" si="793"/>
        <v>1.3634814225656176E-3</v>
      </c>
      <c r="AQ710" s="199">
        <v>12</v>
      </c>
      <c r="AU710" s="199">
        <v>0</v>
      </c>
      <c r="AW710" s="250">
        <f t="shared" si="794"/>
        <v>0</v>
      </c>
      <c r="AX710" s="199">
        <v>1</v>
      </c>
      <c r="AY710" s="199">
        <f t="shared" si="856"/>
        <v>46413.285906988778</v>
      </c>
      <c r="AZ710" s="199">
        <f t="shared" si="812"/>
        <v>46413.285906988778</v>
      </c>
      <c r="BA710" s="252">
        <f t="shared" si="795"/>
        <v>3.6483854625621484E-3</v>
      </c>
      <c r="BB710" s="284">
        <v>0</v>
      </c>
      <c r="BC710" s="199">
        <f t="shared" si="857"/>
        <v>0</v>
      </c>
      <c r="BD710" s="270">
        <f t="shared" si="840"/>
        <v>0</v>
      </c>
      <c r="BE710" s="199">
        <f t="shared" si="858"/>
        <v>0</v>
      </c>
      <c r="BF710" s="251">
        <f t="shared" si="842"/>
        <v>0</v>
      </c>
      <c r="BG710" s="204">
        <f t="shared" si="859"/>
        <v>0</v>
      </c>
      <c r="BH710" s="636">
        <v>1</v>
      </c>
      <c r="BI710" s="199">
        <f t="shared" si="796"/>
        <v>192954.22690357559</v>
      </c>
      <c r="BJ710" s="199">
        <f t="shared" si="797"/>
        <v>385908.45380715118</v>
      </c>
      <c r="BK710" s="199">
        <f t="shared" si="805"/>
        <v>578862.68071072677</v>
      </c>
      <c r="BL710" s="251">
        <f t="shared" si="798"/>
        <v>2.442462680393824E-3</v>
      </c>
      <c r="BM710" s="199">
        <f t="shared" si="860"/>
        <v>53499.826462583769</v>
      </c>
      <c r="BN710" s="251">
        <f t="shared" si="799"/>
        <v>2.3102888882078139E-3</v>
      </c>
      <c r="BT710" s="199">
        <f>'Detailed Budget'!$AD$12</f>
        <v>194045122715</v>
      </c>
      <c r="BU710" s="199">
        <f>'Detailed Budget'!$AD$24</f>
        <v>194045122715</v>
      </c>
      <c r="BV710" s="596">
        <f t="shared" si="861"/>
        <v>0</v>
      </c>
      <c r="BW710" s="278"/>
      <c r="BX710" s="275">
        <f t="shared" si="868"/>
        <v>0</v>
      </c>
      <c r="BY710" s="275">
        <f t="shared" si="869"/>
        <v>0</v>
      </c>
      <c r="CA710" s="199">
        <f>'Detailed Budget'!$AD$96</f>
        <v>71050111380.677719</v>
      </c>
      <c r="CB710" s="275">
        <f t="shared" si="800"/>
        <v>259218193.47468606</v>
      </c>
      <c r="CE710" s="199">
        <f>'Detailed Budget'!$AD$175</f>
        <v>4330586076.5988197</v>
      </c>
      <c r="CF710" s="275">
        <f t="shared" si="862"/>
        <v>0</v>
      </c>
      <c r="CG710" s="199">
        <f>'Detailed Budget'!$AD$176</f>
        <v>20662817754.37001</v>
      </c>
      <c r="CH710" s="275">
        <f t="shared" si="863"/>
        <v>0</v>
      </c>
      <c r="CI710" s="275">
        <f t="shared" si="833"/>
        <v>0</v>
      </c>
      <c r="CJ710" s="275">
        <f>'Detailed Budget'!$AD$178</f>
        <v>46025131033.061455</v>
      </c>
      <c r="CK710" s="275">
        <f t="shared" si="864"/>
        <v>0</v>
      </c>
      <c r="CL710" s="275">
        <f t="shared" si="834"/>
        <v>0</v>
      </c>
      <c r="CM710" s="278">
        <f>'Detailed Budget'!$AD$189</f>
        <v>77498869683.252869</v>
      </c>
      <c r="CN710" s="275">
        <f t="shared" si="801"/>
        <v>189288096.97404948</v>
      </c>
      <c r="CO710" s="140">
        <f>'Detailed Budget'!$AD$191</f>
        <v>2684962805.4134097</v>
      </c>
      <c r="CP710" s="616">
        <f t="shared" si="802"/>
        <v>6557921.4504677579</v>
      </c>
      <c r="CQ710" s="616">
        <f t="shared" si="803"/>
        <v>195846018.42451724</v>
      </c>
      <c r="CR710" s="199">
        <f>'Detailed Budget'!$AD$195</f>
        <v>18734176418</v>
      </c>
      <c r="CS710" s="275">
        <f t="shared" si="865"/>
        <v>43281359.608230263</v>
      </c>
      <c r="CW710" s="278"/>
      <c r="DH710" s="140">
        <f>'Detailed Budget'!$AD$163</f>
        <v>4928560000</v>
      </c>
      <c r="DI710" s="616">
        <f t="shared" si="866"/>
        <v>6720000</v>
      </c>
    </row>
    <row r="711" spans="1:113" outlineLevel="1">
      <c r="A711" s="214" t="s">
        <v>1483</v>
      </c>
      <c r="B711" s="215" t="s">
        <v>1484</v>
      </c>
      <c r="C711" s="216" t="s">
        <v>234</v>
      </c>
      <c r="D711" s="217"/>
      <c r="E711" s="216"/>
      <c r="F711" s="216"/>
      <c r="G711" s="216" t="s">
        <v>234</v>
      </c>
      <c r="H711" s="216" t="s">
        <v>234</v>
      </c>
      <c r="I711" s="217" t="s">
        <v>234</v>
      </c>
      <c r="J711" s="217"/>
      <c r="K711" s="216"/>
      <c r="L711" s="216"/>
      <c r="M711" s="217"/>
      <c r="N711" s="216" t="s">
        <v>234</v>
      </c>
      <c r="O711" s="217"/>
      <c r="P711" s="216"/>
      <c r="Q711" s="217"/>
      <c r="R711" s="217" t="s">
        <v>234</v>
      </c>
      <c r="S711" s="217"/>
      <c r="T711" s="217"/>
      <c r="U711" s="218">
        <f t="shared" si="855"/>
        <v>6</v>
      </c>
      <c r="V711" s="867" t="s">
        <v>235</v>
      </c>
      <c r="W711" s="219">
        <v>183994</v>
      </c>
      <c r="X711" s="220">
        <v>2.78</v>
      </c>
      <c r="Y711" s="221">
        <f t="shared" si="870"/>
        <v>1.0278</v>
      </c>
      <c r="Z711" s="199">
        <v>19</v>
      </c>
      <c r="AA711" s="221">
        <f t="shared" si="871"/>
        <v>1.6836958972696243</v>
      </c>
      <c r="AB711" s="199">
        <f t="shared" si="873"/>
        <v>309789.94292222726</v>
      </c>
      <c r="AC711">
        <v>12.7</v>
      </c>
      <c r="AD711" s="199">
        <f t="shared" si="874"/>
        <v>39343.322751122854</v>
      </c>
      <c r="AE711" s="199">
        <f t="shared" si="872"/>
        <v>37376.156613566709</v>
      </c>
      <c r="AF711" s="199">
        <f t="shared" si="823"/>
        <v>0</v>
      </c>
      <c r="AG711" s="614">
        <f t="shared" si="807"/>
        <v>1.7281093974092943E-3</v>
      </c>
      <c r="AH711" s="199">
        <f t="shared" si="867"/>
        <v>15489.497146111364</v>
      </c>
      <c r="AI711" s="252">
        <f t="shared" si="875"/>
        <v>1.1999478750287205E-3</v>
      </c>
      <c r="AJ711" s="199">
        <f t="shared" ref="AJ711:AJ774" si="876">AD711+AH711</f>
        <v>54832.819897234222</v>
      </c>
      <c r="AK711" s="199">
        <f t="shared" si="829"/>
        <v>12391.597716889091</v>
      </c>
      <c r="AL711" s="199">
        <f t="shared" si="830"/>
        <v>12391.597716889091</v>
      </c>
      <c r="AM711" s="199">
        <f t="shared" ref="AM711:AM774" si="877">AK711+AL711</f>
        <v>24783.195433778183</v>
      </c>
      <c r="AN711" s="645">
        <f t="shared" ref="AN711:AN774" si="878">AM711/20653560</f>
        <v>1.1999478750287205E-3</v>
      </c>
      <c r="AO711" s="199">
        <v>12</v>
      </c>
      <c r="AP711" s="250">
        <f t="shared" ref="AP711:AP774" si="879">AO711/8801</f>
        <v>1.3634814225656176E-3</v>
      </c>
      <c r="AQ711" s="199">
        <v>12</v>
      </c>
      <c r="AU711" s="199">
        <v>0</v>
      </c>
      <c r="AW711" s="250">
        <f t="shared" ref="AW711:AW774" si="880">AV711/34743979</f>
        <v>0</v>
      </c>
      <c r="AX711" s="199">
        <v>1</v>
      </c>
      <c r="AY711" s="199">
        <f t="shared" si="856"/>
        <v>22802.200518458525</v>
      </c>
      <c r="AZ711" s="199">
        <f t="shared" ref="AZ711:AZ774" si="881">AX711*AY711</f>
        <v>22802.200518458525</v>
      </c>
      <c r="BA711" s="252">
        <f t="shared" ref="BA711:BA774" si="882">AZ711/12721596</f>
        <v>1.7924009313342857E-3</v>
      </c>
      <c r="BB711" s="284">
        <v>0</v>
      </c>
      <c r="BC711" s="199">
        <f t="shared" si="857"/>
        <v>0</v>
      </c>
      <c r="BD711" s="270">
        <f t="shared" si="840"/>
        <v>0</v>
      </c>
      <c r="BE711" s="199">
        <f t="shared" si="858"/>
        <v>0</v>
      </c>
      <c r="BF711" s="251">
        <f t="shared" si="842"/>
        <v>0</v>
      </c>
      <c r="BG711" s="204">
        <f t="shared" si="859"/>
        <v>0</v>
      </c>
      <c r="BH711" s="636">
        <v>1</v>
      </c>
      <c r="BI711" s="199">
        <f t="shared" ref="BI711:BI774" si="883">AK711*0.85*0.75*12</f>
        <v>94795.722534201544</v>
      </c>
      <c r="BJ711" s="199">
        <f t="shared" ref="BJ711:BJ774" si="884">AL711*0.85*0.75*2*12</f>
        <v>189591.44506840309</v>
      </c>
      <c r="BK711" s="199">
        <f t="shared" si="805"/>
        <v>284387.1676026046</v>
      </c>
      <c r="BL711" s="251">
        <f t="shared" ref="BL711:BL774" si="885">BK711/236999601</f>
        <v>1.1999478750287205E-3</v>
      </c>
      <c r="BM711" s="199">
        <f t="shared" si="860"/>
        <v>26283.719130493137</v>
      </c>
      <c r="BN711" s="251">
        <f t="shared" ref="BN711:BN774" si="886">BM711/23157202</f>
        <v>1.1350127329930937E-3</v>
      </c>
      <c r="BT711" s="199">
        <f>'Detailed Budget'!$AD$12</f>
        <v>194045122715</v>
      </c>
      <c r="BU711" s="199">
        <f>'Detailed Budget'!$AD$24</f>
        <v>194045122715</v>
      </c>
      <c r="BV711" s="596">
        <f t="shared" si="861"/>
        <v>0</v>
      </c>
      <c r="BW711" s="278"/>
      <c r="BX711" s="275">
        <f t="shared" si="868"/>
        <v>0</v>
      </c>
      <c r="BY711" s="275">
        <f t="shared" si="869"/>
        <v>0</v>
      </c>
      <c r="CA711" s="199">
        <f>'Detailed Budget'!$AD$96</f>
        <v>71050111380.677719</v>
      </c>
      <c r="CB711" s="275">
        <f t="shared" ref="CB711:CB774" si="887">BA711*CA711</f>
        <v>127350285.81013148</v>
      </c>
      <c r="CE711" s="199">
        <f>'Detailed Budget'!$AD$175</f>
        <v>4330586076.5988197</v>
      </c>
      <c r="CF711" s="275">
        <f t="shared" si="862"/>
        <v>0</v>
      </c>
      <c r="CG711" s="199">
        <f>'Detailed Budget'!$AD$176</f>
        <v>20662817754.37001</v>
      </c>
      <c r="CH711" s="275">
        <f t="shared" si="863"/>
        <v>0</v>
      </c>
      <c r="CI711" s="275">
        <f t="shared" si="833"/>
        <v>0</v>
      </c>
      <c r="CJ711" s="275">
        <f>'Detailed Budget'!$AD$178</f>
        <v>46025131033.061455</v>
      </c>
      <c r="CK711" s="275">
        <f t="shared" si="864"/>
        <v>0</v>
      </c>
      <c r="CL711" s="275">
        <f t="shared" si="834"/>
        <v>0</v>
      </c>
      <c r="CM711" s="278">
        <f>'Detailed Budget'!$AD$189</f>
        <v>77498869683.252869</v>
      </c>
      <c r="CN711" s="275">
        <f t="shared" ref="CN711:CN774" si="888">BH711*BL711*CM711</f>
        <v>92994603.993547007</v>
      </c>
      <c r="CO711" s="140">
        <f>'Detailed Budget'!$AD$191</f>
        <v>2684962805.4134097</v>
      </c>
      <c r="CP711" s="616">
        <f t="shared" ref="CP711:CP774" si="889">BH711*AN711*CO711</f>
        <v>3221815.412886973</v>
      </c>
      <c r="CQ711" s="616">
        <f t="shared" ref="CQ711:CQ774" si="890">CN711+CP711</f>
        <v>96216419.406433985</v>
      </c>
      <c r="CR711" s="199">
        <f>'Detailed Budget'!$AD$195</f>
        <v>18734176418</v>
      </c>
      <c r="CS711" s="275">
        <f t="shared" si="865"/>
        <v>21263528.776568945</v>
      </c>
      <c r="CW711" s="278"/>
      <c r="DH711" s="140">
        <f>'Detailed Budget'!$AD$163</f>
        <v>4928560000</v>
      </c>
      <c r="DI711" s="616">
        <f t="shared" si="866"/>
        <v>6720000</v>
      </c>
    </row>
    <row r="712" spans="1:113" outlineLevel="1">
      <c r="A712" s="214" t="s">
        <v>1485</v>
      </c>
      <c r="B712" s="215" t="s">
        <v>1486</v>
      </c>
      <c r="C712" s="216" t="s">
        <v>234</v>
      </c>
      <c r="D712" s="217"/>
      <c r="E712" s="216"/>
      <c r="F712" s="216"/>
      <c r="G712" s="216" t="s">
        <v>234</v>
      </c>
      <c r="H712" s="216" t="s">
        <v>234</v>
      </c>
      <c r="I712" s="217" t="s">
        <v>234</v>
      </c>
      <c r="J712" s="217"/>
      <c r="K712" s="216"/>
      <c r="L712" s="216"/>
      <c r="M712" s="217" t="s">
        <v>234</v>
      </c>
      <c r="N712" s="216"/>
      <c r="O712" s="217"/>
      <c r="P712" s="216"/>
      <c r="Q712" s="217"/>
      <c r="R712" s="217" t="s">
        <v>234</v>
      </c>
      <c r="S712" s="217"/>
      <c r="T712" s="217"/>
      <c r="U712" s="218">
        <f t="shared" si="855"/>
        <v>6</v>
      </c>
      <c r="V712" s="867" t="s">
        <v>235</v>
      </c>
      <c r="W712" s="219">
        <v>155344</v>
      </c>
      <c r="X712" s="220">
        <v>2.78</v>
      </c>
      <c r="Y712" s="221">
        <f t="shared" si="870"/>
        <v>1.0278</v>
      </c>
      <c r="Z712" s="199">
        <v>19</v>
      </c>
      <c r="AA712" s="221">
        <f t="shared" si="871"/>
        <v>1.6836958972696243</v>
      </c>
      <c r="AB712" s="199">
        <f t="shared" si="873"/>
        <v>261552.05546545252</v>
      </c>
      <c r="AC712">
        <v>12.7</v>
      </c>
      <c r="AD712" s="199">
        <f t="shared" si="874"/>
        <v>33217.111044112469</v>
      </c>
      <c r="AE712" s="199">
        <f t="shared" si="872"/>
        <v>31556.255491906843</v>
      </c>
      <c r="AF712" s="199">
        <f t="shared" si="823"/>
        <v>0</v>
      </c>
      <c r="AG712" s="614">
        <f t="shared" si="807"/>
        <v>1.459022719388401E-3</v>
      </c>
      <c r="AH712" s="199">
        <f t="shared" si="867"/>
        <v>13077.602773272627</v>
      </c>
      <c r="AI712" s="252">
        <f t="shared" si="875"/>
        <v>1.013102072341824E-3</v>
      </c>
      <c r="AJ712" s="199">
        <f t="shared" si="876"/>
        <v>46294.713817385098</v>
      </c>
      <c r="AK712" s="199">
        <f t="shared" si="829"/>
        <v>10462.082218618101</v>
      </c>
      <c r="AL712" s="199">
        <f t="shared" si="830"/>
        <v>10462.082218618101</v>
      </c>
      <c r="AM712" s="199">
        <f t="shared" si="877"/>
        <v>20924.164437236203</v>
      </c>
      <c r="AN712" s="645">
        <f t="shared" si="878"/>
        <v>1.013102072341824E-3</v>
      </c>
      <c r="AO712" s="199">
        <v>13</v>
      </c>
      <c r="AP712" s="250">
        <f t="shared" si="879"/>
        <v>1.4771048744460858E-3</v>
      </c>
      <c r="AQ712" s="199">
        <v>13</v>
      </c>
      <c r="AU712" s="199">
        <v>0</v>
      </c>
      <c r="AW712" s="250">
        <f t="shared" si="880"/>
        <v>0</v>
      </c>
      <c r="AX712" s="199">
        <v>1</v>
      </c>
      <c r="AY712" s="199">
        <f t="shared" si="856"/>
        <v>19251.633408368867</v>
      </c>
      <c r="AZ712" s="199">
        <f t="shared" si="881"/>
        <v>19251.633408368867</v>
      </c>
      <c r="BA712" s="252">
        <f t="shared" si="882"/>
        <v>1.5133033157450422E-3</v>
      </c>
      <c r="BB712" s="284">
        <v>0</v>
      </c>
      <c r="BC712" s="199">
        <f t="shared" si="857"/>
        <v>0</v>
      </c>
      <c r="BD712" s="270">
        <f t="shared" si="840"/>
        <v>0</v>
      </c>
      <c r="BE712" s="199">
        <f t="shared" si="858"/>
        <v>0</v>
      </c>
      <c r="BF712" s="251">
        <f t="shared" si="842"/>
        <v>0</v>
      </c>
      <c r="BG712" s="204">
        <f t="shared" si="859"/>
        <v>0</v>
      </c>
      <c r="BH712" s="636">
        <v>1</v>
      </c>
      <c r="BI712" s="199">
        <f t="shared" si="883"/>
        <v>80034.928972428475</v>
      </c>
      <c r="BJ712" s="199">
        <f t="shared" si="884"/>
        <v>160069.85794485695</v>
      </c>
      <c r="BK712" s="199">
        <f t="shared" ref="BK712:BK775" si="891">BI712+BJ712</f>
        <v>240104.78691728541</v>
      </c>
      <c r="BL712" s="251">
        <f t="shared" si="885"/>
        <v>1.013102072341824E-3</v>
      </c>
      <c r="BM712" s="199">
        <f t="shared" si="860"/>
        <v>22191.039189361203</v>
      </c>
      <c r="BN712" s="251">
        <f t="shared" si="886"/>
        <v>9.5827808512277104E-4</v>
      </c>
      <c r="BT712" s="199">
        <f>'Detailed Budget'!$AD$12</f>
        <v>194045122715</v>
      </c>
      <c r="BU712" s="199">
        <f>'Detailed Budget'!$AD$24</f>
        <v>194045122715</v>
      </c>
      <c r="BV712" s="596">
        <f t="shared" si="861"/>
        <v>0</v>
      </c>
      <c r="BW712" s="278"/>
      <c r="BX712" s="275">
        <f t="shared" si="868"/>
        <v>0</v>
      </c>
      <c r="BY712" s="275">
        <f t="shared" si="869"/>
        <v>0</v>
      </c>
      <c r="CA712" s="199">
        <f>'Detailed Budget'!$AD$96</f>
        <v>71050111380.677719</v>
      </c>
      <c r="CB712" s="275">
        <f t="shared" si="887"/>
        <v>107520369.13643415</v>
      </c>
      <c r="CE712" s="199">
        <f>'Detailed Budget'!$AD$175</f>
        <v>4330586076.5988197</v>
      </c>
      <c r="CF712" s="275">
        <f t="shared" si="862"/>
        <v>0</v>
      </c>
      <c r="CG712" s="199">
        <f>'Detailed Budget'!$AD$176</f>
        <v>20662817754.37001</v>
      </c>
      <c r="CH712" s="275">
        <f t="shared" si="863"/>
        <v>0</v>
      </c>
      <c r="CI712" s="275">
        <f t="shared" si="833"/>
        <v>0</v>
      </c>
      <c r="CJ712" s="275">
        <f>'Detailed Budget'!$AD$178</f>
        <v>46025131033.061455</v>
      </c>
      <c r="CK712" s="275">
        <f t="shared" si="864"/>
        <v>0</v>
      </c>
      <c r="CL712" s="275">
        <f t="shared" si="834"/>
        <v>0</v>
      </c>
      <c r="CM712" s="278">
        <f>'Detailed Budget'!$AD$189</f>
        <v>77498869683.252869</v>
      </c>
      <c r="CN712" s="275">
        <f t="shared" si="888"/>
        <v>78514265.480252445</v>
      </c>
      <c r="CO712" s="140">
        <f>'Detailed Budget'!$AD$191</f>
        <v>2684962805.4134097</v>
      </c>
      <c r="CP712" s="616">
        <f t="shared" si="889"/>
        <v>2720141.382325043</v>
      </c>
      <c r="CQ712" s="616">
        <f t="shared" si="890"/>
        <v>81234406.862577483</v>
      </c>
      <c r="CR712" s="199">
        <f>'Detailed Budget'!$AD$195</f>
        <v>18734176418</v>
      </c>
      <c r="CS712" s="275">
        <f t="shared" si="865"/>
        <v>17952550.704193212</v>
      </c>
      <c r="CW712" s="278"/>
      <c r="DH712" s="140">
        <f>'Detailed Budget'!$AD$163</f>
        <v>4928560000</v>
      </c>
      <c r="DI712" s="616">
        <f t="shared" si="866"/>
        <v>7280000.0000000009</v>
      </c>
    </row>
    <row r="713" spans="1:113" outlineLevel="1">
      <c r="A713" s="214" t="s">
        <v>1487</v>
      </c>
      <c r="B713" s="215" t="s">
        <v>1488</v>
      </c>
      <c r="C713" s="216" t="s">
        <v>234</v>
      </c>
      <c r="D713" s="217"/>
      <c r="E713" s="216"/>
      <c r="F713" s="216"/>
      <c r="G713" s="216" t="s">
        <v>234</v>
      </c>
      <c r="H713" s="216" t="s">
        <v>234</v>
      </c>
      <c r="I713" s="217" t="s">
        <v>234</v>
      </c>
      <c r="J713" s="217"/>
      <c r="K713" s="216"/>
      <c r="L713" s="216"/>
      <c r="M713" s="217" t="s">
        <v>234</v>
      </c>
      <c r="N713" s="216"/>
      <c r="O713" s="217"/>
      <c r="P713" s="216"/>
      <c r="Q713" s="217"/>
      <c r="R713" s="217" t="s">
        <v>234</v>
      </c>
      <c r="S713" s="217"/>
      <c r="T713" s="217"/>
      <c r="U713" s="218">
        <f t="shared" si="855"/>
        <v>6</v>
      </c>
      <c r="V713" s="867" t="s">
        <v>235</v>
      </c>
      <c r="W713" s="219">
        <v>138072</v>
      </c>
      <c r="X713" s="220">
        <v>2.78</v>
      </c>
      <c r="Y713" s="221">
        <f t="shared" si="870"/>
        <v>1.0278</v>
      </c>
      <c r="Z713" s="199">
        <v>19</v>
      </c>
      <c r="AA713" s="221">
        <f t="shared" si="871"/>
        <v>1.6836958972696243</v>
      </c>
      <c r="AB713" s="199">
        <f t="shared" si="873"/>
        <v>232471.25992781157</v>
      </c>
      <c r="AC713">
        <v>12.7</v>
      </c>
      <c r="AD713" s="199">
        <f t="shared" si="874"/>
        <v>29523.85001083207</v>
      </c>
      <c r="AE713" s="199">
        <f t="shared" si="872"/>
        <v>28047.657510290464</v>
      </c>
      <c r="AF713" s="199">
        <f t="shared" si="823"/>
        <v>0</v>
      </c>
      <c r="AG713" s="614">
        <f t="shared" ref="AG713:AG776" si="892">AE713/21628351</f>
        <v>1.29680055175221E-3</v>
      </c>
      <c r="AH713" s="199">
        <f t="shared" si="867"/>
        <v>11623.562996390579</v>
      </c>
      <c r="AI713" s="252">
        <f t="shared" si="875"/>
        <v>9.0045981391222271E-4</v>
      </c>
      <c r="AJ713" s="199">
        <f t="shared" si="876"/>
        <v>41147.413007222647</v>
      </c>
      <c r="AK713" s="199">
        <f t="shared" si="829"/>
        <v>9298.8503971124628</v>
      </c>
      <c r="AL713" s="199">
        <f t="shared" si="830"/>
        <v>9298.8503971124628</v>
      </c>
      <c r="AM713" s="199">
        <f t="shared" si="877"/>
        <v>18597.700794224926</v>
      </c>
      <c r="AN713" s="645">
        <f t="shared" si="878"/>
        <v>9.0045981391222271E-4</v>
      </c>
      <c r="AO713" s="199">
        <v>10</v>
      </c>
      <c r="AP713" s="250">
        <f t="shared" si="879"/>
        <v>1.1362345188046814E-3</v>
      </c>
      <c r="AQ713" s="199">
        <v>10</v>
      </c>
      <c r="AU713" s="199">
        <v>0</v>
      </c>
      <c r="AW713" s="250">
        <f t="shared" si="880"/>
        <v>0</v>
      </c>
      <c r="AX713" s="199">
        <v>1</v>
      </c>
      <c r="AY713" s="199">
        <f t="shared" si="856"/>
        <v>17111.130960708531</v>
      </c>
      <c r="AZ713" s="199">
        <f t="shared" si="881"/>
        <v>17111.130960708531</v>
      </c>
      <c r="BA713" s="252">
        <f t="shared" si="882"/>
        <v>1.3450459329716596E-3</v>
      </c>
      <c r="BB713" s="284">
        <v>0</v>
      </c>
      <c r="BC713" s="199">
        <f t="shared" si="857"/>
        <v>0</v>
      </c>
      <c r="BD713" s="270">
        <f t="shared" si="840"/>
        <v>0</v>
      </c>
      <c r="BE713" s="199">
        <f t="shared" si="858"/>
        <v>0</v>
      </c>
      <c r="BF713" s="251">
        <f t="shared" si="842"/>
        <v>0</v>
      </c>
      <c r="BG713" s="204">
        <f t="shared" si="859"/>
        <v>0</v>
      </c>
      <c r="BH713" s="636">
        <v>1</v>
      </c>
      <c r="BI713" s="199">
        <f t="shared" si="883"/>
        <v>71136.20553791034</v>
      </c>
      <c r="BJ713" s="199">
        <f t="shared" si="884"/>
        <v>142272.41107582068</v>
      </c>
      <c r="BK713" s="199">
        <f t="shared" si="891"/>
        <v>213408.61661373102</v>
      </c>
      <c r="BL713" s="251">
        <f t="shared" si="885"/>
        <v>9.0045981391222271E-4</v>
      </c>
      <c r="BM713" s="199">
        <f t="shared" si="860"/>
        <v>19723.717446141985</v>
      </c>
      <c r="BN713" s="251">
        <f t="shared" si="886"/>
        <v>8.5173145901400291E-4</v>
      </c>
      <c r="BT713" s="199">
        <f>'Detailed Budget'!$AD$12</f>
        <v>194045122715</v>
      </c>
      <c r="BU713" s="199">
        <f>'Detailed Budget'!$AD$24</f>
        <v>194045122715</v>
      </c>
      <c r="BV713" s="596">
        <f t="shared" si="861"/>
        <v>0</v>
      </c>
      <c r="BW713" s="278"/>
      <c r="BX713" s="275">
        <f t="shared" si="868"/>
        <v>0</v>
      </c>
      <c r="BY713" s="275">
        <f t="shared" si="869"/>
        <v>0</v>
      </c>
      <c r="CA713" s="199">
        <f>'Detailed Budget'!$AD$96</f>
        <v>71050111380.677719</v>
      </c>
      <c r="CB713" s="275">
        <f t="shared" si="887"/>
        <v>95565663.349763989</v>
      </c>
      <c r="CE713" s="199">
        <f>'Detailed Budget'!$AD$175</f>
        <v>4330586076.5988197</v>
      </c>
      <c r="CF713" s="275">
        <f t="shared" si="862"/>
        <v>0</v>
      </c>
      <c r="CG713" s="199">
        <f>'Detailed Budget'!$AD$176</f>
        <v>20662817754.37001</v>
      </c>
      <c r="CH713" s="275">
        <f t="shared" si="863"/>
        <v>0</v>
      </c>
      <c r="CI713" s="275">
        <f t="shared" si="833"/>
        <v>0</v>
      </c>
      <c r="CJ713" s="275">
        <f>'Detailed Budget'!$AD$178</f>
        <v>46025131033.061455</v>
      </c>
      <c r="CK713" s="275">
        <f t="shared" si="864"/>
        <v>0</v>
      </c>
      <c r="CL713" s="275">
        <f t="shared" si="834"/>
        <v>0</v>
      </c>
      <c r="CM713" s="278">
        <f>'Detailed Budget'!$AD$189</f>
        <v>77498869683.252869</v>
      </c>
      <c r="CN713" s="275">
        <f t="shared" si="888"/>
        <v>69784617.773389474</v>
      </c>
      <c r="CO713" s="140">
        <f>'Detailed Budget'!$AD$191</f>
        <v>2684962805.4134097</v>
      </c>
      <c r="CP713" s="616">
        <f t="shared" si="889"/>
        <v>2417701.1081237984</v>
      </c>
      <c r="CQ713" s="616">
        <f t="shared" si="890"/>
        <v>72202318.881513268</v>
      </c>
      <c r="CR713" s="199">
        <f>'Detailed Budget'!$AD$195</f>
        <v>18734176418</v>
      </c>
      <c r="CS713" s="275">
        <f t="shared" si="865"/>
        <v>15956487.413928866</v>
      </c>
      <c r="CW713" s="278"/>
      <c r="DH713" s="140">
        <f>'Detailed Budget'!$AD$163</f>
        <v>4928560000</v>
      </c>
      <c r="DI713" s="616">
        <f t="shared" si="866"/>
        <v>5600000</v>
      </c>
    </row>
    <row r="714" spans="1:113" outlineLevel="1">
      <c r="A714" s="214" t="s">
        <v>1489</v>
      </c>
      <c r="B714" s="215" t="s">
        <v>1490</v>
      </c>
      <c r="C714" s="216" t="s">
        <v>234</v>
      </c>
      <c r="D714" s="217"/>
      <c r="E714" s="216"/>
      <c r="F714" s="216"/>
      <c r="G714" s="216" t="s">
        <v>234</v>
      </c>
      <c r="H714" s="216" t="s">
        <v>234</v>
      </c>
      <c r="I714" s="217" t="s">
        <v>234</v>
      </c>
      <c r="J714" s="217"/>
      <c r="K714" s="216"/>
      <c r="L714" s="216"/>
      <c r="M714" s="217"/>
      <c r="N714" s="216" t="s">
        <v>234</v>
      </c>
      <c r="O714" s="217"/>
      <c r="P714" s="216"/>
      <c r="Q714" s="217"/>
      <c r="R714" s="217" t="s">
        <v>234</v>
      </c>
      <c r="S714" s="217"/>
      <c r="T714" s="217"/>
      <c r="U714" s="218">
        <f t="shared" si="855"/>
        <v>6</v>
      </c>
      <c r="V714" s="867" t="s">
        <v>235</v>
      </c>
      <c r="W714" s="219">
        <v>154630</v>
      </c>
      <c r="X714" s="220">
        <v>2.78</v>
      </c>
      <c r="Y714" s="221">
        <f t="shared" si="870"/>
        <v>1.0278</v>
      </c>
      <c r="Z714" s="199">
        <v>19</v>
      </c>
      <c r="AA714" s="221">
        <f t="shared" si="871"/>
        <v>1.6836958972696243</v>
      </c>
      <c r="AB714" s="199">
        <f t="shared" si="873"/>
        <v>260349.896594802</v>
      </c>
      <c r="AC714">
        <v>12.7</v>
      </c>
      <c r="AD714" s="199">
        <f t="shared" si="874"/>
        <v>33064.436867539858</v>
      </c>
      <c r="AE714" s="199">
        <f t="shared" si="872"/>
        <v>31411.215024162862</v>
      </c>
      <c r="AF714" s="199">
        <f t="shared" si="823"/>
        <v>0</v>
      </c>
      <c r="AG714" s="614">
        <f t="shared" si="892"/>
        <v>1.4523166848995036E-3</v>
      </c>
      <c r="AH714" s="199">
        <f t="shared" si="867"/>
        <v>13017.494829740101</v>
      </c>
      <c r="AI714" s="252">
        <f t="shared" si="875"/>
        <v>1.0084456010287892E-3</v>
      </c>
      <c r="AJ714" s="199">
        <f t="shared" si="876"/>
        <v>46081.931697279957</v>
      </c>
      <c r="AK714" s="199">
        <f t="shared" si="829"/>
        <v>10413.995863792081</v>
      </c>
      <c r="AL714" s="199">
        <f t="shared" si="830"/>
        <v>10413.995863792081</v>
      </c>
      <c r="AM714" s="199">
        <f t="shared" si="877"/>
        <v>20827.991727584162</v>
      </c>
      <c r="AN714" s="645">
        <f t="shared" si="878"/>
        <v>1.0084456010287894E-3</v>
      </c>
      <c r="AO714" s="199">
        <v>11</v>
      </c>
      <c r="AP714" s="250">
        <f t="shared" si="879"/>
        <v>1.2498579706851495E-3</v>
      </c>
      <c r="AQ714" s="199">
        <v>11</v>
      </c>
      <c r="AU714" s="199">
        <v>0</v>
      </c>
      <c r="AW714" s="250">
        <f t="shared" si="880"/>
        <v>0</v>
      </c>
      <c r="AX714" s="199">
        <v>1</v>
      </c>
      <c r="AY714" s="199">
        <f t="shared" si="856"/>
        <v>19163.148070965584</v>
      </c>
      <c r="AZ714" s="199">
        <f t="shared" si="881"/>
        <v>19163.148070965584</v>
      </c>
      <c r="BA714" s="252">
        <f t="shared" si="882"/>
        <v>1.5063477940162212E-3</v>
      </c>
      <c r="BB714" s="284">
        <v>0</v>
      </c>
      <c r="BC714" s="199">
        <f t="shared" si="857"/>
        <v>0</v>
      </c>
      <c r="BD714" s="270">
        <f t="shared" si="840"/>
        <v>0</v>
      </c>
      <c r="BE714" s="199">
        <f t="shared" si="858"/>
        <v>0</v>
      </c>
      <c r="BF714" s="251">
        <f t="shared" si="842"/>
        <v>0</v>
      </c>
      <c r="BG714" s="204">
        <f t="shared" si="859"/>
        <v>0</v>
      </c>
      <c r="BH714" s="636">
        <v>1</v>
      </c>
      <c r="BI714" s="199">
        <f t="shared" si="883"/>
        <v>79667.068358009419</v>
      </c>
      <c r="BJ714" s="199">
        <f t="shared" si="884"/>
        <v>159334.13671601884</v>
      </c>
      <c r="BK714" s="199">
        <f t="shared" si="891"/>
        <v>239001.20507402826</v>
      </c>
      <c r="BL714" s="251">
        <f t="shared" si="885"/>
        <v>1.0084456010287894E-3</v>
      </c>
      <c r="BM714" s="199">
        <f t="shared" si="860"/>
        <v>22089.043605487972</v>
      </c>
      <c r="BN714" s="251">
        <f t="shared" si="886"/>
        <v>9.5387359861040088E-4</v>
      </c>
      <c r="BT714" s="199">
        <f>'Detailed Budget'!$AD$12</f>
        <v>194045122715</v>
      </c>
      <c r="BU714" s="199">
        <f>'Detailed Budget'!$AD$24</f>
        <v>194045122715</v>
      </c>
      <c r="BV714" s="596">
        <f t="shared" si="861"/>
        <v>0</v>
      </c>
      <c r="BW714" s="278"/>
      <c r="BX714" s="275">
        <f t="shared" si="868"/>
        <v>0</v>
      </c>
      <c r="BY714" s="275">
        <f t="shared" si="869"/>
        <v>0</v>
      </c>
      <c r="CA714" s="199">
        <f>'Detailed Budget'!$AD$96</f>
        <v>71050111380.677719</v>
      </c>
      <c r="CB714" s="275">
        <f t="shared" si="887"/>
        <v>107026178.5428907</v>
      </c>
      <c r="CE714" s="199">
        <f>'Detailed Budget'!$AD$175</f>
        <v>4330586076.5988197</v>
      </c>
      <c r="CF714" s="275">
        <f t="shared" si="862"/>
        <v>0</v>
      </c>
      <c r="CG714" s="199">
        <f>'Detailed Budget'!$AD$176</f>
        <v>20662817754.37001</v>
      </c>
      <c r="CH714" s="275">
        <f t="shared" si="863"/>
        <v>0</v>
      </c>
      <c r="CI714" s="275">
        <f t="shared" si="833"/>
        <v>0</v>
      </c>
      <c r="CJ714" s="275">
        <f>'Detailed Budget'!$AD$178</f>
        <v>46025131033.061455</v>
      </c>
      <c r="CK714" s="275">
        <f t="shared" si="864"/>
        <v>0</v>
      </c>
      <c r="CL714" s="275">
        <f t="shared" si="834"/>
        <v>0</v>
      </c>
      <c r="CM714" s="278">
        <f>'Detailed Budget'!$AD$189</f>
        <v>77498869683.252869</v>
      </c>
      <c r="CN714" s="275">
        <f t="shared" si="888"/>
        <v>78153394.216779768</v>
      </c>
      <c r="CO714" s="140">
        <f>'Detailed Budget'!$AD$191</f>
        <v>2684962805.4134097</v>
      </c>
      <c r="CP714" s="616">
        <f t="shared" si="889"/>
        <v>2707638.9300450706</v>
      </c>
      <c r="CQ714" s="616">
        <f t="shared" si="890"/>
        <v>80861033.146824837</v>
      </c>
      <c r="CR714" s="199">
        <f>'Detailed Budget'!$AD$195</f>
        <v>18734176418</v>
      </c>
      <c r="CS714" s="275">
        <f t="shared" si="865"/>
        <v>17870036.27683977</v>
      </c>
      <c r="CW714" s="278"/>
      <c r="DH714" s="140">
        <f>'Detailed Budget'!$AD$163</f>
        <v>4928560000</v>
      </c>
      <c r="DI714" s="616">
        <f t="shared" si="866"/>
        <v>6160000</v>
      </c>
    </row>
    <row r="715" spans="1:113" outlineLevel="1">
      <c r="A715" s="214" t="s">
        <v>1491</v>
      </c>
      <c r="B715" s="215" t="s">
        <v>1492</v>
      </c>
      <c r="C715" s="216" t="s">
        <v>234</v>
      </c>
      <c r="D715" s="217"/>
      <c r="E715" s="216"/>
      <c r="F715" s="216"/>
      <c r="G715" s="216" t="s">
        <v>234</v>
      </c>
      <c r="H715" s="216" t="s">
        <v>234</v>
      </c>
      <c r="I715" s="217" t="s">
        <v>234</v>
      </c>
      <c r="J715" s="217"/>
      <c r="K715" s="216"/>
      <c r="L715" s="216"/>
      <c r="M715" s="217"/>
      <c r="N715" s="216" t="s">
        <v>234</v>
      </c>
      <c r="O715" s="217"/>
      <c r="P715" s="216"/>
      <c r="Q715" s="217"/>
      <c r="R715" s="217" t="s">
        <v>234</v>
      </c>
      <c r="S715" s="217"/>
      <c r="T715" s="217"/>
      <c r="U715" s="218">
        <f t="shared" si="855"/>
        <v>6</v>
      </c>
      <c r="V715" s="867" t="s">
        <v>235</v>
      </c>
      <c r="W715" s="219">
        <v>99056</v>
      </c>
      <c r="X715" s="220">
        <v>2.78</v>
      </c>
      <c r="Y715" s="221">
        <f t="shared" si="870"/>
        <v>1.0278</v>
      </c>
      <c r="Z715" s="199">
        <v>19</v>
      </c>
      <c r="AA715" s="221">
        <f t="shared" si="871"/>
        <v>1.6836958972696243</v>
      </c>
      <c r="AB715" s="199">
        <f t="shared" si="873"/>
        <v>166780.1807999399</v>
      </c>
      <c r="AC715">
        <v>12.7</v>
      </c>
      <c r="AD715" s="199">
        <f t="shared" si="874"/>
        <v>21181.082961592369</v>
      </c>
      <c r="AE715" s="199">
        <f t="shared" si="872"/>
        <v>20122.028813512748</v>
      </c>
      <c r="AF715" s="199">
        <f t="shared" si="823"/>
        <v>0</v>
      </c>
      <c r="AG715" s="614">
        <f t="shared" si="892"/>
        <v>9.3035427497513553E-4</v>
      </c>
      <c r="AH715" s="199">
        <f t="shared" si="867"/>
        <v>8339.0090399969959</v>
      </c>
      <c r="AI715" s="252">
        <f t="shared" si="875"/>
        <v>6.4601039549574957E-4</v>
      </c>
      <c r="AJ715" s="199">
        <f t="shared" si="876"/>
        <v>29520.092001589364</v>
      </c>
      <c r="AK715" s="199">
        <f t="shared" si="829"/>
        <v>6671.207231997596</v>
      </c>
      <c r="AL715" s="199">
        <f t="shared" si="830"/>
        <v>6671.207231997596</v>
      </c>
      <c r="AM715" s="199">
        <f t="shared" si="877"/>
        <v>13342.414463995192</v>
      </c>
      <c r="AN715" s="645">
        <f t="shared" si="878"/>
        <v>6.4601039549574946E-4</v>
      </c>
      <c r="AO715" s="199">
        <v>11</v>
      </c>
      <c r="AP715" s="250">
        <f t="shared" si="879"/>
        <v>1.2498579706851495E-3</v>
      </c>
      <c r="AQ715" s="199">
        <v>11</v>
      </c>
      <c r="AU715" s="199">
        <v>0</v>
      </c>
      <c r="AW715" s="250">
        <f t="shared" si="880"/>
        <v>0</v>
      </c>
      <c r="AX715" s="199">
        <v>1</v>
      </c>
      <c r="AY715" s="199">
        <f t="shared" si="856"/>
        <v>12275.915380699522</v>
      </c>
      <c r="AZ715" s="199">
        <f t="shared" si="881"/>
        <v>12275.915380699522</v>
      </c>
      <c r="BA715" s="252">
        <f t="shared" si="882"/>
        <v>9.6496661116258695E-4</v>
      </c>
      <c r="BB715" s="284">
        <v>0</v>
      </c>
      <c r="BC715" s="199">
        <f t="shared" si="857"/>
        <v>0</v>
      </c>
      <c r="BD715" s="270">
        <f t="shared" si="840"/>
        <v>0</v>
      </c>
      <c r="BE715" s="199">
        <f t="shared" si="858"/>
        <v>0</v>
      </c>
      <c r="BF715" s="251">
        <f t="shared" si="842"/>
        <v>0</v>
      </c>
      <c r="BG715" s="204">
        <f t="shared" si="859"/>
        <v>0</v>
      </c>
      <c r="BH715" s="636">
        <v>1</v>
      </c>
      <c r="BI715" s="199">
        <f t="shared" si="883"/>
        <v>51034.735324781606</v>
      </c>
      <c r="BJ715" s="199">
        <f t="shared" si="884"/>
        <v>102069.47064956321</v>
      </c>
      <c r="BK715" s="199">
        <f t="shared" si="891"/>
        <v>153104.2059743448</v>
      </c>
      <c r="BL715" s="251">
        <f t="shared" si="885"/>
        <v>6.4601039549574935E-4</v>
      </c>
      <c r="BM715" s="199">
        <f t="shared" si="860"/>
        <v>14150.244476396667</v>
      </c>
      <c r="BN715" s="251">
        <f t="shared" si="886"/>
        <v>6.1105156298229234E-4</v>
      </c>
      <c r="BT715" s="199">
        <f>'Detailed Budget'!$AD$12</f>
        <v>194045122715</v>
      </c>
      <c r="BU715" s="199">
        <f>'Detailed Budget'!$AD$24</f>
        <v>194045122715</v>
      </c>
      <c r="BV715" s="596">
        <f t="shared" si="861"/>
        <v>0</v>
      </c>
      <c r="BW715" s="278"/>
      <c r="BX715" s="275">
        <f t="shared" si="868"/>
        <v>0</v>
      </c>
      <c r="BY715" s="275">
        <f t="shared" si="869"/>
        <v>0</v>
      </c>
      <c r="CA715" s="199">
        <f>'Detailed Budget'!$AD$96</f>
        <v>71050111380.677719</v>
      </c>
      <c r="CB715" s="275">
        <f t="shared" si="887"/>
        <v>68560985.201736927</v>
      </c>
      <c r="CE715" s="199">
        <f>'Detailed Budget'!$AD$175</f>
        <v>4330586076.5988197</v>
      </c>
      <c r="CF715" s="275">
        <f t="shared" si="862"/>
        <v>0</v>
      </c>
      <c r="CG715" s="199">
        <f>'Detailed Budget'!$AD$176</f>
        <v>20662817754.37001</v>
      </c>
      <c r="CH715" s="275">
        <f t="shared" si="863"/>
        <v>0</v>
      </c>
      <c r="CI715" s="275">
        <f t="shared" si="833"/>
        <v>0</v>
      </c>
      <c r="CJ715" s="275">
        <f>'Detailed Budget'!$AD$178</f>
        <v>46025131033.061455</v>
      </c>
      <c r="CK715" s="275">
        <f t="shared" si="864"/>
        <v>0</v>
      </c>
      <c r="CL715" s="275">
        <f t="shared" si="834"/>
        <v>0</v>
      </c>
      <c r="CM715" s="278">
        <f>'Detailed Budget'!$AD$189</f>
        <v>77498869683.252869</v>
      </c>
      <c r="CN715" s="275">
        <f t="shared" si="888"/>
        <v>50065075.454551727</v>
      </c>
      <c r="CO715" s="140">
        <f>'Detailed Budget'!$AD$191</f>
        <v>2684962805.4134097</v>
      </c>
      <c r="CP715" s="616">
        <f t="shared" si="889"/>
        <v>1734513.8838164939</v>
      </c>
      <c r="CQ715" s="616">
        <f t="shared" si="890"/>
        <v>51799589.338368222</v>
      </c>
      <c r="CR715" s="199">
        <f>'Detailed Budget'!$AD$195</f>
        <v>18734176418</v>
      </c>
      <c r="CS715" s="275">
        <f t="shared" si="865"/>
        <v>11447547.781404903</v>
      </c>
      <c r="CW715" s="278"/>
      <c r="DH715" s="140">
        <f>'Detailed Budget'!$AD$163</f>
        <v>4928560000</v>
      </c>
      <c r="DI715" s="616">
        <f t="shared" si="866"/>
        <v>6160000</v>
      </c>
    </row>
    <row r="716" spans="1:113" outlineLevel="1">
      <c r="A716" s="214" t="s">
        <v>1493</v>
      </c>
      <c r="B716" s="215" t="s">
        <v>1494</v>
      </c>
      <c r="C716" s="216" t="s">
        <v>234</v>
      </c>
      <c r="D716" s="217"/>
      <c r="E716" s="216"/>
      <c r="F716" s="216"/>
      <c r="G716" s="216" t="s">
        <v>234</v>
      </c>
      <c r="H716" s="216" t="s">
        <v>234</v>
      </c>
      <c r="I716" s="217" t="s">
        <v>234</v>
      </c>
      <c r="J716" s="217"/>
      <c r="K716" s="216"/>
      <c r="L716" s="216"/>
      <c r="M716" s="217"/>
      <c r="N716" s="216" t="s">
        <v>234</v>
      </c>
      <c r="O716" s="217"/>
      <c r="P716" s="216"/>
      <c r="Q716" s="217" t="s">
        <v>234</v>
      </c>
      <c r="R716" s="217"/>
      <c r="S716" s="217"/>
      <c r="T716" s="217"/>
      <c r="U716" s="218">
        <f t="shared" si="855"/>
        <v>6</v>
      </c>
      <c r="V716" s="867" t="s">
        <v>1096</v>
      </c>
      <c r="W716" s="219">
        <v>121749</v>
      </c>
      <c r="X716" s="220">
        <v>2.78</v>
      </c>
      <c r="Y716" s="221">
        <f t="shared" si="870"/>
        <v>1.0278</v>
      </c>
      <c r="Z716" s="199">
        <v>19</v>
      </c>
      <c r="AA716" s="221">
        <f t="shared" si="871"/>
        <v>1.6836958972696243</v>
      </c>
      <c r="AB716" s="199">
        <f t="shared" si="873"/>
        <v>204988.29179667949</v>
      </c>
      <c r="AC716">
        <v>12.7</v>
      </c>
      <c r="AD716" s="199">
        <f t="shared" si="874"/>
        <v>26033.513058178294</v>
      </c>
      <c r="AE716" s="199">
        <f t="shared" si="872"/>
        <v>24731.83740526938</v>
      </c>
      <c r="AF716" s="199">
        <f t="shared" ref="AF716:AF779" si="893">AE716*BB716</f>
        <v>0</v>
      </c>
      <c r="AG716" s="614">
        <f t="shared" si="892"/>
        <v>1.1434915868190497E-3</v>
      </c>
      <c r="AH716" s="199">
        <f t="shared" si="867"/>
        <v>10249.414589833976</v>
      </c>
      <c r="AI716" s="252">
        <f t="shared" si="875"/>
        <v>7.9400661889448415E-4</v>
      </c>
      <c r="AJ716" s="199">
        <f t="shared" si="876"/>
        <v>36282.927648012272</v>
      </c>
      <c r="AK716" s="199">
        <f t="shared" si="829"/>
        <v>8199.5316718671802</v>
      </c>
      <c r="AL716" s="199">
        <f t="shared" si="830"/>
        <v>8199.5316718671802</v>
      </c>
      <c r="AM716" s="199">
        <f t="shared" si="877"/>
        <v>16399.06334373436</v>
      </c>
      <c r="AN716" s="645">
        <f t="shared" si="878"/>
        <v>7.9400661889448404E-4</v>
      </c>
      <c r="AO716" s="199">
        <v>10</v>
      </c>
      <c r="AP716" s="250">
        <f t="shared" si="879"/>
        <v>1.1362345188046814E-3</v>
      </c>
      <c r="AQ716" s="199">
        <v>10</v>
      </c>
      <c r="AU716" s="199">
        <v>0</v>
      </c>
      <c r="AW716" s="250">
        <f t="shared" si="880"/>
        <v>0</v>
      </c>
      <c r="AX716" s="199">
        <v>1</v>
      </c>
      <c r="AY716" s="199">
        <f t="shared" si="856"/>
        <v>15088.237175787292</v>
      </c>
      <c r="AZ716" s="199">
        <f t="shared" si="881"/>
        <v>15088.237175787292</v>
      </c>
      <c r="BA716" s="252">
        <f t="shared" si="882"/>
        <v>1.1860333542888244E-3</v>
      </c>
      <c r="BB716" s="284">
        <v>0</v>
      </c>
      <c r="BC716" s="199">
        <f t="shared" si="857"/>
        <v>0</v>
      </c>
      <c r="BD716" s="270">
        <f t="shared" si="840"/>
        <v>0</v>
      </c>
      <c r="BE716" s="199">
        <f t="shared" si="858"/>
        <v>0</v>
      </c>
      <c r="BF716" s="251">
        <f t="shared" si="842"/>
        <v>0</v>
      </c>
      <c r="BG716" s="204">
        <f t="shared" si="859"/>
        <v>0</v>
      </c>
      <c r="BH716" s="636">
        <v>1</v>
      </c>
      <c r="BI716" s="199">
        <f t="shared" si="883"/>
        <v>62726.417289783931</v>
      </c>
      <c r="BJ716" s="199">
        <f t="shared" si="884"/>
        <v>125452.83457956786</v>
      </c>
      <c r="BK716" s="199">
        <f t="shared" si="891"/>
        <v>188179.25186935178</v>
      </c>
      <c r="BL716" s="251">
        <f t="shared" si="885"/>
        <v>7.9400661889448404E-4</v>
      </c>
      <c r="BM716" s="199">
        <f t="shared" si="860"/>
        <v>17391.961261880326</v>
      </c>
      <c r="BN716" s="251">
        <f t="shared" si="886"/>
        <v>7.5103897534254467E-4</v>
      </c>
      <c r="BT716" s="199">
        <f>'Detailed Budget'!$AD$12</f>
        <v>194045122715</v>
      </c>
      <c r="BU716" s="199">
        <f>'Detailed Budget'!$AD$24</f>
        <v>194045122715</v>
      </c>
      <c r="BV716" s="596">
        <f t="shared" si="861"/>
        <v>0</v>
      </c>
      <c r="BW716" s="278"/>
      <c r="BX716" s="275">
        <f t="shared" si="868"/>
        <v>0</v>
      </c>
      <c r="BY716" s="275">
        <f t="shared" si="869"/>
        <v>0</v>
      </c>
      <c r="CA716" s="199">
        <f>'Detailed Budget'!$AD$96</f>
        <v>71050111380.677719</v>
      </c>
      <c r="CB716" s="275">
        <f t="shared" si="887"/>
        <v>84267801.923419774</v>
      </c>
      <c r="CE716" s="199">
        <f>'Detailed Budget'!$AD$175</f>
        <v>4330586076.5988197</v>
      </c>
      <c r="CF716" s="275">
        <f t="shared" si="862"/>
        <v>0</v>
      </c>
      <c r="CG716" s="199">
        <f>'Detailed Budget'!$AD$176</f>
        <v>20662817754.37001</v>
      </c>
      <c r="CH716" s="275">
        <f t="shared" si="863"/>
        <v>0</v>
      </c>
      <c r="CI716" s="275">
        <f t="shared" si="833"/>
        <v>0</v>
      </c>
      <c r="CJ716" s="275">
        <f>'Detailed Budget'!$AD$178</f>
        <v>46025131033.061455</v>
      </c>
      <c r="CK716" s="275">
        <f t="shared" si="864"/>
        <v>0</v>
      </c>
      <c r="CL716" s="275">
        <f t="shared" si="834"/>
        <v>0</v>
      </c>
      <c r="CM716" s="278">
        <f>'Detailed Budget'!$AD$189</f>
        <v>77498869683.252869</v>
      </c>
      <c r="CN716" s="275">
        <f t="shared" si="888"/>
        <v>61534615.485343844</v>
      </c>
      <c r="CO716" s="140">
        <f>'Detailed Budget'!$AD$191</f>
        <v>2684962805.4134097</v>
      </c>
      <c r="CP716" s="616">
        <f t="shared" si="889"/>
        <v>2131878.2389837499</v>
      </c>
      <c r="CQ716" s="616">
        <f t="shared" si="890"/>
        <v>63666493.724327594</v>
      </c>
      <c r="CR716" s="199">
        <f>'Detailed Budget'!$AD$195</f>
        <v>18734176418</v>
      </c>
      <c r="CS716" s="275">
        <f t="shared" si="865"/>
        <v>14070096.660861183</v>
      </c>
      <c r="CW716" s="278"/>
      <c r="DH716" s="140">
        <f>'Detailed Budget'!$AD$163</f>
        <v>4928560000</v>
      </c>
      <c r="DI716" s="616">
        <f t="shared" si="866"/>
        <v>5600000</v>
      </c>
    </row>
    <row r="717" spans="1:113" outlineLevel="1">
      <c r="A717" s="214"/>
      <c r="B717" s="215"/>
      <c r="C717" s="216"/>
      <c r="D717" s="217"/>
      <c r="E717" s="216"/>
      <c r="F717" s="216"/>
      <c r="G717" s="216"/>
      <c r="H717" s="216"/>
      <c r="I717" s="217"/>
      <c r="J717" s="217"/>
      <c r="K717" s="216"/>
      <c r="L717" s="216"/>
      <c r="M717" s="217"/>
      <c r="N717" s="216"/>
      <c r="O717" s="217"/>
      <c r="P717" s="216"/>
      <c r="Q717" s="217"/>
      <c r="R717" s="217"/>
      <c r="S717" s="217"/>
      <c r="T717" s="217"/>
      <c r="U717" s="218"/>
      <c r="V717" s="867"/>
      <c r="W717" s="219"/>
      <c r="X717" s="220"/>
      <c r="Y717" s="221"/>
      <c r="Z717" s="199"/>
      <c r="AA717" s="221"/>
      <c r="AF717" s="199">
        <f t="shared" si="893"/>
        <v>0</v>
      </c>
      <c r="AG717" s="614">
        <f t="shared" si="892"/>
        <v>0</v>
      </c>
      <c r="AJ717" s="199"/>
      <c r="AK717" s="199">
        <f t="shared" si="829"/>
        <v>0</v>
      </c>
      <c r="AL717" s="199">
        <f t="shared" si="830"/>
        <v>0</v>
      </c>
      <c r="AM717" s="199">
        <f t="shared" si="877"/>
        <v>0</v>
      </c>
      <c r="AN717" s="645">
        <f t="shared" si="878"/>
        <v>0</v>
      </c>
      <c r="AP717" s="250">
        <f t="shared" si="879"/>
        <v>0</v>
      </c>
      <c r="AW717" s="250">
        <f t="shared" si="880"/>
        <v>0</v>
      </c>
      <c r="AX717" s="199"/>
      <c r="BA717" s="252">
        <f t="shared" si="882"/>
        <v>0</v>
      </c>
      <c r="BB717" s="284"/>
      <c r="BD717" s="270"/>
      <c r="BF717" s="251"/>
      <c r="BG717" s="204"/>
      <c r="BH717" s="636"/>
      <c r="BI717" s="199">
        <f t="shared" si="883"/>
        <v>0</v>
      </c>
      <c r="BJ717" s="199">
        <f t="shared" si="884"/>
        <v>0</v>
      </c>
      <c r="BK717" s="199">
        <f t="shared" si="891"/>
        <v>0</v>
      </c>
      <c r="BL717" s="251">
        <f t="shared" si="885"/>
        <v>0</v>
      </c>
      <c r="BN717" s="251">
        <f t="shared" si="886"/>
        <v>0</v>
      </c>
      <c r="BT717" s="199"/>
      <c r="BU717" s="199"/>
      <c r="BV717" s="596"/>
      <c r="BW717" s="278"/>
      <c r="BX717" s="275"/>
      <c r="BY717" s="275"/>
      <c r="CA717" s="199">
        <f>'Detailed Budget'!$AD$96</f>
        <v>71050111380.677719</v>
      </c>
      <c r="CB717" s="275">
        <f t="shared" si="887"/>
        <v>0</v>
      </c>
      <c r="CE717" s="199"/>
      <c r="CF717" s="275"/>
      <c r="CG717" s="199"/>
      <c r="CH717" s="275"/>
      <c r="CI717" s="275"/>
      <c r="CJ717" s="275"/>
      <c r="CK717" s="275"/>
      <c r="CL717" s="275"/>
      <c r="CM717" s="278">
        <f>'Detailed Budget'!$AD$189</f>
        <v>77498869683.252869</v>
      </c>
      <c r="CN717" s="275">
        <f t="shared" si="888"/>
        <v>0</v>
      </c>
      <c r="CO717" s="140">
        <f>'Detailed Budget'!$AD$191</f>
        <v>2684962805.4134097</v>
      </c>
      <c r="CP717" s="616">
        <f t="shared" si="889"/>
        <v>0</v>
      </c>
      <c r="CQ717" s="616">
        <f t="shared" si="890"/>
        <v>0</v>
      </c>
      <c r="CR717" s="199"/>
      <c r="CS717" s="275"/>
      <c r="CW717" s="278"/>
      <c r="DH717" s="140">
        <f>'Detailed Budget'!$AD$163</f>
        <v>4928560000</v>
      </c>
      <c r="DI717" s="616">
        <f t="shared" si="866"/>
        <v>0</v>
      </c>
    </row>
    <row r="718" spans="1:113" s="213" customFormat="1">
      <c r="A718" s="206">
        <v>5.6</v>
      </c>
      <c r="B718" s="207" t="s">
        <v>1495</v>
      </c>
      <c r="C718" s="208">
        <f>COUNTA(C720:C742)</f>
        <v>23</v>
      </c>
      <c r="D718" s="208">
        <f t="shared" ref="D718:T718" si="894">COUNTA(D720:D742)</f>
        <v>0</v>
      </c>
      <c r="E718" s="208">
        <f t="shared" si="894"/>
        <v>0</v>
      </c>
      <c r="F718" s="208">
        <f t="shared" si="894"/>
        <v>0</v>
      </c>
      <c r="G718" s="208">
        <f t="shared" si="894"/>
        <v>23</v>
      </c>
      <c r="H718" s="208">
        <f t="shared" si="894"/>
        <v>23</v>
      </c>
      <c r="I718" s="208">
        <f t="shared" si="894"/>
        <v>23</v>
      </c>
      <c r="J718" s="208">
        <f t="shared" si="894"/>
        <v>0</v>
      </c>
      <c r="K718" s="208">
        <f t="shared" si="894"/>
        <v>0</v>
      </c>
      <c r="L718" s="208">
        <f t="shared" si="894"/>
        <v>0</v>
      </c>
      <c r="M718" s="208">
        <f t="shared" si="894"/>
        <v>23</v>
      </c>
      <c r="N718" s="208">
        <f t="shared" si="894"/>
        <v>0</v>
      </c>
      <c r="O718" s="208">
        <f t="shared" si="894"/>
        <v>0</v>
      </c>
      <c r="P718" s="208">
        <f t="shared" si="894"/>
        <v>0</v>
      </c>
      <c r="Q718" s="208">
        <f t="shared" si="894"/>
        <v>0</v>
      </c>
      <c r="R718" s="208">
        <f t="shared" si="894"/>
        <v>23</v>
      </c>
      <c r="S718" s="208">
        <f t="shared" si="894"/>
        <v>0</v>
      </c>
      <c r="T718" s="208">
        <f t="shared" si="894"/>
        <v>0</v>
      </c>
      <c r="U718" s="209">
        <f>SUM(C718:T718)</f>
        <v>138</v>
      </c>
      <c r="V718" s="866"/>
      <c r="W718" s="210">
        <f>SUM(W720:W742)</f>
        <v>5198716</v>
      </c>
      <c r="X718" s="211">
        <v>3.41</v>
      </c>
      <c r="Y718" s="212">
        <f t="shared" si="870"/>
        <v>1.0341</v>
      </c>
      <c r="Z718" s="210">
        <v>19</v>
      </c>
      <c r="AA718" s="212">
        <f t="shared" si="871"/>
        <v>1.8909856119855175</v>
      </c>
      <c r="AB718" s="210">
        <f t="shared" si="873"/>
        <v>9830697.156798901</v>
      </c>
      <c r="AC718" s="213">
        <v>11.9</v>
      </c>
      <c r="AD718" s="210">
        <f t="shared" si="874"/>
        <v>1169852.9616590692</v>
      </c>
      <c r="AE718" s="210">
        <f t="shared" si="872"/>
        <v>1111360.3135761158</v>
      </c>
      <c r="AF718" s="210">
        <f>SUM(AF720:AF742)</f>
        <v>0</v>
      </c>
      <c r="AG718" s="614">
        <f t="shared" si="892"/>
        <v>5.1384421936564458E-2</v>
      </c>
      <c r="AH718" s="210">
        <f>SUM(AH720:AH742)</f>
        <v>491534.85783994506</v>
      </c>
      <c r="AI718" s="252">
        <f t="shared" si="875"/>
        <v>3.8078460688806777E-2</v>
      </c>
      <c r="AJ718" s="210">
        <f>SUM(AJ720:AJ742)</f>
        <v>1661387.8194990144</v>
      </c>
      <c r="AK718" s="199">
        <f t="shared" si="829"/>
        <v>393227.88627195603</v>
      </c>
      <c r="AL718" s="199">
        <f t="shared" si="830"/>
        <v>393227.88627195603</v>
      </c>
      <c r="AM718" s="199">
        <f t="shared" si="877"/>
        <v>786455.77254391205</v>
      </c>
      <c r="AN718" s="645">
        <f t="shared" si="878"/>
        <v>3.8078460688806777E-2</v>
      </c>
      <c r="AO718" s="210">
        <f>SUM(AO720:AO742)</f>
        <v>319</v>
      </c>
      <c r="AP718" s="250">
        <f t="shared" si="879"/>
        <v>3.6245881149869333E-2</v>
      </c>
      <c r="AQ718" s="210">
        <f>SUM(AQ720:AQ742)</f>
        <v>319</v>
      </c>
      <c r="AR718" s="210"/>
      <c r="AS718" s="210"/>
      <c r="AT718" s="210"/>
      <c r="AU718" s="199"/>
      <c r="AV718" s="199"/>
      <c r="AW718" s="250">
        <f t="shared" si="880"/>
        <v>0</v>
      </c>
      <c r="AX718" s="199"/>
      <c r="AY718" s="210">
        <v>478022</v>
      </c>
      <c r="AZ718" s="210">
        <f>SUM(AZ720:AZ742)</f>
        <v>478021.9480654475</v>
      </c>
      <c r="BA718" s="252">
        <f t="shared" si="882"/>
        <v>3.7575627151298273E-2</v>
      </c>
      <c r="BB718" s="284"/>
      <c r="BC718" s="210"/>
      <c r="BD718" s="270">
        <f t="shared" si="840"/>
        <v>0</v>
      </c>
      <c r="BE718" s="210"/>
      <c r="BF718" s="251">
        <f t="shared" si="842"/>
        <v>0</v>
      </c>
      <c r="BH718"/>
      <c r="BI718" s="199">
        <f t="shared" si="883"/>
        <v>3008193.3299804637</v>
      </c>
      <c r="BJ718" s="199">
        <f t="shared" si="884"/>
        <v>6016386.6599609274</v>
      </c>
      <c r="BK718" s="199">
        <f t="shared" si="891"/>
        <v>9024579.9899413921</v>
      </c>
      <c r="BL718" s="251">
        <f t="shared" si="885"/>
        <v>3.8078460688806777E-2</v>
      </c>
      <c r="BM718" s="210">
        <v>776822</v>
      </c>
      <c r="BN718" s="251">
        <f t="shared" si="886"/>
        <v>3.3545589834212269E-2</v>
      </c>
      <c r="BT718" s="210">
        <f>'Detailed Budget'!$AD$12</f>
        <v>194045122715</v>
      </c>
      <c r="BU718" s="210">
        <f>'Detailed Budget'!$AD$24</f>
        <v>194045122715</v>
      </c>
      <c r="BV718" s="596">
        <f>AV718/34743979</f>
        <v>0</v>
      </c>
      <c r="BW718" s="278"/>
      <c r="BX718" s="613">
        <f t="shared" si="868"/>
        <v>0</v>
      </c>
      <c r="BY718" s="613">
        <f t="shared" si="869"/>
        <v>0</v>
      </c>
      <c r="CA718" s="210">
        <f>'Detailed Budget'!$AD$96</f>
        <v>71050111380.677719</v>
      </c>
      <c r="CB718" s="613">
        <f t="shared" si="887"/>
        <v>2669752494.2985601</v>
      </c>
      <c r="CE718" s="210">
        <f>'Detailed Budget'!$AD$175</f>
        <v>4330586076.5988197</v>
      </c>
      <c r="CF718" s="613">
        <f>SUM(CF720:CF742)</f>
        <v>0</v>
      </c>
      <c r="CG718" s="632">
        <f>'Detailed Budget'!$AD$176</f>
        <v>20662817754.37001</v>
      </c>
      <c r="CH718" s="613">
        <f>SUM(CH720:CH742)</f>
        <v>0</v>
      </c>
      <c r="CI718" s="613">
        <f>SUM(CI720:CI742)</f>
        <v>0</v>
      </c>
      <c r="CJ718" s="275">
        <f>'Detailed Budget'!$AD$178</f>
        <v>46025131033.061455</v>
      </c>
      <c r="CK718" s="613">
        <f>SUM(CK720:CK742)</f>
        <v>0</v>
      </c>
      <c r="CL718" s="613">
        <f>SUM(CL720:CL742)</f>
        <v>0</v>
      </c>
      <c r="CM718" s="278">
        <f>'Detailed Budget'!$AD$189</f>
        <v>77498869683.252869</v>
      </c>
      <c r="CN718" s="275">
        <f t="shared" si="888"/>
        <v>0</v>
      </c>
      <c r="CO718" s="140">
        <f>'Detailed Budget'!$AD$191</f>
        <v>2684962805.4134097</v>
      </c>
      <c r="CP718" s="616">
        <f t="shared" si="889"/>
        <v>0</v>
      </c>
      <c r="CQ718" s="616">
        <f t="shared" si="890"/>
        <v>0</v>
      </c>
      <c r="CR718" s="210">
        <f>'Detailed Budget'!$AD$195</f>
        <v>18734176418</v>
      </c>
      <c r="CS718" s="275">
        <f>BN718*CR718</f>
        <v>628448998</v>
      </c>
      <c r="CW718" s="278"/>
      <c r="DH718" s="140">
        <f>'Detailed Budget'!$AD$163</f>
        <v>4928560000</v>
      </c>
      <c r="DI718" s="616">
        <f t="shared" si="866"/>
        <v>178640000</v>
      </c>
    </row>
    <row r="719" spans="1:113" s="213" customFormat="1">
      <c r="A719" s="214" t="s">
        <v>2349</v>
      </c>
      <c r="B719" s="215" t="s">
        <v>2318</v>
      </c>
      <c r="C719" s="208"/>
      <c r="D719" s="208"/>
      <c r="E719" s="208"/>
      <c r="F719" s="208"/>
      <c r="G719" s="208"/>
      <c r="H719" s="208"/>
      <c r="I719" s="208"/>
      <c r="J719" s="208"/>
      <c r="K719" s="208"/>
      <c r="L719" s="208"/>
      <c r="M719" s="208"/>
      <c r="N719" s="208"/>
      <c r="O719" s="208"/>
      <c r="P719" s="208"/>
      <c r="Q719" s="208"/>
      <c r="R719" s="208"/>
      <c r="S719" s="208"/>
      <c r="T719" s="208"/>
      <c r="U719" s="209"/>
      <c r="V719" s="866"/>
      <c r="W719" s="210"/>
      <c r="X719" s="211"/>
      <c r="Y719" s="212"/>
      <c r="Z719" s="210"/>
      <c r="AA719" s="212"/>
      <c r="AB719" s="210"/>
      <c r="AD719" s="210"/>
      <c r="AE719" s="199"/>
      <c r="AF719" s="199"/>
      <c r="AG719" s="614">
        <f t="shared" si="892"/>
        <v>0</v>
      </c>
      <c r="AH719" s="210"/>
      <c r="AI719" s="252"/>
      <c r="AJ719" s="199"/>
      <c r="AK719" s="199">
        <f t="shared" si="829"/>
        <v>0</v>
      </c>
      <c r="AL719" s="199">
        <f t="shared" si="830"/>
        <v>0</v>
      </c>
      <c r="AM719" s="199">
        <f t="shared" si="877"/>
        <v>0</v>
      </c>
      <c r="AN719" s="645">
        <f t="shared" si="878"/>
        <v>0</v>
      </c>
      <c r="AO719" s="210"/>
      <c r="AP719" s="250"/>
      <c r="AQ719" s="210"/>
      <c r="AR719" s="210"/>
      <c r="AS719" s="210"/>
      <c r="AT719" s="210"/>
      <c r="AU719" s="199"/>
      <c r="AV719" s="199"/>
      <c r="AW719" s="250">
        <f t="shared" si="880"/>
        <v>0</v>
      </c>
      <c r="AX719" s="199"/>
      <c r="AY719" s="210"/>
      <c r="AZ719" s="199"/>
      <c r="BA719" s="252">
        <f t="shared" si="882"/>
        <v>0</v>
      </c>
      <c r="BB719" s="284"/>
      <c r="BC719" s="210"/>
      <c r="BD719" s="270">
        <f t="shared" si="840"/>
        <v>0</v>
      </c>
      <c r="BE719" s="210"/>
      <c r="BF719" s="251">
        <f t="shared" si="842"/>
        <v>0</v>
      </c>
      <c r="BH719"/>
      <c r="BI719" s="199">
        <f t="shared" si="883"/>
        <v>0</v>
      </c>
      <c r="BJ719" s="199">
        <f t="shared" si="884"/>
        <v>0</v>
      </c>
      <c r="BK719" s="199">
        <f t="shared" si="891"/>
        <v>0</v>
      </c>
      <c r="BL719" s="251">
        <f t="shared" si="885"/>
        <v>0</v>
      </c>
      <c r="BM719" s="210"/>
      <c r="BN719" s="251">
        <f t="shared" si="886"/>
        <v>0</v>
      </c>
      <c r="BT719" s="210"/>
      <c r="BU719" s="210">
        <f>'Detailed Budget'!$AD$24</f>
        <v>194045122715</v>
      </c>
      <c r="BV719" s="596"/>
      <c r="BW719" s="278"/>
      <c r="BX719" s="275"/>
      <c r="BY719" s="275"/>
      <c r="CA719" s="210"/>
      <c r="CB719" s="275"/>
      <c r="CE719" s="210"/>
      <c r="CF719" s="275"/>
      <c r="CG719" s="240"/>
      <c r="CH719" s="275"/>
      <c r="CI719" s="275"/>
      <c r="CJ719" s="275"/>
      <c r="CK719" s="275"/>
      <c r="CL719" s="275"/>
      <c r="CM719" s="278">
        <f>'Detailed Budget'!$AD$189</f>
        <v>77498869683.252869</v>
      </c>
      <c r="CN719" s="275">
        <f t="shared" si="888"/>
        <v>0</v>
      </c>
      <c r="CO719" s="140">
        <f>'Detailed Budget'!$AD$191</f>
        <v>2684962805.4134097</v>
      </c>
      <c r="CP719" s="616">
        <f t="shared" si="889"/>
        <v>0</v>
      </c>
      <c r="CQ719" s="616">
        <f t="shared" si="890"/>
        <v>0</v>
      </c>
      <c r="CR719" s="210"/>
      <c r="CS719" s="275"/>
      <c r="CW719" s="278"/>
      <c r="DH719" s="140"/>
      <c r="DI719" s="616"/>
    </row>
    <row r="720" spans="1:113" outlineLevel="1">
      <c r="A720" s="214" t="s">
        <v>1496</v>
      </c>
      <c r="B720" s="215" t="s">
        <v>1497</v>
      </c>
      <c r="C720" s="216" t="s">
        <v>234</v>
      </c>
      <c r="D720" s="217"/>
      <c r="E720" s="216"/>
      <c r="F720" s="216"/>
      <c r="G720" s="216" t="s">
        <v>234</v>
      </c>
      <c r="H720" s="216" t="s">
        <v>234</v>
      </c>
      <c r="I720" s="217" t="s">
        <v>234</v>
      </c>
      <c r="J720" s="217"/>
      <c r="K720" s="216"/>
      <c r="L720" s="216"/>
      <c r="M720" s="217" t="s">
        <v>234</v>
      </c>
      <c r="N720" s="216"/>
      <c r="O720" s="217"/>
      <c r="P720" s="216"/>
      <c r="Q720" s="217"/>
      <c r="R720" s="217" t="s">
        <v>234</v>
      </c>
      <c r="S720" s="217"/>
      <c r="T720" s="217"/>
      <c r="U720" s="218">
        <f t="shared" ref="U720:U742" si="895">COUNTA(C720:T720)</f>
        <v>6</v>
      </c>
      <c r="V720" s="867" t="s">
        <v>235</v>
      </c>
      <c r="W720" s="219">
        <v>282410</v>
      </c>
      <c r="X720" s="220">
        <v>3.41</v>
      </c>
      <c r="Y720" s="221">
        <f t="shared" si="870"/>
        <v>1.0341</v>
      </c>
      <c r="Z720" s="199">
        <v>19</v>
      </c>
      <c r="AA720" s="221">
        <f t="shared" si="871"/>
        <v>1.8909856119855175</v>
      </c>
      <c r="AB720" s="199">
        <f t="shared" si="873"/>
        <v>534033.24668083002</v>
      </c>
      <c r="AC720">
        <v>11.9</v>
      </c>
      <c r="AD720" s="199">
        <f t="shared" si="874"/>
        <v>63549.956355018774</v>
      </c>
      <c r="AE720" s="199">
        <f t="shared" si="872"/>
        <v>60372.458537267834</v>
      </c>
      <c r="AF720" s="199">
        <f t="shared" si="893"/>
        <v>0</v>
      </c>
      <c r="AG720" s="614">
        <f t="shared" si="892"/>
        <v>2.7913574427041541E-3</v>
      </c>
      <c r="AH720" s="199">
        <f>AB720*0.05</f>
        <v>26701.662334041503</v>
      </c>
      <c r="AI720" s="252">
        <f t="shared" si="875"/>
        <v>2.0685373240480771E-3</v>
      </c>
      <c r="AJ720" s="199">
        <f t="shared" si="876"/>
        <v>90251.618689060269</v>
      </c>
      <c r="AK720" s="199">
        <f t="shared" si="829"/>
        <v>21361.329867233202</v>
      </c>
      <c r="AL720" s="199">
        <f t="shared" si="830"/>
        <v>21361.329867233202</v>
      </c>
      <c r="AM720" s="199">
        <f t="shared" si="877"/>
        <v>42722.659734466404</v>
      </c>
      <c r="AN720" s="645">
        <f t="shared" si="878"/>
        <v>2.0685373240480771E-3</v>
      </c>
      <c r="AO720" s="199">
        <v>13</v>
      </c>
      <c r="AP720" s="250">
        <f t="shared" si="879"/>
        <v>1.4771048744460858E-3</v>
      </c>
      <c r="AQ720" s="199">
        <v>13</v>
      </c>
      <c r="AU720" s="199">
        <v>0</v>
      </c>
      <c r="AW720" s="250">
        <f t="shared" si="880"/>
        <v>0</v>
      </c>
      <c r="AX720" s="199">
        <v>1</v>
      </c>
      <c r="AY720" s="199">
        <f t="shared" ref="AY720:AY742" si="896">AJ720/1661388*478022</f>
        <v>25967.600144567055</v>
      </c>
      <c r="AZ720" s="199">
        <f t="shared" si="881"/>
        <v>25967.600144567055</v>
      </c>
      <c r="BA720" s="252">
        <f t="shared" si="882"/>
        <v>2.0412218832108059E-3</v>
      </c>
      <c r="BB720" s="284">
        <v>0</v>
      </c>
      <c r="BC720" s="199">
        <f t="shared" ref="BC720:BC742" si="897">AD720*BB720*0.18*4</f>
        <v>0</v>
      </c>
      <c r="BD720" s="270">
        <f t="shared" si="840"/>
        <v>0</v>
      </c>
      <c r="BE720" s="199">
        <f t="shared" ref="BE720:BE742" si="898">AD720*BB720*0.77*4</f>
        <v>0</v>
      </c>
      <c r="BF720" s="251">
        <f t="shared" si="842"/>
        <v>0</v>
      </c>
      <c r="BH720" s="636">
        <v>1</v>
      </c>
      <c r="BI720" s="199">
        <f t="shared" si="883"/>
        <v>163414.17348433397</v>
      </c>
      <c r="BJ720" s="199">
        <f t="shared" si="884"/>
        <v>326828.34696866793</v>
      </c>
      <c r="BK720" s="199">
        <f t="shared" si="891"/>
        <v>490242.5204530019</v>
      </c>
      <c r="BL720" s="251">
        <f t="shared" si="885"/>
        <v>2.0685373240480766E-3</v>
      </c>
      <c r="BM720" s="199">
        <f t="shared" ref="BM720:BM742" si="899">AH720/491535*776822</f>
        <v>42199.311824498334</v>
      </c>
      <c r="BN720" s="251">
        <f t="shared" si="886"/>
        <v>1.8222975221487611E-3</v>
      </c>
      <c r="BT720" s="199">
        <f>'Detailed Budget'!$AD$12</f>
        <v>194045122715</v>
      </c>
      <c r="BU720" s="199">
        <f>'Detailed Budget'!$AD$24</f>
        <v>194045122715</v>
      </c>
      <c r="BV720" s="596">
        <f t="shared" ref="BV720:BV745" si="900">AV720/34743979</f>
        <v>0</v>
      </c>
      <c r="BW720" s="278"/>
      <c r="BX720" s="275"/>
      <c r="BY720" s="275"/>
      <c r="CA720" s="199"/>
      <c r="CE720" s="199">
        <f>'Detailed Budget'!$AD$175</f>
        <v>4330586076.5988197</v>
      </c>
      <c r="CF720" s="275">
        <f t="shared" ref="CF720:CF742" si="901">BB720*BD720*CE720</f>
        <v>0</v>
      </c>
      <c r="CG720" s="199">
        <f>'Detailed Budget'!$AD$176</f>
        <v>20662817754.37001</v>
      </c>
      <c r="CH720" s="275">
        <f t="shared" ref="CH720:CH742" si="902">BB720*BF720*CG720</f>
        <v>0</v>
      </c>
      <c r="CI720" s="275">
        <f t="shared" si="833"/>
        <v>0</v>
      </c>
      <c r="CJ720" s="275">
        <f>'Detailed Budget'!$AD$178</f>
        <v>46025131033.061455</v>
      </c>
      <c r="CK720" s="275">
        <f t="shared" ref="CK720:CK742" si="903">BB720*AG720*CJ720</f>
        <v>0</v>
      </c>
      <c r="CL720" s="275">
        <f t="shared" si="834"/>
        <v>0</v>
      </c>
      <c r="CM720" s="278">
        <f>'Detailed Budget'!$AD$189</f>
        <v>77498869683.252869</v>
      </c>
      <c r="CN720" s="275">
        <f t="shared" si="888"/>
        <v>160309304.51134649</v>
      </c>
      <c r="CO720" s="140">
        <f>'Detailed Budget'!$AD$191</f>
        <v>2684962805.4134097</v>
      </c>
      <c r="CP720" s="616">
        <f t="shared" si="889"/>
        <v>5553945.7766784728</v>
      </c>
      <c r="CQ720" s="616">
        <f t="shared" si="890"/>
        <v>165863250.28802496</v>
      </c>
      <c r="CR720" s="199">
        <f>'Detailed Budget'!$AD$195</f>
        <v>18734176418</v>
      </c>
      <c r="CS720" s="275">
        <f t="shared" ref="CS720:CS742" si="904">BN720*CR720</f>
        <v>34139243.266019151</v>
      </c>
      <c r="CW720" s="278"/>
      <c r="DH720" s="140"/>
      <c r="DI720" s="616"/>
    </row>
    <row r="721" spans="1:113" outlineLevel="1">
      <c r="A721" s="214" t="s">
        <v>1498</v>
      </c>
      <c r="B721" s="215" t="s">
        <v>1499</v>
      </c>
      <c r="C721" s="216" t="s">
        <v>234</v>
      </c>
      <c r="D721" s="217"/>
      <c r="E721" s="216"/>
      <c r="F721" s="216"/>
      <c r="G721" s="216" t="s">
        <v>234</v>
      </c>
      <c r="H721" s="216" t="s">
        <v>234</v>
      </c>
      <c r="I721" s="217" t="s">
        <v>234</v>
      </c>
      <c r="J721" s="217"/>
      <c r="K721" s="216"/>
      <c r="L721" s="216"/>
      <c r="M721" s="217" t="s">
        <v>234</v>
      </c>
      <c r="N721" s="216"/>
      <c r="O721" s="217"/>
      <c r="P721" s="216"/>
      <c r="Q721" s="217"/>
      <c r="R721" s="217" t="s">
        <v>234</v>
      </c>
      <c r="S721" s="217"/>
      <c r="T721" s="217"/>
      <c r="U721" s="218">
        <f t="shared" si="895"/>
        <v>6</v>
      </c>
      <c r="V721" s="867" t="s">
        <v>235</v>
      </c>
      <c r="W721" s="219">
        <v>166324</v>
      </c>
      <c r="X721" s="220">
        <v>3.41</v>
      </c>
      <c r="Y721" s="221">
        <f t="shared" si="870"/>
        <v>1.0341</v>
      </c>
      <c r="Z721" s="199">
        <v>19</v>
      </c>
      <c r="AA721" s="221">
        <f t="shared" si="871"/>
        <v>1.8909856119855175</v>
      </c>
      <c r="AB721" s="199">
        <f t="shared" si="873"/>
        <v>314516.29092787922</v>
      </c>
      <c r="AC721">
        <v>11.9</v>
      </c>
      <c r="AD721" s="199">
        <f t="shared" si="874"/>
        <v>37427.438620417634</v>
      </c>
      <c r="AE721" s="199">
        <f t="shared" si="872"/>
        <v>35556.06668939675</v>
      </c>
      <c r="AF721" s="199">
        <f t="shared" si="893"/>
        <v>0</v>
      </c>
      <c r="AG721" s="614">
        <f t="shared" si="892"/>
        <v>1.6439564296601599E-3</v>
      </c>
      <c r="AH721" s="199">
        <f t="shared" ref="AH721:AH742" si="905">AB721*0.05</f>
        <v>15725.814546393962</v>
      </c>
      <c r="AI721" s="252">
        <f t="shared" si="875"/>
        <v>1.2182550259727785E-3</v>
      </c>
      <c r="AJ721" s="199">
        <f t="shared" si="876"/>
        <v>53153.253166811599</v>
      </c>
      <c r="AK721" s="199">
        <f t="shared" ref="AK721:AK784" si="906">AB721*0.04</f>
        <v>12580.651637115168</v>
      </c>
      <c r="AL721" s="199">
        <f t="shared" ref="AL721:AL784" si="907">AB721*0.04</f>
        <v>12580.651637115168</v>
      </c>
      <c r="AM721" s="199">
        <f t="shared" si="877"/>
        <v>25161.303274230337</v>
      </c>
      <c r="AN721" s="645">
        <f t="shared" si="878"/>
        <v>1.2182550259727783E-3</v>
      </c>
      <c r="AO721" s="199">
        <v>13</v>
      </c>
      <c r="AP721" s="250">
        <f t="shared" si="879"/>
        <v>1.4771048744460858E-3</v>
      </c>
      <c r="AQ721" s="199">
        <v>13</v>
      </c>
      <c r="AU721" s="199">
        <v>0</v>
      </c>
      <c r="AW721" s="250">
        <f t="shared" si="880"/>
        <v>0</v>
      </c>
      <c r="AX721" s="199">
        <v>1</v>
      </c>
      <c r="AY721" s="199">
        <f t="shared" si="896"/>
        <v>15293.492179614645</v>
      </c>
      <c r="AZ721" s="199">
        <f t="shared" si="881"/>
        <v>15293.492179614645</v>
      </c>
      <c r="BA721" s="252">
        <f t="shared" si="882"/>
        <v>1.2021677295533236E-3</v>
      </c>
      <c r="BB721" s="284">
        <v>0</v>
      </c>
      <c r="BC721" s="199">
        <f t="shared" si="897"/>
        <v>0</v>
      </c>
      <c r="BD721" s="270">
        <f t="shared" si="840"/>
        <v>0</v>
      </c>
      <c r="BE721" s="199">
        <f t="shared" si="898"/>
        <v>0</v>
      </c>
      <c r="BF721" s="251">
        <f t="shared" si="842"/>
        <v>0</v>
      </c>
      <c r="BG721" s="204">
        <f t="shared" ref="BG721:BG742" si="908">BC721+BE721</f>
        <v>0</v>
      </c>
      <c r="BH721" s="636">
        <v>1</v>
      </c>
      <c r="BI721" s="199">
        <f t="shared" si="883"/>
        <v>96241.985023931033</v>
      </c>
      <c r="BJ721" s="199">
        <f t="shared" si="884"/>
        <v>192483.97004786207</v>
      </c>
      <c r="BK721" s="199">
        <f t="shared" si="891"/>
        <v>288725.95507179311</v>
      </c>
      <c r="BL721" s="251">
        <f t="shared" si="885"/>
        <v>1.2182550259727783E-3</v>
      </c>
      <c r="BM721" s="199">
        <f t="shared" si="899"/>
        <v>24853.080060542688</v>
      </c>
      <c r="BN721" s="251">
        <f t="shared" si="886"/>
        <v>1.073233288742858E-3</v>
      </c>
      <c r="BT721" s="199">
        <f>'Detailed Budget'!$AD$12</f>
        <v>194045122715</v>
      </c>
      <c r="BU721" s="199">
        <f>'Detailed Budget'!$AD$24</f>
        <v>194045122715</v>
      </c>
      <c r="BV721" s="596">
        <f t="shared" si="900"/>
        <v>0</v>
      </c>
      <c r="BW721" s="278"/>
      <c r="BX721" s="275"/>
      <c r="BY721" s="275"/>
      <c r="CA721" s="199"/>
      <c r="CE721" s="199">
        <f>'Detailed Budget'!$AD$175</f>
        <v>4330586076.5988197</v>
      </c>
      <c r="CF721" s="275">
        <f t="shared" si="901"/>
        <v>0</v>
      </c>
      <c r="CG721" s="199">
        <f>'Detailed Budget'!$AD$176</f>
        <v>20662817754.37001</v>
      </c>
      <c r="CH721" s="275">
        <f t="shared" si="902"/>
        <v>0</v>
      </c>
      <c r="CI721" s="275">
        <f t="shared" si="833"/>
        <v>0</v>
      </c>
      <c r="CJ721" s="275">
        <f>'Detailed Budget'!$AD$178</f>
        <v>46025131033.061455</v>
      </c>
      <c r="CK721" s="275">
        <f t="shared" si="903"/>
        <v>0</v>
      </c>
      <c r="CL721" s="275">
        <f t="shared" si="834"/>
        <v>0</v>
      </c>
      <c r="CM721" s="278">
        <f>'Detailed Budget'!$AD$189</f>
        <v>77498869683.252869</v>
      </c>
      <c r="CN721" s="275">
        <f t="shared" si="888"/>
        <v>94413387.498832181</v>
      </c>
      <c r="CO721" s="140">
        <f>'Detailed Budget'!$AD$191</f>
        <v>2684962805.4134097</v>
      </c>
      <c r="CP721" s="616">
        <f t="shared" si="889"/>
        <v>3270969.4322448573</v>
      </c>
      <c r="CQ721" s="616">
        <f t="shared" si="890"/>
        <v>97684356.931077033</v>
      </c>
      <c r="CR721" s="199">
        <f>'Detailed Budget'!$AD$195</f>
        <v>18734176418</v>
      </c>
      <c r="CS721" s="275">
        <f t="shared" si="904"/>
        <v>20106141.768979035</v>
      </c>
      <c r="CW721" s="278"/>
      <c r="DH721" s="140"/>
      <c r="DI721" s="616"/>
    </row>
    <row r="722" spans="1:113" outlineLevel="1">
      <c r="A722" s="214" t="s">
        <v>1500</v>
      </c>
      <c r="B722" s="215" t="s">
        <v>1501</v>
      </c>
      <c r="C722" s="216" t="s">
        <v>234</v>
      </c>
      <c r="D722" s="217"/>
      <c r="E722" s="216"/>
      <c r="F722" s="216"/>
      <c r="G722" s="216" t="s">
        <v>234</v>
      </c>
      <c r="H722" s="216" t="s">
        <v>234</v>
      </c>
      <c r="I722" s="217" t="s">
        <v>234</v>
      </c>
      <c r="J722" s="217"/>
      <c r="K722" s="216"/>
      <c r="L722" s="216"/>
      <c r="M722" s="217" t="s">
        <v>234</v>
      </c>
      <c r="N722" s="216"/>
      <c r="O722" s="217"/>
      <c r="P722" s="216"/>
      <c r="Q722" s="217"/>
      <c r="R722" s="217" t="s">
        <v>234</v>
      </c>
      <c r="S722" s="217"/>
      <c r="T722" s="217"/>
      <c r="U722" s="218">
        <f t="shared" si="895"/>
        <v>6</v>
      </c>
      <c r="V722" s="867" t="s">
        <v>235</v>
      </c>
      <c r="W722" s="219">
        <v>249232</v>
      </c>
      <c r="X722" s="220">
        <v>3.41</v>
      </c>
      <c r="Y722" s="221">
        <f t="shared" si="870"/>
        <v>1.0341</v>
      </c>
      <c r="Z722" s="199">
        <v>19</v>
      </c>
      <c r="AA722" s="221">
        <f t="shared" si="871"/>
        <v>1.8909856119855175</v>
      </c>
      <c r="AB722" s="199">
        <f t="shared" si="873"/>
        <v>471294.1260463745</v>
      </c>
      <c r="AC722">
        <v>11.9</v>
      </c>
      <c r="AD722" s="199">
        <f t="shared" si="874"/>
        <v>56084.000999518568</v>
      </c>
      <c r="AE722" s="199">
        <f t="shared" si="872"/>
        <v>53279.800949542638</v>
      </c>
      <c r="AF722" s="199">
        <f t="shared" si="893"/>
        <v>0</v>
      </c>
      <c r="AG722" s="614">
        <f t="shared" si="892"/>
        <v>2.4634240931979807E-3</v>
      </c>
      <c r="AH722" s="199">
        <f t="shared" si="905"/>
        <v>23564.706302318726</v>
      </c>
      <c r="AI722" s="252">
        <f t="shared" si="875"/>
        <v>1.8255220932231518E-3</v>
      </c>
      <c r="AJ722" s="199">
        <f t="shared" si="876"/>
        <v>79648.70730183729</v>
      </c>
      <c r="AK722" s="199">
        <f t="shared" si="906"/>
        <v>18851.765041854982</v>
      </c>
      <c r="AL722" s="199">
        <f t="shared" si="907"/>
        <v>18851.765041854982</v>
      </c>
      <c r="AM722" s="199">
        <f t="shared" si="877"/>
        <v>37703.530083709964</v>
      </c>
      <c r="AN722" s="645">
        <f t="shared" si="878"/>
        <v>1.8255220932231521E-3</v>
      </c>
      <c r="AO722" s="199">
        <v>12</v>
      </c>
      <c r="AP722" s="250">
        <f t="shared" si="879"/>
        <v>1.3634814225656176E-3</v>
      </c>
      <c r="AQ722" s="199">
        <v>12</v>
      </c>
      <c r="AU722" s="199">
        <v>0</v>
      </c>
      <c r="AW722" s="250">
        <f t="shared" si="880"/>
        <v>0</v>
      </c>
      <c r="AX722" s="199">
        <v>1</v>
      </c>
      <c r="AY722" s="199">
        <f t="shared" si="896"/>
        <v>22916.882968842237</v>
      </c>
      <c r="AZ722" s="199">
        <f t="shared" si="881"/>
        <v>22916.882968842237</v>
      </c>
      <c r="BA722" s="252">
        <f t="shared" si="882"/>
        <v>1.8014157161445968E-3</v>
      </c>
      <c r="BB722" s="284">
        <v>0</v>
      </c>
      <c r="BC722" s="199">
        <f t="shared" si="897"/>
        <v>0</v>
      </c>
      <c r="BD722" s="270">
        <f t="shared" si="840"/>
        <v>0</v>
      </c>
      <c r="BE722" s="199">
        <f t="shared" si="898"/>
        <v>0</v>
      </c>
      <c r="BF722" s="251">
        <f t="shared" si="842"/>
        <v>0</v>
      </c>
      <c r="BG722" s="204">
        <f t="shared" si="908"/>
        <v>0</v>
      </c>
      <c r="BH722" s="636">
        <v>1</v>
      </c>
      <c r="BI722" s="199">
        <f t="shared" si="883"/>
        <v>144216.00257019058</v>
      </c>
      <c r="BJ722" s="199">
        <f t="shared" si="884"/>
        <v>288432.00514038117</v>
      </c>
      <c r="BK722" s="199">
        <f t="shared" si="891"/>
        <v>432648.00771057175</v>
      </c>
      <c r="BL722" s="251">
        <f t="shared" si="885"/>
        <v>1.8255220932231516E-3</v>
      </c>
      <c r="BM722" s="199">
        <f t="shared" si="899"/>
        <v>37241.665963115214</v>
      </c>
      <c r="BN722" s="251">
        <f t="shared" si="886"/>
        <v>1.6082109558449771E-3</v>
      </c>
      <c r="BT722" s="199">
        <f>'Detailed Budget'!$AD$12</f>
        <v>194045122715</v>
      </c>
      <c r="BU722" s="199">
        <f>'Detailed Budget'!$AD$24</f>
        <v>194045122715</v>
      </c>
      <c r="BV722" s="596">
        <f t="shared" si="900"/>
        <v>0</v>
      </c>
      <c r="BW722" s="278"/>
      <c r="BX722" s="275"/>
      <c r="BY722" s="275"/>
      <c r="CA722" s="199"/>
      <c r="CE722" s="199">
        <f>'Detailed Budget'!$AD$175</f>
        <v>4330586076.5988197</v>
      </c>
      <c r="CF722" s="275">
        <f t="shared" si="901"/>
        <v>0</v>
      </c>
      <c r="CG722" s="199">
        <f>'Detailed Budget'!$AD$176</f>
        <v>20662817754.37001</v>
      </c>
      <c r="CH722" s="275">
        <f t="shared" si="902"/>
        <v>0</v>
      </c>
      <c r="CI722" s="275">
        <f t="shared" si="833"/>
        <v>0</v>
      </c>
      <c r="CJ722" s="275">
        <f>'Detailed Budget'!$AD$178</f>
        <v>46025131033.061455</v>
      </c>
      <c r="CK722" s="275">
        <f t="shared" si="903"/>
        <v>0</v>
      </c>
      <c r="CL722" s="275">
        <f t="shared" si="834"/>
        <v>0</v>
      </c>
      <c r="CM722" s="278">
        <f>'Detailed Budget'!$AD$189</f>
        <v>77498869683.252869</v>
      </c>
      <c r="CN722" s="275">
        <f t="shared" si="888"/>
        <v>141475898.80660003</v>
      </c>
      <c r="CO722" s="140">
        <f>'Detailed Budget'!$AD$191</f>
        <v>2684962805.4134097</v>
      </c>
      <c r="CP722" s="616">
        <f t="shared" si="889"/>
        <v>4901458.9207645943</v>
      </c>
      <c r="CQ722" s="616">
        <f t="shared" si="890"/>
        <v>146377357.72736463</v>
      </c>
      <c r="CR722" s="199">
        <f>'Detailed Budget'!$AD$195</f>
        <v>18734176418</v>
      </c>
      <c r="CS722" s="275">
        <f t="shared" si="904"/>
        <v>30128507.764160208</v>
      </c>
      <c r="CW722" s="278"/>
      <c r="DH722" s="140"/>
      <c r="DI722" s="616"/>
    </row>
    <row r="723" spans="1:113" outlineLevel="1">
      <c r="A723" s="214" t="s">
        <v>1502</v>
      </c>
      <c r="B723" s="215" t="s">
        <v>1503</v>
      </c>
      <c r="C723" s="216" t="s">
        <v>234</v>
      </c>
      <c r="D723" s="217"/>
      <c r="E723" s="216"/>
      <c r="F723" s="216"/>
      <c r="G723" s="216" t="s">
        <v>234</v>
      </c>
      <c r="H723" s="216" t="s">
        <v>234</v>
      </c>
      <c r="I723" s="217" t="s">
        <v>234</v>
      </c>
      <c r="J723" s="217"/>
      <c r="K723" s="216"/>
      <c r="L723" s="216"/>
      <c r="M723" s="217" t="s">
        <v>234</v>
      </c>
      <c r="N723" s="216"/>
      <c r="O723" s="217"/>
      <c r="P723" s="216"/>
      <c r="Q723" s="217"/>
      <c r="R723" s="217" t="s">
        <v>234</v>
      </c>
      <c r="S723" s="217"/>
      <c r="T723" s="217"/>
      <c r="U723" s="218">
        <f t="shared" si="895"/>
        <v>6</v>
      </c>
      <c r="V723" s="867" t="s">
        <v>235</v>
      </c>
      <c r="W723" s="219">
        <v>161103</v>
      </c>
      <c r="X723" s="220">
        <v>3.41</v>
      </c>
      <c r="Y723" s="221">
        <f t="shared" si="870"/>
        <v>1.0341</v>
      </c>
      <c r="Z723" s="199">
        <v>19</v>
      </c>
      <c r="AA723" s="221">
        <f t="shared" si="871"/>
        <v>1.8909856119855175</v>
      </c>
      <c r="AB723" s="199">
        <f t="shared" si="873"/>
        <v>304643.45504770282</v>
      </c>
      <c r="AC723">
        <v>11.9</v>
      </c>
      <c r="AD723" s="199">
        <f t="shared" si="874"/>
        <v>36252.571150676638</v>
      </c>
      <c r="AE723" s="199">
        <f t="shared" si="872"/>
        <v>34439.942593142805</v>
      </c>
      <c r="AF723" s="199">
        <f t="shared" si="893"/>
        <v>0</v>
      </c>
      <c r="AG723" s="614">
        <f t="shared" si="892"/>
        <v>1.5923517513259705E-3</v>
      </c>
      <c r="AH723" s="199">
        <f t="shared" si="905"/>
        <v>15232.172752385142</v>
      </c>
      <c r="AI723" s="252">
        <f t="shared" si="875"/>
        <v>1.1800133441312892E-3</v>
      </c>
      <c r="AJ723" s="199">
        <f t="shared" si="876"/>
        <v>51484.743903061782</v>
      </c>
      <c r="AK723" s="199">
        <f t="shared" si="906"/>
        <v>12185.738201908112</v>
      </c>
      <c r="AL723" s="199">
        <f t="shared" si="907"/>
        <v>12185.738201908112</v>
      </c>
      <c r="AM723" s="199">
        <f t="shared" si="877"/>
        <v>24371.476403816225</v>
      </c>
      <c r="AN723" s="645">
        <f t="shared" si="878"/>
        <v>1.1800133441312889E-3</v>
      </c>
      <c r="AO723" s="199">
        <v>17</v>
      </c>
      <c r="AP723" s="250">
        <f t="shared" si="879"/>
        <v>1.9315986819679581E-3</v>
      </c>
      <c r="AQ723" s="199">
        <v>17</v>
      </c>
      <c r="AU723" s="199">
        <v>0</v>
      </c>
      <c r="AW723" s="250">
        <f t="shared" si="880"/>
        <v>0</v>
      </c>
      <c r="AX723" s="199">
        <v>1</v>
      </c>
      <c r="AY723" s="199">
        <f t="shared" si="896"/>
        <v>14813.421217698333</v>
      </c>
      <c r="AZ723" s="199">
        <f t="shared" si="881"/>
        <v>14813.421217698333</v>
      </c>
      <c r="BA723" s="252">
        <f t="shared" si="882"/>
        <v>1.1644310366166583E-3</v>
      </c>
      <c r="BB723" s="284">
        <v>0</v>
      </c>
      <c r="BC723" s="199">
        <f t="shared" si="897"/>
        <v>0</v>
      </c>
      <c r="BD723" s="270">
        <f t="shared" si="840"/>
        <v>0</v>
      </c>
      <c r="BE723" s="199">
        <f t="shared" si="898"/>
        <v>0</v>
      </c>
      <c r="BF723" s="251">
        <f t="shared" si="842"/>
        <v>0</v>
      </c>
      <c r="BG723" s="204">
        <f t="shared" si="908"/>
        <v>0</v>
      </c>
      <c r="BH723" s="636">
        <v>1</v>
      </c>
      <c r="BI723" s="199">
        <f t="shared" si="883"/>
        <v>93220.897244597058</v>
      </c>
      <c r="BJ723" s="199">
        <f t="shared" si="884"/>
        <v>186441.79448919412</v>
      </c>
      <c r="BK723" s="199">
        <f t="shared" si="891"/>
        <v>279662.69173379114</v>
      </c>
      <c r="BL723" s="251">
        <f t="shared" si="885"/>
        <v>1.1800133441312887E-3</v>
      </c>
      <c r="BM723" s="199">
        <f t="shared" si="899"/>
        <v>24072.92848292254</v>
      </c>
      <c r="BN723" s="251">
        <f t="shared" si="886"/>
        <v>1.0395439173922021E-3</v>
      </c>
      <c r="BT723" s="199">
        <f>'Detailed Budget'!$AD$12</f>
        <v>194045122715</v>
      </c>
      <c r="BU723" s="199">
        <f>'Detailed Budget'!$AD$24</f>
        <v>194045122715</v>
      </c>
      <c r="BV723" s="596">
        <f t="shared" si="900"/>
        <v>0</v>
      </c>
      <c r="BW723" s="278"/>
      <c r="BX723" s="275"/>
      <c r="BY723" s="275"/>
      <c r="CA723" s="199"/>
      <c r="CE723" s="199">
        <f>'Detailed Budget'!$AD$175</f>
        <v>4330586076.5988197</v>
      </c>
      <c r="CF723" s="275">
        <f t="shared" si="901"/>
        <v>0</v>
      </c>
      <c r="CG723" s="199">
        <f>'Detailed Budget'!$AD$176</f>
        <v>20662817754.37001</v>
      </c>
      <c r="CH723" s="275">
        <f t="shared" si="902"/>
        <v>0</v>
      </c>
      <c r="CI723" s="275">
        <f t="shared" si="833"/>
        <v>0</v>
      </c>
      <c r="CJ723" s="275">
        <f>'Detailed Budget'!$AD$178</f>
        <v>46025131033.061455</v>
      </c>
      <c r="CK723" s="275">
        <f t="shared" si="903"/>
        <v>0</v>
      </c>
      <c r="CL723" s="275">
        <f t="shared" si="834"/>
        <v>0</v>
      </c>
      <c r="CM723" s="278">
        <f>'Detailed Budget'!$AD$189</f>
        <v>77498869683.252869</v>
      </c>
      <c r="CN723" s="275">
        <f t="shared" si="888"/>
        <v>91449700.381330162</v>
      </c>
      <c r="CO723" s="140">
        <f>'Detailed Budget'!$AD$191</f>
        <v>2684962805.4134097</v>
      </c>
      <c r="CP723" s="616">
        <f t="shared" si="889"/>
        <v>3168291.938884005</v>
      </c>
      <c r="CQ723" s="616">
        <f t="shared" si="890"/>
        <v>94617992.320214167</v>
      </c>
      <c r="CR723" s="199">
        <f>'Detailed Budget'!$AD$195</f>
        <v>18734176418</v>
      </c>
      <c r="CS723" s="275">
        <f t="shared" si="904"/>
        <v>19474999.142684333</v>
      </c>
      <c r="CW723" s="278"/>
      <c r="DH723" s="140"/>
      <c r="DI723" s="616"/>
    </row>
    <row r="724" spans="1:113" outlineLevel="1">
      <c r="A724" s="214" t="s">
        <v>1504</v>
      </c>
      <c r="B724" s="215" t="s">
        <v>1505</v>
      </c>
      <c r="C724" s="216" t="s">
        <v>234</v>
      </c>
      <c r="D724" s="217"/>
      <c r="E724" s="216"/>
      <c r="F724" s="216"/>
      <c r="G724" s="216" t="s">
        <v>234</v>
      </c>
      <c r="H724" s="216" t="s">
        <v>234</v>
      </c>
      <c r="I724" s="217" t="s">
        <v>234</v>
      </c>
      <c r="J724" s="217"/>
      <c r="K724" s="216"/>
      <c r="L724" s="216"/>
      <c r="M724" s="217" t="s">
        <v>234</v>
      </c>
      <c r="N724" s="216"/>
      <c r="O724" s="217"/>
      <c r="P724" s="216"/>
      <c r="Q724" s="217"/>
      <c r="R724" s="217" t="s">
        <v>234</v>
      </c>
      <c r="S724" s="217"/>
      <c r="T724" s="217"/>
      <c r="U724" s="218">
        <f t="shared" si="895"/>
        <v>6</v>
      </c>
      <c r="V724" s="867" t="s">
        <v>235</v>
      </c>
      <c r="W724" s="219">
        <v>217924</v>
      </c>
      <c r="X724" s="220">
        <v>3.41</v>
      </c>
      <c r="Y724" s="221">
        <f t="shared" si="870"/>
        <v>1.0341</v>
      </c>
      <c r="Z724" s="199">
        <v>19</v>
      </c>
      <c r="AA724" s="221">
        <f t="shared" si="871"/>
        <v>1.8909856119855175</v>
      </c>
      <c r="AB724" s="199">
        <f t="shared" si="873"/>
        <v>412091.1485063319</v>
      </c>
      <c r="AC724">
        <v>11.9</v>
      </c>
      <c r="AD724" s="199">
        <f t="shared" si="874"/>
        <v>49038.846672253494</v>
      </c>
      <c r="AE724" s="199">
        <f t="shared" si="872"/>
        <v>46586.904338640816</v>
      </c>
      <c r="AF724" s="199">
        <f t="shared" si="893"/>
        <v>0</v>
      </c>
      <c r="AG724" s="614">
        <f t="shared" si="892"/>
        <v>2.153973936276548E-3</v>
      </c>
      <c r="AH724" s="199">
        <f t="shared" si="905"/>
        <v>20604.557425316598</v>
      </c>
      <c r="AI724" s="252">
        <f t="shared" si="875"/>
        <v>1.5962038447854296E-3</v>
      </c>
      <c r="AJ724" s="199">
        <f t="shared" si="876"/>
        <v>69643.404097570092</v>
      </c>
      <c r="AK724" s="199">
        <f t="shared" si="906"/>
        <v>16483.645940253275</v>
      </c>
      <c r="AL724" s="199">
        <f t="shared" si="907"/>
        <v>16483.645940253275</v>
      </c>
      <c r="AM724" s="199">
        <f t="shared" si="877"/>
        <v>32967.291880506549</v>
      </c>
      <c r="AN724" s="645">
        <f t="shared" si="878"/>
        <v>1.5962038447854291E-3</v>
      </c>
      <c r="AO724" s="199">
        <v>11</v>
      </c>
      <c r="AP724" s="250">
        <f t="shared" si="879"/>
        <v>1.2498579706851495E-3</v>
      </c>
      <c r="AQ724" s="199">
        <v>11</v>
      </c>
      <c r="AU724" s="199">
        <v>0</v>
      </c>
      <c r="AW724" s="250">
        <f t="shared" si="880"/>
        <v>0</v>
      </c>
      <c r="AX724" s="199">
        <v>1</v>
      </c>
      <c r="AY724" s="199">
        <f t="shared" si="896"/>
        <v>20038.112297385469</v>
      </c>
      <c r="AZ724" s="199">
        <f t="shared" si="881"/>
        <v>20038.112297385469</v>
      </c>
      <c r="BA724" s="252">
        <f t="shared" si="882"/>
        <v>1.5751256601282944E-3</v>
      </c>
      <c r="BB724" s="284">
        <v>0</v>
      </c>
      <c r="BC724" s="199">
        <f t="shared" si="897"/>
        <v>0</v>
      </c>
      <c r="BD724" s="270">
        <f t="shared" si="840"/>
        <v>0</v>
      </c>
      <c r="BE724" s="199">
        <f t="shared" si="898"/>
        <v>0</v>
      </c>
      <c r="BF724" s="251">
        <f t="shared" si="842"/>
        <v>0</v>
      </c>
      <c r="BG724" s="204">
        <f t="shared" si="908"/>
        <v>0</v>
      </c>
      <c r="BH724" s="636">
        <v>1</v>
      </c>
      <c r="BI724" s="199">
        <f t="shared" si="883"/>
        <v>126099.89144293754</v>
      </c>
      <c r="BJ724" s="199">
        <f t="shared" si="884"/>
        <v>252199.78288587509</v>
      </c>
      <c r="BK724" s="199">
        <f t="shared" si="891"/>
        <v>378299.67432881263</v>
      </c>
      <c r="BL724" s="251">
        <f t="shared" si="885"/>
        <v>1.5962038447854291E-3</v>
      </c>
      <c r="BM724" s="199">
        <f t="shared" si="899"/>
        <v>32563.446159987161</v>
      </c>
      <c r="BN724" s="251">
        <f t="shared" si="886"/>
        <v>1.4061908757365058E-3</v>
      </c>
      <c r="BT724" s="199">
        <f>'Detailed Budget'!$AD$12</f>
        <v>194045122715</v>
      </c>
      <c r="BU724" s="199">
        <f>'Detailed Budget'!$AD$24</f>
        <v>194045122715</v>
      </c>
      <c r="BV724" s="596">
        <f t="shared" si="900"/>
        <v>0</v>
      </c>
      <c r="BW724" s="278"/>
      <c r="BX724" s="275"/>
      <c r="BY724" s="275"/>
      <c r="CA724" s="199"/>
      <c r="CE724" s="199">
        <f>'Detailed Budget'!$AD$175</f>
        <v>4330586076.5988197</v>
      </c>
      <c r="CF724" s="275">
        <f t="shared" si="901"/>
        <v>0</v>
      </c>
      <c r="CG724" s="199">
        <f>'Detailed Budget'!$AD$176</f>
        <v>20662817754.37001</v>
      </c>
      <c r="CH724" s="275">
        <f t="shared" si="902"/>
        <v>0</v>
      </c>
      <c r="CI724" s="275">
        <f t="shared" si="833"/>
        <v>0</v>
      </c>
      <c r="CJ724" s="275">
        <f>'Detailed Budget'!$AD$178</f>
        <v>46025131033.061455</v>
      </c>
      <c r="CK724" s="275">
        <f t="shared" si="903"/>
        <v>0</v>
      </c>
      <c r="CL724" s="275">
        <f t="shared" si="834"/>
        <v>0</v>
      </c>
      <c r="CM724" s="278">
        <f>'Detailed Budget'!$AD$189</f>
        <v>77498869683.252869</v>
      </c>
      <c r="CN724" s="275">
        <f t="shared" si="888"/>
        <v>123703993.75493316</v>
      </c>
      <c r="CO724" s="140">
        <f>'Detailed Budget'!$AD$191</f>
        <v>2684962805.4134097</v>
      </c>
      <c r="CP724" s="616">
        <f t="shared" si="889"/>
        <v>4285747.9531067563</v>
      </c>
      <c r="CQ724" s="616">
        <f t="shared" si="890"/>
        <v>127989741.70803992</v>
      </c>
      <c r="CR724" s="199">
        <f>'Detailed Budget'!$AD$195</f>
        <v>18734176418</v>
      </c>
      <c r="CS724" s="275">
        <f t="shared" si="904"/>
        <v>26343827.943429615</v>
      </c>
      <c r="CW724" s="278"/>
      <c r="DH724" s="140"/>
      <c r="DI724" s="616"/>
    </row>
    <row r="725" spans="1:113" outlineLevel="1">
      <c r="A725" s="214" t="s">
        <v>1506</v>
      </c>
      <c r="B725" s="215" t="s">
        <v>1507</v>
      </c>
      <c r="C725" s="216" t="s">
        <v>234</v>
      </c>
      <c r="D725" s="217"/>
      <c r="E725" s="216"/>
      <c r="F725" s="216"/>
      <c r="G725" s="216" t="s">
        <v>234</v>
      </c>
      <c r="H725" s="216" t="s">
        <v>234</v>
      </c>
      <c r="I725" s="217" t="s">
        <v>234</v>
      </c>
      <c r="J725" s="217"/>
      <c r="K725" s="216"/>
      <c r="L725" s="216"/>
      <c r="M725" s="217" t="s">
        <v>234</v>
      </c>
      <c r="N725" s="216"/>
      <c r="O725" s="217"/>
      <c r="P725" s="216"/>
      <c r="Q725" s="217"/>
      <c r="R725" s="217" t="s">
        <v>234</v>
      </c>
      <c r="S725" s="217"/>
      <c r="T725" s="217"/>
      <c r="U725" s="218">
        <f t="shared" si="895"/>
        <v>6</v>
      </c>
      <c r="V725" s="867" t="s">
        <v>235</v>
      </c>
      <c r="W725" s="219">
        <v>219787</v>
      </c>
      <c r="X725" s="220">
        <v>3.41</v>
      </c>
      <c r="Y725" s="221">
        <f t="shared" si="870"/>
        <v>1.0341</v>
      </c>
      <c r="Z725" s="199">
        <v>19</v>
      </c>
      <c r="AA725" s="221">
        <f t="shared" si="871"/>
        <v>1.8909856119855175</v>
      </c>
      <c r="AB725" s="199">
        <f t="shared" si="873"/>
        <v>415614.05470146093</v>
      </c>
      <c r="AC725">
        <v>11.9</v>
      </c>
      <c r="AD725" s="199">
        <f t="shared" si="874"/>
        <v>49458.072509473852</v>
      </c>
      <c r="AE725" s="199">
        <f t="shared" si="872"/>
        <v>46985.168884000159</v>
      </c>
      <c r="AF725" s="199">
        <f t="shared" si="893"/>
        <v>0</v>
      </c>
      <c r="AG725" s="614">
        <f t="shared" si="892"/>
        <v>2.1723879404398493E-3</v>
      </c>
      <c r="AH725" s="199">
        <f t="shared" si="905"/>
        <v>20780.70273507305</v>
      </c>
      <c r="AI725" s="252">
        <f t="shared" si="875"/>
        <v>1.6098495550460493E-3</v>
      </c>
      <c r="AJ725" s="199">
        <f t="shared" si="876"/>
        <v>70238.775244546909</v>
      </c>
      <c r="AK725" s="199">
        <f t="shared" si="906"/>
        <v>16624.562188058437</v>
      </c>
      <c r="AL725" s="199">
        <f t="shared" si="907"/>
        <v>16624.562188058437</v>
      </c>
      <c r="AM725" s="199">
        <f t="shared" si="877"/>
        <v>33249.124376116873</v>
      </c>
      <c r="AN725" s="645">
        <f t="shared" si="878"/>
        <v>1.6098495550460488E-3</v>
      </c>
      <c r="AO725" s="199">
        <v>13</v>
      </c>
      <c r="AP725" s="250">
        <f t="shared" si="879"/>
        <v>1.4771048744460858E-3</v>
      </c>
      <c r="AQ725" s="199">
        <v>13</v>
      </c>
      <c r="AU725" s="199">
        <v>0</v>
      </c>
      <c r="AW725" s="250">
        <f t="shared" si="880"/>
        <v>0</v>
      </c>
      <c r="AX725" s="199">
        <v>1</v>
      </c>
      <c r="AY725" s="199">
        <f t="shared" si="896"/>
        <v>20209.415151637546</v>
      </c>
      <c r="AZ725" s="199">
        <f t="shared" si="881"/>
        <v>20209.415151637546</v>
      </c>
      <c r="BA725" s="252">
        <f t="shared" si="882"/>
        <v>1.5885911761101001E-3</v>
      </c>
      <c r="BB725" s="284">
        <v>0</v>
      </c>
      <c r="BC725" s="199">
        <f t="shared" si="897"/>
        <v>0</v>
      </c>
      <c r="BD725" s="270">
        <f t="shared" si="840"/>
        <v>0</v>
      </c>
      <c r="BE725" s="199">
        <f t="shared" si="898"/>
        <v>0</v>
      </c>
      <c r="BF725" s="251">
        <f t="shared" si="842"/>
        <v>0</v>
      </c>
      <c r="BG725" s="204">
        <f t="shared" si="908"/>
        <v>0</v>
      </c>
      <c r="BH725" s="636">
        <v>1</v>
      </c>
      <c r="BI725" s="199">
        <f t="shared" si="883"/>
        <v>127177.90073864703</v>
      </c>
      <c r="BJ725" s="199">
        <f t="shared" si="884"/>
        <v>254355.80147729407</v>
      </c>
      <c r="BK725" s="199">
        <f t="shared" si="891"/>
        <v>381533.7022159411</v>
      </c>
      <c r="BL725" s="251">
        <f t="shared" si="885"/>
        <v>1.6098495550460488E-3</v>
      </c>
      <c r="BM725" s="199">
        <f t="shared" si="899"/>
        <v>32841.826238345013</v>
      </c>
      <c r="BN725" s="251">
        <f t="shared" si="886"/>
        <v>1.418212193266916E-3</v>
      </c>
      <c r="BT725" s="199">
        <f>'Detailed Budget'!$AD$12</f>
        <v>194045122715</v>
      </c>
      <c r="BU725" s="199">
        <f>'Detailed Budget'!$AD$24</f>
        <v>194045122715</v>
      </c>
      <c r="BV725" s="596">
        <f t="shared" si="900"/>
        <v>0</v>
      </c>
      <c r="BW725" s="278"/>
      <c r="BX725" s="275"/>
      <c r="BY725" s="275"/>
      <c r="CA725" s="199"/>
      <c r="CE725" s="199">
        <f>'Detailed Budget'!$AD$175</f>
        <v>4330586076.5988197</v>
      </c>
      <c r="CF725" s="275">
        <f t="shared" si="901"/>
        <v>0</v>
      </c>
      <c r="CG725" s="199">
        <f>'Detailed Budget'!$AD$176</f>
        <v>20662817754.37001</v>
      </c>
      <c r="CH725" s="275">
        <f t="shared" si="902"/>
        <v>0</v>
      </c>
      <c r="CI725" s="275">
        <f t="shared" si="833"/>
        <v>0</v>
      </c>
      <c r="CJ725" s="275">
        <f>'Detailed Budget'!$AD$178</f>
        <v>46025131033.061455</v>
      </c>
      <c r="CK725" s="275">
        <f t="shared" si="903"/>
        <v>0</v>
      </c>
      <c r="CL725" s="275">
        <f t="shared" si="834"/>
        <v>0</v>
      </c>
      <c r="CM725" s="278">
        <f>'Detailed Budget'!$AD$189</f>
        <v>77498869683.252869</v>
      </c>
      <c r="CN725" s="275">
        <f t="shared" si="888"/>
        <v>124761520.87615636</v>
      </c>
      <c r="CO725" s="140">
        <f>'Detailed Budget'!$AD$191</f>
        <v>2684962805.4134097</v>
      </c>
      <c r="CP725" s="616">
        <f t="shared" si="889"/>
        <v>4322386.1776099689</v>
      </c>
      <c r="CQ725" s="616">
        <f t="shared" si="890"/>
        <v>129083907.05376633</v>
      </c>
      <c r="CR725" s="199">
        <f>'Detailed Budget'!$AD$195</f>
        <v>18734176418</v>
      </c>
      <c r="CS725" s="275">
        <f t="shared" si="904"/>
        <v>26569037.426821116</v>
      </c>
      <c r="CW725" s="278"/>
      <c r="DH725" s="140"/>
      <c r="DI725" s="616"/>
    </row>
    <row r="726" spans="1:113" outlineLevel="1">
      <c r="A726" s="214" t="s">
        <v>1508</v>
      </c>
      <c r="B726" s="215" t="s">
        <v>1509</v>
      </c>
      <c r="C726" s="216" t="s">
        <v>234</v>
      </c>
      <c r="D726" s="217"/>
      <c r="E726" s="216"/>
      <c r="F726" s="216"/>
      <c r="G726" s="216" t="s">
        <v>234</v>
      </c>
      <c r="H726" s="216" t="s">
        <v>234</v>
      </c>
      <c r="I726" s="217" t="s">
        <v>234</v>
      </c>
      <c r="J726" s="217"/>
      <c r="K726" s="216"/>
      <c r="L726" s="216"/>
      <c r="M726" s="217" t="s">
        <v>234</v>
      </c>
      <c r="N726" s="216"/>
      <c r="O726" s="217"/>
      <c r="P726" s="216"/>
      <c r="Q726" s="217"/>
      <c r="R726" s="217" t="s">
        <v>234</v>
      </c>
      <c r="S726" s="217"/>
      <c r="T726" s="217"/>
      <c r="U726" s="218">
        <f t="shared" si="895"/>
        <v>6</v>
      </c>
      <c r="V726" s="867" t="s">
        <v>235</v>
      </c>
      <c r="W726" s="219">
        <v>214983</v>
      </c>
      <c r="X726" s="220">
        <v>3.41</v>
      </c>
      <c r="Y726" s="221">
        <f t="shared" si="870"/>
        <v>1.0341</v>
      </c>
      <c r="Z726" s="199">
        <v>19</v>
      </c>
      <c r="AA726" s="221">
        <f t="shared" si="871"/>
        <v>1.8909856119855175</v>
      </c>
      <c r="AB726" s="199">
        <f t="shared" si="873"/>
        <v>406529.75982148253</v>
      </c>
      <c r="AC726">
        <v>11.9</v>
      </c>
      <c r="AD726" s="199">
        <f t="shared" si="874"/>
        <v>48377.041418756424</v>
      </c>
      <c r="AE726" s="199">
        <f t="shared" si="872"/>
        <v>45958.189347818603</v>
      </c>
      <c r="AF726" s="199">
        <f t="shared" si="893"/>
        <v>0</v>
      </c>
      <c r="AG726" s="614">
        <f t="shared" si="892"/>
        <v>2.1249049152114556E-3</v>
      </c>
      <c r="AH726" s="199">
        <f t="shared" si="905"/>
        <v>20326.487991074129</v>
      </c>
      <c r="AI726" s="252">
        <f t="shared" si="875"/>
        <v>1.5746622270310109E-3</v>
      </c>
      <c r="AJ726" s="199">
        <f t="shared" si="876"/>
        <v>68703.529409830546</v>
      </c>
      <c r="AK726" s="199">
        <f t="shared" si="906"/>
        <v>16261.190392859302</v>
      </c>
      <c r="AL726" s="199">
        <f t="shared" si="907"/>
        <v>16261.190392859302</v>
      </c>
      <c r="AM726" s="199">
        <f t="shared" si="877"/>
        <v>32522.380785718604</v>
      </c>
      <c r="AN726" s="645">
        <f t="shared" si="878"/>
        <v>1.5746622270310109E-3</v>
      </c>
      <c r="AO726" s="199">
        <v>12</v>
      </c>
      <c r="AP726" s="250">
        <f t="shared" si="879"/>
        <v>1.3634814225656176E-3</v>
      </c>
      <c r="AQ726" s="199">
        <v>12</v>
      </c>
      <c r="AU726" s="199">
        <v>0</v>
      </c>
      <c r="AW726" s="250">
        <f t="shared" si="880"/>
        <v>0</v>
      </c>
      <c r="AX726" s="199">
        <v>1</v>
      </c>
      <c r="AY726" s="199">
        <f t="shared" si="896"/>
        <v>19767.68734067299</v>
      </c>
      <c r="AZ726" s="199">
        <f t="shared" si="881"/>
        <v>19767.68734067299</v>
      </c>
      <c r="BA726" s="252">
        <f t="shared" si="882"/>
        <v>1.5538685036588955E-3</v>
      </c>
      <c r="BB726" s="284">
        <v>0</v>
      </c>
      <c r="BC726" s="199">
        <f t="shared" si="897"/>
        <v>0</v>
      </c>
      <c r="BD726" s="270">
        <f t="shared" si="840"/>
        <v>0</v>
      </c>
      <c r="BE726" s="199">
        <f t="shared" si="898"/>
        <v>0</v>
      </c>
      <c r="BF726" s="251">
        <f t="shared" si="842"/>
        <v>0</v>
      </c>
      <c r="BG726" s="204">
        <f t="shared" si="908"/>
        <v>0</v>
      </c>
      <c r="BH726" s="636">
        <v>1</v>
      </c>
      <c r="BI726" s="199">
        <f t="shared" si="883"/>
        <v>124398.10650537367</v>
      </c>
      <c r="BJ726" s="199">
        <f t="shared" si="884"/>
        <v>248796.21301074733</v>
      </c>
      <c r="BK726" s="199">
        <f t="shared" si="891"/>
        <v>373194.319516121</v>
      </c>
      <c r="BL726" s="251">
        <f t="shared" si="885"/>
        <v>1.5746622270310109E-3</v>
      </c>
      <c r="BM726" s="199">
        <f t="shared" si="899"/>
        <v>32123.985177458751</v>
      </c>
      <c r="BN726" s="251">
        <f t="shared" si="886"/>
        <v>1.3872135838111509E-3</v>
      </c>
      <c r="BT726" s="199">
        <f>'Detailed Budget'!$AD$12</f>
        <v>194045122715</v>
      </c>
      <c r="BU726" s="199">
        <f>'Detailed Budget'!$AD$24</f>
        <v>194045122715</v>
      </c>
      <c r="BV726" s="596">
        <f t="shared" si="900"/>
        <v>0</v>
      </c>
      <c r="BW726" s="278"/>
      <c r="BX726" s="275"/>
      <c r="BY726" s="275"/>
      <c r="CA726" s="199"/>
      <c r="CE726" s="199">
        <f>'Detailed Budget'!$AD$175</f>
        <v>4330586076.5988197</v>
      </c>
      <c r="CF726" s="275">
        <f t="shared" si="901"/>
        <v>0</v>
      </c>
      <c r="CG726" s="199">
        <f>'Detailed Budget'!$AD$176</f>
        <v>20662817754.37001</v>
      </c>
      <c r="CH726" s="275">
        <f t="shared" si="902"/>
        <v>0</v>
      </c>
      <c r="CI726" s="275">
        <f t="shared" si="833"/>
        <v>0</v>
      </c>
      <c r="CJ726" s="275">
        <f>'Detailed Budget'!$AD$178</f>
        <v>46025131033.061455</v>
      </c>
      <c r="CK726" s="275">
        <f t="shared" si="903"/>
        <v>0</v>
      </c>
      <c r="CL726" s="275">
        <f t="shared" si="834"/>
        <v>0</v>
      </c>
      <c r="CM726" s="278">
        <f>'Detailed Budget'!$AD$189</f>
        <v>77498869683.252869</v>
      </c>
      <c r="CN726" s="275">
        <f t="shared" si="888"/>
        <v>122034542.72781706</v>
      </c>
      <c r="CO726" s="140">
        <f>'Detailed Budget'!$AD$191</f>
        <v>2684962805.4134097</v>
      </c>
      <c r="CP726" s="616">
        <f t="shared" si="889"/>
        <v>4227909.5106677106</v>
      </c>
      <c r="CQ726" s="616">
        <f t="shared" si="890"/>
        <v>126262452.23848477</v>
      </c>
      <c r="CR726" s="199">
        <f>'Detailed Budget'!$AD$195</f>
        <v>18734176418</v>
      </c>
      <c r="CS726" s="275">
        <f t="shared" si="904"/>
        <v>25988304.008564129</v>
      </c>
      <c r="CW726" s="278"/>
      <c r="DH726" s="140"/>
      <c r="DI726" s="616"/>
    </row>
    <row r="727" spans="1:113" outlineLevel="1">
      <c r="A727" s="214" t="s">
        <v>1510</v>
      </c>
      <c r="B727" s="215" t="s">
        <v>1511</v>
      </c>
      <c r="C727" s="216" t="s">
        <v>234</v>
      </c>
      <c r="D727" s="217"/>
      <c r="E727" s="216"/>
      <c r="F727" s="216"/>
      <c r="G727" s="216" t="s">
        <v>234</v>
      </c>
      <c r="H727" s="216" t="s">
        <v>234</v>
      </c>
      <c r="I727" s="217" t="s">
        <v>234</v>
      </c>
      <c r="J727" s="217"/>
      <c r="K727" s="216"/>
      <c r="L727" s="216"/>
      <c r="M727" s="217" t="s">
        <v>234</v>
      </c>
      <c r="N727" s="216"/>
      <c r="O727" s="217"/>
      <c r="P727" s="216"/>
      <c r="Q727" s="217"/>
      <c r="R727" s="217" t="s">
        <v>234</v>
      </c>
      <c r="S727" s="217"/>
      <c r="T727" s="217"/>
      <c r="U727" s="218">
        <f t="shared" si="895"/>
        <v>6</v>
      </c>
      <c r="V727" s="867" t="s">
        <v>235</v>
      </c>
      <c r="W727" s="219">
        <v>249467</v>
      </c>
      <c r="X727" s="220">
        <v>3.41</v>
      </c>
      <c r="Y727" s="221">
        <f t="shared" si="870"/>
        <v>1.0341</v>
      </c>
      <c r="Z727" s="199">
        <v>19</v>
      </c>
      <c r="AA727" s="221">
        <f t="shared" si="871"/>
        <v>1.8909856119855175</v>
      </c>
      <c r="AB727" s="199">
        <f t="shared" si="873"/>
        <v>471738.50766519108</v>
      </c>
      <c r="AC727">
        <v>11.9</v>
      </c>
      <c r="AD727" s="199">
        <f t="shared" si="874"/>
        <v>56136.882412157742</v>
      </c>
      <c r="AE727" s="199">
        <f t="shared" si="872"/>
        <v>53330.038291549856</v>
      </c>
      <c r="AF727" s="199">
        <f t="shared" si="893"/>
        <v>0</v>
      </c>
      <c r="AG727" s="614">
        <f t="shared" si="892"/>
        <v>2.4657468473463307E-3</v>
      </c>
      <c r="AH727" s="199">
        <f t="shared" si="905"/>
        <v>23586.925383259557</v>
      </c>
      <c r="AI727" s="252">
        <f t="shared" si="875"/>
        <v>1.8272433717584423E-3</v>
      </c>
      <c r="AJ727" s="199">
        <f t="shared" si="876"/>
        <v>79723.807795417291</v>
      </c>
      <c r="AK727" s="199">
        <f t="shared" si="906"/>
        <v>18869.540306607643</v>
      </c>
      <c r="AL727" s="199">
        <f t="shared" si="907"/>
        <v>18869.540306607643</v>
      </c>
      <c r="AM727" s="199">
        <f t="shared" si="877"/>
        <v>37739.080613215287</v>
      </c>
      <c r="AN727" s="645">
        <f t="shared" si="878"/>
        <v>1.8272433717584421E-3</v>
      </c>
      <c r="AO727" s="199">
        <v>17</v>
      </c>
      <c r="AP727" s="250">
        <f t="shared" si="879"/>
        <v>1.9315986819679581E-3</v>
      </c>
      <c r="AQ727" s="199">
        <v>17</v>
      </c>
      <c r="AU727" s="199">
        <v>0</v>
      </c>
      <c r="AW727" s="250">
        <f t="shared" si="880"/>
        <v>0</v>
      </c>
      <c r="AX727" s="199">
        <v>1</v>
      </c>
      <c r="AY727" s="199">
        <f t="shared" si="896"/>
        <v>22938.491219378593</v>
      </c>
      <c r="AZ727" s="199">
        <f t="shared" si="881"/>
        <v>22938.491219378593</v>
      </c>
      <c r="BA727" s="252">
        <f t="shared" si="882"/>
        <v>1.8031142648594243E-3</v>
      </c>
      <c r="BB727" s="284">
        <v>0</v>
      </c>
      <c r="BC727" s="199">
        <f t="shared" si="897"/>
        <v>0</v>
      </c>
      <c r="BD727" s="270">
        <f t="shared" si="840"/>
        <v>0</v>
      </c>
      <c r="BE727" s="199">
        <f t="shared" si="898"/>
        <v>0</v>
      </c>
      <c r="BF727" s="251">
        <f t="shared" si="842"/>
        <v>0</v>
      </c>
      <c r="BG727" s="204">
        <f t="shared" si="908"/>
        <v>0</v>
      </c>
      <c r="BH727" s="636">
        <v>1</v>
      </c>
      <c r="BI727" s="199">
        <f t="shared" si="883"/>
        <v>144351.98334554848</v>
      </c>
      <c r="BJ727" s="199">
        <f t="shared" si="884"/>
        <v>288703.96669109695</v>
      </c>
      <c r="BK727" s="199">
        <f t="shared" si="891"/>
        <v>433055.9500366454</v>
      </c>
      <c r="BL727" s="251">
        <f t="shared" si="885"/>
        <v>1.8272433717584418E-3</v>
      </c>
      <c r="BM727" s="199">
        <f t="shared" si="899"/>
        <v>37276.781002521602</v>
      </c>
      <c r="BN727" s="251">
        <f t="shared" si="886"/>
        <v>1.6097273324524096E-3</v>
      </c>
      <c r="BT727" s="199">
        <f>'Detailed Budget'!$AD$12</f>
        <v>194045122715</v>
      </c>
      <c r="BU727" s="199">
        <f>'Detailed Budget'!$AD$24</f>
        <v>194045122715</v>
      </c>
      <c r="BV727" s="596">
        <f t="shared" si="900"/>
        <v>0</v>
      </c>
      <c r="BW727" s="278"/>
      <c r="BX727" s="275"/>
      <c r="BY727" s="275"/>
      <c r="CA727" s="199"/>
      <c r="CE727" s="199">
        <f>'Detailed Budget'!$AD$175</f>
        <v>4330586076.5988197</v>
      </c>
      <c r="CF727" s="275">
        <f t="shared" si="901"/>
        <v>0</v>
      </c>
      <c r="CG727" s="199">
        <f>'Detailed Budget'!$AD$176</f>
        <v>20662817754.37001</v>
      </c>
      <c r="CH727" s="275">
        <f t="shared" si="902"/>
        <v>0</v>
      </c>
      <c r="CI727" s="275">
        <f t="shared" si="833"/>
        <v>0</v>
      </c>
      <c r="CJ727" s="275">
        <f>'Detailed Budget'!$AD$178</f>
        <v>46025131033.061455</v>
      </c>
      <c r="CK727" s="275">
        <f t="shared" si="903"/>
        <v>0</v>
      </c>
      <c r="CL727" s="275">
        <f t="shared" si="834"/>
        <v>0</v>
      </c>
      <c r="CM727" s="278">
        <f>'Detailed Budget'!$AD$189</f>
        <v>77498869683.252869</v>
      </c>
      <c r="CN727" s="275">
        <f t="shared" si="888"/>
        <v>141609295.94749507</v>
      </c>
      <c r="CO727" s="140">
        <f>'Detailed Budget'!$AD$191</f>
        <v>2684962805.4134097</v>
      </c>
      <c r="CP727" s="616">
        <f t="shared" si="889"/>
        <v>4906080.4896096047</v>
      </c>
      <c r="CQ727" s="616">
        <f t="shared" si="890"/>
        <v>146515376.43710467</v>
      </c>
      <c r="CR727" s="199">
        <f>'Detailed Budget'!$AD$195</f>
        <v>18734176418</v>
      </c>
      <c r="CS727" s="275">
        <f t="shared" si="904"/>
        <v>30156915.831039976</v>
      </c>
      <c r="CW727" s="278"/>
      <c r="DH727" s="140"/>
      <c r="DI727" s="616"/>
    </row>
    <row r="728" spans="1:113" outlineLevel="1">
      <c r="A728" s="214" t="s">
        <v>1512</v>
      </c>
      <c r="B728" s="215" t="s">
        <v>1513</v>
      </c>
      <c r="C728" s="216" t="s">
        <v>234</v>
      </c>
      <c r="D728" s="217"/>
      <c r="E728" s="216"/>
      <c r="F728" s="216"/>
      <c r="G728" s="216" t="s">
        <v>234</v>
      </c>
      <c r="H728" s="216" t="s">
        <v>234</v>
      </c>
      <c r="I728" s="217" t="s">
        <v>234</v>
      </c>
      <c r="J728" s="217"/>
      <c r="K728" s="216"/>
      <c r="L728" s="216"/>
      <c r="M728" s="217" t="s">
        <v>234</v>
      </c>
      <c r="N728" s="216"/>
      <c r="O728" s="217"/>
      <c r="P728" s="216"/>
      <c r="Q728" s="217"/>
      <c r="R728" s="217" t="s">
        <v>234</v>
      </c>
      <c r="S728" s="217"/>
      <c r="T728" s="217"/>
      <c r="U728" s="218">
        <f t="shared" si="895"/>
        <v>6</v>
      </c>
      <c r="V728" s="867" t="s">
        <v>235</v>
      </c>
      <c r="W728" s="219">
        <v>190194</v>
      </c>
      <c r="X728" s="220">
        <v>3.41</v>
      </c>
      <c r="Y728" s="221">
        <f t="shared" si="870"/>
        <v>1.0341</v>
      </c>
      <c r="Z728" s="199">
        <v>19</v>
      </c>
      <c r="AA728" s="221">
        <f t="shared" si="871"/>
        <v>1.8909856119855175</v>
      </c>
      <c r="AB728" s="199">
        <f t="shared" si="873"/>
        <v>359654.11748597352</v>
      </c>
      <c r="AC728">
        <v>11.9</v>
      </c>
      <c r="AD728" s="199">
        <f t="shared" si="874"/>
        <v>42798.839980830846</v>
      </c>
      <c r="AE728" s="199">
        <f t="shared" si="872"/>
        <v>40658.897981789305</v>
      </c>
      <c r="AF728" s="199">
        <f t="shared" si="893"/>
        <v>0</v>
      </c>
      <c r="AG728" s="614">
        <f t="shared" si="892"/>
        <v>1.8798889467712683E-3</v>
      </c>
      <c r="AH728" s="199">
        <f t="shared" si="905"/>
        <v>17982.705874298677</v>
      </c>
      <c r="AI728" s="252">
        <f t="shared" si="875"/>
        <v>1.3930929776211889E-3</v>
      </c>
      <c r="AJ728" s="199">
        <f t="shared" si="876"/>
        <v>60781.545855129523</v>
      </c>
      <c r="AK728" s="199">
        <f t="shared" si="906"/>
        <v>14386.164699438941</v>
      </c>
      <c r="AL728" s="199">
        <f t="shared" si="907"/>
        <v>14386.164699438941</v>
      </c>
      <c r="AM728" s="199">
        <f t="shared" si="877"/>
        <v>28772.329398877882</v>
      </c>
      <c r="AN728" s="645">
        <f t="shared" si="878"/>
        <v>1.3930929776211889E-3</v>
      </c>
      <c r="AO728" s="199">
        <v>10</v>
      </c>
      <c r="AP728" s="250">
        <f t="shared" si="879"/>
        <v>1.1362345188046814E-3</v>
      </c>
      <c r="AQ728" s="199">
        <v>10</v>
      </c>
      <c r="AU728" s="199">
        <v>0</v>
      </c>
      <c r="AW728" s="250">
        <f t="shared" si="880"/>
        <v>0</v>
      </c>
      <c r="AX728" s="199">
        <v>1</v>
      </c>
      <c r="AY728" s="199">
        <f t="shared" si="896"/>
        <v>17488.338734095061</v>
      </c>
      <c r="AZ728" s="199">
        <f t="shared" si="881"/>
        <v>17488.338734095061</v>
      </c>
      <c r="BA728" s="252">
        <f t="shared" si="882"/>
        <v>1.3746969117786056E-3</v>
      </c>
      <c r="BB728" s="284">
        <v>0</v>
      </c>
      <c r="BC728" s="199">
        <f t="shared" si="897"/>
        <v>0</v>
      </c>
      <c r="BD728" s="270">
        <f t="shared" si="840"/>
        <v>0</v>
      </c>
      <c r="BE728" s="199">
        <f t="shared" si="898"/>
        <v>0</v>
      </c>
      <c r="BF728" s="251">
        <f t="shared" si="842"/>
        <v>0</v>
      </c>
      <c r="BG728" s="204">
        <f t="shared" si="908"/>
        <v>0</v>
      </c>
      <c r="BH728" s="636">
        <v>1</v>
      </c>
      <c r="BI728" s="199">
        <f t="shared" si="883"/>
        <v>110054.15995070789</v>
      </c>
      <c r="BJ728" s="199">
        <f t="shared" si="884"/>
        <v>220108.31990141579</v>
      </c>
      <c r="BK728" s="199">
        <f t="shared" si="891"/>
        <v>330162.47985212365</v>
      </c>
      <c r="BL728" s="251">
        <f t="shared" si="885"/>
        <v>1.3930929776211887E-3</v>
      </c>
      <c r="BM728" s="199">
        <f t="shared" si="899"/>
        <v>28419.871510033765</v>
      </c>
      <c r="BN728" s="251">
        <f t="shared" si="886"/>
        <v>1.2272584360594932E-3</v>
      </c>
      <c r="BT728" s="199">
        <f>'Detailed Budget'!$AD$12</f>
        <v>194045122715</v>
      </c>
      <c r="BU728" s="199">
        <f>'Detailed Budget'!$AD$24</f>
        <v>194045122715</v>
      </c>
      <c r="BV728" s="596">
        <f t="shared" si="900"/>
        <v>0</v>
      </c>
      <c r="BW728" s="278"/>
      <c r="BX728" s="275"/>
      <c r="BY728" s="275"/>
      <c r="CA728" s="199"/>
      <c r="CE728" s="199">
        <f>'Detailed Budget'!$AD$175</f>
        <v>4330586076.5988197</v>
      </c>
      <c r="CF728" s="275">
        <f t="shared" si="901"/>
        <v>0</v>
      </c>
      <c r="CG728" s="199">
        <f>'Detailed Budget'!$AD$176</f>
        <v>20662817754.37001</v>
      </c>
      <c r="CH728" s="275">
        <f t="shared" si="902"/>
        <v>0</v>
      </c>
      <c r="CI728" s="275">
        <f t="shared" si="833"/>
        <v>0</v>
      </c>
      <c r="CJ728" s="275">
        <f>'Detailed Budget'!$AD$178</f>
        <v>46025131033.061455</v>
      </c>
      <c r="CK728" s="275">
        <f t="shared" si="903"/>
        <v>0</v>
      </c>
      <c r="CL728" s="275">
        <f t="shared" ref="CL728:CL793" si="909">CI728+CK728</f>
        <v>0</v>
      </c>
      <c r="CM728" s="278">
        <f>'Detailed Budget'!$AD$189</f>
        <v>77498869683.252869</v>
      </c>
      <c r="CN728" s="275">
        <f t="shared" si="888"/>
        <v>107963131.12931921</v>
      </c>
      <c r="CO728" s="140">
        <f>'Detailed Budget'!$AD$191</f>
        <v>2684962805.4134097</v>
      </c>
      <c r="CP728" s="616">
        <f t="shared" si="889"/>
        <v>3740402.8293955079</v>
      </c>
      <c r="CQ728" s="616">
        <f t="shared" si="890"/>
        <v>111703533.95871471</v>
      </c>
      <c r="CR728" s="199">
        <f>'Detailed Budget'!$AD$195</f>
        <v>18734176418</v>
      </c>
      <c r="CS728" s="275">
        <f t="shared" si="904"/>
        <v>22991676.051617317</v>
      </c>
      <c r="CW728" s="278"/>
      <c r="DH728" s="140"/>
      <c r="DI728" s="616"/>
    </row>
    <row r="729" spans="1:113" outlineLevel="1">
      <c r="A729" s="214" t="s">
        <v>1514</v>
      </c>
      <c r="B729" s="215" t="s">
        <v>1515</v>
      </c>
      <c r="C729" s="216" t="s">
        <v>234</v>
      </c>
      <c r="D729" s="217"/>
      <c r="E729" s="216"/>
      <c r="F729" s="216"/>
      <c r="G729" s="216" t="s">
        <v>234</v>
      </c>
      <c r="H729" s="216" t="s">
        <v>234</v>
      </c>
      <c r="I729" s="217" t="s">
        <v>234</v>
      </c>
      <c r="J729" s="217"/>
      <c r="K729" s="216"/>
      <c r="L729" s="216"/>
      <c r="M729" s="217" t="s">
        <v>234</v>
      </c>
      <c r="N729" s="216"/>
      <c r="O729" s="217"/>
      <c r="P729" s="216"/>
      <c r="Q729" s="217"/>
      <c r="R729" s="217" t="s">
        <v>234</v>
      </c>
      <c r="S729" s="217"/>
      <c r="T729" s="217"/>
      <c r="U729" s="218">
        <f t="shared" si="895"/>
        <v>6</v>
      </c>
      <c r="V729" s="867" t="s">
        <v>235</v>
      </c>
      <c r="W729" s="219">
        <v>201057</v>
      </c>
      <c r="X729" s="220">
        <v>3.41</v>
      </c>
      <c r="Y729" s="221">
        <f t="shared" si="870"/>
        <v>1.0341</v>
      </c>
      <c r="Z729" s="199">
        <v>19</v>
      </c>
      <c r="AA729" s="221">
        <f t="shared" si="871"/>
        <v>1.8909856119855175</v>
      </c>
      <c r="AB729" s="199">
        <f t="shared" si="873"/>
        <v>380195.89418897219</v>
      </c>
      <c r="AC729">
        <v>11.9</v>
      </c>
      <c r="AD729" s="199">
        <f t="shared" si="874"/>
        <v>45243.311408487687</v>
      </c>
      <c r="AE729" s="199">
        <f t="shared" si="872"/>
        <v>42981.145838063298</v>
      </c>
      <c r="AF729" s="199">
        <f t="shared" si="893"/>
        <v>0</v>
      </c>
      <c r="AG729" s="614">
        <f t="shared" si="892"/>
        <v>1.9872594927862644E-3</v>
      </c>
      <c r="AH729" s="199">
        <f t="shared" si="905"/>
        <v>19009.794709448612</v>
      </c>
      <c r="AI729" s="252">
        <f t="shared" si="875"/>
        <v>1.4726599934886662E-3</v>
      </c>
      <c r="AJ729" s="199">
        <f t="shared" si="876"/>
        <v>64253.106117936302</v>
      </c>
      <c r="AK729" s="199">
        <f t="shared" si="906"/>
        <v>15207.835767558889</v>
      </c>
      <c r="AL729" s="199">
        <f t="shared" si="907"/>
        <v>15207.835767558889</v>
      </c>
      <c r="AM729" s="199">
        <f t="shared" si="877"/>
        <v>30415.671535117777</v>
      </c>
      <c r="AN729" s="645">
        <f t="shared" si="878"/>
        <v>1.4726599934886662E-3</v>
      </c>
      <c r="AO729" s="199">
        <v>14</v>
      </c>
      <c r="AP729" s="250">
        <f t="shared" si="879"/>
        <v>1.5907283263265539E-3</v>
      </c>
      <c r="AQ729" s="199">
        <v>14</v>
      </c>
      <c r="AU729" s="199">
        <v>0</v>
      </c>
      <c r="AW729" s="250">
        <f t="shared" si="880"/>
        <v>0</v>
      </c>
      <c r="AX729" s="199">
        <v>1</v>
      </c>
      <c r="AY729" s="199">
        <f t="shared" si="896"/>
        <v>18487.191608888559</v>
      </c>
      <c r="AZ729" s="199">
        <f t="shared" si="881"/>
        <v>18487.191608888559</v>
      </c>
      <c r="BA729" s="252">
        <f t="shared" si="882"/>
        <v>1.4532132296048829E-3</v>
      </c>
      <c r="BB729" s="284">
        <v>0</v>
      </c>
      <c r="BC729" s="199">
        <f t="shared" si="897"/>
        <v>0</v>
      </c>
      <c r="BD729" s="270">
        <f t="shared" si="840"/>
        <v>0</v>
      </c>
      <c r="BE729" s="199">
        <f t="shared" si="898"/>
        <v>0</v>
      </c>
      <c r="BF729" s="251">
        <f t="shared" si="842"/>
        <v>0</v>
      </c>
      <c r="BG729" s="204">
        <f t="shared" si="908"/>
        <v>0</v>
      </c>
      <c r="BH729" s="636">
        <v>1</v>
      </c>
      <c r="BI729" s="199">
        <f t="shared" si="883"/>
        <v>116339.9436218255</v>
      </c>
      <c r="BJ729" s="199">
        <f t="shared" si="884"/>
        <v>232679.887243651</v>
      </c>
      <c r="BK729" s="199">
        <f t="shared" si="891"/>
        <v>349019.83086547651</v>
      </c>
      <c r="BL729" s="251">
        <f t="shared" si="885"/>
        <v>1.4726599934886664E-3</v>
      </c>
      <c r="BM729" s="199">
        <f t="shared" si="899"/>
        <v>30043.082884806354</v>
      </c>
      <c r="BN729" s="251">
        <f t="shared" si="886"/>
        <v>1.2973537513213537E-3</v>
      </c>
      <c r="BT729" s="199">
        <f>'Detailed Budget'!$AD$12</f>
        <v>194045122715</v>
      </c>
      <c r="BU729" s="199">
        <f>'Detailed Budget'!$AD$24</f>
        <v>194045122715</v>
      </c>
      <c r="BV729" s="596">
        <f t="shared" si="900"/>
        <v>0</v>
      </c>
      <c r="BW729" s="278"/>
      <c r="BX729" s="275"/>
      <c r="BY729" s="275"/>
      <c r="CA729" s="199"/>
      <c r="CE729" s="199">
        <f>'Detailed Budget'!$AD$175</f>
        <v>4330586076.5988197</v>
      </c>
      <c r="CF729" s="275">
        <f t="shared" si="901"/>
        <v>0</v>
      </c>
      <c r="CG729" s="199">
        <f>'Detailed Budget'!$AD$176</f>
        <v>20662817754.37001</v>
      </c>
      <c r="CH729" s="275">
        <f t="shared" si="902"/>
        <v>0</v>
      </c>
      <c r="CI729" s="275">
        <f t="shared" si="833"/>
        <v>0</v>
      </c>
      <c r="CJ729" s="275">
        <f>'Detailed Budget'!$AD$178</f>
        <v>46025131033.061455</v>
      </c>
      <c r="CK729" s="275">
        <f t="shared" si="903"/>
        <v>0</v>
      </c>
      <c r="CL729" s="275">
        <f t="shared" si="909"/>
        <v>0</v>
      </c>
      <c r="CM729" s="278">
        <f>'Detailed Budget'!$AD$189</f>
        <v>77498869683.252869</v>
      </c>
      <c r="CN729" s="275">
        <f t="shared" si="888"/>
        <v>114129484.92311817</v>
      </c>
      <c r="CO729" s="140">
        <f>'Detailed Budget'!$AD$191</f>
        <v>2684962805.4134097</v>
      </c>
      <c r="CP729" s="616">
        <f t="shared" si="889"/>
        <v>3954037.307537423</v>
      </c>
      <c r="CQ729" s="616">
        <f t="shared" si="890"/>
        <v>118083522.2306556</v>
      </c>
      <c r="CR729" s="199">
        <f>'Detailed Budget'!$AD$195</f>
        <v>18734176418</v>
      </c>
      <c r="CS729" s="275">
        <f t="shared" si="904"/>
        <v>24304854.053808339</v>
      </c>
      <c r="CW729" s="278"/>
      <c r="DH729" s="140"/>
      <c r="DI729" s="616"/>
    </row>
    <row r="730" spans="1:113" outlineLevel="1">
      <c r="A730" s="214" t="s">
        <v>1516</v>
      </c>
      <c r="B730" s="215" t="s">
        <v>1517</v>
      </c>
      <c r="C730" s="216" t="s">
        <v>234</v>
      </c>
      <c r="D730" s="217"/>
      <c r="E730" s="216"/>
      <c r="F730" s="216"/>
      <c r="G730" s="216" t="s">
        <v>234</v>
      </c>
      <c r="H730" s="216" t="s">
        <v>234</v>
      </c>
      <c r="I730" s="217" t="s">
        <v>234</v>
      </c>
      <c r="J730" s="217"/>
      <c r="K730" s="216"/>
      <c r="L730" s="216"/>
      <c r="M730" s="217" t="s">
        <v>234</v>
      </c>
      <c r="N730" s="216"/>
      <c r="O730" s="217"/>
      <c r="P730" s="216"/>
      <c r="Q730" s="217"/>
      <c r="R730" s="217" t="s">
        <v>234</v>
      </c>
      <c r="S730" s="217"/>
      <c r="T730" s="217"/>
      <c r="U730" s="218">
        <f t="shared" si="895"/>
        <v>6</v>
      </c>
      <c r="V730" s="867" t="s">
        <v>235</v>
      </c>
      <c r="W730" s="219">
        <v>249939</v>
      </c>
      <c r="X730" s="220">
        <v>3.41</v>
      </c>
      <c r="Y730" s="221">
        <f t="shared" si="870"/>
        <v>1.0341</v>
      </c>
      <c r="Z730" s="199">
        <v>19</v>
      </c>
      <c r="AA730" s="221">
        <f t="shared" si="871"/>
        <v>1.8909856119855175</v>
      </c>
      <c r="AB730" s="199">
        <f t="shared" si="873"/>
        <v>472631.05287404824</v>
      </c>
      <c r="AC730">
        <v>11.9</v>
      </c>
      <c r="AD730" s="199">
        <f t="shared" si="874"/>
        <v>56243.095292011742</v>
      </c>
      <c r="AE730" s="199">
        <f t="shared" si="872"/>
        <v>53430.940527411149</v>
      </c>
      <c r="AF730" s="199">
        <f t="shared" si="893"/>
        <v>0</v>
      </c>
      <c r="AG730" s="614">
        <f t="shared" si="892"/>
        <v>2.4704121237634413E-3</v>
      </c>
      <c r="AH730" s="199">
        <f t="shared" si="905"/>
        <v>23631.552643702413</v>
      </c>
      <c r="AI730" s="252">
        <f t="shared" si="875"/>
        <v>1.8307005780080461E-3</v>
      </c>
      <c r="AJ730" s="199">
        <f t="shared" si="876"/>
        <v>79874.647935714151</v>
      </c>
      <c r="AK730" s="199">
        <f t="shared" si="906"/>
        <v>18905.242114961929</v>
      </c>
      <c r="AL730" s="199">
        <f t="shared" si="907"/>
        <v>18905.242114961929</v>
      </c>
      <c r="AM730" s="199">
        <f t="shared" si="877"/>
        <v>37810.484229923859</v>
      </c>
      <c r="AN730" s="645">
        <f t="shared" si="878"/>
        <v>1.8307005780080459E-3</v>
      </c>
      <c r="AO730" s="199">
        <v>19</v>
      </c>
      <c r="AP730" s="250">
        <f t="shared" si="879"/>
        <v>2.1588455857288946E-3</v>
      </c>
      <c r="AQ730" s="199">
        <v>19</v>
      </c>
      <c r="AU730" s="199">
        <v>0</v>
      </c>
      <c r="AW730" s="250">
        <f t="shared" si="880"/>
        <v>0</v>
      </c>
      <c r="AX730" s="199">
        <v>1</v>
      </c>
      <c r="AY730" s="199">
        <f t="shared" si="896"/>
        <v>22981.891620455877</v>
      </c>
      <c r="AZ730" s="199">
        <f t="shared" si="881"/>
        <v>22981.891620455877</v>
      </c>
      <c r="BA730" s="252">
        <f t="shared" si="882"/>
        <v>1.8065258180228233E-3</v>
      </c>
      <c r="BB730" s="284">
        <v>0</v>
      </c>
      <c r="BC730" s="199">
        <f t="shared" si="897"/>
        <v>0</v>
      </c>
      <c r="BD730" s="270">
        <f t="shared" si="840"/>
        <v>0</v>
      </c>
      <c r="BE730" s="199">
        <f t="shared" si="898"/>
        <v>0</v>
      </c>
      <c r="BF730" s="251">
        <f t="shared" si="842"/>
        <v>0</v>
      </c>
      <c r="BG730" s="204">
        <f t="shared" si="908"/>
        <v>0</v>
      </c>
      <c r="BH730" s="636">
        <v>1</v>
      </c>
      <c r="BI730" s="199">
        <f t="shared" si="883"/>
        <v>144625.10217945877</v>
      </c>
      <c r="BJ730" s="199">
        <f t="shared" si="884"/>
        <v>289250.20435891754</v>
      </c>
      <c r="BK730" s="199">
        <f t="shared" si="891"/>
        <v>433875.30653837632</v>
      </c>
      <c r="BL730" s="251">
        <f t="shared" si="885"/>
        <v>1.8307005780080461E-3</v>
      </c>
      <c r="BM730" s="199">
        <f t="shared" si="899"/>
        <v>37347.309932733573</v>
      </c>
      <c r="BN730" s="251">
        <f t="shared" si="886"/>
        <v>1.6127729910001033E-3</v>
      </c>
      <c r="BT730" s="199">
        <f>'Detailed Budget'!$AD$12</f>
        <v>194045122715</v>
      </c>
      <c r="BU730" s="199">
        <f>'Detailed Budget'!$AD$24</f>
        <v>194045122715</v>
      </c>
      <c r="BV730" s="596">
        <f t="shared" si="900"/>
        <v>0</v>
      </c>
      <c r="BW730" s="278"/>
      <c r="BX730" s="275"/>
      <c r="BY730" s="275"/>
      <c r="CA730" s="199"/>
      <c r="CE730" s="199">
        <f>'Detailed Budget'!$AD$175</f>
        <v>4330586076.5988197</v>
      </c>
      <c r="CF730" s="275">
        <f t="shared" si="901"/>
        <v>0</v>
      </c>
      <c r="CG730" s="199">
        <f>'Detailed Budget'!$AD$176</f>
        <v>20662817754.37001</v>
      </c>
      <c r="CH730" s="275">
        <f t="shared" si="902"/>
        <v>0</v>
      </c>
      <c r="CI730" s="275">
        <f t="shared" ref="CI730:CI798" si="910">CF730+CH730</f>
        <v>0</v>
      </c>
      <c r="CJ730" s="275">
        <f>'Detailed Budget'!$AD$178</f>
        <v>46025131033.061455</v>
      </c>
      <c r="CK730" s="275">
        <f t="shared" si="903"/>
        <v>0</v>
      </c>
      <c r="CL730" s="275">
        <f t="shared" si="909"/>
        <v>0</v>
      </c>
      <c r="CM730" s="278">
        <f>'Detailed Budget'!$AD$189</f>
        <v>77498869683.252869</v>
      </c>
      <c r="CN730" s="275">
        <f t="shared" si="888"/>
        <v>141877225.52410126</v>
      </c>
      <c r="CO730" s="140">
        <f>'Detailed Budget'!$AD$191</f>
        <v>2684962805.4134097</v>
      </c>
      <c r="CP730" s="616">
        <f t="shared" si="889"/>
        <v>4915362.9598004334</v>
      </c>
      <c r="CQ730" s="616">
        <f t="shared" si="890"/>
        <v>146792588.48390168</v>
      </c>
      <c r="CR730" s="199">
        <f>'Detailed Budget'!$AD$195</f>
        <v>18734176418</v>
      </c>
      <c r="CS730" s="275">
        <f t="shared" si="904"/>
        <v>30213973.735581461</v>
      </c>
      <c r="CW730" s="278"/>
      <c r="DH730" s="140"/>
      <c r="DI730" s="616"/>
    </row>
    <row r="731" spans="1:113" outlineLevel="1">
      <c r="A731" s="214" t="s">
        <v>1518</v>
      </c>
      <c r="B731" s="215" t="s">
        <v>1519</v>
      </c>
      <c r="C731" s="216" t="s">
        <v>234</v>
      </c>
      <c r="D731" s="217"/>
      <c r="E731" s="216"/>
      <c r="F731" s="216"/>
      <c r="G731" s="216" t="s">
        <v>234</v>
      </c>
      <c r="H731" s="216" t="s">
        <v>234</v>
      </c>
      <c r="I731" s="217" t="s">
        <v>234</v>
      </c>
      <c r="J731" s="217"/>
      <c r="K731" s="216"/>
      <c r="L731" s="216"/>
      <c r="M731" s="217" t="s">
        <v>234</v>
      </c>
      <c r="N731" s="216"/>
      <c r="O731" s="217"/>
      <c r="P731" s="216"/>
      <c r="Q731" s="217"/>
      <c r="R731" s="217" t="s">
        <v>234</v>
      </c>
      <c r="S731" s="217"/>
      <c r="T731" s="217"/>
      <c r="U731" s="218">
        <f t="shared" si="895"/>
        <v>6</v>
      </c>
      <c r="V731" s="867" t="s">
        <v>235</v>
      </c>
      <c r="W731" s="219">
        <v>233813</v>
      </c>
      <c r="X731" s="220">
        <v>3.41</v>
      </c>
      <c r="Y731" s="221">
        <f t="shared" si="870"/>
        <v>1.0341</v>
      </c>
      <c r="Z731" s="199">
        <v>19</v>
      </c>
      <c r="AA731" s="221">
        <f t="shared" si="871"/>
        <v>1.8909856119855175</v>
      </c>
      <c r="AB731" s="199">
        <f t="shared" si="873"/>
        <v>442137.01889516978</v>
      </c>
      <c r="AC731">
        <v>11.9</v>
      </c>
      <c r="AD731" s="199">
        <f t="shared" si="874"/>
        <v>52614.305248525205</v>
      </c>
      <c r="AE731" s="199">
        <f t="shared" si="872"/>
        <v>49983.589986098945</v>
      </c>
      <c r="AF731" s="199">
        <f t="shared" si="893"/>
        <v>0</v>
      </c>
      <c r="AG731" s="614">
        <f t="shared" si="892"/>
        <v>2.3110217688856144E-3</v>
      </c>
      <c r="AH731" s="199">
        <f t="shared" si="905"/>
        <v>22106.850944758491</v>
      </c>
      <c r="AI731" s="252">
        <f t="shared" si="875"/>
        <v>1.7125842475395809E-3</v>
      </c>
      <c r="AJ731" s="199">
        <f t="shared" si="876"/>
        <v>74721.156193283692</v>
      </c>
      <c r="AK731" s="199">
        <f t="shared" si="906"/>
        <v>17685.480755806791</v>
      </c>
      <c r="AL731" s="199">
        <f t="shared" si="907"/>
        <v>17685.480755806791</v>
      </c>
      <c r="AM731" s="199">
        <f t="shared" si="877"/>
        <v>35370.961511613583</v>
      </c>
      <c r="AN731" s="645">
        <f t="shared" si="878"/>
        <v>1.7125842475395807E-3</v>
      </c>
      <c r="AO731" s="199">
        <v>17</v>
      </c>
      <c r="AP731" s="250">
        <f t="shared" si="879"/>
        <v>1.9315986819679581E-3</v>
      </c>
      <c r="AQ731" s="199">
        <v>17</v>
      </c>
      <c r="AU731" s="199">
        <v>0</v>
      </c>
      <c r="AW731" s="250">
        <f t="shared" si="880"/>
        <v>0</v>
      </c>
      <c r="AX731" s="199">
        <v>1</v>
      </c>
      <c r="AY731" s="199">
        <f t="shared" si="896"/>
        <v>21499.105883650212</v>
      </c>
      <c r="AZ731" s="199">
        <f t="shared" si="881"/>
        <v>21499.105883650212</v>
      </c>
      <c r="BA731" s="252">
        <f t="shared" si="882"/>
        <v>1.6899692368512733E-3</v>
      </c>
      <c r="BB731" s="284">
        <v>0</v>
      </c>
      <c r="BC731" s="199">
        <f t="shared" si="897"/>
        <v>0</v>
      </c>
      <c r="BD731" s="270">
        <f t="shared" si="840"/>
        <v>0</v>
      </c>
      <c r="BE731" s="199">
        <f t="shared" si="898"/>
        <v>0</v>
      </c>
      <c r="BF731" s="251">
        <f t="shared" si="842"/>
        <v>0</v>
      </c>
      <c r="BG731" s="204">
        <f t="shared" si="908"/>
        <v>0</v>
      </c>
      <c r="BH731" s="636">
        <v>1</v>
      </c>
      <c r="BI731" s="199">
        <f t="shared" si="883"/>
        <v>135293.92778192193</v>
      </c>
      <c r="BJ731" s="199">
        <f t="shared" si="884"/>
        <v>270587.85556384386</v>
      </c>
      <c r="BK731" s="199">
        <f t="shared" si="891"/>
        <v>405881.78334576578</v>
      </c>
      <c r="BL731" s="251">
        <f t="shared" si="885"/>
        <v>1.7125842475395805E-3</v>
      </c>
      <c r="BM731" s="199">
        <f t="shared" si="899"/>
        <v>34937.671100957574</v>
      </c>
      <c r="BN731" s="251">
        <f t="shared" si="886"/>
        <v>1.5087172923981737E-3</v>
      </c>
      <c r="BT731" s="199">
        <f>'Detailed Budget'!$AD$12</f>
        <v>194045122715</v>
      </c>
      <c r="BU731" s="199">
        <f>'Detailed Budget'!$AD$24</f>
        <v>194045122715</v>
      </c>
      <c r="BV731" s="596">
        <f t="shared" si="900"/>
        <v>0</v>
      </c>
      <c r="BW731" s="278"/>
      <c r="BX731" s="275"/>
      <c r="BY731" s="275"/>
      <c r="CA731" s="199"/>
      <c r="CE731" s="199">
        <f>'Detailed Budget'!$AD$175</f>
        <v>4330586076.5988197</v>
      </c>
      <c r="CF731" s="275">
        <f t="shared" si="901"/>
        <v>0</v>
      </c>
      <c r="CG731" s="199">
        <f>'Detailed Budget'!$AD$176</f>
        <v>20662817754.37001</v>
      </c>
      <c r="CH731" s="275">
        <f t="shared" si="902"/>
        <v>0</v>
      </c>
      <c r="CI731" s="275">
        <f t="shared" si="910"/>
        <v>0</v>
      </c>
      <c r="CJ731" s="275">
        <f>'Detailed Budget'!$AD$178</f>
        <v>46025131033.061455</v>
      </c>
      <c r="CK731" s="275">
        <f t="shared" si="903"/>
        <v>0</v>
      </c>
      <c r="CL731" s="275">
        <f t="shared" si="909"/>
        <v>0</v>
      </c>
      <c r="CM731" s="278">
        <f>'Detailed Budget'!$AD$189</f>
        <v>77498869683.252869</v>
      </c>
      <c r="CN731" s="275">
        <f t="shared" si="888"/>
        <v>132723343.42166162</v>
      </c>
      <c r="CO731" s="140">
        <f>'Detailed Budget'!$AD$191</f>
        <v>2684962805.4134097</v>
      </c>
      <c r="CP731" s="616">
        <f t="shared" si="889"/>
        <v>4598225.0057806857</v>
      </c>
      <c r="CQ731" s="616">
        <f t="shared" si="890"/>
        <v>137321568.42744231</v>
      </c>
      <c r="CR731" s="199">
        <f>'Detailed Budget'!$AD$195</f>
        <v>18734176418</v>
      </c>
      <c r="CS731" s="275">
        <f t="shared" si="904"/>
        <v>28264575.920674678</v>
      </c>
      <c r="CW731" s="278"/>
      <c r="DH731" s="140"/>
      <c r="DI731" s="616"/>
    </row>
    <row r="732" spans="1:113" outlineLevel="1">
      <c r="A732" s="214" t="s">
        <v>1520</v>
      </c>
      <c r="B732" s="215" t="s">
        <v>1521</v>
      </c>
      <c r="C732" s="216" t="s">
        <v>234</v>
      </c>
      <c r="D732" s="217"/>
      <c r="E732" s="216"/>
      <c r="F732" s="216"/>
      <c r="G732" s="216" t="s">
        <v>234</v>
      </c>
      <c r="H732" s="216" t="s">
        <v>234</v>
      </c>
      <c r="I732" s="217" t="s">
        <v>234</v>
      </c>
      <c r="J732" s="217"/>
      <c r="K732" s="216"/>
      <c r="L732" s="216"/>
      <c r="M732" s="217" t="s">
        <v>234</v>
      </c>
      <c r="N732" s="216"/>
      <c r="O732" s="217"/>
      <c r="P732" s="216"/>
      <c r="Q732" s="217"/>
      <c r="R732" s="217" t="s">
        <v>234</v>
      </c>
      <c r="S732" s="217"/>
      <c r="T732" s="217"/>
      <c r="U732" s="218">
        <f t="shared" si="895"/>
        <v>6</v>
      </c>
      <c r="V732" s="867" t="s">
        <v>235</v>
      </c>
      <c r="W732" s="219">
        <v>188930</v>
      </c>
      <c r="X732" s="220">
        <v>3.41</v>
      </c>
      <c r="Y732" s="221">
        <f t="shared" si="870"/>
        <v>1.0341</v>
      </c>
      <c r="Z732" s="199">
        <v>19</v>
      </c>
      <c r="AA732" s="221">
        <f t="shared" si="871"/>
        <v>1.8909856119855175</v>
      </c>
      <c r="AB732" s="199">
        <f t="shared" si="873"/>
        <v>357263.91167242383</v>
      </c>
      <c r="AC732">
        <v>11.9</v>
      </c>
      <c r="AD732" s="199">
        <f t="shared" si="874"/>
        <v>42514.405489018442</v>
      </c>
      <c r="AE732" s="199">
        <f t="shared" si="872"/>
        <v>40388.685214567515</v>
      </c>
      <c r="AF732" s="199">
        <f t="shared" si="893"/>
        <v>0</v>
      </c>
      <c r="AG732" s="614">
        <f t="shared" si="892"/>
        <v>1.8673954946712079E-3</v>
      </c>
      <c r="AH732" s="199">
        <f t="shared" si="905"/>
        <v>17863.195583621193</v>
      </c>
      <c r="AI732" s="252">
        <f t="shared" si="875"/>
        <v>1.3838346964781814E-3</v>
      </c>
      <c r="AJ732" s="199">
        <f t="shared" si="876"/>
        <v>60377.601072639634</v>
      </c>
      <c r="AK732" s="199">
        <f t="shared" si="906"/>
        <v>14290.556466896953</v>
      </c>
      <c r="AL732" s="199">
        <f t="shared" si="907"/>
        <v>14290.556466896953</v>
      </c>
      <c r="AM732" s="199">
        <f t="shared" si="877"/>
        <v>28581.112933793906</v>
      </c>
      <c r="AN732" s="645">
        <f t="shared" si="878"/>
        <v>1.3838346964781814E-3</v>
      </c>
      <c r="AO732" s="199">
        <v>13</v>
      </c>
      <c r="AP732" s="250">
        <f t="shared" si="879"/>
        <v>1.4771048744460858E-3</v>
      </c>
      <c r="AQ732" s="199">
        <v>13</v>
      </c>
      <c r="AU732" s="199">
        <v>0</v>
      </c>
      <c r="AW732" s="250">
        <f t="shared" si="880"/>
        <v>0</v>
      </c>
      <c r="AX732" s="199">
        <v>1</v>
      </c>
      <c r="AY732" s="199">
        <f t="shared" si="896"/>
        <v>17372.113931210133</v>
      </c>
      <c r="AZ732" s="199">
        <f t="shared" si="881"/>
        <v>17372.113931210133</v>
      </c>
      <c r="BA732" s="252">
        <f t="shared" si="882"/>
        <v>1.3655608880528932E-3</v>
      </c>
      <c r="BB732" s="284">
        <v>0</v>
      </c>
      <c r="BC732" s="199">
        <f t="shared" si="897"/>
        <v>0</v>
      </c>
      <c r="BD732" s="270">
        <f t="shared" si="840"/>
        <v>0</v>
      </c>
      <c r="BE732" s="199">
        <f t="shared" si="898"/>
        <v>0</v>
      </c>
      <c r="BF732" s="251">
        <f t="shared" si="842"/>
        <v>0</v>
      </c>
      <c r="BG732" s="204">
        <f t="shared" si="908"/>
        <v>0</v>
      </c>
      <c r="BH732" s="636">
        <v>1</v>
      </c>
      <c r="BI732" s="199">
        <f t="shared" si="883"/>
        <v>109322.75697176167</v>
      </c>
      <c r="BJ732" s="199">
        <f t="shared" si="884"/>
        <v>218645.51394352334</v>
      </c>
      <c r="BK732" s="199">
        <f t="shared" si="891"/>
        <v>327968.27091528499</v>
      </c>
      <c r="BL732" s="251">
        <f t="shared" si="885"/>
        <v>1.3838346964781809E-3</v>
      </c>
      <c r="BM732" s="199">
        <f t="shared" si="899"/>
        <v>28230.997425737296</v>
      </c>
      <c r="BN732" s="251">
        <f t="shared" si="886"/>
        <v>1.2191022657114317E-3</v>
      </c>
      <c r="BT732" s="199">
        <f>'Detailed Budget'!$AD$12</f>
        <v>194045122715</v>
      </c>
      <c r="BU732" s="199">
        <f>'Detailed Budget'!$AD$24</f>
        <v>194045122715</v>
      </c>
      <c r="BV732" s="596">
        <f t="shared" si="900"/>
        <v>0</v>
      </c>
      <c r="BW732" s="278"/>
      <c r="BX732" s="275"/>
      <c r="BY732" s="275"/>
      <c r="CA732" s="199"/>
      <c r="CE732" s="199">
        <f>'Detailed Budget'!$AD$175</f>
        <v>4330586076.5988197</v>
      </c>
      <c r="CF732" s="275">
        <f t="shared" si="901"/>
        <v>0</v>
      </c>
      <c r="CG732" s="199">
        <f>'Detailed Budget'!$AD$176</f>
        <v>20662817754.37001</v>
      </c>
      <c r="CH732" s="275">
        <f t="shared" si="902"/>
        <v>0</v>
      </c>
      <c r="CI732" s="275">
        <f t="shared" si="910"/>
        <v>0</v>
      </c>
      <c r="CJ732" s="275">
        <f>'Detailed Budget'!$AD$178</f>
        <v>46025131033.061455</v>
      </c>
      <c r="CK732" s="275">
        <f t="shared" si="903"/>
        <v>0</v>
      </c>
      <c r="CL732" s="275">
        <f t="shared" si="909"/>
        <v>0</v>
      </c>
      <c r="CM732" s="278">
        <f>'Detailed Budget'!$AD$189</f>
        <v>77498869683.252869</v>
      </c>
      <c r="CN732" s="275">
        <f t="shared" si="888"/>
        <v>107245624.80552633</v>
      </c>
      <c r="CO732" s="140">
        <f>'Detailed Budget'!$AD$191</f>
        <v>2684962805.4134097</v>
      </c>
      <c r="CP732" s="616">
        <f t="shared" si="889"/>
        <v>3715544.688884472</v>
      </c>
      <c r="CQ732" s="616">
        <f t="shared" si="890"/>
        <v>110961169.4944108</v>
      </c>
      <c r="CR732" s="199">
        <f>'Detailed Budget'!$AD$195</f>
        <v>18734176418</v>
      </c>
      <c r="CS732" s="275">
        <f t="shared" si="904"/>
        <v>22838876.917421475</v>
      </c>
      <c r="CW732" s="278"/>
      <c r="DH732" s="140"/>
      <c r="DI732" s="616"/>
    </row>
    <row r="733" spans="1:113" outlineLevel="1">
      <c r="A733" s="214" t="s">
        <v>1522</v>
      </c>
      <c r="B733" s="215" t="s">
        <v>1523</v>
      </c>
      <c r="C733" s="216" t="s">
        <v>234</v>
      </c>
      <c r="D733" s="217"/>
      <c r="E733" s="216"/>
      <c r="F733" s="216"/>
      <c r="G733" s="216" t="s">
        <v>234</v>
      </c>
      <c r="H733" s="216" t="s">
        <v>234</v>
      </c>
      <c r="I733" s="217" t="s">
        <v>234</v>
      </c>
      <c r="J733" s="217"/>
      <c r="K733" s="216"/>
      <c r="L733" s="216"/>
      <c r="M733" s="217" t="s">
        <v>234</v>
      </c>
      <c r="N733" s="216"/>
      <c r="O733" s="217"/>
      <c r="P733" s="216"/>
      <c r="Q733" s="217"/>
      <c r="R733" s="217" t="s">
        <v>234</v>
      </c>
      <c r="S733" s="217"/>
      <c r="T733" s="217"/>
      <c r="U733" s="218">
        <f t="shared" si="895"/>
        <v>6</v>
      </c>
      <c r="V733" s="867" t="s">
        <v>235</v>
      </c>
      <c r="W733" s="219">
        <v>292924</v>
      </c>
      <c r="X733" s="220">
        <v>3.41</v>
      </c>
      <c r="Y733" s="221">
        <f t="shared" si="870"/>
        <v>1.0341</v>
      </c>
      <c r="Z733" s="199">
        <v>19</v>
      </c>
      <c r="AA733" s="221">
        <f t="shared" si="871"/>
        <v>1.8909856119855175</v>
      </c>
      <c r="AB733" s="199">
        <f t="shared" si="873"/>
        <v>553915.06940524571</v>
      </c>
      <c r="AC733">
        <v>11.9</v>
      </c>
      <c r="AD733" s="199">
        <f t="shared" si="874"/>
        <v>65915.893259224234</v>
      </c>
      <c r="AE733" s="199">
        <f t="shared" si="872"/>
        <v>62620.098596263022</v>
      </c>
      <c r="AF733" s="199">
        <f t="shared" si="893"/>
        <v>0</v>
      </c>
      <c r="AG733" s="614">
        <f t="shared" si="892"/>
        <v>2.8952784517073458E-3</v>
      </c>
      <c r="AH733" s="199">
        <f t="shared" si="905"/>
        <v>27695.753470262287</v>
      </c>
      <c r="AI733" s="252">
        <f t="shared" si="875"/>
        <v>2.1455480581759104E-3</v>
      </c>
      <c r="AJ733" s="199">
        <f t="shared" si="876"/>
        <v>93611.646729486529</v>
      </c>
      <c r="AK733" s="199">
        <f t="shared" si="906"/>
        <v>22156.602776209827</v>
      </c>
      <c r="AL733" s="199">
        <f t="shared" si="907"/>
        <v>22156.602776209827</v>
      </c>
      <c r="AM733" s="199">
        <f t="shared" si="877"/>
        <v>44313.205552419655</v>
      </c>
      <c r="AN733" s="645">
        <f t="shared" si="878"/>
        <v>2.1455480581759104E-3</v>
      </c>
      <c r="AO733" s="199">
        <v>19</v>
      </c>
      <c r="AP733" s="250">
        <f t="shared" si="879"/>
        <v>2.1588455857288946E-3</v>
      </c>
      <c r="AQ733" s="199">
        <v>19</v>
      </c>
      <c r="AU733" s="199">
        <v>0</v>
      </c>
      <c r="AW733" s="250">
        <f t="shared" si="880"/>
        <v>0</v>
      </c>
      <c r="AX733" s="199">
        <v>1</v>
      </c>
      <c r="AY733" s="199">
        <f t="shared" si="896"/>
        <v>26934.362468563999</v>
      </c>
      <c r="AZ733" s="199">
        <f t="shared" si="881"/>
        <v>26934.362468563999</v>
      </c>
      <c r="BA733" s="252">
        <f t="shared" si="882"/>
        <v>2.1172156754988916E-3</v>
      </c>
      <c r="BB733" s="284">
        <v>0</v>
      </c>
      <c r="BC733" s="199">
        <f t="shared" si="897"/>
        <v>0</v>
      </c>
      <c r="BD733" s="270">
        <f t="shared" si="840"/>
        <v>0</v>
      </c>
      <c r="BE733" s="199">
        <f t="shared" si="898"/>
        <v>0</v>
      </c>
      <c r="BF733" s="251">
        <f t="shared" si="842"/>
        <v>0</v>
      </c>
      <c r="BG733" s="204">
        <f t="shared" si="908"/>
        <v>0</v>
      </c>
      <c r="BH733" s="636">
        <v>1</v>
      </c>
      <c r="BI733" s="199">
        <f t="shared" si="883"/>
        <v>169498.01123800516</v>
      </c>
      <c r="BJ733" s="199">
        <f t="shared" si="884"/>
        <v>338996.02247601032</v>
      </c>
      <c r="BK733" s="199">
        <f t="shared" si="891"/>
        <v>508494.0337140155</v>
      </c>
      <c r="BL733" s="251">
        <f t="shared" si="885"/>
        <v>2.14554805817591E-3</v>
      </c>
      <c r="BM733" s="199">
        <f t="shared" si="899"/>
        <v>43770.373630109942</v>
      </c>
      <c r="BN733" s="251">
        <f t="shared" si="886"/>
        <v>1.890140856831924E-3</v>
      </c>
      <c r="BT733" s="199">
        <f>'Detailed Budget'!$AD$12</f>
        <v>194045122715</v>
      </c>
      <c r="BU733" s="199">
        <f>'Detailed Budget'!$AD$24</f>
        <v>194045122715</v>
      </c>
      <c r="BV733" s="596">
        <f t="shared" si="900"/>
        <v>0</v>
      </c>
      <c r="BW733" s="278"/>
      <c r="BX733" s="275"/>
      <c r="BY733" s="275"/>
      <c r="CA733" s="199"/>
      <c r="CE733" s="199">
        <f>'Detailed Budget'!$AD$175</f>
        <v>4330586076.5988197</v>
      </c>
      <c r="CF733" s="275">
        <f t="shared" si="901"/>
        <v>0</v>
      </c>
      <c r="CG733" s="199">
        <f>'Detailed Budget'!$AD$176</f>
        <v>20662817754.37001</v>
      </c>
      <c r="CH733" s="275">
        <f t="shared" si="902"/>
        <v>0</v>
      </c>
      <c r="CI733" s="275">
        <f t="shared" si="910"/>
        <v>0</v>
      </c>
      <c r="CJ733" s="275">
        <f>'Detailed Budget'!$AD$178</f>
        <v>46025131033.061455</v>
      </c>
      <c r="CK733" s="275">
        <f t="shared" si="903"/>
        <v>0</v>
      </c>
      <c r="CL733" s="275">
        <f t="shared" si="909"/>
        <v>0</v>
      </c>
      <c r="CM733" s="278">
        <f>'Detailed Budget'!$AD$189</f>
        <v>77498869683.252869</v>
      </c>
      <c r="CN733" s="275">
        <f t="shared" si="888"/>
        <v>166277549.35973111</v>
      </c>
      <c r="CO733" s="140">
        <f>'Detailed Budget'!$AD$191</f>
        <v>2684962805.4134097</v>
      </c>
      <c r="CP733" s="616">
        <f t="shared" si="889"/>
        <v>5760716.7334292857</v>
      </c>
      <c r="CQ733" s="616">
        <f t="shared" si="890"/>
        <v>172038266.09316039</v>
      </c>
      <c r="CR733" s="199">
        <f>'Detailed Budget'!$AD$195</f>
        <v>18734176418</v>
      </c>
      <c r="CS733" s="275">
        <f t="shared" si="904"/>
        <v>35410232.266758941</v>
      </c>
      <c r="CW733" s="278"/>
      <c r="DH733" s="140"/>
      <c r="DI733" s="616"/>
    </row>
    <row r="734" spans="1:113" outlineLevel="1">
      <c r="A734" s="214" t="s">
        <v>1524</v>
      </c>
      <c r="B734" s="215" t="s">
        <v>1525</v>
      </c>
      <c r="C734" s="216" t="s">
        <v>234</v>
      </c>
      <c r="D734" s="217"/>
      <c r="E734" s="216"/>
      <c r="F734" s="216"/>
      <c r="G734" s="216" t="s">
        <v>234</v>
      </c>
      <c r="H734" s="216" t="s">
        <v>234</v>
      </c>
      <c r="I734" s="217" t="s">
        <v>234</v>
      </c>
      <c r="J734" s="217"/>
      <c r="K734" s="216"/>
      <c r="L734" s="216"/>
      <c r="M734" s="217" t="s">
        <v>234</v>
      </c>
      <c r="N734" s="216"/>
      <c r="O734" s="217"/>
      <c r="P734" s="216"/>
      <c r="Q734" s="217"/>
      <c r="R734" s="217" t="s">
        <v>234</v>
      </c>
      <c r="S734" s="217"/>
      <c r="T734" s="217"/>
      <c r="U734" s="218">
        <f t="shared" si="895"/>
        <v>6</v>
      </c>
      <c r="V734" s="867" t="s">
        <v>235</v>
      </c>
      <c r="W734" s="219">
        <v>462350</v>
      </c>
      <c r="X734" s="220">
        <v>3.41</v>
      </c>
      <c r="Y734" s="221">
        <f t="shared" si="870"/>
        <v>1.0341</v>
      </c>
      <c r="Z734" s="199">
        <v>19</v>
      </c>
      <c r="AA734" s="221">
        <f t="shared" si="871"/>
        <v>1.8909856119855175</v>
      </c>
      <c r="AB734" s="199">
        <f t="shared" si="873"/>
        <v>874297.19770150399</v>
      </c>
      <c r="AC734">
        <v>11.9</v>
      </c>
      <c r="AD734" s="199">
        <f t="shared" si="874"/>
        <v>104041.36652647897</v>
      </c>
      <c r="AE734" s="199">
        <f t="shared" si="872"/>
        <v>98839.298200155026</v>
      </c>
      <c r="AF734" s="199">
        <f t="shared" si="893"/>
        <v>0</v>
      </c>
      <c r="AG734" s="614">
        <f t="shared" si="892"/>
        <v>4.5698952361257232E-3</v>
      </c>
      <c r="AH734" s="199">
        <f t="shared" si="905"/>
        <v>43714.859885075202</v>
      </c>
      <c r="AI734" s="252">
        <f t="shared" si="875"/>
        <v>3.3865239608145193E-3</v>
      </c>
      <c r="AJ734" s="199">
        <f t="shared" si="876"/>
        <v>147756.22641155418</v>
      </c>
      <c r="AK734" s="199">
        <f t="shared" si="906"/>
        <v>34971.887908060162</v>
      </c>
      <c r="AL734" s="199">
        <f t="shared" si="907"/>
        <v>34971.887908060162</v>
      </c>
      <c r="AM734" s="199">
        <f t="shared" si="877"/>
        <v>69943.775816120324</v>
      </c>
      <c r="AN734" s="645">
        <f t="shared" si="878"/>
        <v>3.3865239608145193E-3</v>
      </c>
      <c r="AO734" s="199">
        <v>17</v>
      </c>
      <c r="AP734" s="250">
        <f t="shared" si="879"/>
        <v>1.9315986819679581E-3</v>
      </c>
      <c r="AQ734" s="199">
        <v>17</v>
      </c>
      <c r="AU734" s="199">
        <v>0</v>
      </c>
      <c r="AW734" s="250">
        <f t="shared" si="880"/>
        <v>0</v>
      </c>
      <c r="AX734" s="199">
        <v>1</v>
      </c>
      <c r="AY734" s="199">
        <f t="shared" si="896"/>
        <v>42513.083555258585</v>
      </c>
      <c r="AZ734" s="199">
        <f t="shared" si="881"/>
        <v>42513.083555258585</v>
      </c>
      <c r="BA734" s="252">
        <f t="shared" si="882"/>
        <v>3.3418042480879433E-3</v>
      </c>
      <c r="BB734" s="284">
        <v>0</v>
      </c>
      <c r="BC734" s="199">
        <f t="shared" si="897"/>
        <v>0</v>
      </c>
      <c r="BD734" s="270">
        <f t="shared" si="840"/>
        <v>0</v>
      </c>
      <c r="BE734" s="199">
        <f t="shared" si="898"/>
        <v>0</v>
      </c>
      <c r="BF734" s="251">
        <f t="shared" si="842"/>
        <v>0</v>
      </c>
      <c r="BG734" s="204">
        <f t="shared" si="908"/>
        <v>0</v>
      </c>
      <c r="BH734" s="636">
        <v>1</v>
      </c>
      <c r="BI734" s="199">
        <f t="shared" si="883"/>
        <v>267534.94249666022</v>
      </c>
      <c r="BJ734" s="199">
        <f t="shared" si="884"/>
        <v>535069.88499332045</v>
      </c>
      <c r="BK734" s="199">
        <f t="shared" si="891"/>
        <v>802604.82748998073</v>
      </c>
      <c r="BL734" s="251">
        <f t="shared" si="885"/>
        <v>3.3865239608145193E-3</v>
      </c>
      <c r="BM734" s="199">
        <f t="shared" si="899"/>
        <v>69086.972210816908</v>
      </c>
      <c r="BN734" s="251">
        <f t="shared" si="886"/>
        <v>2.9833903167928882E-3</v>
      </c>
      <c r="BT734" s="199">
        <f>'Detailed Budget'!$AD$12</f>
        <v>194045122715</v>
      </c>
      <c r="BU734" s="199">
        <f>'Detailed Budget'!$AD$24</f>
        <v>194045122715</v>
      </c>
      <c r="BV734" s="596">
        <f t="shared" si="900"/>
        <v>0</v>
      </c>
      <c r="BW734" s="278"/>
      <c r="BX734" s="275"/>
      <c r="BY734" s="275"/>
      <c r="CA734" s="199"/>
      <c r="CE734" s="199">
        <f>'Detailed Budget'!$AD$175</f>
        <v>4330586076.5988197</v>
      </c>
      <c r="CF734" s="275">
        <f t="shared" si="901"/>
        <v>0</v>
      </c>
      <c r="CG734" s="199">
        <f>'Detailed Budget'!$AD$176</f>
        <v>20662817754.37001</v>
      </c>
      <c r="CH734" s="275">
        <f t="shared" si="902"/>
        <v>0</v>
      </c>
      <c r="CI734" s="275">
        <f t="shared" si="910"/>
        <v>0</v>
      </c>
      <c r="CJ734" s="275">
        <f>'Detailed Budget'!$AD$178</f>
        <v>46025131033.061455</v>
      </c>
      <c r="CK734" s="275">
        <f t="shared" si="903"/>
        <v>0</v>
      </c>
      <c r="CL734" s="275">
        <f t="shared" si="909"/>
        <v>0</v>
      </c>
      <c r="CM734" s="278">
        <f>'Detailed Budget'!$AD$189</f>
        <v>77498869683.252869</v>
      </c>
      <c r="CN734" s="275">
        <f t="shared" si="888"/>
        <v>262451779.11837777</v>
      </c>
      <c r="CO734" s="140">
        <f>'Detailed Budget'!$AD$191</f>
        <v>2684962805.4134097</v>
      </c>
      <c r="CP734" s="616">
        <f t="shared" si="889"/>
        <v>9092690.8744282834</v>
      </c>
      <c r="CQ734" s="616">
        <f t="shared" si="890"/>
        <v>271544469.99280608</v>
      </c>
      <c r="CR734" s="199">
        <f>'Detailed Budget'!$AD$195</f>
        <v>18734176418</v>
      </c>
      <c r="CS734" s="275">
        <f t="shared" si="904"/>
        <v>55891360.518550873</v>
      </c>
      <c r="CW734" s="278"/>
      <c r="DH734" s="140"/>
      <c r="DI734" s="616"/>
    </row>
    <row r="735" spans="1:113" outlineLevel="1">
      <c r="A735" s="214" t="s">
        <v>1526</v>
      </c>
      <c r="B735" s="215" t="s">
        <v>1527</v>
      </c>
      <c r="C735" s="216" t="s">
        <v>234</v>
      </c>
      <c r="D735" s="217"/>
      <c r="E735" s="216"/>
      <c r="F735" s="216"/>
      <c r="G735" s="216" t="s">
        <v>234</v>
      </c>
      <c r="H735" s="216" t="s">
        <v>234</v>
      </c>
      <c r="I735" s="217" t="s">
        <v>234</v>
      </c>
      <c r="J735" s="217"/>
      <c r="K735" s="216"/>
      <c r="L735" s="216"/>
      <c r="M735" s="217" t="s">
        <v>234</v>
      </c>
      <c r="N735" s="216"/>
      <c r="O735" s="217"/>
      <c r="P735" s="216"/>
      <c r="Q735" s="217"/>
      <c r="R735" s="217" t="s">
        <v>234</v>
      </c>
      <c r="S735" s="217"/>
      <c r="T735" s="217"/>
      <c r="U735" s="218">
        <f t="shared" si="895"/>
        <v>6</v>
      </c>
      <c r="V735" s="867" t="s">
        <v>235</v>
      </c>
      <c r="W735" s="219">
        <v>283294</v>
      </c>
      <c r="X735" s="220">
        <v>3.41</v>
      </c>
      <c r="Y735" s="221">
        <f t="shared" si="870"/>
        <v>1.0341</v>
      </c>
      <c r="Z735" s="199">
        <v>19</v>
      </c>
      <c r="AA735" s="221">
        <f t="shared" si="871"/>
        <v>1.8909856119855175</v>
      </c>
      <c r="AB735" s="199">
        <f t="shared" si="873"/>
        <v>535704.87796182523</v>
      </c>
      <c r="AC735">
        <v>11.9</v>
      </c>
      <c r="AD735" s="199">
        <f t="shared" si="874"/>
        <v>63748.880477457205</v>
      </c>
      <c r="AE735" s="199">
        <f t="shared" si="872"/>
        <v>60561.436453584342</v>
      </c>
      <c r="AF735" s="199">
        <f t="shared" si="893"/>
        <v>0</v>
      </c>
      <c r="AG735" s="614">
        <f t="shared" si="892"/>
        <v>2.8000949519260319E-3</v>
      </c>
      <c r="AH735" s="199">
        <f t="shared" si="905"/>
        <v>26785.243898091263</v>
      </c>
      <c r="AI735" s="252">
        <f t="shared" si="875"/>
        <v>2.0750122611765732E-3</v>
      </c>
      <c r="AJ735" s="199">
        <f t="shared" si="876"/>
        <v>90534.124375548476</v>
      </c>
      <c r="AK735" s="199">
        <f t="shared" si="906"/>
        <v>21428.19511847301</v>
      </c>
      <c r="AL735" s="199">
        <f t="shared" si="907"/>
        <v>21428.19511847301</v>
      </c>
      <c r="AM735" s="199">
        <f t="shared" si="877"/>
        <v>42856.390236946019</v>
      </c>
      <c r="AN735" s="645">
        <f t="shared" si="878"/>
        <v>2.0750122611765728E-3</v>
      </c>
      <c r="AO735" s="199">
        <v>17</v>
      </c>
      <c r="AP735" s="250">
        <f t="shared" si="879"/>
        <v>1.9315986819679581E-3</v>
      </c>
      <c r="AQ735" s="199">
        <v>17</v>
      </c>
      <c r="AU735" s="199">
        <v>0</v>
      </c>
      <c r="AW735" s="250">
        <f t="shared" si="880"/>
        <v>0</v>
      </c>
      <c r="AX735" s="199">
        <v>1</v>
      </c>
      <c r="AY735" s="199">
        <f t="shared" si="896"/>
        <v>26048.883946584683</v>
      </c>
      <c r="AZ735" s="199">
        <f t="shared" si="881"/>
        <v>26048.883946584683</v>
      </c>
      <c r="BA735" s="252">
        <f t="shared" si="882"/>
        <v>2.0476113175253077E-3</v>
      </c>
      <c r="BB735" s="284">
        <v>0</v>
      </c>
      <c r="BC735" s="199">
        <f t="shared" si="897"/>
        <v>0</v>
      </c>
      <c r="BD735" s="270">
        <f t="shared" si="840"/>
        <v>0</v>
      </c>
      <c r="BE735" s="199">
        <f t="shared" si="898"/>
        <v>0</v>
      </c>
      <c r="BF735" s="251">
        <f t="shared" si="842"/>
        <v>0</v>
      </c>
      <c r="BG735" s="204">
        <f t="shared" si="908"/>
        <v>0</v>
      </c>
      <c r="BH735" s="636">
        <v>1</v>
      </c>
      <c r="BI735" s="199">
        <f t="shared" si="883"/>
        <v>163925.69265631851</v>
      </c>
      <c r="BJ735" s="199">
        <f t="shared" si="884"/>
        <v>327851.38531263702</v>
      </c>
      <c r="BK735" s="199">
        <f t="shared" si="891"/>
        <v>491777.07796895551</v>
      </c>
      <c r="BL735" s="251">
        <f t="shared" si="885"/>
        <v>2.0750122611765728E-3</v>
      </c>
      <c r="BM735" s="199">
        <f t="shared" si="899"/>
        <v>42331.404142946179</v>
      </c>
      <c r="BN735" s="251">
        <f t="shared" si="886"/>
        <v>1.8280016792592724E-3</v>
      </c>
      <c r="BT735" s="199">
        <f>'Detailed Budget'!$AD$12</f>
        <v>194045122715</v>
      </c>
      <c r="BU735" s="199">
        <f>'Detailed Budget'!$AD$24</f>
        <v>194045122715</v>
      </c>
      <c r="BV735" s="596">
        <f t="shared" si="900"/>
        <v>0</v>
      </c>
      <c r="BW735" s="278"/>
      <c r="BX735" s="275"/>
      <c r="BY735" s="275"/>
      <c r="CA735" s="199"/>
      <c r="CE735" s="199">
        <f>'Detailed Budget'!$AD$175</f>
        <v>4330586076.5988197</v>
      </c>
      <c r="CF735" s="275">
        <f t="shared" si="901"/>
        <v>0</v>
      </c>
      <c r="CG735" s="199">
        <f>'Detailed Budget'!$AD$176</f>
        <v>20662817754.37001</v>
      </c>
      <c r="CH735" s="275">
        <f t="shared" si="902"/>
        <v>0</v>
      </c>
      <c r="CI735" s="275">
        <f t="shared" si="910"/>
        <v>0</v>
      </c>
      <c r="CJ735" s="275">
        <f>'Detailed Budget'!$AD$178</f>
        <v>46025131033.061455</v>
      </c>
      <c r="CK735" s="275">
        <f t="shared" si="903"/>
        <v>0</v>
      </c>
      <c r="CL735" s="275">
        <f t="shared" si="909"/>
        <v>0</v>
      </c>
      <c r="CM735" s="278">
        <f>'Detailed Budget'!$AD$189</f>
        <v>77498869683.252869</v>
      </c>
      <c r="CN735" s="275">
        <f t="shared" si="888"/>
        <v>160811104.82007506</v>
      </c>
      <c r="CO735" s="140">
        <f>'Detailed Budget'!$AD$191</f>
        <v>2684962805.4134097</v>
      </c>
      <c r="CP735" s="616">
        <f t="shared" si="889"/>
        <v>5571330.7420358732</v>
      </c>
      <c r="CQ735" s="616">
        <f t="shared" si="890"/>
        <v>166382435.56211093</v>
      </c>
      <c r="CR735" s="199">
        <f>'Detailed Budget'!$AD$195</f>
        <v>18734176418</v>
      </c>
      <c r="CS735" s="275">
        <f t="shared" si="904"/>
        <v>34246105.951643459</v>
      </c>
      <c r="CW735" s="278"/>
      <c r="DH735" s="140"/>
      <c r="DI735" s="616"/>
    </row>
    <row r="736" spans="1:113" outlineLevel="1">
      <c r="A736" s="214" t="s">
        <v>1528</v>
      </c>
      <c r="B736" s="215" t="s">
        <v>1529</v>
      </c>
      <c r="C736" s="216" t="s">
        <v>234</v>
      </c>
      <c r="D736" s="217"/>
      <c r="E736" s="216"/>
      <c r="F736" s="216"/>
      <c r="G736" s="216" t="s">
        <v>234</v>
      </c>
      <c r="H736" s="216" t="s">
        <v>234</v>
      </c>
      <c r="I736" s="217" t="s">
        <v>234</v>
      </c>
      <c r="J736" s="217"/>
      <c r="K736" s="216"/>
      <c r="L736" s="216"/>
      <c r="M736" s="217" t="s">
        <v>234</v>
      </c>
      <c r="N736" s="216"/>
      <c r="O736" s="217"/>
      <c r="P736" s="216"/>
      <c r="Q736" s="217"/>
      <c r="R736" s="217" t="s">
        <v>234</v>
      </c>
      <c r="S736" s="217"/>
      <c r="T736" s="217"/>
      <c r="U736" s="218">
        <f t="shared" si="895"/>
        <v>6</v>
      </c>
      <c r="V736" s="867" t="s">
        <v>235</v>
      </c>
      <c r="W736" s="219">
        <v>75282</v>
      </c>
      <c r="X736" s="220">
        <v>3.41</v>
      </c>
      <c r="Y736" s="221">
        <f t="shared" si="870"/>
        <v>1.0341</v>
      </c>
      <c r="Z736" s="199">
        <v>19</v>
      </c>
      <c r="AA736" s="221">
        <f t="shared" si="871"/>
        <v>1.8909856119855175</v>
      </c>
      <c r="AB736" s="199">
        <f t="shared" si="873"/>
        <v>142357.17884149373</v>
      </c>
      <c r="AC736">
        <v>11.9</v>
      </c>
      <c r="AD736" s="199">
        <f t="shared" si="874"/>
        <v>16940.504282137754</v>
      </c>
      <c r="AE736" s="199">
        <f t="shared" si="872"/>
        <v>16093.479068030865</v>
      </c>
      <c r="AF736" s="199">
        <f t="shared" si="893"/>
        <v>0</v>
      </c>
      <c r="AG736" s="614">
        <f t="shared" si="892"/>
        <v>7.4409182040881738E-4</v>
      </c>
      <c r="AH736" s="199">
        <f t="shared" si="905"/>
        <v>7117.8589420746866</v>
      </c>
      <c r="AI736" s="252">
        <f t="shared" si="875"/>
        <v>5.5140974763282934E-4</v>
      </c>
      <c r="AJ736" s="199">
        <f t="shared" si="876"/>
        <v>24058.36322421244</v>
      </c>
      <c r="AK736" s="199">
        <f t="shared" si="906"/>
        <v>5694.2871536597495</v>
      </c>
      <c r="AL736" s="199">
        <f t="shared" si="907"/>
        <v>5694.2871536597495</v>
      </c>
      <c r="AM736" s="199">
        <f t="shared" si="877"/>
        <v>11388.574307319499</v>
      </c>
      <c r="AN736" s="645">
        <f t="shared" si="878"/>
        <v>5.5140974763282934E-4</v>
      </c>
      <c r="AO736" s="199">
        <v>12</v>
      </c>
      <c r="AP736" s="250">
        <f t="shared" si="879"/>
        <v>1.3634814225656176E-3</v>
      </c>
      <c r="AQ736" s="199">
        <v>12</v>
      </c>
      <c r="AU736" s="199">
        <v>0</v>
      </c>
      <c r="AW736" s="250">
        <f t="shared" si="880"/>
        <v>0</v>
      </c>
      <c r="AX736" s="199">
        <v>1</v>
      </c>
      <c r="AY736" s="199">
        <f t="shared" si="896"/>
        <v>6922.180071822163</v>
      </c>
      <c r="AZ736" s="199">
        <f t="shared" si="881"/>
        <v>6922.180071822163</v>
      </c>
      <c r="BA736" s="252">
        <f t="shared" si="882"/>
        <v>5.441282738283909E-4</v>
      </c>
      <c r="BB736" s="284">
        <v>0</v>
      </c>
      <c r="BC736" s="199">
        <f t="shared" si="897"/>
        <v>0</v>
      </c>
      <c r="BD736" s="270">
        <f t="shared" si="840"/>
        <v>0</v>
      </c>
      <c r="BE736" s="199">
        <f t="shared" si="898"/>
        <v>0</v>
      </c>
      <c r="BF736" s="251">
        <f t="shared" si="842"/>
        <v>0</v>
      </c>
      <c r="BG736" s="204">
        <f t="shared" si="908"/>
        <v>0</v>
      </c>
      <c r="BH736" s="636">
        <v>1</v>
      </c>
      <c r="BI736" s="199">
        <f t="shared" si="883"/>
        <v>43561.296725497086</v>
      </c>
      <c r="BJ736" s="199">
        <f t="shared" si="884"/>
        <v>87122.593450994173</v>
      </c>
      <c r="BK736" s="199">
        <f t="shared" si="891"/>
        <v>130683.89017649126</v>
      </c>
      <c r="BL736" s="251">
        <f t="shared" si="885"/>
        <v>5.5140974763282934E-4</v>
      </c>
      <c r="BM736" s="199">
        <f t="shared" si="899"/>
        <v>11249.065517410443</v>
      </c>
      <c r="BN736" s="251">
        <f t="shared" si="886"/>
        <v>4.8576963302433699E-4</v>
      </c>
      <c r="BT736" s="199">
        <f>'Detailed Budget'!$AD$12</f>
        <v>194045122715</v>
      </c>
      <c r="BU736" s="199">
        <f>'Detailed Budget'!$AD$24</f>
        <v>194045122715</v>
      </c>
      <c r="BV736" s="596">
        <f t="shared" si="900"/>
        <v>0</v>
      </c>
      <c r="BW736" s="278"/>
      <c r="BX736" s="275"/>
      <c r="BY736" s="275"/>
      <c r="CA736" s="199"/>
      <c r="CE736" s="199">
        <f>'Detailed Budget'!$AD$175</f>
        <v>4330586076.5988197</v>
      </c>
      <c r="CF736" s="275">
        <f t="shared" si="901"/>
        <v>0</v>
      </c>
      <c r="CG736" s="199">
        <f>'Detailed Budget'!$AD$176</f>
        <v>20662817754.37001</v>
      </c>
      <c r="CH736" s="275">
        <f t="shared" si="902"/>
        <v>0</v>
      </c>
      <c r="CI736" s="275">
        <f t="shared" si="910"/>
        <v>0</v>
      </c>
      <c r="CJ736" s="275">
        <f>'Detailed Budget'!$AD$178</f>
        <v>46025131033.061455</v>
      </c>
      <c r="CK736" s="275">
        <f t="shared" si="903"/>
        <v>0</v>
      </c>
      <c r="CL736" s="275">
        <f t="shared" si="909"/>
        <v>0</v>
      </c>
      <c r="CM736" s="278">
        <f>'Detailed Budget'!$AD$189</f>
        <v>77498869683.252869</v>
      </c>
      <c r="CN736" s="275">
        <f t="shared" si="888"/>
        <v>42733632.173871994</v>
      </c>
      <c r="CO736" s="140">
        <f>'Detailed Budget'!$AD$191</f>
        <v>2684962805.4134097</v>
      </c>
      <c r="CP736" s="616">
        <f t="shared" si="889"/>
        <v>1480514.6629365417</v>
      </c>
      <c r="CQ736" s="616">
        <f t="shared" si="890"/>
        <v>44214146.836808532</v>
      </c>
      <c r="CR736" s="199">
        <f>'Detailed Budget'!$AD$195</f>
        <v>18734176418</v>
      </c>
      <c r="CS736" s="275">
        <f t="shared" si="904"/>
        <v>9100494.003585048</v>
      </c>
      <c r="CW736" s="278"/>
      <c r="DH736" s="140"/>
      <c r="DI736" s="616"/>
    </row>
    <row r="737" spans="1:113" outlineLevel="1">
      <c r="A737" s="214" t="s">
        <v>1530</v>
      </c>
      <c r="B737" s="215" t="s">
        <v>1531</v>
      </c>
      <c r="C737" s="216" t="s">
        <v>234</v>
      </c>
      <c r="D737" s="217"/>
      <c r="E737" s="216"/>
      <c r="F737" s="216"/>
      <c r="G737" s="216" t="s">
        <v>234</v>
      </c>
      <c r="H737" s="216" t="s">
        <v>234</v>
      </c>
      <c r="I737" s="217" t="s">
        <v>234</v>
      </c>
      <c r="J737" s="217"/>
      <c r="K737" s="216"/>
      <c r="L737" s="216"/>
      <c r="M737" s="217" t="s">
        <v>234</v>
      </c>
      <c r="N737" s="216"/>
      <c r="O737" s="217"/>
      <c r="P737" s="216"/>
      <c r="Q737" s="217"/>
      <c r="R737" s="217" t="s">
        <v>234</v>
      </c>
      <c r="S737" s="217"/>
      <c r="T737" s="217"/>
      <c r="U737" s="218">
        <f t="shared" si="895"/>
        <v>6</v>
      </c>
      <c r="V737" s="867" t="s">
        <v>235</v>
      </c>
      <c r="W737" s="219">
        <v>222285</v>
      </c>
      <c r="X737" s="220">
        <v>3.41</v>
      </c>
      <c r="Y737" s="221">
        <f t="shared" si="870"/>
        <v>1.0341</v>
      </c>
      <c r="Z737" s="199">
        <v>19</v>
      </c>
      <c r="AA737" s="221">
        <f t="shared" si="871"/>
        <v>1.8909856119855175</v>
      </c>
      <c r="AB737" s="199">
        <f t="shared" si="873"/>
        <v>420337.73676020076</v>
      </c>
      <c r="AC737">
        <v>11.9</v>
      </c>
      <c r="AD737" s="199">
        <f t="shared" si="874"/>
        <v>50020.190674463891</v>
      </c>
      <c r="AE737" s="199">
        <f t="shared" si="872"/>
        <v>47519.181140740693</v>
      </c>
      <c r="AF737" s="199">
        <f t="shared" si="893"/>
        <v>0</v>
      </c>
      <c r="AG737" s="614">
        <f t="shared" si="892"/>
        <v>2.1970783228337978E-3</v>
      </c>
      <c r="AH737" s="199">
        <f t="shared" si="905"/>
        <v>21016.886838010039</v>
      </c>
      <c r="AI737" s="252">
        <f t="shared" si="875"/>
        <v>1.628146379646708E-3</v>
      </c>
      <c r="AJ737" s="199">
        <f t="shared" si="876"/>
        <v>71037.07751247393</v>
      </c>
      <c r="AK737" s="199">
        <f t="shared" si="906"/>
        <v>16813.509470408029</v>
      </c>
      <c r="AL737" s="199">
        <f t="shared" si="907"/>
        <v>16813.509470408029</v>
      </c>
      <c r="AM737" s="199">
        <f t="shared" si="877"/>
        <v>33627.018940816059</v>
      </c>
      <c r="AN737" s="645">
        <f t="shared" si="878"/>
        <v>1.6281463796467078E-3</v>
      </c>
      <c r="AO737" s="199">
        <v>12</v>
      </c>
      <c r="AP737" s="250">
        <f t="shared" si="879"/>
        <v>1.3634814225656176E-3</v>
      </c>
      <c r="AQ737" s="199">
        <v>12</v>
      </c>
      <c r="AU737" s="199">
        <v>0</v>
      </c>
      <c r="AW737" s="250">
        <f t="shared" si="880"/>
        <v>0</v>
      </c>
      <c r="AX737" s="199">
        <v>1</v>
      </c>
      <c r="AY737" s="199">
        <f t="shared" si="896"/>
        <v>20439.106257338932</v>
      </c>
      <c r="AZ737" s="199">
        <f t="shared" si="881"/>
        <v>20439.106257338932</v>
      </c>
      <c r="BA737" s="252">
        <f t="shared" si="882"/>
        <v>1.6066463875553769E-3</v>
      </c>
      <c r="BB737" s="284">
        <v>0</v>
      </c>
      <c r="BC737" s="199">
        <f t="shared" si="897"/>
        <v>0</v>
      </c>
      <c r="BD737" s="270">
        <f t="shared" ref="BD737:BD802" si="911">BC737/11104067</f>
        <v>0</v>
      </c>
      <c r="BE737" s="199">
        <f t="shared" si="898"/>
        <v>0</v>
      </c>
      <c r="BF737" s="251">
        <f t="shared" ref="BF737:BF802" si="912">BE737/47500730</f>
        <v>0</v>
      </c>
      <c r="BG737" s="204">
        <f t="shared" si="908"/>
        <v>0</v>
      </c>
      <c r="BH737" s="636">
        <v>1</v>
      </c>
      <c r="BI737" s="199">
        <f t="shared" si="883"/>
        <v>128623.34744862141</v>
      </c>
      <c r="BJ737" s="199">
        <f t="shared" si="884"/>
        <v>257246.69489724282</v>
      </c>
      <c r="BK737" s="199">
        <f t="shared" si="891"/>
        <v>385870.04234586423</v>
      </c>
      <c r="BL737" s="251">
        <f t="shared" si="885"/>
        <v>1.6281463796467075E-3</v>
      </c>
      <c r="BM737" s="199">
        <f t="shared" si="899"/>
        <v>33215.091635949902</v>
      </c>
      <c r="BN737" s="251">
        <f t="shared" si="886"/>
        <v>1.4343309539706008E-3</v>
      </c>
      <c r="BT737" s="199">
        <f>'Detailed Budget'!$AD$12</f>
        <v>194045122715</v>
      </c>
      <c r="BU737" s="199">
        <f>'Detailed Budget'!$AD$24</f>
        <v>194045122715</v>
      </c>
      <c r="BV737" s="596">
        <f t="shared" si="900"/>
        <v>0</v>
      </c>
      <c r="BW737" s="278"/>
      <c r="BX737" s="275"/>
      <c r="BY737" s="275"/>
      <c r="CA737" s="199"/>
      <c r="CE737" s="199">
        <f>'Detailed Budget'!$AD$175</f>
        <v>4330586076.5988197</v>
      </c>
      <c r="CF737" s="275">
        <f t="shared" si="901"/>
        <v>0</v>
      </c>
      <c r="CG737" s="199">
        <f>'Detailed Budget'!$AD$176</f>
        <v>20662817754.37001</v>
      </c>
      <c r="CH737" s="275">
        <f t="shared" si="902"/>
        <v>0</v>
      </c>
      <c r="CI737" s="275">
        <f t="shared" si="910"/>
        <v>0</v>
      </c>
      <c r="CJ737" s="275">
        <f>'Detailed Budget'!$AD$178</f>
        <v>46025131033.061455</v>
      </c>
      <c r="CK737" s="275">
        <f t="shared" si="903"/>
        <v>0</v>
      </c>
      <c r="CL737" s="275">
        <f t="shared" si="909"/>
        <v>0</v>
      </c>
      <c r="CM737" s="278">
        <f>'Detailed Budget'!$AD$189</f>
        <v>77498869683.252869</v>
      </c>
      <c r="CN737" s="275">
        <f t="shared" si="888"/>
        <v>126179504.10150014</v>
      </c>
      <c r="CO737" s="140">
        <f>'Detailed Budget'!$AD$191</f>
        <v>2684962805.4134097</v>
      </c>
      <c r="CP737" s="616">
        <f t="shared" si="889"/>
        <v>4371512.4711199105</v>
      </c>
      <c r="CQ737" s="616">
        <f t="shared" si="890"/>
        <v>130551016.57262005</v>
      </c>
      <c r="CR737" s="199">
        <f>'Detailed Budget'!$AD$195</f>
        <v>18734176418</v>
      </c>
      <c r="CS737" s="275">
        <f t="shared" si="904"/>
        <v>26871009.133483473</v>
      </c>
      <c r="CW737" s="278"/>
      <c r="DH737" s="140"/>
      <c r="DI737" s="616"/>
    </row>
    <row r="738" spans="1:113" outlineLevel="1">
      <c r="A738" s="214" t="s">
        <v>1532</v>
      </c>
      <c r="B738" s="215" t="s">
        <v>1533</v>
      </c>
      <c r="C738" s="216" t="s">
        <v>234</v>
      </c>
      <c r="D738" s="217"/>
      <c r="E738" s="216"/>
      <c r="F738" s="216"/>
      <c r="G738" s="216" t="s">
        <v>234</v>
      </c>
      <c r="H738" s="216" t="s">
        <v>234</v>
      </c>
      <c r="I738" s="217" t="s">
        <v>234</v>
      </c>
      <c r="J738" s="217"/>
      <c r="K738" s="216"/>
      <c r="L738" s="216"/>
      <c r="M738" s="217" t="s">
        <v>234</v>
      </c>
      <c r="N738" s="216"/>
      <c r="O738" s="217"/>
      <c r="P738" s="216"/>
      <c r="Q738" s="217"/>
      <c r="R738" s="217" t="s">
        <v>234</v>
      </c>
      <c r="S738" s="217"/>
      <c r="T738" s="217"/>
      <c r="U738" s="218">
        <f t="shared" si="895"/>
        <v>6</v>
      </c>
      <c r="V738" s="867" t="s">
        <v>235</v>
      </c>
      <c r="W738" s="219">
        <v>100388</v>
      </c>
      <c r="X738" s="220">
        <v>3.41</v>
      </c>
      <c r="Y738" s="221">
        <f t="shared" si="870"/>
        <v>1.0341</v>
      </c>
      <c r="Z738" s="199">
        <v>19</v>
      </c>
      <c r="AA738" s="221">
        <f t="shared" si="871"/>
        <v>1.8909856119855175</v>
      </c>
      <c r="AB738" s="199">
        <f t="shared" si="873"/>
        <v>189832.26361600214</v>
      </c>
      <c r="AC738">
        <v>11.9</v>
      </c>
      <c r="AD738" s="199">
        <f t="shared" si="874"/>
        <v>22590.039370304254</v>
      </c>
      <c r="AE738" s="199">
        <f t="shared" si="872"/>
        <v>21460.537401789039</v>
      </c>
      <c r="AF738" s="199">
        <f t="shared" si="893"/>
        <v>0</v>
      </c>
      <c r="AG738" s="614">
        <f t="shared" si="892"/>
        <v>9.9224103593422526E-4</v>
      </c>
      <c r="AH738" s="199">
        <f t="shared" si="905"/>
        <v>9491.6131808001064</v>
      </c>
      <c r="AI738" s="252">
        <f t="shared" si="875"/>
        <v>7.3530089191791489E-4</v>
      </c>
      <c r="AJ738" s="199">
        <f t="shared" si="876"/>
        <v>32081.652551104358</v>
      </c>
      <c r="AK738" s="199">
        <f t="shared" si="906"/>
        <v>7593.2905446400855</v>
      </c>
      <c r="AL738" s="199">
        <f t="shared" si="907"/>
        <v>7593.2905446400855</v>
      </c>
      <c r="AM738" s="199">
        <f t="shared" si="877"/>
        <v>15186.581089280171</v>
      </c>
      <c r="AN738" s="645">
        <f t="shared" si="878"/>
        <v>7.3530089191791489E-4</v>
      </c>
      <c r="AO738" s="199">
        <v>10</v>
      </c>
      <c r="AP738" s="250">
        <f t="shared" si="879"/>
        <v>1.1362345188046814E-3</v>
      </c>
      <c r="AQ738" s="199">
        <v>10</v>
      </c>
      <c r="AU738" s="199">
        <v>0</v>
      </c>
      <c r="AW738" s="250">
        <f t="shared" si="880"/>
        <v>0</v>
      </c>
      <c r="AX738" s="199">
        <v>1</v>
      </c>
      <c r="AY738" s="199">
        <f t="shared" si="896"/>
        <v>9230.6768291236058</v>
      </c>
      <c r="AZ738" s="199">
        <f t="shared" si="881"/>
        <v>9230.6768291236058</v>
      </c>
      <c r="BA738" s="252">
        <f t="shared" si="882"/>
        <v>7.255910995069806E-4</v>
      </c>
      <c r="BB738" s="284">
        <v>0</v>
      </c>
      <c r="BC738" s="199">
        <f t="shared" si="897"/>
        <v>0</v>
      </c>
      <c r="BD738" s="270">
        <f t="shared" si="911"/>
        <v>0</v>
      </c>
      <c r="BE738" s="199">
        <f t="shared" si="898"/>
        <v>0</v>
      </c>
      <c r="BF738" s="251">
        <f t="shared" si="912"/>
        <v>0</v>
      </c>
      <c r="BG738" s="204">
        <f t="shared" si="908"/>
        <v>0</v>
      </c>
      <c r="BH738" s="636">
        <v>1</v>
      </c>
      <c r="BI738" s="199">
        <f t="shared" si="883"/>
        <v>58088.672666496655</v>
      </c>
      <c r="BJ738" s="199">
        <f t="shared" si="884"/>
        <v>116177.34533299331</v>
      </c>
      <c r="BK738" s="199">
        <f t="shared" si="891"/>
        <v>174266.01799948997</v>
      </c>
      <c r="BL738" s="251">
        <f t="shared" si="885"/>
        <v>7.35300891917915E-4</v>
      </c>
      <c r="BM738" s="199">
        <f t="shared" si="899"/>
        <v>15000.547131609144</v>
      </c>
      <c r="BN738" s="251">
        <f t="shared" si="886"/>
        <v>6.4777027602942467E-4</v>
      </c>
      <c r="BT738" s="199">
        <f>'Detailed Budget'!$AD$12</f>
        <v>194045122715</v>
      </c>
      <c r="BU738" s="199">
        <f>'Detailed Budget'!$AD$24</f>
        <v>194045122715</v>
      </c>
      <c r="BV738" s="596">
        <f t="shared" si="900"/>
        <v>0</v>
      </c>
      <c r="BW738" s="278"/>
      <c r="BX738" s="275"/>
      <c r="BY738" s="275"/>
      <c r="CA738" s="199"/>
      <c r="CE738" s="199">
        <f>'Detailed Budget'!$AD$175</f>
        <v>4330586076.5988197</v>
      </c>
      <c r="CF738" s="275">
        <f t="shared" si="901"/>
        <v>0</v>
      </c>
      <c r="CG738" s="199">
        <f>'Detailed Budget'!$AD$176</f>
        <v>20662817754.37001</v>
      </c>
      <c r="CH738" s="275">
        <f t="shared" si="902"/>
        <v>0</v>
      </c>
      <c r="CI738" s="275">
        <f t="shared" si="910"/>
        <v>0</v>
      </c>
      <c r="CJ738" s="275">
        <f>'Detailed Budget'!$AD$178</f>
        <v>46025131033.061455</v>
      </c>
      <c r="CK738" s="275">
        <f t="shared" si="903"/>
        <v>0</v>
      </c>
      <c r="CL738" s="275">
        <f t="shared" si="909"/>
        <v>0</v>
      </c>
      <c r="CM738" s="278">
        <f>'Detailed Budget'!$AD$189</f>
        <v>77498869683.252869</v>
      </c>
      <c r="CN738" s="275">
        <f t="shared" si="888"/>
        <v>56984988.000726096</v>
      </c>
      <c r="CO738" s="140">
        <f>'Detailed Budget'!$AD$191</f>
        <v>2684962805.4134097</v>
      </c>
      <c r="CP738" s="616">
        <f t="shared" si="889"/>
        <v>1974255.5455869071</v>
      </c>
      <c r="CQ738" s="616">
        <f t="shared" si="890"/>
        <v>58959243.546313003</v>
      </c>
      <c r="CR738" s="199">
        <f>'Detailed Budget'!$AD$195</f>
        <v>18734176418</v>
      </c>
      <c r="CS738" s="275">
        <f t="shared" si="904"/>
        <v>12135442.629471797</v>
      </c>
      <c r="CW738" s="278"/>
      <c r="DH738" s="140"/>
      <c r="DI738" s="616"/>
    </row>
    <row r="739" spans="1:113" outlineLevel="1">
      <c r="A739" s="214" t="s">
        <v>1534</v>
      </c>
      <c r="B739" s="215" t="s">
        <v>1535</v>
      </c>
      <c r="C739" s="216" t="s">
        <v>234</v>
      </c>
      <c r="D739" s="217"/>
      <c r="E739" s="216"/>
      <c r="F739" s="216"/>
      <c r="G739" s="216" t="s">
        <v>234</v>
      </c>
      <c r="H739" s="216" t="s">
        <v>234</v>
      </c>
      <c r="I739" s="217" t="s">
        <v>234</v>
      </c>
      <c r="J739" s="217"/>
      <c r="K739" s="216"/>
      <c r="L739" s="216"/>
      <c r="M739" s="217" t="s">
        <v>234</v>
      </c>
      <c r="N739" s="216"/>
      <c r="O739" s="217"/>
      <c r="P739" s="216"/>
      <c r="Q739" s="217"/>
      <c r="R739" s="217" t="s">
        <v>234</v>
      </c>
      <c r="S739" s="217"/>
      <c r="T739" s="217"/>
      <c r="U739" s="218">
        <f t="shared" si="895"/>
        <v>6</v>
      </c>
      <c r="V739" s="867" t="s">
        <v>235</v>
      </c>
      <c r="W739" s="219">
        <v>152833</v>
      </c>
      <c r="X739" s="220">
        <v>3.41</v>
      </c>
      <c r="Y739" s="221">
        <f t="shared" si="870"/>
        <v>1.0341</v>
      </c>
      <c r="Z739" s="199">
        <v>19</v>
      </c>
      <c r="AA739" s="221">
        <f t="shared" si="871"/>
        <v>1.8909856119855175</v>
      </c>
      <c r="AB739" s="199">
        <f t="shared" si="873"/>
        <v>289005.0040365826</v>
      </c>
      <c r="AC739">
        <v>11.9</v>
      </c>
      <c r="AD739" s="199">
        <f t="shared" si="874"/>
        <v>34391.595480353331</v>
      </c>
      <c r="AE739" s="199">
        <f t="shared" si="872"/>
        <v>32672.015706335664</v>
      </c>
      <c r="AF739" s="199">
        <f t="shared" si="893"/>
        <v>0</v>
      </c>
      <c r="AG739" s="614">
        <f t="shared" si="892"/>
        <v>1.510610573424468E-3</v>
      </c>
      <c r="AH739" s="199">
        <f t="shared" si="905"/>
        <v>14450.250201829131</v>
      </c>
      <c r="AI739" s="252">
        <f t="shared" si="875"/>
        <v>1.1194389888680987E-3</v>
      </c>
      <c r="AJ739" s="199">
        <f t="shared" si="876"/>
        <v>48841.845682182466</v>
      </c>
      <c r="AK739" s="199">
        <f t="shared" si="906"/>
        <v>11560.200161463305</v>
      </c>
      <c r="AL739" s="199">
        <f t="shared" si="907"/>
        <v>11560.200161463305</v>
      </c>
      <c r="AM739" s="199">
        <f t="shared" si="877"/>
        <v>23120.400322926609</v>
      </c>
      <c r="AN739" s="645">
        <f t="shared" si="878"/>
        <v>1.1194389888680987E-3</v>
      </c>
      <c r="AO739" s="199">
        <v>11</v>
      </c>
      <c r="AP739" s="250">
        <f t="shared" si="879"/>
        <v>1.2498579706851495E-3</v>
      </c>
      <c r="AQ739" s="199">
        <v>11</v>
      </c>
      <c r="AU739" s="199">
        <v>0</v>
      </c>
      <c r="AW739" s="250">
        <f t="shared" si="880"/>
        <v>0</v>
      </c>
      <c r="AX739" s="199">
        <v>1</v>
      </c>
      <c r="AY739" s="199">
        <f t="shared" si="896"/>
        <v>14052.994698823049</v>
      </c>
      <c r="AZ739" s="199">
        <f t="shared" si="881"/>
        <v>14052.994698823049</v>
      </c>
      <c r="BA739" s="252">
        <f t="shared" si="882"/>
        <v>1.1046565775884607E-3</v>
      </c>
      <c r="BB739" s="284">
        <v>0</v>
      </c>
      <c r="BC739" s="199">
        <f t="shared" si="897"/>
        <v>0</v>
      </c>
      <c r="BD739" s="270">
        <f t="shared" si="911"/>
        <v>0</v>
      </c>
      <c r="BE739" s="199">
        <f t="shared" si="898"/>
        <v>0</v>
      </c>
      <c r="BF739" s="251">
        <f t="shared" si="912"/>
        <v>0</v>
      </c>
      <c r="BG739" s="204">
        <f t="shared" si="908"/>
        <v>0</v>
      </c>
      <c r="BH739" s="636">
        <v>1</v>
      </c>
      <c r="BI739" s="199">
        <f t="shared" si="883"/>
        <v>88435.53123519427</v>
      </c>
      <c r="BJ739" s="199">
        <f t="shared" si="884"/>
        <v>176871.06247038854</v>
      </c>
      <c r="BK739" s="199">
        <f t="shared" si="891"/>
        <v>265306.59370558278</v>
      </c>
      <c r="BL739" s="251">
        <f t="shared" si="885"/>
        <v>1.1194389888680985E-3</v>
      </c>
      <c r="BM739" s="199">
        <f t="shared" si="899"/>
        <v>22837.177947217002</v>
      </c>
      <c r="BN739" s="251">
        <f t="shared" si="886"/>
        <v>9.8618036614341411E-4</v>
      </c>
      <c r="BT739" s="199">
        <f>'Detailed Budget'!$AD$12</f>
        <v>194045122715</v>
      </c>
      <c r="BU739" s="199">
        <f>'Detailed Budget'!$AD$24</f>
        <v>194045122715</v>
      </c>
      <c r="BV739" s="596">
        <f t="shared" si="900"/>
        <v>0</v>
      </c>
      <c r="BW739" s="278"/>
      <c r="BX739" s="275"/>
      <c r="BY739" s="275"/>
      <c r="CA739" s="199"/>
      <c r="CE739" s="199">
        <f>'Detailed Budget'!$AD$175</f>
        <v>4330586076.5988197</v>
      </c>
      <c r="CF739" s="275">
        <f t="shared" si="901"/>
        <v>0</v>
      </c>
      <c r="CG739" s="199">
        <f>'Detailed Budget'!$AD$176</f>
        <v>20662817754.37001</v>
      </c>
      <c r="CH739" s="275">
        <f t="shared" si="902"/>
        <v>0</v>
      </c>
      <c r="CI739" s="275">
        <f t="shared" si="910"/>
        <v>0</v>
      </c>
      <c r="CJ739" s="275">
        <f>'Detailed Budget'!$AD$178</f>
        <v>46025131033.061455</v>
      </c>
      <c r="CK739" s="275">
        <f t="shared" si="903"/>
        <v>0</v>
      </c>
      <c r="CL739" s="275">
        <f t="shared" si="909"/>
        <v>0</v>
      </c>
      <c r="CM739" s="278">
        <f>'Detailed Budget'!$AD$189</f>
        <v>77498869683.252869</v>
      </c>
      <c r="CN739" s="275">
        <f t="shared" si="888"/>
        <v>86755256.316641122</v>
      </c>
      <c r="CO739" s="140">
        <f>'Detailed Budget'!$AD$191</f>
        <v>2684962805.4134097</v>
      </c>
      <c r="CP739" s="616">
        <f t="shared" si="889"/>
        <v>3005652.0480404408</v>
      </c>
      <c r="CQ739" s="616">
        <f t="shared" si="890"/>
        <v>89760908.364681557</v>
      </c>
      <c r="CR739" s="199">
        <f>'Detailed Budget'!$AD$195</f>
        <v>18734176418</v>
      </c>
      <c r="CS739" s="275">
        <f t="shared" si="904"/>
        <v>18475276.959298555</v>
      </c>
      <c r="CW739" s="278"/>
      <c r="DH739" s="140"/>
      <c r="DI739" s="616"/>
    </row>
    <row r="740" spans="1:113" outlineLevel="1">
      <c r="A740" s="214" t="s">
        <v>1536</v>
      </c>
      <c r="B740" s="215" t="s">
        <v>1537</v>
      </c>
      <c r="C740" s="216" t="s">
        <v>234</v>
      </c>
      <c r="D740" s="217"/>
      <c r="E740" s="216"/>
      <c r="F740" s="216"/>
      <c r="G740" s="216" t="s">
        <v>234</v>
      </c>
      <c r="H740" s="216" t="s">
        <v>234</v>
      </c>
      <c r="I740" s="217" t="s">
        <v>234</v>
      </c>
      <c r="J740" s="217"/>
      <c r="K740" s="216"/>
      <c r="L740" s="216"/>
      <c r="M740" s="217" t="s">
        <v>234</v>
      </c>
      <c r="N740" s="216"/>
      <c r="O740" s="217"/>
      <c r="P740" s="216"/>
      <c r="Q740" s="217"/>
      <c r="R740" s="217" t="s">
        <v>234</v>
      </c>
      <c r="S740" s="217"/>
      <c r="T740" s="217"/>
      <c r="U740" s="218">
        <f t="shared" si="895"/>
        <v>6</v>
      </c>
      <c r="V740" s="867" t="s">
        <v>235</v>
      </c>
      <c r="W740" s="219">
        <v>125331</v>
      </c>
      <c r="X740" s="220">
        <v>3.41</v>
      </c>
      <c r="Y740" s="221">
        <f t="shared" si="870"/>
        <v>1.0341</v>
      </c>
      <c r="Z740" s="199">
        <v>19</v>
      </c>
      <c r="AA740" s="221">
        <f t="shared" si="871"/>
        <v>1.8909856119855175</v>
      </c>
      <c r="AB740" s="199">
        <f t="shared" si="873"/>
        <v>236999.11773575688</v>
      </c>
      <c r="AC740">
        <v>11.9</v>
      </c>
      <c r="AD740" s="199">
        <f t="shared" si="874"/>
        <v>28202.895010555068</v>
      </c>
      <c r="AE740" s="199">
        <f t="shared" si="872"/>
        <v>26792.750260027315</v>
      </c>
      <c r="AF740" s="199">
        <f t="shared" si="893"/>
        <v>0</v>
      </c>
      <c r="AG740" s="614">
        <f t="shared" si="892"/>
        <v>1.2387791496460971E-3</v>
      </c>
      <c r="AH740" s="199">
        <f t="shared" si="905"/>
        <v>11849.955886787844</v>
      </c>
      <c r="AI740" s="252">
        <f t="shared" si="875"/>
        <v>9.179981281125651E-4</v>
      </c>
      <c r="AJ740" s="199">
        <f t="shared" si="876"/>
        <v>40052.850897342913</v>
      </c>
      <c r="AK740" s="199">
        <f t="shared" si="906"/>
        <v>9479.9647094302763</v>
      </c>
      <c r="AL740" s="199">
        <f t="shared" si="907"/>
        <v>9479.9647094302763</v>
      </c>
      <c r="AM740" s="199">
        <f t="shared" si="877"/>
        <v>18959.929418860553</v>
      </c>
      <c r="AN740" s="645">
        <f t="shared" si="878"/>
        <v>9.1799812811256521E-4</v>
      </c>
      <c r="AO740" s="199">
        <v>10</v>
      </c>
      <c r="AP740" s="250">
        <f t="shared" si="879"/>
        <v>1.1362345188046814E-3</v>
      </c>
      <c r="AQ740" s="199">
        <v>10</v>
      </c>
      <c r="AU740" s="199">
        <v>0</v>
      </c>
      <c r="AW740" s="250">
        <f t="shared" si="880"/>
        <v>0</v>
      </c>
      <c r="AX740" s="199">
        <v>1</v>
      </c>
      <c r="AY740" s="199">
        <f t="shared" si="896"/>
        <v>11524.185736053019</v>
      </c>
      <c r="AZ740" s="199">
        <f t="shared" si="881"/>
        <v>11524.185736053019</v>
      </c>
      <c r="BA740" s="252">
        <f t="shared" si="882"/>
        <v>9.0587578288549796E-4</v>
      </c>
      <c r="BB740" s="284">
        <v>0</v>
      </c>
      <c r="BC740" s="199">
        <f t="shared" si="897"/>
        <v>0</v>
      </c>
      <c r="BD740" s="270">
        <f t="shared" si="911"/>
        <v>0</v>
      </c>
      <c r="BE740" s="199">
        <f t="shared" si="898"/>
        <v>0</v>
      </c>
      <c r="BF740" s="251">
        <f t="shared" si="912"/>
        <v>0</v>
      </c>
      <c r="BG740" s="204">
        <f t="shared" si="908"/>
        <v>0</v>
      </c>
      <c r="BH740" s="636">
        <v>1</v>
      </c>
      <c r="BI740" s="199">
        <f t="shared" si="883"/>
        <v>72521.730027141617</v>
      </c>
      <c r="BJ740" s="199">
        <f t="shared" si="884"/>
        <v>145043.46005428323</v>
      </c>
      <c r="BK740" s="199">
        <f t="shared" si="891"/>
        <v>217565.19008142484</v>
      </c>
      <c r="BL740" s="251">
        <f t="shared" si="885"/>
        <v>9.1799812811256521E-4</v>
      </c>
      <c r="BM740" s="199">
        <f t="shared" si="899"/>
        <v>18727.672356772779</v>
      </c>
      <c r="BN740" s="251">
        <f t="shared" si="886"/>
        <v>8.0871913440893153E-4</v>
      </c>
      <c r="BT740" s="199">
        <f>'Detailed Budget'!$AD$12</f>
        <v>194045122715</v>
      </c>
      <c r="BU740" s="199">
        <f>'Detailed Budget'!$AD$24</f>
        <v>194045122715</v>
      </c>
      <c r="BV740" s="596">
        <f t="shared" si="900"/>
        <v>0</v>
      </c>
      <c r="BW740" s="278"/>
      <c r="BX740" s="275"/>
      <c r="BY740" s="275"/>
      <c r="CA740" s="199"/>
      <c r="CE740" s="199">
        <f>'Detailed Budget'!$AD$175</f>
        <v>4330586076.5988197</v>
      </c>
      <c r="CF740" s="275">
        <f t="shared" si="901"/>
        <v>0</v>
      </c>
      <c r="CG740" s="199">
        <f>'Detailed Budget'!$AD$176</f>
        <v>20662817754.37001</v>
      </c>
      <c r="CH740" s="275">
        <f t="shared" si="902"/>
        <v>0</v>
      </c>
      <c r="CI740" s="275">
        <f t="shared" si="910"/>
        <v>0</v>
      </c>
      <c r="CJ740" s="275">
        <f>'Detailed Budget'!$AD$178</f>
        <v>46025131033.061455</v>
      </c>
      <c r="CK740" s="275">
        <f t="shared" si="903"/>
        <v>0</v>
      </c>
      <c r="CL740" s="275">
        <f t="shared" si="909"/>
        <v>0</v>
      </c>
      <c r="CM740" s="278">
        <f>'Detailed Budget'!$AD$189</f>
        <v>77498869683.252869</v>
      </c>
      <c r="CN740" s="275">
        <f t="shared" si="888"/>
        <v>71143817.300065756</v>
      </c>
      <c r="CO740" s="140">
        <f>'Detailed Budget'!$AD$191</f>
        <v>2684962805.4134097</v>
      </c>
      <c r="CP740" s="616">
        <f t="shared" si="889"/>
        <v>2464790.8294213717</v>
      </c>
      <c r="CQ740" s="616">
        <f t="shared" si="890"/>
        <v>73608608.129487127</v>
      </c>
      <c r="CR740" s="199">
        <f>'Detailed Budget'!$AD$195</f>
        <v>18734176418</v>
      </c>
      <c r="CS740" s="275">
        <f t="shared" si="904"/>
        <v>15150686.936629178</v>
      </c>
      <c r="CW740" s="278"/>
      <c r="DH740" s="140"/>
      <c r="DI740" s="616"/>
    </row>
    <row r="741" spans="1:113" outlineLevel="1">
      <c r="A741" s="214" t="s">
        <v>1538</v>
      </c>
      <c r="B741" s="215" t="s">
        <v>1539</v>
      </c>
      <c r="C741" s="216" t="s">
        <v>234</v>
      </c>
      <c r="D741" s="217"/>
      <c r="E741" s="216"/>
      <c r="F741" s="216"/>
      <c r="G741" s="216" t="s">
        <v>234</v>
      </c>
      <c r="H741" s="216" t="s">
        <v>234</v>
      </c>
      <c r="I741" s="217" t="s">
        <v>234</v>
      </c>
      <c r="J741" s="217"/>
      <c r="K741" s="216"/>
      <c r="L741" s="216"/>
      <c r="M741" s="217" t="s">
        <v>234</v>
      </c>
      <c r="N741" s="216"/>
      <c r="O741" s="217"/>
      <c r="P741" s="216"/>
      <c r="Q741" s="217"/>
      <c r="R741" s="217" t="s">
        <v>234</v>
      </c>
      <c r="S741" s="217"/>
      <c r="T741" s="217"/>
      <c r="U741" s="218">
        <f t="shared" si="895"/>
        <v>6</v>
      </c>
      <c r="V741" s="867" t="s">
        <v>235</v>
      </c>
      <c r="W741" s="219">
        <v>538558</v>
      </c>
      <c r="X741" s="220">
        <v>3.41</v>
      </c>
      <c r="Y741" s="221">
        <f t="shared" si="870"/>
        <v>1.0341</v>
      </c>
      <c r="Z741" s="199">
        <v>19</v>
      </c>
      <c r="AA741" s="221">
        <f t="shared" si="871"/>
        <v>1.8909856119855175</v>
      </c>
      <c r="AB741" s="199">
        <f t="shared" si="873"/>
        <v>1018405.4292196963</v>
      </c>
      <c r="AC741">
        <v>11.9</v>
      </c>
      <c r="AD741" s="199">
        <f t="shared" si="874"/>
        <v>121190.24607714386</v>
      </c>
      <c r="AE741" s="199">
        <f t="shared" si="872"/>
        <v>115130.73377328666</v>
      </c>
      <c r="AF741" s="199">
        <f t="shared" si="893"/>
        <v>0</v>
      </c>
      <c r="AG741" s="614">
        <f t="shared" si="892"/>
        <v>5.3231396962850593E-3</v>
      </c>
      <c r="AH741" s="199">
        <f t="shared" si="905"/>
        <v>50920.271460984819</v>
      </c>
      <c r="AI741" s="252">
        <f t="shared" si="875"/>
        <v>3.9447162783353435E-3</v>
      </c>
      <c r="AJ741" s="199">
        <f t="shared" si="876"/>
        <v>172110.51753812868</v>
      </c>
      <c r="AK741" s="199">
        <f t="shared" si="906"/>
        <v>40736.217168787851</v>
      </c>
      <c r="AL741" s="199">
        <f t="shared" si="907"/>
        <v>40736.217168787851</v>
      </c>
      <c r="AM741" s="199">
        <f t="shared" si="877"/>
        <v>81472.434337575702</v>
      </c>
      <c r="AN741" s="645">
        <f t="shared" si="878"/>
        <v>3.9447162783353426E-3</v>
      </c>
      <c r="AO741" s="199">
        <v>20</v>
      </c>
      <c r="AP741" s="250">
        <f t="shared" si="879"/>
        <v>2.2724690376093627E-3</v>
      </c>
      <c r="AQ741" s="199">
        <v>20</v>
      </c>
      <c r="AU741" s="199">
        <v>0</v>
      </c>
      <c r="AW741" s="250">
        <f t="shared" si="880"/>
        <v>0</v>
      </c>
      <c r="AX741" s="199">
        <v>1</v>
      </c>
      <c r="AY741" s="199">
        <f t="shared" si="896"/>
        <v>49520.409329194234</v>
      </c>
      <c r="AZ741" s="199">
        <f t="shared" si="881"/>
        <v>49520.409329194234</v>
      </c>
      <c r="BA741" s="252">
        <f t="shared" si="882"/>
        <v>3.8926255266394432E-3</v>
      </c>
      <c r="BB741" s="284">
        <v>0</v>
      </c>
      <c r="BC741" s="199">
        <f t="shared" si="897"/>
        <v>0</v>
      </c>
      <c r="BD741" s="270">
        <f t="shared" si="911"/>
        <v>0</v>
      </c>
      <c r="BE741" s="199">
        <f t="shared" si="898"/>
        <v>0</v>
      </c>
      <c r="BF741" s="251">
        <f t="shared" si="912"/>
        <v>0</v>
      </c>
      <c r="BG741" s="204">
        <f t="shared" si="908"/>
        <v>0</v>
      </c>
      <c r="BH741" s="636">
        <v>1</v>
      </c>
      <c r="BI741" s="199">
        <f t="shared" si="883"/>
        <v>311632.06134122709</v>
      </c>
      <c r="BJ741" s="199">
        <f t="shared" si="884"/>
        <v>623264.12268245418</v>
      </c>
      <c r="BK741" s="199">
        <f t="shared" si="891"/>
        <v>934896.18402368133</v>
      </c>
      <c r="BL741" s="251">
        <f t="shared" si="885"/>
        <v>3.9447162783353435E-3</v>
      </c>
      <c r="BM741" s="199">
        <f t="shared" si="899"/>
        <v>80474.405926058462</v>
      </c>
      <c r="BN741" s="251">
        <f t="shared" si="886"/>
        <v>3.4751351189171499E-3</v>
      </c>
      <c r="BT741" s="199">
        <f>'Detailed Budget'!$AD$12</f>
        <v>194045122715</v>
      </c>
      <c r="BU741" s="199">
        <f>'Detailed Budget'!$AD$24</f>
        <v>194045122715</v>
      </c>
      <c r="BV741" s="596">
        <f t="shared" si="900"/>
        <v>0</v>
      </c>
      <c r="BW741" s="278"/>
      <c r="BX741" s="275"/>
      <c r="BY741" s="275"/>
      <c r="CA741" s="199"/>
      <c r="CE741" s="199">
        <f>'Detailed Budget'!$AD$175</f>
        <v>4330586076.5988197</v>
      </c>
      <c r="CF741" s="275">
        <f t="shared" si="901"/>
        <v>0</v>
      </c>
      <c r="CG741" s="199">
        <f>'Detailed Budget'!$AD$176</f>
        <v>20662817754.37001</v>
      </c>
      <c r="CH741" s="275">
        <f t="shared" si="902"/>
        <v>0</v>
      </c>
      <c r="CI741" s="275">
        <f t="shared" si="910"/>
        <v>0</v>
      </c>
      <c r="CJ741" s="275">
        <f>'Detailed Budget'!$AD$178</f>
        <v>46025131033.061455</v>
      </c>
      <c r="CK741" s="275">
        <f t="shared" si="903"/>
        <v>0</v>
      </c>
      <c r="CL741" s="275">
        <f t="shared" si="909"/>
        <v>0</v>
      </c>
      <c r="CM741" s="278">
        <f>'Detailed Budget'!$AD$189</f>
        <v>77498869683.252869</v>
      </c>
      <c r="CN741" s="275">
        <f t="shared" si="888"/>
        <v>305711052.79211706</v>
      </c>
      <c r="CO741" s="140">
        <f>'Detailed Budget'!$AD$191</f>
        <v>2684962805.4134097</v>
      </c>
      <c r="CP741" s="616">
        <f t="shared" si="889"/>
        <v>10591416.485239206</v>
      </c>
      <c r="CQ741" s="616">
        <f t="shared" si="890"/>
        <v>316302469.27735627</v>
      </c>
      <c r="CR741" s="199">
        <f>'Detailed Budget'!$AD$195</f>
        <v>18734176418</v>
      </c>
      <c r="CS741" s="275">
        <f t="shared" si="904"/>
        <v>65103794.394181296</v>
      </c>
      <c r="CW741" s="278"/>
      <c r="DH741" s="140"/>
      <c r="DI741" s="616"/>
    </row>
    <row r="742" spans="1:113" outlineLevel="1">
      <c r="A742" s="214" t="s">
        <v>1540</v>
      </c>
      <c r="B742" s="215" t="s">
        <v>1541</v>
      </c>
      <c r="C742" s="216" t="s">
        <v>234</v>
      </c>
      <c r="D742" s="217"/>
      <c r="E742" s="216"/>
      <c r="F742" s="216"/>
      <c r="G742" s="216" t="s">
        <v>234</v>
      </c>
      <c r="H742" s="216" t="s">
        <v>234</v>
      </c>
      <c r="I742" s="217" t="s">
        <v>234</v>
      </c>
      <c r="J742" s="217"/>
      <c r="K742" s="216"/>
      <c r="L742" s="216"/>
      <c r="M742" s="217" t="s">
        <v>234</v>
      </c>
      <c r="N742" s="216"/>
      <c r="O742" s="217"/>
      <c r="P742" s="216"/>
      <c r="Q742" s="217"/>
      <c r="R742" s="217" t="s">
        <v>234</v>
      </c>
      <c r="S742" s="217"/>
      <c r="T742" s="217"/>
      <c r="U742" s="218">
        <f t="shared" si="895"/>
        <v>6</v>
      </c>
      <c r="V742" s="867" t="s">
        <v>235</v>
      </c>
      <c r="W742" s="219">
        <v>120308</v>
      </c>
      <c r="X742" s="220">
        <v>3.41</v>
      </c>
      <c r="Y742" s="221">
        <f t="shared" si="870"/>
        <v>1.0341</v>
      </c>
      <c r="Z742" s="199">
        <v>19</v>
      </c>
      <c r="AA742" s="221">
        <f t="shared" si="871"/>
        <v>1.8909856119855175</v>
      </c>
      <c r="AB742" s="199">
        <f t="shared" ref="AB742" si="913">W742*AA742</f>
        <v>227500.69700675365</v>
      </c>
      <c r="AC742">
        <v>11.9</v>
      </c>
      <c r="AD742" s="199">
        <f t="shared" ref="AD742" si="914">AB742*AC742/100</f>
        <v>27072.582943803685</v>
      </c>
      <c r="AE742" s="199">
        <f t="shared" si="872"/>
        <v>25718.953796613499</v>
      </c>
      <c r="AF742" s="199">
        <f t="shared" si="893"/>
        <v>0</v>
      </c>
      <c r="AG742" s="614">
        <f t="shared" si="892"/>
        <v>1.1891315152326453E-3</v>
      </c>
      <c r="AH742" s="199">
        <f t="shared" si="905"/>
        <v>11375.034850337683</v>
      </c>
      <c r="AI742" s="252">
        <f t="shared" si="875"/>
        <v>8.8120671499442678E-4</v>
      </c>
      <c r="AJ742" s="199">
        <f t="shared" si="876"/>
        <v>38447.61779414137</v>
      </c>
      <c r="AK742" s="199">
        <f t="shared" si="906"/>
        <v>9100.0278802701469</v>
      </c>
      <c r="AL742" s="199">
        <f t="shared" si="907"/>
        <v>9100.0278802701469</v>
      </c>
      <c r="AM742" s="199">
        <f t="shared" si="877"/>
        <v>18200.055760540294</v>
      </c>
      <c r="AN742" s="645">
        <f t="shared" si="878"/>
        <v>8.8120671499442678E-4</v>
      </c>
      <c r="AO742" s="199">
        <v>10</v>
      </c>
      <c r="AP742" s="250">
        <f t="shared" si="879"/>
        <v>1.1362345188046814E-3</v>
      </c>
      <c r="AQ742" s="199">
        <v>10</v>
      </c>
      <c r="AU742" s="199">
        <v>0</v>
      </c>
      <c r="AW742" s="250">
        <f t="shared" si="880"/>
        <v>0</v>
      </c>
      <c r="AX742" s="199">
        <v>1</v>
      </c>
      <c r="AY742" s="199">
        <f t="shared" si="896"/>
        <v>11062.320874588624</v>
      </c>
      <c r="AZ742" s="199">
        <f t="shared" si="881"/>
        <v>11062.320874588624</v>
      </c>
      <c r="BA742" s="252">
        <f t="shared" si="882"/>
        <v>8.6957020758941122E-4</v>
      </c>
      <c r="BB742" s="284">
        <v>0</v>
      </c>
      <c r="BC742" s="199">
        <f t="shared" si="897"/>
        <v>0</v>
      </c>
      <c r="BD742" s="270">
        <f t="shared" si="911"/>
        <v>0</v>
      </c>
      <c r="BE742" s="199">
        <f t="shared" si="898"/>
        <v>0</v>
      </c>
      <c r="BF742" s="251">
        <f t="shared" si="912"/>
        <v>0</v>
      </c>
      <c r="BG742" s="204">
        <f t="shared" si="908"/>
        <v>0</v>
      </c>
      <c r="BH742" s="636">
        <v>1</v>
      </c>
      <c r="BI742" s="199">
        <f t="shared" si="883"/>
        <v>69615.213284066616</v>
      </c>
      <c r="BJ742" s="199">
        <f t="shared" si="884"/>
        <v>139230.42656813323</v>
      </c>
      <c r="BK742" s="199">
        <f t="shared" si="891"/>
        <v>208845.63985219985</v>
      </c>
      <c r="BL742" s="251">
        <f t="shared" si="885"/>
        <v>8.8120671499442667E-4</v>
      </c>
      <c r="BM742" s="199">
        <f t="shared" si="899"/>
        <v>17977.107067673754</v>
      </c>
      <c r="BN742" s="251">
        <f t="shared" si="886"/>
        <v>7.7630739100836767E-4</v>
      </c>
      <c r="BT742" s="199">
        <f>'Detailed Budget'!$AD$12</f>
        <v>194045122715</v>
      </c>
      <c r="BU742" s="199">
        <f>'Detailed Budget'!$AD$24</f>
        <v>194045122715</v>
      </c>
      <c r="BV742" s="596">
        <f t="shared" si="900"/>
        <v>0</v>
      </c>
      <c r="BW742" s="278"/>
      <c r="BX742" s="275"/>
      <c r="BY742" s="275"/>
      <c r="CA742" s="199"/>
      <c r="CE742" s="199">
        <f>'Detailed Budget'!$AD$175</f>
        <v>4330586076.5988197</v>
      </c>
      <c r="CF742" s="275">
        <f t="shared" si="901"/>
        <v>0</v>
      </c>
      <c r="CG742" s="199">
        <f>'Detailed Budget'!$AD$176</f>
        <v>20662817754.37001</v>
      </c>
      <c r="CH742" s="275">
        <f t="shared" si="902"/>
        <v>0</v>
      </c>
      <c r="CI742" s="275">
        <f t="shared" si="910"/>
        <v>0</v>
      </c>
      <c r="CJ742" s="275">
        <f>'Detailed Budget'!$AD$178</f>
        <v>46025131033.061455</v>
      </c>
      <c r="CK742" s="275">
        <f t="shared" si="903"/>
        <v>0</v>
      </c>
      <c r="CL742" s="275">
        <f t="shared" si="909"/>
        <v>0</v>
      </c>
      <c r="CM742" s="278">
        <f>'Detailed Budget'!$AD$189</f>
        <v>77498869683.252869</v>
      </c>
      <c r="CN742" s="275">
        <f t="shared" si="888"/>
        <v>68292524.369360417</v>
      </c>
      <c r="CO742" s="140">
        <f>'Detailed Budget'!$AD$191</f>
        <v>2684962805.4134097</v>
      </c>
      <c r="CP742" s="616">
        <f t="shared" si="889"/>
        <v>2366007.2536405711</v>
      </c>
      <c r="CQ742" s="616">
        <f t="shared" si="890"/>
        <v>70658531.623000994</v>
      </c>
      <c r="CR742" s="199">
        <f>'Detailed Budget'!$AD$195</f>
        <v>18734176418</v>
      </c>
      <c r="CS742" s="275">
        <f t="shared" si="904"/>
        <v>14543479.617748067</v>
      </c>
      <c r="CW742" s="278"/>
      <c r="DH742" s="140"/>
      <c r="DI742" s="616"/>
    </row>
    <row r="743" spans="1:113">
      <c r="A743" s="224"/>
      <c r="B743" s="225"/>
      <c r="C743" s="226"/>
      <c r="D743" s="226"/>
      <c r="E743" s="226"/>
      <c r="F743" s="226"/>
      <c r="G743" s="226"/>
      <c r="H743" s="226"/>
      <c r="I743" s="226"/>
      <c r="J743" s="226"/>
      <c r="K743" s="226"/>
      <c r="L743" s="226"/>
      <c r="M743" s="226"/>
      <c r="N743" s="226"/>
      <c r="O743" s="226"/>
      <c r="P743" s="226"/>
      <c r="Q743" s="226"/>
      <c r="R743" s="226"/>
      <c r="S743" s="226"/>
      <c r="T743" s="226"/>
      <c r="U743" s="227"/>
      <c r="V743" s="867"/>
      <c r="X743" s="220"/>
      <c r="Y743" s="221"/>
      <c r="Z743" s="199"/>
      <c r="AA743" s="221"/>
      <c r="AG743" s="614">
        <f t="shared" si="892"/>
        <v>0</v>
      </c>
      <c r="AJ743" s="199"/>
      <c r="AK743" s="199">
        <f t="shared" si="906"/>
        <v>0</v>
      </c>
      <c r="AL743" s="199">
        <f t="shared" si="907"/>
        <v>0</v>
      </c>
      <c r="AM743" s="199">
        <f t="shared" si="877"/>
        <v>0</v>
      </c>
      <c r="AN743" s="645">
        <f t="shared" si="878"/>
        <v>0</v>
      </c>
      <c r="AP743" s="250"/>
      <c r="AW743" s="250">
        <f t="shared" si="880"/>
        <v>0</v>
      </c>
      <c r="AX743" s="199"/>
      <c r="BA743" s="252">
        <f t="shared" si="882"/>
        <v>0</v>
      </c>
      <c r="BB743" s="284"/>
      <c r="BD743" s="270">
        <f t="shared" si="911"/>
        <v>0</v>
      </c>
      <c r="BF743" s="251">
        <f t="shared" si="912"/>
        <v>0</v>
      </c>
      <c r="BI743" s="199">
        <f t="shared" si="883"/>
        <v>0</v>
      </c>
      <c r="BJ743" s="199">
        <f t="shared" si="884"/>
        <v>0</v>
      </c>
      <c r="BK743" s="199">
        <f t="shared" si="891"/>
        <v>0</v>
      </c>
      <c r="BL743" s="251">
        <f t="shared" si="885"/>
        <v>0</v>
      </c>
      <c r="BN743" s="251">
        <f t="shared" si="886"/>
        <v>0</v>
      </c>
      <c r="BT743" s="199">
        <f>'Detailed Budget'!$AD$12</f>
        <v>194045122715</v>
      </c>
      <c r="BU743" s="199">
        <f>'Detailed Budget'!$AD$24</f>
        <v>194045122715</v>
      </c>
      <c r="BV743" s="596">
        <f t="shared" si="900"/>
        <v>0</v>
      </c>
      <c r="BW743" s="278"/>
      <c r="BX743" s="275"/>
      <c r="BY743" s="275"/>
      <c r="CA743" s="199"/>
      <c r="CE743" s="199">
        <f>'Detailed Budget'!$AD$175</f>
        <v>4330586076.5988197</v>
      </c>
      <c r="CF743" s="275"/>
      <c r="CG743" s="199"/>
      <c r="CH743" s="275"/>
      <c r="CI743" s="275"/>
      <c r="CJ743" s="275"/>
      <c r="CK743" s="275"/>
      <c r="CL743" s="275"/>
      <c r="CM743" s="278">
        <f>'Detailed Budget'!$AD$189</f>
        <v>77498869683.252869</v>
      </c>
      <c r="CN743" s="275">
        <f t="shared" si="888"/>
        <v>0</v>
      </c>
      <c r="CO743" s="140">
        <f>'Detailed Budget'!$AD$191</f>
        <v>2684962805.4134097</v>
      </c>
      <c r="CP743" s="616">
        <f t="shared" si="889"/>
        <v>0</v>
      </c>
      <c r="CQ743" s="616">
        <f t="shared" si="890"/>
        <v>0</v>
      </c>
      <c r="CR743" s="199"/>
      <c r="CS743" s="275"/>
      <c r="CW743" s="278"/>
      <c r="DH743" s="140"/>
      <c r="DI743" s="616"/>
    </row>
    <row r="744" spans="1:113" s="4" customFormat="1">
      <c r="A744" s="201">
        <v>6</v>
      </c>
      <c r="B744" s="202" t="s">
        <v>2363</v>
      </c>
      <c r="C744" s="200">
        <f t="shared" ref="C744:T744" si="915">C745+C764+C787+C810+C831+C864</f>
        <v>137</v>
      </c>
      <c r="D744" s="200">
        <f t="shared" si="915"/>
        <v>5</v>
      </c>
      <c r="E744" s="200">
        <f t="shared" si="915"/>
        <v>0</v>
      </c>
      <c r="F744" s="200">
        <f t="shared" si="915"/>
        <v>0</v>
      </c>
      <c r="G744" s="200">
        <f t="shared" si="915"/>
        <v>127</v>
      </c>
      <c r="H744" s="200">
        <f t="shared" si="915"/>
        <v>137</v>
      </c>
      <c r="I744" s="200">
        <f t="shared" si="915"/>
        <v>135</v>
      </c>
      <c r="J744" s="200">
        <f t="shared" si="915"/>
        <v>0</v>
      </c>
      <c r="K744" s="200">
        <f t="shared" si="915"/>
        <v>1</v>
      </c>
      <c r="L744" s="200">
        <f t="shared" si="915"/>
        <v>0</v>
      </c>
      <c r="M744" s="200">
        <f t="shared" si="915"/>
        <v>20</v>
      </c>
      <c r="N744" s="200">
        <f t="shared" si="915"/>
        <v>62</v>
      </c>
      <c r="O744" s="200">
        <f t="shared" si="915"/>
        <v>43</v>
      </c>
      <c r="P744" s="200">
        <f t="shared" si="915"/>
        <v>9</v>
      </c>
      <c r="Q744" s="200">
        <f t="shared" si="915"/>
        <v>36</v>
      </c>
      <c r="R744" s="200">
        <f t="shared" si="915"/>
        <v>101</v>
      </c>
      <c r="S744" s="200">
        <f t="shared" si="915"/>
        <v>0</v>
      </c>
      <c r="T744" s="200">
        <f t="shared" si="915"/>
        <v>0</v>
      </c>
      <c r="U744" s="203">
        <f>SUM(C744:T744)</f>
        <v>813</v>
      </c>
      <c r="V744" s="865"/>
      <c r="W744" s="204">
        <f>W745+W764+W787+W810+W831+W864</f>
        <v>27722432</v>
      </c>
      <c r="X744" s="205">
        <f>AVERAGE(X745,X764,X787,X810,X831,X864)</f>
        <v>3.2050000000000001</v>
      </c>
      <c r="Y744" s="221"/>
      <c r="Z744" s="199"/>
      <c r="AA744" s="221"/>
      <c r="AB744" s="204">
        <f>AB745+AB764+AB787+AB810+AB831+AB864</f>
        <v>50705810.798004813</v>
      </c>
      <c r="AC744" s="4">
        <v>12.7</v>
      </c>
      <c r="AD744" s="204">
        <f>AD745+AD764+AD787+AD810+AD831+AD864</f>
        <v>6429532.6545680324</v>
      </c>
      <c r="AE744" s="204">
        <f t="shared" si="872"/>
        <v>6108056.0218396308</v>
      </c>
      <c r="AF744" s="204">
        <f>AF745+AF764+AF787+AF810+AF831+AF864</f>
        <v>150649.64632214053</v>
      </c>
      <c r="AG744" s="614">
        <f t="shared" si="892"/>
        <v>0.28240969558149076</v>
      </c>
      <c r="AH744" s="204">
        <f>AH745+AH764+AH787+AH810+AH831+AH864</f>
        <v>2535290.5399002414</v>
      </c>
      <c r="AI744" s="252">
        <f t="shared" si="875"/>
        <v>0.19640511678569633</v>
      </c>
      <c r="AJ744" s="204">
        <f>AJ745+AJ764+AJ787+AJ810+AJ831+AJ864</f>
        <v>8964823.1944682728</v>
      </c>
      <c r="AK744" s="199">
        <f t="shared" si="906"/>
        <v>2028232.4319201927</v>
      </c>
      <c r="AL744" s="199">
        <f t="shared" si="907"/>
        <v>2028232.4319201927</v>
      </c>
      <c r="AM744" s="199">
        <f t="shared" si="877"/>
        <v>4056464.8638403853</v>
      </c>
      <c r="AN744" s="645">
        <f t="shared" si="878"/>
        <v>0.19640511678569628</v>
      </c>
      <c r="AO744" s="204">
        <f t="shared" ref="AO744:AQ744" si="916">AO745+AO764+AO787+AO810+AO831+AO864</f>
        <v>1544</v>
      </c>
      <c r="AP744" s="250">
        <f t="shared" si="879"/>
        <v>0.1754346097034428</v>
      </c>
      <c r="AQ744" s="204">
        <f t="shared" si="916"/>
        <v>1544</v>
      </c>
      <c r="AR744" s="204"/>
      <c r="AS744" s="204"/>
      <c r="AT744" s="204"/>
      <c r="AU744" s="199"/>
      <c r="AV744" s="199"/>
      <c r="AW744" s="250">
        <f t="shared" si="880"/>
        <v>0</v>
      </c>
      <c r="AX744" s="199"/>
      <c r="AY744" s="204">
        <f>AY745+AY764+AY787+AY810+AY831+AY864</f>
        <v>2992862</v>
      </c>
      <c r="AZ744" s="204">
        <f>AZ745+AZ764+AZ787+AZ810+AZ831+AZ864</f>
        <v>2992861.740630554</v>
      </c>
      <c r="BA744" s="252">
        <f t="shared" si="882"/>
        <v>0.23525835442585616</v>
      </c>
      <c r="BB744" s="284"/>
      <c r="BC744" s="199"/>
      <c r="BD744" s="270">
        <f t="shared" si="911"/>
        <v>0</v>
      </c>
      <c r="BE744" s="199"/>
      <c r="BF744" s="251">
        <f t="shared" si="912"/>
        <v>0</v>
      </c>
      <c r="BG744" s="204">
        <f>BC744+BE744</f>
        <v>0</v>
      </c>
      <c r="BH744"/>
      <c r="BI744" s="199">
        <f t="shared" si="883"/>
        <v>15515978.104189474</v>
      </c>
      <c r="BJ744" s="199">
        <f t="shared" si="884"/>
        <v>31031956.208378948</v>
      </c>
      <c r="BK744" s="199">
        <f t="shared" si="891"/>
        <v>46547934.312568426</v>
      </c>
      <c r="BL744" s="251">
        <f t="shared" si="885"/>
        <v>0.1964051167856963</v>
      </c>
      <c r="BM744" s="204">
        <f t="shared" ref="BM744" si="917">BM745+BM764+BM787+BM810+BM831+BM864</f>
        <v>4312042</v>
      </c>
      <c r="BN744" s="251">
        <f t="shared" si="886"/>
        <v>0.18620738377633014</v>
      </c>
      <c r="BT744" s="204">
        <f>'Detailed Budget'!$AD$12</f>
        <v>194045122715</v>
      </c>
      <c r="BU744" s="204">
        <f>'Detailed Budget'!$AD$24</f>
        <v>194045122715</v>
      </c>
      <c r="BV744" s="596">
        <f t="shared" si="900"/>
        <v>0</v>
      </c>
      <c r="BW744" s="278"/>
      <c r="BX744" s="616">
        <f t="shared" si="868"/>
        <v>0</v>
      </c>
      <c r="BY744" s="616">
        <f t="shared" si="869"/>
        <v>0</v>
      </c>
      <c r="CA744" s="204">
        <f>'Detailed Budget'!$AD$96</f>
        <v>71050111380.677719</v>
      </c>
      <c r="CB744" s="616">
        <f t="shared" si="887"/>
        <v>16715132285.192036</v>
      </c>
      <c r="CE744" s="204">
        <f>'Detailed Budget'!$AD$175</f>
        <v>4330586076.5988197</v>
      </c>
      <c r="CF744" s="616">
        <f t="shared" ref="CF744" si="918">CF745+CF764+CF787+CF810+CF831+CF864</f>
        <v>44528863.332230359</v>
      </c>
      <c r="CG744" s="275">
        <f>'Detailed Budget'!$AD$176</f>
        <v>20662817754.37001</v>
      </c>
      <c r="CH744" s="616">
        <f t="shared" ref="CH744:CI744" si="919">CH745+CH764+CH787+CH810+CH831+CH864</f>
        <v>212463576.98815727</v>
      </c>
      <c r="CI744" s="616">
        <f t="shared" si="919"/>
        <v>256992440.32038763</v>
      </c>
      <c r="CJ744" s="275">
        <f>'Detailed Budget'!$AD$178</f>
        <v>46025131033.061455</v>
      </c>
      <c r="CK744" s="616">
        <f t="shared" ref="CK744:CL744" si="920">CK745+CK764+CK787+CK810+CK831+CK864</f>
        <v>0</v>
      </c>
      <c r="CL744" s="616">
        <f t="shared" si="920"/>
        <v>256992440.32038763</v>
      </c>
      <c r="CM744" s="278">
        <f>'Detailed Budget'!$AD$189</f>
        <v>77498869683.252869</v>
      </c>
      <c r="CN744" s="275">
        <f t="shared" si="888"/>
        <v>0</v>
      </c>
      <c r="CO744" s="140">
        <f>'Detailed Budget'!$AD$191</f>
        <v>2684962805.4134097</v>
      </c>
      <c r="CP744" s="616">
        <f t="shared" si="889"/>
        <v>0</v>
      </c>
      <c r="CQ744" s="616">
        <f t="shared" si="890"/>
        <v>0</v>
      </c>
      <c r="CR744" s="204">
        <f>'Detailed Budget'!$AD$195</f>
        <v>18734176418</v>
      </c>
      <c r="CS744" s="275">
        <f>BN744*CR744</f>
        <v>3488441978</v>
      </c>
      <c r="CW744" s="278"/>
      <c r="DH744" s="140">
        <f>'Detailed Budget'!$AD$163</f>
        <v>4928560000</v>
      </c>
      <c r="DI744" s="616">
        <f>AP744*DH744</f>
        <v>864640000</v>
      </c>
    </row>
    <row r="745" spans="1:113" s="213" customFormat="1">
      <c r="A745" s="206">
        <v>6.1</v>
      </c>
      <c r="B745" s="207" t="s">
        <v>345</v>
      </c>
      <c r="C745" s="208">
        <f t="shared" ref="C745:T745" si="921">COUNTA(C747:C762)</f>
        <v>16</v>
      </c>
      <c r="D745" s="208">
        <f t="shared" si="921"/>
        <v>0</v>
      </c>
      <c r="E745" s="208">
        <f t="shared" si="921"/>
        <v>0</v>
      </c>
      <c r="F745" s="208">
        <f t="shared" si="921"/>
        <v>0</v>
      </c>
      <c r="G745" s="208">
        <f t="shared" si="921"/>
        <v>16</v>
      </c>
      <c r="H745" s="208">
        <f t="shared" si="921"/>
        <v>16</v>
      </c>
      <c r="I745" s="208">
        <f t="shared" si="921"/>
        <v>16</v>
      </c>
      <c r="J745" s="208">
        <f t="shared" si="921"/>
        <v>0</v>
      </c>
      <c r="K745" s="208">
        <f t="shared" si="921"/>
        <v>0</v>
      </c>
      <c r="L745" s="208">
        <f t="shared" si="921"/>
        <v>0</v>
      </c>
      <c r="M745" s="208">
        <f t="shared" si="921"/>
        <v>0</v>
      </c>
      <c r="N745" s="208">
        <f t="shared" si="921"/>
        <v>11</v>
      </c>
      <c r="O745" s="208">
        <f t="shared" si="921"/>
        <v>5</v>
      </c>
      <c r="P745" s="208">
        <f t="shared" si="921"/>
        <v>0</v>
      </c>
      <c r="Q745" s="208">
        <f t="shared" si="921"/>
        <v>0</v>
      </c>
      <c r="R745" s="208">
        <f t="shared" si="921"/>
        <v>16</v>
      </c>
      <c r="S745" s="208">
        <f t="shared" si="921"/>
        <v>0</v>
      </c>
      <c r="T745" s="208">
        <f t="shared" si="921"/>
        <v>0</v>
      </c>
      <c r="U745" s="209">
        <f>SUM(C745:T745)</f>
        <v>96</v>
      </c>
      <c r="V745" s="866"/>
      <c r="W745" s="210">
        <f>SUM(W747:W762)</f>
        <v>2398957</v>
      </c>
      <c r="X745" s="211">
        <v>3.11</v>
      </c>
      <c r="Y745" s="212">
        <f t="shared" si="870"/>
        <v>1.0310999999999999</v>
      </c>
      <c r="Z745" s="210">
        <v>19</v>
      </c>
      <c r="AA745" s="212">
        <f t="shared" si="871"/>
        <v>1.7894309732827145</v>
      </c>
      <c r="AB745" s="210">
        <f t="shared" ref="AB745:AB779" si="922">W745*AA745</f>
        <v>4292767.959373381</v>
      </c>
      <c r="AC745" s="213">
        <v>11.5</v>
      </c>
      <c r="AD745" s="210">
        <f t="shared" ref="AD745:AD779" si="923">AB745*AC745/100</f>
        <v>493668.31532793882</v>
      </c>
      <c r="AE745" s="210">
        <f t="shared" si="872"/>
        <v>468984.89956154185</v>
      </c>
      <c r="AF745" s="210">
        <f>SUM(AF747:AF762)</f>
        <v>0</v>
      </c>
      <c r="AG745" s="614">
        <f t="shared" si="892"/>
        <v>2.168380287343875E-2</v>
      </c>
      <c r="AH745" s="210">
        <f>SUM(AH747:AH762)</f>
        <v>214638.3979686691</v>
      </c>
      <c r="AI745" s="252">
        <f t="shared" si="875"/>
        <v>1.6627711481694708E-2</v>
      </c>
      <c r="AJ745" s="210">
        <f>SUM(AJ747:AJ762)</f>
        <v>708306.71329660784</v>
      </c>
      <c r="AK745" s="199">
        <f t="shared" si="906"/>
        <v>171710.71837493524</v>
      </c>
      <c r="AL745" s="199">
        <f t="shared" si="907"/>
        <v>171710.71837493524</v>
      </c>
      <c r="AM745" s="199">
        <f t="shared" si="877"/>
        <v>343421.43674987048</v>
      </c>
      <c r="AN745" s="645">
        <f t="shared" si="878"/>
        <v>1.6627711481694705E-2</v>
      </c>
      <c r="AO745" s="210">
        <f>SUM(AO747:AO762)</f>
        <v>177</v>
      </c>
      <c r="AP745" s="250">
        <f t="shared" si="879"/>
        <v>2.0111350982842859E-2</v>
      </c>
      <c r="AQ745" s="210">
        <f>SUM(AQ747:AQ762)</f>
        <v>177</v>
      </c>
      <c r="AR745" s="210"/>
      <c r="AS745" s="210"/>
      <c r="AT745" s="210"/>
      <c r="AU745" s="199"/>
      <c r="AV745" s="199"/>
      <c r="AW745" s="250">
        <f t="shared" si="880"/>
        <v>0</v>
      </c>
      <c r="AX745" s="199"/>
      <c r="AY745" s="210">
        <v>288156</v>
      </c>
      <c r="AZ745" s="210">
        <f>SUM(AZ747:AZ762)</f>
        <v>288155.88336229534</v>
      </c>
      <c r="BA745" s="252">
        <f t="shared" si="882"/>
        <v>2.2650922365581749E-2</v>
      </c>
      <c r="BB745" s="284"/>
      <c r="BC745" s="199"/>
      <c r="BD745" s="270">
        <f t="shared" si="911"/>
        <v>0</v>
      </c>
      <c r="BE745" s="199"/>
      <c r="BF745" s="251">
        <f t="shared" si="912"/>
        <v>0</v>
      </c>
      <c r="BH745"/>
      <c r="BI745" s="199">
        <f t="shared" si="883"/>
        <v>1313586.9955682545</v>
      </c>
      <c r="BJ745" s="199">
        <f t="shared" si="884"/>
        <v>2627173.991136509</v>
      </c>
      <c r="BK745" s="199">
        <f t="shared" si="891"/>
        <v>3940760.9867047635</v>
      </c>
      <c r="BL745" s="251">
        <f t="shared" si="885"/>
        <v>1.6627711481694705E-2</v>
      </c>
      <c r="BM745" s="210">
        <v>370965</v>
      </c>
      <c r="BN745" s="251">
        <f t="shared" si="886"/>
        <v>1.6019422380994044E-2</v>
      </c>
      <c r="BT745" s="210">
        <f>'Detailed Budget'!$AD$12</f>
        <v>194045122715</v>
      </c>
      <c r="BU745" s="210">
        <f>'Detailed Budget'!$AD$24</f>
        <v>194045122715</v>
      </c>
      <c r="BV745" s="596">
        <f t="shared" si="900"/>
        <v>0</v>
      </c>
      <c r="BW745" s="278"/>
      <c r="BX745" s="613">
        <f t="shared" si="868"/>
        <v>0</v>
      </c>
      <c r="BY745" s="613">
        <f t="shared" si="869"/>
        <v>0</v>
      </c>
      <c r="CA745" s="210">
        <f>'Detailed Budget'!$AD$96</f>
        <v>71050111380.677719</v>
      </c>
      <c r="CB745" s="613">
        <f t="shared" si="887"/>
        <v>1609350556.9496672</v>
      </c>
      <c r="CE745" s="210">
        <f>'Detailed Budget'!$AD$175</f>
        <v>4330586076.5988197</v>
      </c>
      <c r="CF745" s="613">
        <f>SUM(CF747:CF762)</f>
        <v>0</v>
      </c>
      <c r="CG745" s="632">
        <f>'Detailed Budget'!$AD$176</f>
        <v>20662817754.37001</v>
      </c>
      <c r="CH745" s="613">
        <f>SUM(CH747:CH762)</f>
        <v>0</v>
      </c>
      <c r="CI745" s="613">
        <f>SUM(CI747:CI762)</f>
        <v>0</v>
      </c>
      <c r="CJ745" s="275">
        <f>'Detailed Budget'!$AD$178</f>
        <v>46025131033.061455</v>
      </c>
      <c r="CK745" s="613">
        <f>SUM(CK747:CK762)</f>
        <v>0</v>
      </c>
      <c r="CL745" s="613">
        <f>SUM(CL747:CL762)</f>
        <v>0</v>
      </c>
      <c r="CM745" s="278">
        <f>'Detailed Budget'!$AD$189</f>
        <v>77498869683.252869</v>
      </c>
      <c r="CN745" s="275">
        <f t="shared" si="888"/>
        <v>0</v>
      </c>
      <c r="CO745" s="140">
        <f>'Detailed Budget'!$AD$191</f>
        <v>2684962805.4134097</v>
      </c>
      <c r="CP745" s="616">
        <f t="shared" si="889"/>
        <v>0</v>
      </c>
      <c r="CQ745" s="616">
        <f t="shared" si="890"/>
        <v>0</v>
      </c>
      <c r="CR745" s="210">
        <f>'Detailed Budget'!$AD$195</f>
        <v>18734176418</v>
      </c>
      <c r="CS745" s="275">
        <f>BN745*CR745</f>
        <v>300110685</v>
      </c>
      <c r="CW745" s="278"/>
      <c r="DH745" s="140">
        <f>'Detailed Budget'!$AD$163</f>
        <v>4928560000</v>
      </c>
      <c r="DI745" s="616">
        <f>AP745*DH745</f>
        <v>99120000</v>
      </c>
    </row>
    <row r="746" spans="1:113" s="213" customFormat="1">
      <c r="A746" s="214" t="s">
        <v>2350</v>
      </c>
      <c r="B746" s="215" t="s">
        <v>2318</v>
      </c>
      <c r="C746" s="208"/>
      <c r="D746" s="208"/>
      <c r="E746" s="208"/>
      <c r="F746" s="208"/>
      <c r="G746" s="208"/>
      <c r="H746" s="208"/>
      <c r="I746" s="208"/>
      <c r="J746" s="208"/>
      <c r="K746" s="208"/>
      <c r="L746" s="208"/>
      <c r="M746" s="208"/>
      <c r="N746" s="208"/>
      <c r="O746" s="208"/>
      <c r="P746" s="208"/>
      <c r="Q746" s="208"/>
      <c r="R746" s="208"/>
      <c r="S746" s="208"/>
      <c r="T746" s="208"/>
      <c r="U746" s="209"/>
      <c r="V746" s="866"/>
      <c r="W746" s="210"/>
      <c r="X746" s="211"/>
      <c r="Y746" s="212"/>
      <c r="Z746" s="210"/>
      <c r="AA746" s="212"/>
      <c r="AB746" s="210"/>
      <c r="AD746" s="210"/>
      <c r="AE746" s="210"/>
      <c r="AF746" s="199"/>
      <c r="AG746" s="614">
        <f t="shared" si="892"/>
        <v>0</v>
      </c>
      <c r="AH746" s="210"/>
      <c r="AI746" s="252"/>
      <c r="AJ746" s="199"/>
      <c r="AK746" s="199">
        <f t="shared" si="906"/>
        <v>0</v>
      </c>
      <c r="AL746" s="199">
        <f t="shared" si="907"/>
        <v>0</v>
      </c>
      <c r="AM746" s="199">
        <f t="shared" si="877"/>
        <v>0</v>
      </c>
      <c r="AN746" s="645">
        <f t="shared" si="878"/>
        <v>0</v>
      </c>
      <c r="AO746" s="210"/>
      <c r="AP746" s="250"/>
      <c r="AQ746" s="210"/>
      <c r="AR746" s="210"/>
      <c r="AS746" s="210"/>
      <c r="AT746" s="210"/>
      <c r="AU746" s="199"/>
      <c r="AV746" s="199"/>
      <c r="AW746" s="250">
        <f t="shared" si="880"/>
        <v>0</v>
      </c>
      <c r="AX746" s="199"/>
      <c r="AY746" s="210"/>
      <c r="AZ746" s="199"/>
      <c r="BA746" s="252">
        <f t="shared" si="882"/>
        <v>0</v>
      </c>
      <c r="BB746" s="284"/>
      <c r="BC746" s="199"/>
      <c r="BD746" s="270">
        <f t="shared" si="911"/>
        <v>0</v>
      </c>
      <c r="BE746" s="199"/>
      <c r="BF746" s="251">
        <f t="shared" si="912"/>
        <v>0</v>
      </c>
      <c r="BH746"/>
      <c r="BI746" s="199">
        <f t="shared" si="883"/>
        <v>0</v>
      </c>
      <c r="BJ746" s="199">
        <f t="shared" si="884"/>
        <v>0</v>
      </c>
      <c r="BK746" s="199">
        <f t="shared" si="891"/>
        <v>0</v>
      </c>
      <c r="BL746" s="251">
        <f t="shared" si="885"/>
        <v>0</v>
      </c>
      <c r="BM746" s="210"/>
      <c r="BN746" s="251">
        <f t="shared" si="886"/>
        <v>0</v>
      </c>
      <c r="BT746" s="210"/>
      <c r="BU746" s="210">
        <f>'Detailed Budget'!$AD$24</f>
        <v>194045122715</v>
      </c>
      <c r="BV746" s="596"/>
      <c r="BW746" s="278"/>
      <c r="BX746" s="275"/>
      <c r="BY746" s="275"/>
      <c r="CA746" s="210">
        <f>'Detailed Budget'!$AD$96</f>
        <v>71050111380.677719</v>
      </c>
      <c r="CB746" s="275"/>
      <c r="CE746" s="210"/>
      <c r="CF746" s="275"/>
      <c r="CG746" s="240"/>
      <c r="CH746" s="275"/>
      <c r="CI746" s="275"/>
      <c r="CJ746" s="275"/>
      <c r="CK746" s="275"/>
      <c r="CL746" s="275"/>
      <c r="CM746" s="278">
        <f>'Detailed Budget'!$AD$189</f>
        <v>77498869683.252869</v>
      </c>
      <c r="CN746" s="275">
        <f t="shared" si="888"/>
        <v>0</v>
      </c>
      <c r="CO746" s="140">
        <f>'Detailed Budget'!$AD$191</f>
        <v>2684962805.4134097</v>
      </c>
      <c r="CP746" s="616">
        <f t="shared" si="889"/>
        <v>0</v>
      </c>
      <c r="CQ746" s="616">
        <f t="shared" si="890"/>
        <v>0</v>
      </c>
      <c r="CR746" s="210"/>
      <c r="CS746" s="275"/>
      <c r="CW746" s="278"/>
      <c r="DH746" s="140"/>
      <c r="DI746" s="616"/>
    </row>
    <row r="747" spans="1:113" outlineLevel="1">
      <c r="A747" s="214" t="s">
        <v>1542</v>
      </c>
      <c r="B747" s="215" t="s">
        <v>1543</v>
      </c>
      <c r="C747" s="216" t="s">
        <v>234</v>
      </c>
      <c r="D747" s="217"/>
      <c r="E747" s="216"/>
      <c r="F747" s="216"/>
      <c r="G747" s="216" t="s">
        <v>234</v>
      </c>
      <c r="H747" s="216" t="s">
        <v>234</v>
      </c>
      <c r="I747" s="217" t="s">
        <v>234</v>
      </c>
      <c r="J747" s="217"/>
      <c r="K747" s="216"/>
      <c r="L747" s="216"/>
      <c r="M747" s="217"/>
      <c r="N747" s="216"/>
      <c r="O747" s="217" t="s">
        <v>234</v>
      </c>
      <c r="P747" s="216"/>
      <c r="Q747" s="217"/>
      <c r="R747" s="217" t="s">
        <v>234</v>
      </c>
      <c r="S747" s="217"/>
      <c r="T747" s="217"/>
      <c r="U747" s="218">
        <f t="shared" ref="U747:U816" si="924">COUNTA(C747:T747)</f>
        <v>6</v>
      </c>
      <c r="V747" s="867" t="s">
        <v>235</v>
      </c>
      <c r="W747" s="219">
        <v>313690</v>
      </c>
      <c r="X747" s="220">
        <v>3.11</v>
      </c>
      <c r="Y747" s="221">
        <f t="shared" si="870"/>
        <v>1.0310999999999999</v>
      </c>
      <c r="Z747" s="199">
        <v>19</v>
      </c>
      <c r="AA747" s="221">
        <f t="shared" si="871"/>
        <v>1.7894309732827145</v>
      </c>
      <c r="AB747" s="199">
        <f t="shared" si="922"/>
        <v>561326.60200905474</v>
      </c>
      <c r="AC747">
        <v>11.5</v>
      </c>
      <c r="AD747" s="199">
        <f t="shared" si="923"/>
        <v>64552.559231041298</v>
      </c>
      <c r="AE747" s="199">
        <f t="shared" si="872"/>
        <v>61324.931269489229</v>
      </c>
      <c r="AF747" s="199">
        <f t="shared" si="893"/>
        <v>0</v>
      </c>
      <c r="AG747" s="614">
        <f t="shared" si="892"/>
        <v>2.8353956004084284E-3</v>
      </c>
      <c r="AH747" s="199">
        <f>AB747*0.05</f>
        <v>28066.330100452738</v>
      </c>
      <c r="AI747" s="252">
        <f t="shared" si="875"/>
        <v>2.1742560682383272E-3</v>
      </c>
      <c r="AJ747" s="199">
        <f t="shared" si="876"/>
        <v>92618.889331494036</v>
      </c>
      <c r="AK747" s="199">
        <f t="shared" si="906"/>
        <v>22453.06408036219</v>
      </c>
      <c r="AL747" s="199">
        <f t="shared" si="907"/>
        <v>22453.06408036219</v>
      </c>
      <c r="AM747" s="199">
        <f t="shared" si="877"/>
        <v>44906.12816072438</v>
      </c>
      <c r="AN747" s="645">
        <f t="shared" si="878"/>
        <v>2.1742560682383272E-3</v>
      </c>
      <c r="AO747" s="199">
        <v>13</v>
      </c>
      <c r="AP747" s="250">
        <f t="shared" si="879"/>
        <v>1.4771048744460858E-3</v>
      </c>
      <c r="AQ747" s="199">
        <v>13</v>
      </c>
      <c r="AU747" s="199">
        <v>0</v>
      </c>
      <c r="AW747" s="250">
        <f t="shared" si="880"/>
        <v>0</v>
      </c>
      <c r="AX747" s="199">
        <v>1</v>
      </c>
      <c r="AY747" s="199">
        <f t="shared" ref="AY747:AY762" si="925">AJ747/708307*288156</f>
        <v>37679.549509190219</v>
      </c>
      <c r="AZ747" s="199">
        <f t="shared" si="881"/>
        <v>37679.549509190219</v>
      </c>
      <c r="BA747" s="252">
        <f t="shared" si="882"/>
        <v>2.9618571057586029E-3</v>
      </c>
      <c r="BB747" s="284">
        <v>0</v>
      </c>
      <c r="BC747" s="199">
        <f t="shared" ref="BC747:BC762" si="926">AD747*BB747*0.18*4</f>
        <v>0</v>
      </c>
      <c r="BD747" s="270">
        <f t="shared" si="911"/>
        <v>0</v>
      </c>
      <c r="BE747" s="199">
        <f t="shared" ref="BE747:BE762" si="927">AD747*BB747*0.77*4</f>
        <v>0</v>
      </c>
      <c r="BF747" s="251">
        <f t="shared" si="912"/>
        <v>0</v>
      </c>
      <c r="BG747" s="204">
        <f t="shared" ref="BG747:BG762" si="928">BC747+BE747</f>
        <v>0</v>
      </c>
      <c r="BH747" s="636">
        <v>1</v>
      </c>
      <c r="BI747" s="199">
        <f t="shared" si="883"/>
        <v>171765.94021477073</v>
      </c>
      <c r="BJ747" s="199">
        <f t="shared" si="884"/>
        <v>343531.88042954146</v>
      </c>
      <c r="BK747" s="199">
        <f t="shared" si="891"/>
        <v>515297.82064431219</v>
      </c>
      <c r="BL747" s="251">
        <f t="shared" si="885"/>
        <v>2.1742560682383267E-3</v>
      </c>
      <c r="BM747" s="199">
        <f t="shared" ref="BM747:BM762" si="929">AH747/214638*370965</f>
        <v>48507.841788101134</v>
      </c>
      <c r="BN747" s="251">
        <f t="shared" si="886"/>
        <v>2.0947194651625501E-3</v>
      </c>
      <c r="BT747" s="199">
        <f>'Detailed Budget'!$AD$12</f>
        <v>194045122715</v>
      </c>
      <c r="BU747" s="199">
        <f>'Detailed Budget'!$AD$24</f>
        <v>194045122715</v>
      </c>
      <c r="BV747" s="596">
        <f t="shared" ref="BV747:BV762" si="930">AV747/34743979</f>
        <v>0</v>
      </c>
      <c r="BW747" s="278"/>
      <c r="BX747" s="275">
        <f t="shared" si="868"/>
        <v>0</v>
      </c>
      <c r="BY747" s="275">
        <f t="shared" si="869"/>
        <v>0</v>
      </c>
      <c r="CA747" s="199">
        <f>'Detailed Budget'!$AD$96</f>
        <v>71050111380.677719</v>
      </c>
      <c r="CB747" s="275">
        <f t="shared" si="887"/>
        <v>210440277.25780049</v>
      </c>
      <c r="CE747" s="199">
        <f>'Detailed Budget'!$AD$175</f>
        <v>4330586076.5988197</v>
      </c>
      <c r="CF747" s="275">
        <f t="shared" ref="CF747:CF762" si="931">BB747*BD747*CE747</f>
        <v>0</v>
      </c>
      <c r="CG747" s="199">
        <f>'Detailed Budget'!$AD$176</f>
        <v>20662817754.37001</v>
      </c>
      <c r="CH747" s="275">
        <f t="shared" ref="CH747:CH762" si="932">BB747*BF747*CG747</f>
        <v>0</v>
      </c>
      <c r="CI747" s="275">
        <f t="shared" si="910"/>
        <v>0</v>
      </c>
      <c r="CJ747" s="275">
        <f>'Detailed Budget'!$AD$178</f>
        <v>46025131033.061455</v>
      </c>
      <c r="CK747" s="275">
        <f t="shared" ref="CK747:CK762" si="933">BB747*AG747*CJ747</f>
        <v>0</v>
      </c>
      <c r="CL747" s="275">
        <f t="shared" si="909"/>
        <v>0</v>
      </c>
      <c r="CM747" s="278">
        <f>'Detailed Budget'!$AD$189</f>
        <v>77498869683.252869</v>
      </c>
      <c r="CN747" s="275">
        <f t="shared" si="888"/>
        <v>168502387.69042385</v>
      </c>
      <c r="CO747" s="140">
        <f>'Detailed Budget'!$AD$191</f>
        <v>2684962805.4134097</v>
      </c>
      <c r="CP747" s="616">
        <f t="shared" si="889"/>
        <v>5837796.6726643089</v>
      </c>
      <c r="CQ747" s="616">
        <f t="shared" si="890"/>
        <v>174340184.36308816</v>
      </c>
      <c r="CR747" s="199">
        <f>'Detailed Budget'!$AD$195</f>
        <v>18734176418</v>
      </c>
      <c r="CS747" s="275">
        <f t="shared" ref="CS747:CS762" si="934">BN747*CR747</f>
        <v>39242844.006573819</v>
      </c>
      <c r="CW747" s="278"/>
      <c r="DH747" s="140">
        <f>'Detailed Budget'!$AD$163</f>
        <v>4928560000</v>
      </c>
      <c r="DI747" s="616">
        <f t="shared" ref="DI747:DI764" si="935">AP747*DH747</f>
        <v>7280000.0000000009</v>
      </c>
    </row>
    <row r="748" spans="1:113" outlineLevel="1">
      <c r="A748" s="214" t="s">
        <v>1544</v>
      </c>
      <c r="B748" s="215" t="s">
        <v>1545</v>
      </c>
      <c r="C748" s="216" t="s">
        <v>234</v>
      </c>
      <c r="D748" s="217"/>
      <c r="E748" s="216"/>
      <c r="F748" s="216"/>
      <c r="G748" s="216" t="s">
        <v>234</v>
      </c>
      <c r="H748" s="216" t="s">
        <v>234</v>
      </c>
      <c r="I748" s="217" t="s">
        <v>234</v>
      </c>
      <c r="J748" s="217"/>
      <c r="K748" s="216"/>
      <c r="L748" s="216"/>
      <c r="M748" s="217"/>
      <c r="N748" s="216" t="s">
        <v>234</v>
      </c>
      <c r="O748" s="217"/>
      <c r="P748" s="216"/>
      <c r="Q748" s="217"/>
      <c r="R748" s="217" t="s">
        <v>234</v>
      </c>
      <c r="S748" s="217"/>
      <c r="T748" s="217"/>
      <c r="U748" s="218">
        <f>COUNTA(C748:T748)</f>
        <v>6</v>
      </c>
      <c r="V748" s="867" t="s">
        <v>235</v>
      </c>
      <c r="W748" s="219">
        <v>147999</v>
      </c>
      <c r="X748" s="220">
        <v>3.11</v>
      </c>
      <c r="Y748" s="221">
        <f t="shared" si="870"/>
        <v>1.0310999999999999</v>
      </c>
      <c r="Z748" s="199">
        <v>19</v>
      </c>
      <c r="AA748" s="221">
        <f t="shared" si="871"/>
        <v>1.7894309732827145</v>
      </c>
      <c r="AB748" s="199">
        <f t="shared" si="922"/>
        <v>264833.99461486848</v>
      </c>
      <c r="AC748">
        <v>11.5</v>
      </c>
      <c r="AD748" s="199">
        <f t="shared" si="923"/>
        <v>30455.909380709872</v>
      </c>
      <c r="AE748" s="199">
        <f t="shared" si="872"/>
        <v>28933.113911674376</v>
      </c>
      <c r="AF748" s="199">
        <f t="shared" si="893"/>
        <v>0</v>
      </c>
      <c r="AG748" s="614">
        <f t="shared" si="892"/>
        <v>1.3377401685257639E-3</v>
      </c>
      <c r="AH748" s="199">
        <f t="shared" ref="AH748:AH762" si="936">AB748*0.05</f>
        <v>13241.699730743425</v>
      </c>
      <c r="AI748" s="252">
        <f t="shared" si="875"/>
        <v>1.0258144150059108E-3</v>
      </c>
      <c r="AJ748" s="199">
        <f t="shared" si="876"/>
        <v>43697.609111453297</v>
      </c>
      <c r="AK748" s="199">
        <f t="shared" si="906"/>
        <v>10593.359784594739</v>
      </c>
      <c r="AL748" s="199">
        <f t="shared" si="907"/>
        <v>10593.359784594739</v>
      </c>
      <c r="AM748" s="199">
        <f t="shared" si="877"/>
        <v>21186.719569189478</v>
      </c>
      <c r="AN748" s="645">
        <f t="shared" si="878"/>
        <v>1.0258144150059108E-3</v>
      </c>
      <c r="AO748" s="199">
        <v>10</v>
      </c>
      <c r="AP748" s="250">
        <f t="shared" si="879"/>
        <v>1.1362345188046814E-3</v>
      </c>
      <c r="AQ748" s="199">
        <v>10</v>
      </c>
      <c r="AU748" s="199">
        <v>0</v>
      </c>
      <c r="AW748" s="250">
        <f t="shared" si="880"/>
        <v>0</v>
      </c>
      <c r="AX748" s="199">
        <v>1</v>
      </c>
      <c r="AY748" s="199">
        <f t="shared" si="925"/>
        <v>17777.218425230778</v>
      </c>
      <c r="AZ748" s="199">
        <f t="shared" si="881"/>
        <v>17777.218425230778</v>
      </c>
      <c r="BA748" s="252">
        <f t="shared" si="882"/>
        <v>1.3974047301321924E-3</v>
      </c>
      <c r="BB748" s="284">
        <v>0</v>
      </c>
      <c r="BC748" s="199">
        <f t="shared" si="926"/>
        <v>0</v>
      </c>
      <c r="BD748" s="270">
        <f t="shared" si="911"/>
        <v>0</v>
      </c>
      <c r="BE748" s="199">
        <f t="shared" si="927"/>
        <v>0</v>
      </c>
      <c r="BF748" s="251">
        <f t="shared" si="912"/>
        <v>0</v>
      </c>
      <c r="BG748" s="204">
        <f t="shared" si="928"/>
        <v>0</v>
      </c>
      <c r="BH748" s="636">
        <v>1</v>
      </c>
      <c r="BI748" s="199">
        <f t="shared" si="883"/>
        <v>81039.202352149761</v>
      </c>
      <c r="BJ748" s="199">
        <f t="shared" si="884"/>
        <v>162078.40470429952</v>
      </c>
      <c r="BK748" s="199">
        <f t="shared" si="891"/>
        <v>243117.60705644928</v>
      </c>
      <c r="BL748" s="251">
        <f t="shared" si="885"/>
        <v>1.0258144150059108E-3</v>
      </c>
      <c r="BM748" s="199">
        <f t="shared" si="929"/>
        <v>22886.008724527972</v>
      </c>
      <c r="BN748" s="251">
        <f t="shared" si="886"/>
        <v>9.8828903096876601E-4</v>
      </c>
      <c r="BT748" s="199">
        <f>'Detailed Budget'!$AD$12</f>
        <v>194045122715</v>
      </c>
      <c r="BU748" s="199">
        <f>'Detailed Budget'!$AD$24</f>
        <v>194045122715</v>
      </c>
      <c r="BV748" s="596">
        <f t="shared" si="930"/>
        <v>0</v>
      </c>
      <c r="BW748" s="278"/>
      <c r="BX748" s="275">
        <f t="shared" si="868"/>
        <v>0</v>
      </c>
      <c r="BY748" s="275">
        <f t="shared" si="869"/>
        <v>0</v>
      </c>
      <c r="CA748" s="199">
        <f>'Detailed Budget'!$AD$96</f>
        <v>71050111380.677719</v>
      </c>
      <c r="CB748" s="275">
        <f t="shared" si="887"/>
        <v>99285761.719778165</v>
      </c>
      <c r="CE748" s="199">
        <f>'Detailed Budget'!$AD$175</f>
        <v>4330586076.5988197</v>
      </c>
      <c r="CF748" s="275">
        <f t="shared" si="931"/>
        <v>0</v>
      </c>
      <c r="CG748" s="199">
        <f>'Detailed Budget'!$AD$176</f>
        <v>20662817754.37001</v>
      </c>
      <c r="CH748" s="275">
        <f t="shared" si="932"/>
        <v>0</v>
      </c>
      <c r="CI748" s="275">
        <f t="shared" si="910"/>
        <v>0</v>
      </c>
      <c r="CJ748" s="275">
        <f>'Detailed Budget'!$AD$178</f>
        <v>46025131033.061455</v>
      </c>
      <c r="CK748" s="275">
        <f t="shared" si="933"/>
        <v>0</v>
      </c>
      <c r="CL748" s="275">
        <f t="shared" si="909"/>
        <v>0</v>
      </c>
      <c r="CM748" s="278">
        <f>'Detailed Budget'!$AD$189</f>
        <v>77498869683.252869</v>
      </c>
      <c r="CN748" s="275">
        <f t="shared" si="888"/>
        <v>79499457.667745352</v>
      </c>
      <c r="CO748" s="140">
        <f>'Detailed Budget'!$AD$191</f>
        <v>2684962805.4134097</v>
      </c>
      <c r="CP748" s="616">
        <f t="shared" si="889"/>
        <v>2754273.5495477859</v>
      </c>
      <c r="CQ748" s="616">
        <f t="shared" si="890"/>
        <v>82253731.217293143</v>
      </c>
      <c r="CR748" s="199">
        <f>'Detailed Budget'!$AD$195</f>
        <v>18734176418</v>
      </c>
      <c r="CS748" s="275">
        <f t="shared" si="934"/>
        <v>18514781.058143128</v>
      </c>
      <c r="CW748" s="278"/>
      <c r="DH748" s="140">
        <f>'Detailed Budget'!$AD$163</f>
        <v>4928560000</v>
      </c>
      <c r="DI748" s="616">
        <f t="shared" si="935"/>
        <v>5600000</v>
      </c>
    </row>
    <row r="749" spans="1:113" outlineLevel="1">
      <c r="A749" s="214" t="s">
        <v>1546</v>
      </c>
      <c r="B749" s="215" t="s">
        <v>1547</v>
      </c>
      <c r="C749" s="216" t="s">
        <v>234</v>
      </c>
      <c r="D749" s="217"/>
      <c r="E749" s="216"/>
      <c r="F749" s="216"/>
      <c r="G749" s="216" t="s">
        <v>234</v>
      </c>
      <c r="H749" s="216" t="s">
        <v>234</v>
      </c>
      <c r="I749" s="217" t="s">
        <v>234</v>
      </c>
      <c r="J749" s="217"/>
      <c r="K749" s="216"/>
      <c r="L749" s="216"/>
      <c r="M749" s="217"/>
      <c r="N749" s="216"/>
      <c r="O749" s="217" t="s">
        <v>234</v>
      </c>
      <c r="P749" s="216"/>
      <c r="Q749" s="217"/>
      <c r="R749" s="217" t="s">
        <v>234</v>
      </c>
      <c r="S749" s="217"/>
      <c r="T749" s="217"/>
      <c r="U749" s="218">
        <f t="shared" si="924"/>
        <v>6</v>
      </c>
      <c r="V749" s="867" t="s">
        <v>235</v>
      </c>
      <c r="W749" s="219">
        <v>87187</v>
      </c>
      <c r="X749" s="220">
        <v>3.11</v>
      </c>
      <c r="Y749" s="221">
        <f t="shared" si="870"/>
        <v>1.0310999999999999</v>
      </c>
      <c r="Z749" s="199">
        <v>19</v>
      </c>
      <c r="AA749" s="221">
        <f t="shared" si="871"/>
        <v>1.7894309732827145</v>
      </c>
      <c r="AB749" s="199">
        <f t="shared" si="922"/>
        <v>156015.11826760002</v>
      </c>
      <c r="AC749">
        <v>11.5</v>
      </c>
      <c r="AD749" s="199">
        <f t="shared" si="923"/>
        <v>17941.738600774002</v>
      </c>
      <c r="AE749" s="199">
        <f t="shared" si="872"/>
        <v>17044.6516707353</v>
      </c>
      <c r="AF749" s="199">
        <f t="shared" si="893"/>
        <v>0</v>
      </c>
      <c r="AG749" s="614">
        <f t="shared" si="892"/>
        <v>7.8806986583190278E-4</v>
      </c>
      <c r="AH749" s="199">
        <f t="shared" si="936"/>
        <v>7800.7559133800014</v>
      </c>
      <c r="AI749" s="252">
        <f t="shared" si="875"/>
        <v>6.0431274130987598E-4</v>
      </c>
      <c r="AJ749" s="199">
        <f t="shared" si="876"/>
        <v>25742.494514154005</v>
      </c>
      <c r="AK749" s="199">
        <f t="shared" si="906"/>
        <v>6240.6047307040008</v>
      </c>
      <c r="AL749" s="199">
        <f t="shared" si="907"/>
        <v>6240.6047307040008</v>
      </c>
      <c r="AM749" s="199">
        <f t="shared" si="877"/>
        <v>12481.209461408002</v>
      </c>
      <c r="AN749" s="645">
        <f t="shared" si="878"/>
        <v>6.0431274130987598E-4</v>
      </c>
      <c r="AO749" s="199">
        <v>12</v>
      </c>
      <c r="AP749" s="250">
        <f t="shared" si="879"/>
        <v>1.3634814225656176E-3</v>
      </c>
      <c r="AQ749" s="199">
        <v>12</v>
      </c>
      <c r="AU749" s="199">
        <v>0</v>
      </c>
      <c r="AW749" s="250">
        <f t="shared" si="880"/>
        <v>0</v>
      </c>
      <c r="AX749" s="199">
        <v>1</v>
      </c>
      <c r="AY749" s="199">
        <f t="shared" si="925"/>
        <v>10472.654158748341</v>
      </c>
      <c r="AZ749" s="199">
        <f t="shared" si="881"/>
        <v>10472.654158748341</v>
      </c>
      <c r="BA749" s="252">
        <f t="shared" si="882"/>
        <v>8.2321857719332863E-4</v>
      </c>
      <c r="BB749" s="284">
        <v>0</v>
      </c>
      <c r="BC749" s="199">
        <f t="shared" si="926"/>
        <v>0</v>
      </c>
      <c r="BD749" s="270">
        <f t="shared" si="911"/>
        <v>0</v>
      </c>
      <c r="BE749" s="199">
        <f t="shared" si="927"/>
        <v>0</v>
      </c>
      <c r="BF749" s="251">
        <f t="shared" si="912"/>
        <v>0</v>
      </c>
      <c r="BG749" s="204">
        <f t="shared" si="928"/>
        <v>0</v>
      </c>
      <c r="BH749" s="636">
        <v>1</v>
      </c>
      <c r="BI749" s="199">
        <f t="shared" si="883"/>
        <v>47740.62618988561</v>
      </c>
      <c r="BJ749" s="199">
        <f t="shared" si="884"/>
        <v>95481.25237977122</v>
      </c>
      <c r="BK749" s="199">
        <f t="shared" si="891"/>
        <v>143221.87856965684</v>
      </c>
      <c r="BL749" s="251">
        <f t="shared" si="885"/>
        <v>6.0431274130987608E-4</v>
      </c>
      <c r="BM749" s="199">
        <f t="shared" si="929"/>
        <v>13482.269763075561</v>
      </c>
      <c r="BN749" s="251">
        <f t="shared" si="886"/>
        <v>5.8220633749602227E-4</v>
      </c>
      <c r="BT749" s="199">
        <f>'Detailed Budget'!$AD$12</f>
        <v>194045122715</v>
      </c>
      <c r="BU749" s="199">
        <f>'Detailed Budget'!$AD$24</f>
        <v>194045122715</v>
      </c>
      <c r="BV749" s="596">
        <f t="shared" si="930"/>
        <v>0</v>
      </c>
      <c r="BW749" s="278"/>
      <c r="BX749" s="275">
        <f t="shared" si="868"/>
        <v>0</v>
      </c>
      <c r="BY749" s="275">
        <f t="shared" si="869"/>
        <v>0</v>
      </c>
      <c r="CA749" s="199">
        <f>'Detailed Budget'!$AD$96</f>
        <v>71050111380.677719</v>
      </c>
      <c r="CB749" s="275">
        <f t="shared" si="887"/>
        <v>58489771.60022904</v>
      </c>
      <c r="CE749" s="199">
        <f>'Detailed Budget'!$AD$175</f>
        <v>4330586076.5988197</v>
      </c>
      <c r="CF749" s="275">
        <f t="shared" si="931"/>
        <v>0</v>
      </c>
      <c r="CG749" s="199">
        <f>'Detailed Budget'!$AD$176</f>
        <v>20662817754.37001</v>
      </c>
      <c r="CH749" s="275">
        <f t="shared" si="932"/>
        <v>0</v>
      </c>
      <c r="CI749" s="275">
        <f t="shared" si="910"/>
        <v>0</v>
      </c>
      <c r="CJ749" s="275">
        <f>'Detailed Budget'!$AD$178</f>
        <v>46025131033.061455</v>
      </c>
      <c r="CK749" s="275">
        <f t="shared" si="933"/>
        <v>0</v>
      </c>
      <c r="CL749" s="275">
        <f t="shared" si="909"/>
        <v>0</v>
      </c>
      <c r="CM749" s="278">
        <f>'Detailed Budget'!$AD$189</f>
        <v>77498869683.252869</v>
      </c>
      <c r="CN749" s="275">
        <f t="shared" si="888"/>
        <v>46833554.386703387</v>
      </c>
      <c r="CO749" s="140">
        <f>'Detailed Budget'!$AD$191</f>
        <v>2684962805.4134097</v>
      </c>
      <c r="CP749" s="616">
        <f t="shared" si="889"/>
        <v>1622557.2332544327</v>
      </c>
      <c r="CQ749" s="616">
        <f t="shared" si="890"/>
        <v>48456111.61995782</v>
      </c>
      <c r="CR749" s="199">
        <f>'Detailed Budget'!$AD$195</f>
        <v>18734176418</v>
      </c>
      <c r="CS749" s="275">
        <f t="shared" si="934"/>
        <v>10907156.238328129</v>
      </c>
      <c r="CW749" s="278"/>
      <c r="DH749" s="140">
        <f>'Detailed Budget'!$AD$163</f>
        <v>4928560000</v>
      </c>
      <c r="DI749" s="616">
        <f t="shared" si="935"/>
        <v>6720000</v>
      </c>
    </row>
    <row r="750" spans="1:113" outlineLevel="1">
      <c r="A750" s="214" t="s">
        <v>1548</v>
      </c>
      <c r="B750" s="215" t="s">
        <v>1549</v>
      </c>
      <c r="C750" s="216" t="s">
        <v>234</v>
      </c>
      <c r="D750" s="217"/>
      <c r="E750" s="216"/>
      <c r="F750" s="216"/>
      <c r="G750" s="216" t="s">
        <v>234</v>
      </c>
      <c r="H750" s="216" t="s">
        <v>234</v>
      </c>
      <c r="I750" s="217" t="s">
        <v>234</v>
      </c>
      <c r="J750" s="217"/>
      <c r="K750" s="216"/>
      <c r="L750" s="216"/>
      <c r="M750" s="217"/>
      <c r="N750" s="216"/>
      <c r="O750" s="217" t="s">
        <v>234</v>
      </c>
      <c r="P750" s="216"/>
      <c r="Q750" s="217"/>
      <c r="R750" s="217" t="s">
        <v>234</v>
      </c>
      <c r="S750" s="217"/>
      <c r="T750" s="217"/>
      <c r="U750" s="218">
        <f t="shared" si="924"/>
        <v>6</v>
      </c>
      <c r="V750" s="867" t="s">
        <v>235</v>
      </c>
      <c r="W750" s="219">
        <v>138340</v>
      </c>
      <c r="X750" s="220">
        <v>3.11</v>
      </c>
      <c r="Y750" s="221">
        <f t="shared" si="870"/>
        <v>1.0310999999999999</v>
      </c>
      <c r="Z750" s="199">
        <v>19</v>
      </c>
      <c r="AA750" s="221">
        <f t="shared" si="871"/>
        <v>1.7894309732827145</v>
      </c>
      <c r="AB750" s="199">
        <f t="shared" si="922"/>
        <v>247549.88084393073</v>
      </c>
      <c r="AC750">
        <v>11.5</v>
      </c>
      <c r="AD750" s="199">
        <f t="shared" si="923"/>
        <v>28468.236297052033</v>
      </c>
      <c r="AE750" s="199">
        <f t="shared" si="872"/>
        <v>27044.82448219943</v>
      </c>
      <c r="AF750" s="199">
        <f t="shared" si="893"/>
        <v>0</v>
      </c>
      <c r="AG750" s="614">
        <f t="shared" si="892"/>
        <v>1.2504339550527652E-3</v>
      </c>
      <c r="AH750" s="199">
        <f t="shared" si="936"/>
        <v>12377.494042196537</v>
      </c>
      <c r="AI750" s="252">
        <f t="shared" si="875"/>
        <v>9.5886570971369866E-4</v>
      </c>
      <c r="AJ750" s="199">
        <f t="shared" si="876"/>
        <v>40845.73033924857</v>
      </c>
      <c r="AK750" s="199">
        <f t="shared" si="906"/>
        <v>9901.9952337572304</v>
      </c>
      <c r="AL750" s="199">
        <f t="shared" si="907"/>
        <v>9901.9952337572304</v>
      </c>
      <c r="AM750" s="199">
        <f t="shared" si="877"/>
        <v>19803.990467514461</v>
      </c>
      <c r="AN750" s="645">
        <f t="shared" si="878"/>
        <v>9.5886570971369877E-4</v>
      </c>
      <c r="AO750" s="199">
        <v>11</v>
      </c>
      <c r="AP750" s="250">
        <f t="shared" si="879"/>
        <v>1.2498579706851495E-3</v>
      </c>
      <c r="AQ750" s="199">
        <v>11</v>
      </c>
      <c r="AU750" s="199">
        <v>0</v>
      </c>
      <c r="AW750" s="250">
        <f t="shared" si="880"/>
        <v>0</v>
      </c>
      <c r="AX750" s="199">
        <v>1</v>
      </c>
      <c r="AY750" s="199">
        <f t="shared" si="925"/>
        <v>16617.006851035654</v>
      </c>
      <c r="AZ750" s="199">
        <f t="shared" si="881"/>
        <v>16617.006851035654</v>
      </c>
      <c r="BA750" s="252">
        <f t="shared" si="882"/>
        <v>1.3062045714260738E-3</v>
      </c>
      <c r="BB750" s="284">
        <v>0</v>
      </c>
      <c r="BC750" s="199">
        <f t="shared" si="926"/>
        <v>0</v>
      </c>
      <c r="BD750" s="270">
        <f t="shared" si="911"/>
        <v>0</v>
      </c>
      <c r="BE750" s="199">
        <f t="shared" si="927"/>
        <v>0</v>
      </c>
      <c r="BF750" s="251">
        <f t="shared" si="912"/>
        <v>0</v>
      </c>
      <c r="BG750" s="204">
        <f t="shared" si="928"/>
        <v>0</v>
      </c>
      <c r="BH750" s="636">
        <v>1</v>
      </c>
      <c r="BI750" s="199">
        <f t="shared" si="883"/>
        <v>75750.263538242798</v>
      </c>
      <c r="BJ750" s="199">
        <f t="shared" si="884"/>
        <v>151500.5270764856</v>
      </c>
      <c r="BK750" s="199">
        <f t="shared" si="891"/>
        <v>227250.79061472841</v>
      </c>
      <c r="BL750" s="251">
        <f t="shared" si="885"/>
        <v>9.5886570971369866E-4</v>
      </c>
      <c r="BM750" s="199">
        <f t="shared" si="929"/>
        <v>21392.37729276008</v>
      </c>
      <c r="BN750" s="251">
        <f t="shared" si="886"/>
        <v>9.2378938063243047E-4</v>
      </c>
      <c r="BT750" s="199">
        <f>'Detailed Budget'!$AD$12</f>
        <v>194045122715</v>
      </c>
      <c r="BU750" s="199">
        <f>'Detailed Budget'!$AD$24</f>
        <v>194045122715</v>
      </c>
      <c r="BV750" s="596">
        <f t="shared" si="930"/>
        <v>0</v>
      </c>
      <c r="BW750" s="278"/>
      <c r="BX750" s="275">
        <f t="shared" si="868"/>
        <v>0</v>
      </c>
      <c r="BY750" s="275">
        <f t="shared" si="869"/>
        <v>0</v>
      </c>
      <c r="CA750" s="199">
        <f>'Detailed Budget'!$AD$96</f>
        <v>71050111380.677719</v>
      </c>
      <c r="CB750" s="275">
        <f t="shared" si="887"/>
        <v>92805980.285772949</v>
      </c>
      <c r="CE750" s="199">
        <f>'Detailed Budget'!$AD$175</f>
        <v>4330586076.5988197</v>
      </c>
      <c r="CF750" s="275">
        <f t="shared" si="931"/>
        <v>0</v>
      </c>
      <c r="CG750" s="199">
        <f>'Detailed Budget'!$AD$176</f>
        <v>20662817754.37001</v>
      </c>
      <c r="CH750" s="275">
        <f t="shared" si="932"/>
        <v>0</v>
      </c>
      <c r="CI750" s="275">
        <f t="shared" si="910"/>
        <v>0</v>
      </c>
      <c r="CJ750" s="275">
        <f>'Detailed Budget'!$AD$178</f>
        <v>46025131033.061455</v>
      </c>
      <c r="CK750" s="275">
        <f t="shared" si="933"/>
        <v>0</v>
      </c>
      <c r="CL750" s="275">
        <f t="shared" si="909"/>
        <v>0</v>
      </c>
      <c r="CM750" s="278">
        <f>'Detailed Budget'!$AD$189</f>
        <v>77498869683.252869</v>
      </c>
      <c r="CN750" s="275">
        <f t="shared" si="888"/>
        <v>74311008.680841714</v>
      </c>
      <c r="CO750" s="140">
        <f>'Detailed Budget'!$AD$191</f>
        <v>2684962805.4134097</v>
      </c>
      <c r="CP750" s="616">
        <f t="shared" si="889"/>
        <v>2574518.7659676126</v>
      </c>
      <c r="CQ750" s="616">
        <f t="shared" si="890"/>
        <v>76885527.446809322</v>
      </c>
      <c r="CR750" s="199">
        <f>'Detailed Budget'!$AD$195</f>
        <v>18734176418</v>
      </c>
      <c r="CS750" s="275">
        <f t="shared" si="934"/>
        <v>17306433.229842905</v>
      </c>
      <c r="CW750" s="278"/>
      <c r="DH750" s="140">
        <f>'Detailed Budget'!$AD$163</f>
        <v>4928560000</v>
      </c>
      <c r="DI750" s="616">
        <f t="shared" si="935"/>
        <v>6160000</v>
      </c>
    </row>
    <row r="751" spans="1:113" outlineLevel="1">
      <c r="A751" s="214" t="s">
        <v>1550</v>
      </c>
      <c r="B751" s="215" t="s">
        <v>1551</v>
      </c>
      <c r="C751" s="216" t="s">
        <v>234</v>
      </c>
      <c r="D751" s="217"/>
      <c r="E751" s="216"/>
      <c r="F751" s="216"/>
      <c r="G751" s="216" t="s">
        <v>234</v>
      </c>
      <c r="H751" s="216" t="s">
        <v>234</v>
      </c>
      <c r="I751" s="217" t="s">
        <v>234</v>
      </c>
      <c r="J751" s="217"/>
      <c r="K751" s="216"/>
      <c r="L751" s="216"/>
      <c r="M751" s="217"/>
      <c r="N751" s="216" t="s">
        <v>234</v>
      </c>
      <c r="O751" s="217"/>
      <c r="P751" s="216"/>
      <c r="Q751" s="217"/>
      <c r="R751" s="217" t="s">
        <v>234</v>
      </c>
      <c r="S751" s="217"/>
      <c r="T751" s="217"/>
      <c r="U751" s="218">
        <f t="shared" si="924"/>
        <v>6</v>
      </c>
      <c r="V751" s="867" t="s">
        <v>235</v>
      </c>
      <c r="W751" s="219">
        <v>165087</v>
      </c>
      <c r="X751" s="220">
        <v>3.11</v>
      </c>
      <c r="Y751" s="221">
        <f t="shared" si="870"/>
        <v>1.0310999999999999</v>
      </c>
      <c r="Z751" s="199">
        <v>19</v>
      </c>
      <c r="AA751" s="221">
        <f t="shared" si="871"/>
        <v>1.7894309732827145</v>
      </c>
      <c r="AB751" s="199">
        <f t="shared" si="922"/>
        <v>295411.7910863235</v>
      </c>
      <c r="AC751">
        <v>11.5</v>
      </c>
      <c r="AD751" s="199">
        <f t="shared" si="923"/>
        <v>33972.355974927203</v>
      </c>
      <c r="AE751" s="199">
        <f t="shared" si="872"/>
        <v>32273.738176180839</v>
      </c>
      <c r="AF751" s="199">
        <f t="shared" si="893"/>
        <v>0</v>
      </c>
      <c r="AG751" s="614">
        <f t="shared" si="892"/>
        <v>1.4921959689012279E-3</v>
      </c>
      <c r="AH751" s="199">
        <f t="shared" si="936"/>
        <v>14770.589554316175</v>
      </c>
      <c r="AI751" s="252">
        <f t="shared" si="875"/>
        <v>1.1442551931437428E-3</v>
      </c>
      <c r="AJ751" s="199">
        <f t="shared" si="876"/>
        <v>48742.945529243378</v>
      </c>
      <c r="AK751" s="199">
        <f t="shared" si="906"/>
        <v>11816.47164345294</v>
      </c>
      <c r="AL751" s="199">
        <f t="shared" si="907"/>
        <v>11816.47164345294</v>
      </c>
      <c r="AM751" s="199">
        <f t="shared" si="877"/>
        <v>23632.94328690588</v>
      </c>
      <c r="AN751" s="645">
        <f t="shared" si="878"/>
        <v>1.1442551931437428E-3</v>
      </c>
      <c r="AO751" s="199">
        <v>11</v>
      </c>
      <c r="AP751" s="250">
        <f t="shared" si="879"/>
        <v>1.2498579706851495E-3</v>
      </c>
      <c r="AQ751" s="199">
        <v>11</v>
      </c>
      <c r="AU751" s="199">
        <v>0</v>
      </c>
      <c r="AW751" s="250">
        <f t="shared" si="880"/>
        <v>0</v>
      </c>
      <c r="AX751" s="199">
        <v>1</v>
      </c>
      <c r="AY751" s="199">
        <f t="shared" si="925"/>
        <v>19829.780323962143</v>
      </c>
      <c r="AZ751" s="199">
        <f t="shared" si="881"/>
        <v>19829.780323962143</v>
      </c>
      <c r="BA751" s="252">
        <f t="shared" si="882"/>
        <v>1.5587494150861372E-3</v>
      </c>
      <c r="BB751" s="284">
        <v>0</v>
      </c>
      <c r="BC751" s="199">
        <f t="shared" si="926"/>
        <v>0</v>
      </c>
      <c r="BD751" s="270">
        <f t="shared" si="911"/>
        <v>0</v>
      </c>
      <c r="BE751" s="199">
        <f t="shared" si="927"/>
        <v>0</v>
      </c>
      <c r="BF751" s="251">
        <f t="shared" si="912"/>
        <v>0</v>
      </c>
      <c r="BG751" s="204">
        <f t="shared" si="928"/>
        <v>0</v>
      </c>
      <c r="BH751" s="636">
        <v>1</v>
      </c>
      <c r="BI751" s="199">
        <f t="shared" si="883"/>
        <v>90396.008072414988</v>
      </c>
      <c r="BJ751" s="199">
        <f t="shared" si="884"/>
        <v>180792.01614482998</v>
      </c>
      <c r="BK751" s="199">
        <f t="shared" si="891"/>
        <v>271188.02421724494</v>
      </c>
      <c r="BL751" s="251">
        <f t="shared" si="885"/>
        <v>1.1442551931437426E-3</v>
      </c>
      <c r="BM751" s="199">
        <f t="shared" si="929"/>
        <v>25528.432775263002</v>
      </c>
      <c r="BN751" s="251">
        <f t="shared" si="886"/>
        <v>1.1023971192747294E-3</v>
      </c>
      <c r="BT751" s="199">
        <f>'Detailed Budget'!$AD$12</f>
        <v>194045122715</v>
      </c>
      <c r="BU751" s="199">
        <f>'Detailed Budget'!$AD$24</f>
        <v>194045122715</v>
      </c>
      <c r="BV751" s="596">
        <f t="shared" si="930"/>
        <v>0</v>
      </c>
      <c r="BW751" s="278"/>
      <c r="BX751" s="275">
        <f t="shared" si="868"/>
        <v>0</v>
      </c>
      <c r="BY751" s="275">
        <f t="shared" si="869"/>
        <v>0</v>
      </c>
      <c r="CA751" s="199">
        <f>'Detailed Budget'!$AD$96</f>
        <v>71050111380.677719</v>
      </c>
      <c r="CB751" s="275">
        <f t="shared" si="887"/>
        <v>110749319.5564363</v>
      </c>
      <c r="CE751" s="199">
        <f>'Detailed Budget'!$AD$175</f>
        <v>4330586076.5988197</v>
      </c>
      <c r="CF751" s="275">
        <f t="shared" si="931"/>
        <v>0</v>
      </c>
      <c r="CG751" s="199">
        <f>'Detailed Budget'!$AD$176</f>
        <v>20662817754.37001</v>
      </c>
      <c r="CH751" s="275">
        <f t="shared" si="932"/>
        <v>0</v>
      </c>
      <c r="CI751" s="275">
        <f t="shared" si="910"/>
        <v>0</v>
      </c>
      <c r="CJ751" s="275">
        <f>'Detailed Budget'!$AD$178</f>
        <v>46025131033.061455</v>
      </c>
      <c r="CK751" s="275">
        <f t="shared" si="933"/>
        <v>0</v>
      </c>
      <c r="CL751" s="275">
        <f t="shared" si="909"/>
        <v>0</v>
      </c>
      <c r="CM751" s="278">
        <f>'Detailed Budget'!$AD$189</f>
        <v>77498869683.252869</v>
      </c>
      <c r="CN751" s="275">
        <f t="shared" si="888"/>
        <v>88678484.097832248</v>
      </c>
      <c r="CO751" s="140">
        <f>'Detailed Budget'!$AD$191</f>
        <v>2684962805.4134097</v>
      </c>
      <c r="CP751" s="616">
        <f t="shared" si="889"/>
        <v>3072282.6334920865</v>
      </c>
      <c r="CQ751" s="616">
        <f t="shared" si="890"/>
        <v>91750766.73132433</v>
      </c>
      <c r="CR751" s="199">
        <f>'Detailed Budget'!$AD$195</f>
        <v>18734176418</v>
      </c>
      <c r="CS751" s="275">
        <f t="shared" si="934"/>
        <v>20652502.115187768</v>
      </c>
      <c r="CW751" s="278"/>
      <c r="DH751" s="140">
        <f>'Detailed Budget'!$AD$163</f>
        <v>4928560000</v>
      </c>
      <c r="DI751" s="616">
        <f t="shared" si="935"/>
        <v>6160000</v>
      </c>
    </row>
    <row r="752" spans="1:113" outlineLevel="1">
      <c r="A752" s="214" t="s">
        <v>1552</v>
      </c>
      <c r="B752" s="215" t="s">
        <v>1553</v>
      </c>
      <c r="C752" s="216" t="s">
        <v>234</v>
      </c>
      <c r="D752" s="217"/>
      <c r="E752" s="216"/>
      <c r="F752" s="216"/>
      <c r="G752" s="216" t="s">
        <v>234</v>
      </c>
      <c r="H752" s="216" t="s">
        <v>234</v>
      </c>
      <c r="I752" s="217" t="s">
        <v>234</v>
      </c>
      <c r="J752" s="217"/>
      <c r="K752" s="216"/>
      <c r="L752" s="216"/>
      <c r="M752" s="217"/>
      <c r="N752" s="216" t="s">
        <v>234</v>
      </c>
      <c r="O752" s="217"/>
      <c r="P752" s="216"/>
      <c r="Q752" s="217"/>
      <c r="R752" s="217" t="s">
        <v>234</v>
      </c>
      <c r="S752" s="217"/>
      <c r="T752" s="217"/>
      <c r="U752" s="218">
        <f t="shared" si="924"/>
        <v>6</v>
      </c>
      <c r="V752" s="867" t="s">
        <v>235</v>
      </c>
      <c r="W752" s="219">
        <v>179600</v>
      </c>
      <c r="X752" s="220">
        <v>3.11</v>
      </c>
      <c r="Y752" s="221">
        <f t="shared" si="870"/>
        <v>1.0310999999999999</v>
      </c>
      <c r="Z752" s="199">
        <v>19</v>
      </c>
      <c r="AA752" s="221">
        <f t="shared" si="871"/>
        <v>1.7894309732827145</v>
      </c>
      <c r="AB752" s="199">
        <f t="shared" si="922"/>
        <v>321381.80280157551</v>
      </c>
      <c r="AC752">
        <v>11.5</v>
      </c>
      <c r="AD752" s="199">
        <f t="shared" si="923"/>
        <v>36958.907322181185</v>
      </c>
      <c r="AE752" s="199">
        <f t="shared" si="872"/>
        <v>35110.961956072126</v>
      </c>
      <c r="AF752" s="199">
        <f t="shared" si="893"/>
        <v>0</v>
      </c>
      <c r="AG752" s="614">
        <f t="shared" si="892"/>
        <v>1.6233767408376221E-3</v>
      </c>
      <c r="AH752" s="199">
        <f t="shared" si="936"/>
        <v>16069.090140078777</v>
      </c>
      <c r="AI752" s="252">
        <f t="shared" si="875"/>
        <v>1.244848066102214E-3</v>
      </c>
      <c r="AJ752" s="199">
        <f t="shared" si="876"/>
        <v>53027.997462259962</v>
      </c>
      <c r="AK752" s="199">
        <f t="shared" si="906"/>
        <v>12855.272112063021</v>
      </c>
      <c r="AL752" s="199">
        <f t="shared" si="907"/>
        <v>12855.272112063021</v>
      </c>
      <c r="AM752" s="199">
        <f t="shared" si="877"/>
        <v>25710.544224126043</v>
      </c>
      <c r="AN752" s="645">
        <f t="shared" si="878"/>
        <v>1.244848066102214E-3</v>
      </c>
      <c r="AO752" s="199">
        <v>10</v>
      </c>
      <c r="AP752" s="250">
        <f t="shared" si="879"/>
        <v>1.1362345188046814E-3</v>
      </c>
      <c r="AQ752" s="199">
        <v>10</v>
      </c>
      <c r="AU752" s="199">
        <v>0</v>
      </c>
      <c r="AW752" s="250">
        <f t="shared" si="880"/>
        <v>0</v>
      </c>
      <c r="AX752" s="199">
        <v>1</v>
      </c>
      <c r="AY752" s="199">
        <f t="shared" si="925"/>
        <v>21573.040555486506</v>
      </c>
      <c r="AZ752" s="199">
        <f t="shared" si="881"/>
        <v>21573.040555486506</v>
      </c>
      <c r="BA752" s="252">
        <f t="shared" si="882"/>
        <v>1.6957809818427269E-3</v>
      </c>
      <c r="BB752" s="284">
        <v>0</v>
      </c>
      <c r="BC752" s="199">
        <f t="shared" si="926"/>
        <v>0</v>
      </c>
      <c r="BD752" s="270">
        <f t="shared" si="911"/>
        <v>0</v>
      </c>
      <c r="BE752" s="199">
        <f t="shared" si="927"/>
        <v>0</v>
      </c>
      <c r="BF752" s="251">
        <f t="shared" si="912"/>
        <v>0</v>
      </c>
      <c r="BG752" s="204">
        <f t="shared" si="928"/>
        <v>0</v>
      </c>
      <c r="BH752" s="636">
        <v>1</v>
      </c>
      <c r="BI752" s="199">
        <f t="shared" si="883"/>
        <v>98342.831657282106</v>
      </c>
      <c r="BJ752" s="199">
        <f t="shared" si="884"/>
        <v>196685.66331456421</v>
      </c>
      <c r="BK752" s="199">
        <f t="shared" si="891"/>
        <v>295028.49497184635</v>
      </c>
      <c r="BL752" s="251">
        <f t="shared" si="885"/>
        <v>1.244848066102214E-3</v>
      </c>
      <c r="BM752" s="199">
        <f t="shared" si="929"/>
        <v>27772.668510768475</v>
      </c>
      <c r="BN752" s="251">
        <f t="shared" si="886"/>
        <v>1.1993101977850551E-3</v>
      </c>
      <c r="BT752" s="199">
        <f>'Detailed Budget'!$AD$12</f>
        <v>194045122715</v>
      </c>
      <c r="BU752" s="199">
        <f>'Detailed Budget'!$AD$24</f>
        <v>194045122715</v>
      </c>
      <c r="BV752" s="596">
        <f t="shared" si="930"/>
        <v>0</v>
      </c>
      <c r="BW752" s="278"/>
      <c r="BX752" s="275">
        <f t="shared" si="868"/>
        <v>0</v>
      </c>
      <c r="BY752" s="275">
        <f t="shared" si="869"/>
        <v>0</v>
      </c>
      <c r="CA752" s="199">
        <f>'Detailed Budget'!$AD$96</f>
        <v>71050111380.677719</v>
      </c>
      <c r="CB752" s="275">
        <f t="shared" si="887"/>
        <v>120485427.63716076</v>
      </c>
      <c r="CE752" s="199">
        <f>'Detailed Budget'!$AD$175</f>
        <v>4330586076.5988197</v>
      </c>
      <c r="CF752" s="275">
        <f t="shared" si="931"/>
        <v>0</v>
      </c>
      <c r="CG752" s="199">
        <f>'Detailed Budget'!$AD$176</f>
        <v>20662817754.37001</v>
      </c>
      <c r="CH752" s="275">
        <f t="shared" si="932"/>
        <v>0</v>
      </c>
      <c r="CI752" s="275">
        <f t="shared" si="910"/>
        <v>0</v>
      </c>
      <c r="CJ752" s="275">
        <f>'Detailed Budget'!$AD$178</f>
        <v>46025131033.061455</v>
      </c>
      <c r="CK752" s="275">
        <f t="shared" si="933"/>
        <v>0</v>
      </c>
      <c r="CL752" s="275">
        <f t="shared" si="909"/>
        <v>0</v>
      </c>
      <c r="CM752" s="278">
        <f>'Detailed Budget'!$AD$189</f>
        <v>77498869683.252869</v>
      </c>
      <c r="CN752" s="275">
        <f t="shared" si="888"/>
        <v>96474318.05030483</v>
      </c>
      <c r="CO752" s="140">
        <f>'Detailed Budget'!$AD$191</f>
        <v>2684962805.4134097</v>
      </c>
      <c r="CP752" s="616">
        <f t="shared" si="889"/>
        <v>3342370.7558752582</v>
      </c>
      <c r="CQ752" s="616">
        <f t="shared" si="890"/>
        <v>99816688.80618009</v>
      </c>
      <c r="CR752" s="199">
        <f>'Detailed Budget'!$AD$195</f>
        <v>18734176418</v>
      </c>
      <c r="CS752" s="275">
        <f t="shared" si="934"/>
        <v>22468088.825211696</v>
      </c>
      <c r="CW752" s="278"/>
      <c r="DH752" s="140">
        <f>'Detailed Budget'!$AD$163</f>
        <v>4928560000</v>
      </c>
      <c r="DI752" s="616">
        <f t="shared" si="935"/>
        <v>5600000</v>
      </c>
    </row>
    <row r="753" spans="1:113" outlineLevel="1">
      <c r="A753" s="214" t="s">
        <v>1554</v>
      </c>
      <c r="B753" s="215" t="s">
        <v>1555</v>
      </c>
      <c r="C753" s="216" t="s">
        <v>234</v>
      </c>
      <c r="D753" s="217"/>
      <c r="E753" s="216"/>
      <c r="F753" s="216"/>
      <c r="G753" s="216" t="s">
        <v>234</v>
      </c>
      <c r="H753" s="216" t="s">
        <v>234</v>
      </c>
      <c r="I753" s="217" t="s">
        <v>234</v>
      </c>
      <c r="J753" s="217"/>
      <c r="K753" s="216"/>
      <c r="L753" s="216"/>
      <c r="M753" s="217"/>
      <c r="N753" s="216" t="s">
        <v>234</v>
      </c>
      <c r="O753" s="217"/>
      <c r="P753" s="216"/>
      <c r="Q753" s="217"/>
      <c r="R753" s="217" t="s">
        <v>234</v>
      </c>
      <c r="S753" s="217"/>
      <c r="T753" s="217"/>
      <c r="U753" s="218">
        <f t="shared" si="924"/>
        <v>6</v>
      </c>
      <c r="V753" s="867" t="s">
        <v>235</v>
      </c>
      <c r="W753" s="219">
        <v>94264</v>
      </c>
      <c r="X753" s="220">
        <v>3.11</v>
      </c>
      <c r="Y753" s="221">
        <f t="shared" si="870"/>
        <v>1.0310999999999999</v>
      </c>
      <c r="Z753" s="199">
        <v>19</v>
      </c>
      <c r="AA753" s="221">
        <f t="shared" si="871"/>
        <v>1.7894309732827145</v>
      </c>
      <c r="AB753" s="199">
        <f t="shared" si="922"/>
        <v>168678.92126552179</v>
      </c>
      <c r="AC753">
        <v>11.5</v>
      </c>
      <c r="AD753" s="199">
        <f t="shared" si="923"/>
        <v>19398.075945535005</v>
      </c>
      <c r="AE753" s="199">
        <f t="shared" si="872"/>
        <v>18428.172148258254</v>
      </c>
      <c r="AF753" s="199">
        <f t="shared" si="893"/>
        <v>0</v>
      </c>
      <c r="AG753" s="614">
        <f t="shared" si="892"/>
        <v>8.5203777894386193E-4</v>
      </c>
      <c r="AH753" s="199">
        <f t="shared" si="936"/>
        <v>8433.9460632760893</v>
      </c>
      <c r="AI753" s="252">
        <f t="shared" si="875"/>
        <v>6.5336502284554061E-4</v>
      </c>
      <c r="AJ753" s="199">
        <f t="shared" si="876"/>
        <v>27832.022008811095</v>
      </c>
      <c r="AK753" s="199">
        <f t="shared" si="906"/>
        <v>6747.1568506208714</v>
      </c>
      <c r="AL753" s="199">
        <f t="shared" si="907"/>
        <v>6747.1568506208714</v>
      </c>
      <c r="AM753" s="199">
        <f t="shared" si="877"/>
        <v>13494.313701241743</v>
      </c>
      <c r="AN753" s="645">
        <f t="shared" si="878"/>
        <v>6.5336502284554061E-4</v>
      </c>
      <c r="AO753" s="199">
        <v>10</v>
      </c>
      <c r="AP753" s="250">
        <f t="shared" si="879"/>
        <v>1.1362345188046814E-3</v>
      </c>
      <c r="AQ753" s="199">
        <v>10</v>
      </c>
      <c r="AU753" s="199">
        <v>0</v>
      </c>
      <c r="AW753" s="250">
        <f t="shared" si="880"/>
        <v>0</v>
      </c>
      <c r="AX753" s="199">
        <v>1</v>
      </c>
      <c r="AY753" s="199">
        <f t="shared" si="925"/>
        <v>11322.723245670266</v>
      </c>
      <c r="AZ753" s="199">
        <f t="shared" si="881"/>
        <v>11322.723245670266</v>
      </c>
      <c r="BA753" s="252">
        <f t="shared" si="882"/>
        <v>8.9003952378854554E-4</v>
      </c>
      <c r="BB753" s="284">
        <v>0</v>
      </c>
      <c r="BC753" s="199">
        <f t="shared" si="926"/>
        <v>0</v>
      </c>
      <c r="BD753" s="270">
        <f t="shared" si="911"/>
        <v>0</v>
      </c>
      <c r="BE753" s="199">
        <f t="shared" si="927"/>
        <v>0</v>
      </c>
      <c r="BF753" s="251">
        <f t="shared" si="912"/>
        <v>0</v>
      </c>
      <c r="BG753" s="204">
        <f t="shared" si="928"/>
        <v>0</v>
      </c>
      <c r="BH753" s="636">
        <v>1</v>
      </c>
      <c r="BI753" s="199">
        <f t="shared" si="883"/>
        <v>51615.749907249658</v>
      </c>
      <c r="BJ753" s="199">
        <f t="shared" si="884"/>
        <v>103231.49981449932</v>
      </c>
      <c r="BK753" s="199">
        <f t="shared" si="891"/>
        <v>154847.24972174899</v>
      </c>
      <c r="BL753" s="251">
        <f t="shared" si="885"/>
        <v>6.533650228455405E-4</v>
      </c>
      <c r="BM753" s="199">
        <f t="shared" si="929"/>
        <v>14576.630425941419</v>
      </c>
      <c r="BN753" s="251">
        <f t="shared" si="886"/>
        <v>6.2946423432077062E-4</v>
      </c>
      <c r="BT753" s="199">
        <f>'Detailed Budget'!$AD$12</f>
        <v>194045122715</v>
      </c>
      <c r="BU753" s="199">
        <f>'Detailed Budget'!$AD$24</f>
        <v>194045122715</v>
      </c>
      <c r="BV753" s="596">
        <f t="shared" si="930"/>
        <v>0</v>
      </c>
      <c r="BW753" s="278"/>
      <c r="BX753" s="275">
        <f t="shared" si="868"/>
        <v>0</v>
      </c>
      <c r="BY753" s="275">
        <f t="shared" si="869"/>
        <v>0</v>
      </c>
      <c r="CA753" s="199">
        <f>'Detailed Budget'!$AD$96</f>
        <v>71050111380.677719</v>
      </c>
      <c r="CB753" s="275">
        <f t="shared" si="887"/>
        <v>63237407.298381515</v>
      </c>
      <c r="CE753" s="199">
        <f>'Detailed Budget'!$AD$175</f>
        <v>4330586076.5988197</v>
      </c>
      <c r="CF753" s="275">
        <f t="shared" si="931"/>
        <v>0</v>
      </c>
      <c r="CG753" s="199">
        <f>'Detailed Budget'!$AD$176</f>
        <v>20662817754.37001</v>
      </c>
      <c r="CH753" s="275">
        <f t="shared" si="932"/>
        <v>0</v>
      </c>
      <c r="CI753" s="275">
        <f t="shared" si="910"/>
        <v>0</v>
      </c>
      <c r="CJ753" s="275">
        <f>'Detailed Budget'!$AD$178</f>
        <v>46025131033.061455</v>
      </c>
      <c r="CK753" s="275">
        <f t="shared" si="933"/>
        <v>0</v>
      </c>
      <c r="CL753" s="275">
        <f t="shared" si="909"/>
        <v>0</v>
      </c>
      <c r="CM753" s="278">
        <f>'Detailed Budget'!$AD$189</f>
        <v>77498869683.252869</v>
      </c>
      <c r="CN753" s="275">
        <f t="shared" si="888"/>
        <v>50635050.761102073</v>
      </c>
      <c r="CO753" s="140">
        <f>'Detailed Budget'!$AD$191</f>
        <v>2684962805.4134097</v>
      </c>
      <c r="CP753" s="616">
        <f t="shared" si="889"/>
        <v>1754260.7846983592</v>
      </c>
      <c r="CQ753" s="616">
        <f t="shared" si="890"/>
        <v>52389311.545800433</v>
      </c>
      <c r="CR753" s="199">
        <f>'Detailed Budget'!$AD$195</f>
        <v>18734176418</v>
      </c>
      <c r="CS753" s="275">
        <f t="shared" si="934"/>
        <v>11792494.014586607</v>
      </c>
      <c r="CW753" s="278"/>
      <c r="DH753" s="140">
        <f>'Detailed Budget'!$AD$163</f>
        <v>4928560000</v>
      </c>
      <c r="DI753" s="616">
        <f t="shared" si="935"/>
        <v>5600000</v>
      </c>
    </row>
    <row r="754" spans="1:113" outlineLevel="1">
      <c r="A754" s="214" t="s">
        <v>1556</v>
      </c>
      <c r="B754" s="215" t="s">
        <v>1557</v>
      </c>
      <c r="C754" s="216" t="s">
        <v>234</v>
      </c>
      <c r="D754" s="217"/>
      <c r="E754" s="216"/>
      <c r="F754" s="216"/>
      <c r="G754" s="216" t="s">
        <v>234</v>
      </c>
      <c r="H754" s="216" t="s">
        <v>234</v>
      </c>
      <c r="I754" s="217" t="s">
        <v>234</v>
      </c>
      <c r="J754" s="217"/>
      <c r="K754" s="216"/>
      <c r="L754" s="216"/>
      <c r="M754" s="217"/>
      <c r="N754" s="216"/>
      <c r="O754" s="217" t="s">
        <v>234</v>
      </c>
      <c r="P754" s="216"/>
      <c r="Q754" s="217"/>
      <c r="R754" s="217" t="s">
        <v>234</v>
      </c>
      <c r="S754" s="217"/>
      <c r="T754" s="217"/>
      <c r="U754" s="218">
        <f t="shared" si="924"/>
        <v>6</v>
      </c>
      <c r="V754" s="867" t="s">
        <v>235</v>
      </c>
      <c r="W754" s="219">
        <v>160001</v>
      </c>
      <c r="X754" s="220">
        <v>3.11</v>
      </c>
      <c r="Y754" s="221">
        <f t="shared" si="870"/>
        <v>1.0310999999999999</v>
      </c>
      <c r="Z754" s="199">
        <v>19</v>
      </c>
      <c r="AA754" s="221">
        <f t="shared" si="871"/>
        <v>1.7894309732827145</v>
      </c>
      <c r="AB754" s="199">
        <f t="shared" si="922"/>
        <v>286310.74515620759</v>
      </c>
      <c r="AC754">
        <v>11.5</v>
      </c>
      <c r="AD754" s="199">
        <f t="shared" si="923"/>
        <v>32925.73569296387</v>
      </c>
      <c r="AE754" s="199">
        <f t="shared" si="872"/>
        <v>31279.448908315673</v>
      </c>
      <c r="AF754" s="199">
        <f t="shared" si="893"/>
        <v>0</v>
      </c>
      <c r="AG754" s="614">
        <f t="shared" si="892"/>
        <v>1.4462243981668169E-3</v>
      </c>
      <c r="AH754" s="199">
        <f t="shared" si="936"/>
        <v>14315.53725781038</v>
      </c>
      <c r="AI754" s="252">
        <f t="shared" si="875"/>
        <v>1.1090029812050131E-3</v>
      </c>
      <c r="AJ754" s="199">
        <f t="shared" si="876"/>
        <v>47241.272950774248</v>
      </c>
      <c r="AK754" s="199">
        <f t="shared" si="906"/>
        <v>11452.429806248303</v>
      </c>
      <c r="AL754" s="199">
        <f t="shared" si="907"/>
        <v>11452.429806248303</v>
      </c>
      <c r="AM754" s="199">
        <f t="shared" si="877"/>
        <v>22904.859612496606</v>
      </c>
      <c r="AN754" s="645">
        <f t="shared" si="878"/>
        <v>1.1090029812050128E-3</v>
      </c>
      <c r="AO754" s="199">
        <v>11</v>
      </c>
      <c r="AP754" s="250">
        <f t="shared" si="879"/>
        <v>1.2498579706851495E-3</v>
      </c>
      <c r="AQ754" s="199">
        <v>11</v>
      </c>
      <c r="AU754" s="199">
        <v>0</v>
      </c>
      <c r="AW754" s="250">
        <f t="shared" si="880"/>
        <v>0</v>
      </c>
      <c r="AX754" s="199">
        <v>1</v>
      </c>
      <c r="AY754" s="199">
        <f t="shared" si="925"/>
        <v>19218.864487296192</v>
      </c>
      <c r="AZ754" s="199">
        <f t="shared" si="881"/>
        <v>19218.864487296192</v>
      </c>
      <c r="BA754" s="252">
        <f t="shared" si="882"/>
        <v>1.5107274659009917E-3</v>
      </c>
      <c r="BB754" s="284">
        <v>0</v>
      </c>
      <c r="BC754" s="199">
        <f t="shared" si="926"/>
        <v>0</v>
      </c>
      <c r="BD754" s="270">
        <f t="shared" si="911"/>
        <v>0</v>
      </c>
      <c r="BE754" s="199">
        <f t="shared" si="927"/>
        <v>0</v>
      </c>
      <c r="BF754" s="251">
        <f t="shared" si="912"/>
        <v>0</v>
      </c>
      <c r="BG754" s="204">
        <f t="shared" si="928"/>
        <v>0</v>
      </c>
      <c r="BH754" s="636">
        <v>1</v>
      </c>
      <c r="BI754" s="199">
        <f t="shared" si="883"/>
        <v>87611.088017799513</v>
      </c>
      <c r="BJ754" s="199">
        <f t="shared" si="884"/>
        <v>175222.17603559903</v>
      </c>
      <c r="BK754" s="199">
        <f t="shared" si="891"/>
        <v>262833.26405339851</v>
      </c>
      <c r="BL754" s="251">
        <f t="shared" si="885"/>
        <v>1.1090029812050126E-3</v>
      </c>
      <c r="BM754" s="199">
        <f t="shared" si="929"/>
        <v>24741.952864095027</v>
      </c>
      <c r="BN754" s="251">
        <f t="shared" si="886"/>
        <v>1.0684344708007049E-3</v>
      </c>
      <c r="BT754" s="199">
        <f>'Detailed Budget'!$AD$12</f>
        <v>194045122715</v>
      </c>
      <c r="BU754" s="199">
        <f>'Detailed Budget'!$AD$24</f>
        <v>194045122715</v>
      </c>
      <c r="BV754" s="596">
        <f t="shared" si="930"/>
        <v>0</v>
      </c>
      <c r="BW754" s="278"/>
      <c r="BX754" s="275">
        <f t="shared" si="868"/>
        <v>0</v>
      </c>
      <c r="BY754" s="275">
        <f t="shared" si="869"/>
        <v>0</v>
      </c>
      <c r="CA754" s="199">
        <f>'Detailed Budget'!$AD$96</f>
        <v>71050111380.677719</v>
      </c>
      <c r="CB754" s="275">
        <f t="shared" si="887"/>
        <v>107337354.71811447</v>
      </c>
      <c r="CE754" s="199">
        <f>'Detailed Budget'!$AD$175</f>
        <v>4330586076.5988197</v>
      </c>
      <c r="CF754" s="275">
        <f t="shared" si="931"/>
        <v>0</v>
      </c>
      <c r="CG754" s="199">
        <f>'Detailed Budget'!$AD$176</f>
        <v>20662817754.37001</v>
      </c>
      <c r="CH754" s="275">
        <f t="shared" si="932"/>
        <v>0</v>
      </c>
      <c r="CI754" s="275">
        <f t="shared" si="910"/>
        <v>0</v>
      </c>
      <c r="CJ754" s="275">
        <f>'Detailed Budget'!$AD$178</f>
        <v>46025131033.061455</v>
      </c>
      <c r="CK754" s="275">
        <f t="shared" si="933"/>
        <v>0</v>
      </c>
      <c r="CL754" s="275">
        <f t="shared" si="909"/>
        <v>0</v>
      </c>
      <c r="CM754" s="278">
        <f>'Detailed Budget'!$AD$189</f>
        <v>77498869683.252869</v>
      </c>
      <c r="CN754" s="275">
        <f t="shared" si="888"/>
        <v>85946477.518746197</v>
      </c>
      <c r="CO754" s="140">
        <f>'Detailed Budget'!$AD$191</f>
        <v>2684962805.4134097</v>
      </c>
      <c r="CP754" s="616">
        <f t="shared" si="889"/>
        <v>2977631.7556280461</v>
      </c>
      <c r="CQ754" s="616">
        <f t="shared" si="890"/>
        <v>88924109.274374247</v>
      </c>
      <c r="CR754" s="199">
        <f>'Detailed Budget'!$AD$195</f>
        <v>18734176418</v>
      </c>
      <c r="CS754" s="275">
        <f t="shared" si="934"/>
        <v>20016239.867052875</v>
      </c>
      <c r="CW754" s="278"/>
      <c r="DH754" s="140">
        <f>'Detailed Budget'!$AD$163</f>
        <v>4928560000</v>
      </c>
      <c r="DI754" s="616">
        <f t="shared" si="935"/>
        <v>6160000</v>
      </c>
    </row>
    <row r="755" spans="1:113" outlineLevel="1">
      <c r="A755" s="214" t="s">
        <v>1558</v>
      </c>
      <c r="B755" s="215" t="s">
        <v>1559</v>
      </c>
      <c r="C755" s="216" t="s">
        <v>234</v>
      </c>
      <c r="D755" s="217"/>
      <c r="E755" s="216"/>
      <c r="F755" s="216"/>
      <c r="G755" s="216" t="s">
        <v>234</v>
      </c>
      <c r="H755" s="216" t="s">
        <v>234</v>
      </c>
      <c r="I755" s="217" t="s">
        <v>234</v>
      </c>
      <c r="J755" s="217"/>
      <c r="K755" s="216"/>
      <c r="L755" s="216"/>
      <c r="M755" s="217"/>
      <c r="N755" s="216"/>
      <c r="O755" s="217" t="s">
        <v>234</v>
      </c>
      <c r="P755" s="216"/>
      <c r="Q755" s="217"/>
      <c r="R755" s="217" t="s">
        <v>234</v>
      </c>
      <c r="S755" s="217"/>
      <c r="T755" s="217"/>
      <c r="U755" s="218">
        <f t="shared" si="924"/>
        <v>6</v>
      </c>
      <c r="V755" s="867" t="s">
        <v>235</v>
      </c>
      <c r="W755" s="219">
        <v>221873</v>
      </c>
      <c r="X755" s="220">
        <v>3.11</v>
      </c>
      <c r="Y755" s="221">
        <f t="shared" si="870"/>
        <v>1.0310999999999999</v>
      </c>
      <c r="Z755" s="199">
        <v>19</v>
      </c>
      <c r="AA755" s="221">
        <f t="shared" si="871"/>
        <v>1.7894309732827145</v>
      </c>
      <c r="AB755" s="199">
        <f t="shared" si="922"/>
        <v>397026.4183351557</v>
      </c>
      <c r="AC755">
        <v>11.5</v>
      </c>
      <c r="AD755" s="199">
        <f t="shared" si="923"/>
        <v>45658.038108542904</v>
      </c>
      <c r="AE755" s="199">
        <f t="shared" si="872"/>
        <v>43375.136203115755</v>
      </c>
      <c r="AF755" s="199">
        <f t="shared" si="893"/>
        <v>0</v>
      </c>
      <c r="AG755" s="614">
        <f t="shared" si="892"/>
        <v>2.0054758776161786E-3</v>
      </c>
      <c r="AH755" s="199">
        <f t="shared" si="936"/>
        <v>19851.320916757788</v>
      </c>
      <c r="AI755" s="252">
        <f t="shared" si="875"/>
        <v>1.5378517537321633E-3</v>
      </c>
      <c r="AJ755" s="199">
        <f t="shared" si="876"/>
        <v>65509.359025300691</v>
      </c>
      <c r="AK755" s="199">
        <f t="shared" si="906"/>
        <v>15881.056733406229</v>
      </c>
      <c r="AL755" s="199">
        <f t="shared" si="907"/>
        <v>15881.056733406229</v>
      </c>
      <c r="AM755" s="199">
        <f t="shared" si="877"/>
        <v>31762.113466812458</v>
      </c>
      <c r="AN755" s="645">
        <f t="shared" si="878"/>
        <v>1.5378517537321633E-3</v>
      </c>
      <c r="AO755" s="199">
        <v>12</v>
      </c>
      <c r="AP755" s="250">
        <f t="shared" si="879"/>
        <v>1.3634814225656176E-3</v>
      </c>
      <c r="AQ755" s="199">
        <v>12</v>
      </c>
      <c r="AU755" s="199">
        <v>0</v>
      </c>
      <c r="AW755" s="250">
        <f t="shared" si="880"/>
        <v>0</v>
      </c>
      <c r="AX755" s="199">
        <v>1</v>
      </c>
      <c r="AY755" s="199">
        <f t="shared" si="925"/>
        <v>26650.752935230834</v>
      </c>
      <c r="AZ755" s="199">
        <f t="shared" si="881"/>
        <v>26650.752935230834</v>
      </c>
      <c r="BA755" s="252">
        <f t="shared" si="882"/>
        <v>2.0949221257482815E-3</v>
      </c>
      <c r="BB755" s="284">
        <v>0</v>
      </c>
      <c r="BC755" s="199">
        <f t="shared" si="926"/>
        <v>0</v>
      </c>
      <c r="BD755" s="270">
        <f t="shared" si="911"/>
        <v>0</v>
      </c>
      <c r="BE755" s="199">
        <f t="shared" si="927"/>
        <v>0</v>
      </c>
      <c r="BF755" s="251">
        <f t="shared" si="912"/>
        <v>0</v>
      </c>
      <c r="BG755" s="204">
        <f t="shared" si="928"/>
        <v>0</v>
      </c>
      <c r="BH755" s="636">
        <v>1</v>
      </c>
      <c r="BI755" s="199">
        <f t="shared" si="883"/>
        <v>121490.08401055765</v>
      </c>
      <c r="BJ755" s="199">
        <f t="shared" si="884"/>
        <v>242980.1680211153</v>
      </c>
      <c r="BK755" s="199">
        <f t="shared" si="891"/>
        <v>364470.25203167298</v>
      </c>
      <c r="BL755" s="251">
        <f t="shared" si="885"/>
        <v>1.5378517537321633E-3</v>
      </c>
      <c r="BM755" s="199">
        <f t="shared" si="929"/>
        <v>34309.606238806984</v>
      </c>
      <c r="BN755" s="251">
        <f t="shared" si="886"/>
        <v>1.4815954984029151E-3</v>
      </c>
      <c r="BT755" s="199">
        <f>'Detailed Budget'!$AD$12</f>
        <v>194045122715</v>
      </c>
      <c r="BU755" s="199">
        <f>'Detailed Budget'!$AD$24</f>
        <v>194045122715</v>
      </c>
      <c r="BV755" s="596">
        <f t="shared" si="930"/>
        <v>0</v>
      </c>
      <c r="BW755" s="278"/>
      <c r="BX755" s="275">
        <f t="shared" si="868"/>
        <v>0</v>
      </c>
      <c r="BY755" s="275">
        <f t="shared" si="869"/>
        <v>0</v>
      </c>
      <c r="CA755" s="199">
        <f>'Detailed Budget'!$AD$96</f>
        <v>71050111380.677719</v>
      </c>
      <c r="CB755" s="275">
        <f t="shared" si="887"/>
        <v>148844450.36826155</v>
      </c>
      <c r="CE755" s="199">
        <f>'Detailed Budget'!$AD$175</f>
        <v>4330586076.5988197</v>
      </c>
      <c r="CF755" s="275">
        <f t="shared" si="931"/>
        <v>0</v>
      </c>
      <c r="CG755" s="199">
        <f>'Detailed Budget'!$AD$176</f>
        <v>20662817754.37001</v>
      </c>
      <c r="CH755" s="275">
        <f t="shared" si="932"/>
        <v>0</v>
      </c>
      <c r="CI755" s="275">
        <f t="shared" si="910"/>
        <v>0</v>
      </c>
      <c r="CJ755" s="275">
        <f>'Detailed Budget'!$AD$178</f>
        <v>46025131033.061455</v>
      </c>
      <c r="CK755" s="275">
        <f t="shared" si="933"/>
        <v>0</v>
      </c>
      <c r="CL755" s="275">
        <f t="shared" si="909"/>
        <v>0</v>
      </c>
      <c r="CM755" s="278">
        <f>'Detailed Budget'!$AD$189</f>
        <v>77498869683.252869</v>
      </c>
      <c r="CN755" s="275">
        <f t="shared" si="888"/>
        <v>119181772.65465081</v>
      </c>
      <c r="CO755" s="140">
        <f>'Detailed Budget'!$AD$191</f>
        <v>2684962805.4134097</v>
      </c>
      <c r="CP755" s="616">
        <f t="shared" si="889"/>
        <v>4129074.7590106414</v>
      </c>
      <c r="CQ755" s="616">
        <f t="shared" si="890"/>
        <v>123310847.41366145</v>
      </c>
      <c r="CR755" s="199">
        <f>'Detailed Budget'!$AD$195</f>
        <v>18734176418</v>
      </c>
      <c r="CS755" s="275">
        <f t="shared" si="934"/>
        <v>27756471.447194848</v>
      </c>
      <c r="CW755" s="278"/>
      <c r="DH755" s="140">
        <f>'Detailed Budget'!$AD$163</f>
        <v>4928560000</v>
      </c>
      <c r="DI755" s="616">
        <f t="shared" si="935"/>
        <v>6720000</v>
      </c>
    </row>
    <row r="756" spans="1:113" outlineLevel="1">
      <c r="A756" s="214" t="s">
        <v>1560</v>
      </c>
      <c r="B756" s="215" t="s">
        <v>1561</v>
      </c>
      <c r="C756" s="216" t="s">
        <v>234</v>
      </c>
      <c r="D756" s="217"/>
      <c r="E756" s="216"/>
      <c r="F756" s="216"/>
      <c r="G756" s="216" t="s">
        <v>234</v>
      </c>
      <c r="H756" s="216" t="s">
        <v>234</v>
      </c>
      <c r="I756" s="217" t="s">
        <v>234</v>
      </c>
      <c r="J756" s="217"/>
      <c r="K756" s="216"/>
      <c r="L756" s="216"/>
      <c r="M756" s="217"/>
      <c r="N756" s="216" t="s">
        <v>234</v>
      </c>
      <c r="O756" s="217"/>
      <c r="P756" s="216"/>
      <c r="Q756" s="217"/>
      <c r="R756" s="217" t="s">
        <v>234</v>
      </c>
      <c r="S756" s="217"/>
      <c r="T756" s="217"/>
      <c r="U756" s="218">
        <f t="shared" si="924"/>
        <v>6</v>
      </c>
      <c r="V756" s="867" t="s">
        <v>235</v>
      </c>
      <c r="W756" s="219">
        <v>148558</v>
      </c>
      <c r="X756" s="220">
        <v>3.11</v>
      </c>
      <c r="Y756" s="221">
        <f t="shared" si="870"/>
        <v>1.0310999999999999</v>
      </c>
      <c r="Z756" s="199">
        <v>19</v>
      </c>
      <c r="AA756" s="221">
        <f t="shared" si="871"/>
        <v>1.7894309732827145</v>
      </c>
      <c r="AB756" s="199">
        <f t="shared" si="922"/>
        <v>265834.2865289335</v>
      </c>
      <c r="AC756">
        <v>11.5</v>
      </c>
      <c r="AD756" s="199">
        <f t="shared" si="923"/>
        <v>30570.942950827353</v>
      </c>
      <c r="AE756" s="199">
        <f t="shared" si="872"/>
        <v>29042.395803285985</v>
      </c>
      <c r="AF756" s="199">
        <f t="shared" si="893"/>
        <v>0</v>
      </c>
      <c r="AG756" s="614">
        <f t="shared" si="892"/>
        <v>1.3427928834373912E-3</v>
      </c>
      <c r="AH756" s="199">
        <f t="shared" si="936"/>
        <v>13291.714326446676</v>
      </c>
      <c r="AI756" s="252">
        <f t="shared" si="875"/>
        <v>1.0296889699555273E-3</v>
      </c>
      <c r="AJ756" s="199">
        <f t="shared" si="876"/>
        <v>43862.657277274033</v>
      </c>
      <c r="AK756" s="199">
        <f t="shared" si="906"/>
        <v>10633.37146115734</v>
      </c>
      <c r="AL756" s="199">
        <f t="shared" si="907"/>
        <v>10633.37146115734</v>
      </c>
      <c r="AM756" s="199">
        <f t="shared" si="877"/>
        <v>21266.742922314679</v>
      </c>
      <c r="AN756" s="645">
        <f t="shared" si="878"/>
        <v>1.0296889699555273E-3</v>
      </c>
      <c r="AO756" s="199">
        <v>11</v>
      </c>
      <c r="AP756" s="250">
        <f t="shared" si="879"/>
        <v>1.2498579706851495E-3</v>
      </c>
      <c r="AQ756" s="199">
        <v>11</v>
      </c>
      <c r="AU756" s="199">
        <v>0</v>
      </c>
      <c r="AW756" s="250">
        <f t="shared" si="880"/>
        <v>0</v>
      </c>
      <c r="AX756" s="199">
        <v>1</v>
      </c>
      <c r="AY756" s="199">
        <f t="shared" si="925"/>
        <v>17844.363913373967</v>
      </c>
      <c r="AZ756" s="199">
        <f t="shared" si="881"/>
        <v>17844.363913373967</v>
      </c>
      <c r="BA756" s="252">
        <f t="shared" si="882"/>
        <v>1.4026828012282395E-3</v>
      </c>
      <c r="BB756" s="284">
        <v>0</v>
      </c>
      <c r="BC756" s="199">
        <f t="shared" si="926"/>
        <v>0</v>
      </c>
      <c r="BD756" s="270">
        <f t="shared" si="911"/>
        <v>0</v>
      </c>
      <c r="BE756" s="199">
        <f t="shared" si="927"/>
        <v>0</v>
      </c>
      <c r="BF756" s="251">
        <f t="shared" si="912"/>
        <v>0</v>
      </c>
      <c r="BG756" s="204">
        <f t="shared" si="928"/>
        <v>0</v>
      </c>
      <c r="BH756" s="636">
        <v>1</v>
      </c>
      <c r="BI756" s="199">
        <f t="shared" si="883"/>
        <v>81345.291677853646</v>
      </c>
      <c r="BJ756" s="199">
        <f t="shared" si="884"/>
        <v>162690.58335570729</v>
      </c>
      <c r="BK756" s="199">
        <f t="shared" si="891"/>
        <v>244035.87503356094</v>
      </c>
      <c r="BL756" s="251">
        <f t="shared" si="885"/>
        <v>1.0296889699555273E-3</v>
      </c>
      <c r="BM756" s="199">
        <f t="shared" si="929"/>
        <v>22972.450382086539</v>
      </c>
      <c r="BN756" s="251">
        <f t="shared" si="886"/>
        <v>9.9202185057100322E-4</v>
      </c>
      <c r="BT756" s="199">
        <f>'Detailed Budget'!$AD$12</f>
        <v>194045122715</v>
      </c>
      <c r="BU756" s="199">
        <f>'Detailed Budget'!$AD$24</f>
        <v>194045122715</v>
      </c>
      <c r="BV756" s="596">
        <f t="shared" si="930"/>
        <v>0</v>
      </c>
      <c r="BW756" s="278"/>
      <c r="BX756" s="275">
        <f t="shared" si="868"/>
        <v>0</v>
      </c>
      <c r="BY756" s="275">
        <f t="shared" si="869"/>
        <v>0</v>
      </c>
      <c r="CA756" s="199">
        <f>'Detailed Budget'!$AD$96</f>
        <v>71050111380.677719</v>
      </c>
      <c r="CB756" s="275">
        <f t="shared" si="887"/>
        <v>99660769.259027436</v>
      </c>
      <c r="CE756" s="199">
        <f>'Detailed Budget'!$AD$175</f>
        <v>4330586076.5988197</v>
      </c>
      <c r="CF756" s="275">
        <f t="shared" si="931"/>
        <v>0</v>
      </c>
      <c r="CG756" s="199">
        <f>'Detailed Budget'!$AD$176</f>
        <v>20662817754.37001</v>
      </c>
      <c r="CH756" s="275">
        <f t="shared" si="932"/>
        <v>0</v>
      </c>
      <c r="CI756" s="275">
        <f t="shared" si="910"/>
        <v>0</v>
      </c>
      <c r="CJ756" s="275">
        <f>'Detailed Budget'!$AD$178</f>
        <v>46025131033.061455</v>
      </c>
      <c r="CK756" s="275">
        <f t="shared" si="933"/>
        <v>0</v>
      </c>
      <c r="CL756" s="275">
        <f t="shared" si="909"/>
        <v>0</v>
      </c>
      <c r="CM756" s="278">
        <f>'Detailed Budget'!$AD$189</f>
        <v>77498869683.252869</v>
      </c>
      <c r="CN756" s="275">
        <f t="shared" si="888"/>
        <v>79799731.296866283</v>
      </c>
      <c r="CO756" s="140">
        <f>'Detailed Budget'!$AD$191</f>
        <v>2684962805.4134097</v>
      </c>
      <c r="CP756" s="616">
        <f t="shared" si="889"/>
        <v>2764676.5854750369</v>
      </c>
      <c r="CQ756" s="616">
        <f t="shared" si="890"/>
        <v>82564407.882341325</v>
      </c>
      <c r="CR756" s="199">
        <f>'Detailed Budget'!$AD$195</f>
        <v>18734176418</v>
      </c>
      <c r="CS756" s="275">
        <f t="shared" si="934"/>
        <v>18584712.359108008</v>
      </c>
      <c r="CW756" s="278"/>
      <c r="DH756" s="140">
        <f>'Detailed Budget'!$AD$163</f>
        <v>4928560000</v>
      </c>
      <c r="DI756" s="616">
        <f t="shared" si="935"/>
        <v>6160000</v>
      </c>
    </row>
    <row r="757" spans="1:113" outlineLevel="1">
      <c r="A757" s="214" t="s">
        <v>1562</v>
      </c>
      <c r="B757" s="215" t="s">
        <v>1563</v>
      </c>
      <c r="C757" s="216" t="s">
        <v>234</v>
      </c>
      <c r="D757" s="217"/>
      <c r="E757" s="216"/>
      <c r="F757" s="216"/>
      <c r="G757" s="216" t="s">
        <v>234</v>
      </c>
      <c r="H757" s="216" t="s">
        <v>234</v>
      </c>
      <c r="I757" s="217" t="s">
        <v>234</v>
      </c>
      <c r="J757" s="217"/>
      <c r="K757" s="216"/>
      <c r="L757" s="216"/>
      <c r="M757" s="217"/>
      <c r="N757" s="216" t="s">
        <v>234</v>
      </c>
      <c r="O757" s="217"/>
      <c r="P757" s="216"/>
      <c r="Q757" s="217"/>
      <c r="R757" s="217" t="s">
        <v>234</v>
      </c>
      <c r="S757" s="217"/>
      <c r="T757" s="217"/>
      <c r="U757" s="218">
        <f t="shared" si="924"/>
        <v>6</v>
      </c>
      <c r="V757" s="867" t="s">
        <v>235</v>
      </c>
      <c r="W757" s="219">
        <v>170414</v>
      </c>
      <c r="X757" s="220">
        <v>3.11</v>
      </c>
      <c r="Y757" s="221">
        <f t="shared" si="870"/>
        <v>1.0310999999999999</v>
      </c>
      <c r="Z757" s="199">
        <v>19</v>
      </c>
      <c r="AA757" s="221">
        <f t="shared" si="871"/>
        <v>1.7894309732827145</v>
      </c>
      <c r="AB757" s="199">
        <f t="shared" si="922"/>
        <v>304944.08988100052</v>
      </c>
      <c r="AC757">
        <v>11.5</v>
      </c>
      <c r="AD757" s="199">
        <f t="shared" si="923"/>
        <v>35068.570336315061</v>
      </c>
      <c r="AE757" s="199">
        <f t="shared" si="872"/>
        <v>33315.141819499309</v>
      </c>
      <c r="AF757" s="199">
        <f t="shared" si="893"/>
        <v>0</v>
      </c>
      <c r="AG757" s="614">
        <f t="shared" si="892"/>
        <v>1.5403459015206156E-3</v>
      </c>
      <c r="AH757" s="199">
        <f t="shared" si="936"/>
        <v>15247.204494050027</v>
      </c>
      <c r="AI757" s="252">
        <f t="shared" si="875"/>
        <v>1.1811778303827546E-3</v>
      </c>
      <c r="AJ757" s="199">
        <f t="shared" si="876"/>
        <v>50315.774830365088</v>
      </c>
      <c r="AK757" s="199">
        <f t="shared" si="906"/>
        <v>12197.763595240021</v>
      </c>
      <c r="AL757" s="199">
        <f t="shared" si="907"/>
        <v>12197.763595240021</v>
      </c>
      <c r="AM757" s="199">
        <f t="shared" si="877"/>
        <v>24395.527190480043</v>
      </c>
      <c r="AN757" s="645">
        <f t="shared" si="878"/>
        <v>1.1811778303827546E-3</v>
      </c>
      <c r="AO757" s="199">
        <v>12</v>
      </c>
      <c r="AP757" s="250">
        <f t="shared" si="879"/>
        <v>1.3634814225656176E-3</v>
      </c>
      <c r="AQ757" s="199">
        <v>12</v>
      </c>
      <c r="AU757" s="199">
        <v>0</v>
      </c>
      <c r="AW757" s="250">
        <f t="shared" si="880"/>
        <v>0</v>
      </c>
      <c r="AX757" s="199">
        <v>1</v>
      </c>
      <c r="AY757" s="199">
        <f t="shared" si="925"/>
        <v>20469.644394335624</v>
      </c>
      <c r="AZ757" s="199">
        <f t="shared" si="881"/>
        <v>20469.644394335624</v>
      </c>
      <c r="BA757" s="252">
        <f t="shared" si="882"/>
        <v>1.6090468832948024E-3</v>
      </c>
      <c r="BB757" s="284">
        <v>0</v>
      </c>
      <c r="BC757" s="199">
        <f t="shared" si="926"/>
        <v>0</v>
      </c>
      <c r="BD757" s="270">
        <f t="shared" si="911"/>
        <v>0</v>
      </c>
      <c r="BE757" s="199">
        <f t="shared" si="927"/>
        <v>0</v>
      </c>
      <c r="BF757" s="251">
        <f t="shared" si="912"/>
        <v>0</v>
      </c>
      <c r="BG757" s="204">
        <f t="shared" si="928"/>
        <v>0</v>
      </c>
      <c r="BH757" s="636">
        <v>1</v>
      </c>
      <c r="BI757" s="199">
        <f t="shared" si="883"/>
        <v>93312.891503586172</v>
      </c>
      <c r="BJ757" s="199">
        <f t="shared" si="884"/>
        <v>186625.78300717234</v>
      </c>
      <c r="BK757" s="199">
        <f t="shared" si="891"/>
        <v>279938.67451075849</v>
      </c>
      <c r="BL757" s="251">
        <f t="shared" si="885"/>
        <v>1.1811778303827544E-3</v>
      </c>
      <c r="BM757" s="199">
        <f t="shared" si="929"/>
        <v>26352.180020011689</v>
      </c>
      <c r="BN757" s="251">
        <f t="shared" si="886"/>
        <v>1.1379690871121514E-3</v>
      </c>
      <c r="BT757" s="199">
        <f>'Detailed Budget'!$AD$12</f>
        <v>194045122715</v>
      </c>
      <c r="BU757" s="199">
        <f>'Detailed Budget'!$AD$24</f>
        <v>194045122715</v>
      </c>
      <c r="BV757" s="596">
        <f t="shared" si="930"/>
        <v>0</v>
      </c>
      <c r="BW757" s="278"/>
      <c r="BX757" s="275">
        <f t="shared" si="868"/>
        <v>0</v>
      </c>
      <c r="BY757" s="275">
        <f t="shared" si="869"/>
        <v>0</v>
      </c>
      <c r="CA757" s="199">
        <f>'Detailed Budget'!$AD$96</f>
        <v>71050111380.677719</v>
      </c>
      <c r="CB757" s="275">
        <f t="shared" si="887"/>
        <v>114322960.27482805</v>
      </c>
      <c r="CE757" s="199">
        <f>'Detailed Budget'!$AD$175</f>
        <v>4330586076.5988197</v>
      </c>
      <c r="CF757" s="275">
        <f t="shared" si="931"/>
        <v>0</v>
      </c>
      <c r="CG757" s="199">
        <f>'Detailed Budget'!$AD$176</f>
        <v>20662817754.37001</v>
      </c>
      <c r="CH757" s="275">
        <f t="shared" si="932"/>
        <v>0</v>
      </c>
      <c r="CI757" s="275">
        <f t="shared" si="910"/>
        <v>0</v>
      </c>
      <c r="CJ757" s="275">
        <f>'Detailed Budget'!$AD$178</f>
        <v>46025131033.061455</v>
      </c>
      <c r="CK757" s="275">
        <f t="shared" si="933"/>
        <v>0</v>
      </c>
      <c r="CL757" s="275">
        <f t="shared" si="909"/>
        <v>0</v>
      </c>
      <c r="CM757" s="278">
        <f>'Detailed Budget'!$AD$189</f>
        <v>77498869683.252869</v>
      </c>
      <c r="CN757" s="275">
        <f t="shared" si="888"/>
        <v>91539946.749580443</v>
      </c>
      <c r="CO757" s="140">
        <f>'Detailed Budget'!$AD$191</f>
        <v>2684962805.4134097</v>
      </c>
      <c r="CP757" s="616">
        <f t="shared" si="889"/>
        <v>3171418.5411566054</v>
      </c>
      <c r="CQ757" s="616">
        <f t="shared" si="890"/>
        <v>94711365.290737048</v>
      </c>
      <c r="CR757" s="199">
        <f>'Detailed Budget'!$AD$195</f>
        <v>18734176418</v>
      </c>
      <c r="CS757" s="275">
        <f t="shared" si="934"/>
        <v>21318913.636189453</v>
      </c>
      <c r="CW757" s="278"/>
      <c r="DH757" s="140">
        <f>'Detailed Budget'!$AD$163</f>
        <v>4928560000</v>
      </c>
      <c r="DI757" s="616">
        <f t="shared" si="935"/>
        <v>6720000</v>
      </c>
    </row>
    <row r="758" spans="1:113" outlineLevel="1">
      <c r="A758" s="214" t="s">
        <v>1564</v>
      </c>
      <c r="B758" s="215" t="s">
        <v>2313</v>
      </c>
      <c r="C758" s="216" t="s">
        <v>234</v>
      </c>
      <c r="D758" s="217"/>
      <c r="E758" s="216"/>
      <c r="F758" s="216"/>
      <c r="G758" s="216" t="s">
        <v>234</v>
      </c>
      <c r="H758" s="216" t="s">
        <v>234</v>
      </c>
      <c r="I758" s="217" t="s">
        <v>234</v>
      </c>
      <c r="J758" s="217"/>
      <c r="K758" s="216"/>
      <c r="L758" s="216"/>
      <c r="M758" s="217"/>
      <c r="N758" s="216" t="s">
        <v>234</v>
      </c>
      <c r="O758" s="217"/>
      <c r="P758" s="216"/>
      <c r="Q758" s="217"/>
      <c r="R758" s="217" t="s">
        <v>234</v>
      </c>
      <c r="S758" s="217"/>
      <c r="T758" s="217"/>
      <c r="U758" s="218">
        <f t="shared" si="924"/>
        <v>6</v>
      </c>
      <c r="V758" s="867" t="s">
        <v>235</v>
      </c>
      <c r="W758" s="219">
        <v>43459</v>
      </c>
      <c r="X758" s="220">
        <v>3.11</v>
      </c>
      <c r="Y758" s="221">
        <f t="shared" si="870"/>
        <v>1.0310999999999999</v>
      </c>
      <c r="Z758" s="199">
        <v>19</v>
      </c>
      <c r="AA758" s="221">
        <f t="shared" si="871"/>
        <v>1.7894309732827145</v>
      </c>
      <c r="AB758" s="199">
        <f t="shared" si="922"/>
        <v>77766.880667893493</v>
      </c>
      <c r="AC758">
        <v>11.5</v>
      </c>
      <c r="AD758" s="199">
        <f t="shared" si="923"/>
        <v>8943.1912768077509</v>
      </c>
      <c r="AE758" s="199">
        <f t="shared" si="872"/>
        <v>8496.0317129673622</v>
      </c>
      <c r="AF758" s="199">
        <f t="shared" si="893"/>
        <v>0</v>
      </c>
      <c r="AG758" s="614">
        <f t="shared" si="892"/>
        <v>3.9281920812952233E-4</v>
      </c>
      <c r="AH758" s="199">
        <f t="shared" si="936"/>
        <v>3888.3440333946746</v>
      </c>
      <c r="AI758" s="252">
        <f t="shared" si="875"/>
        <v>3.012241208504238E-4</v>
      </c>
      <c r="AJ758" s="199">
        <f t="shared" si="876"/>
        <v>12831.535310202426</v>
      </c>
      <c r="AK758" s="199">
        <f t="shared" si="906"/>
        <v>3110.6752267157399</v>
      </c>
      <c r="AL758" s="199">
        <f t="shared" si="907"/>
        <v>3110.6752267157399</v>
      </c>
      <c r="AM758" s="199">
        <f t="shared" si="877"/>
        <v>6221.3504534314798</v>
      </c>
      <c r="AN758" s="645">
        <f t="shared" si="878"/>
        <v>3.0122412085042385E-4</v>
      </c>
      <c r="AO758" s="199">
        <v>10</v>
      </c>
      <c r="AP758" s="250">
        <f t="shared" si="879"/>
        <v>1.1362345188046814E-3</v>
      </c>
      <c r="AQ758" s="199">
        <v>10</v>
      </c>
      <c r="AU758" s="199">
        <v>0</v>
      </c>
      <c r="AW758" s="250">
        <f t="shared" si="880"/>
        <v>0</v>
      </c>
      <c r="AX758" s="199">
        <v>1</v>
      </c>
      <c r="AY758" s="199">
        <f t="shared" si="925"/>
        <v>5220.1713223880179</v>
      </c>
      <c r="AZ758" s="199">
        <f t="shared" si="881"/>
        <v>5220.1713223880179</v>
      </c>
      <c r="BA758" s="252">
        <f t="shared" si="882"/>
        <v>4.1033934125781212E-4</v>
      </c>
      <c r="BB758" s="284">
        <v>0</v>
      </c>
      <c r="BC758" s="199">
        <f t="shared" si="926"/>
        <v>0</v>
      </c>
      <c r="BD758" s="270">
        <f t="shared" si="911"/>
        <v>0</v>
      </c>
      <c r="BE758" s="199">
        <f t="shared" si="927"/>
        <v>0</v>
      </c>
      <c r="BF758" s="251">
        <f t="shared" si="912"/>
        <v>0</v>
      </c>
      <c r="BG758" s="204">
        <f t="shared" si="928"/>
        <v>0</v>
      </c>
      <c r="BH758" s="636">
        <v>1</v>
      </c>
      <c r="BI758" s="199">
        <f t="shared" si="883"/>
        <v>23796.665484375411</v>
      </c>
      <c r="BJ758" s="199">
        <f t="shared" si="884"/>
        <v>47593.330968750823</v>
      </c>
      <c r="BK758" s="199">
        <f t="shared" si="891"/>
        <v>71389.996453126238</v>
      </c>
      <c r="BL758" s="251">
        <f t="shared" si="885"/>
        <v>3.0122412085042385E-4</v>
      </c>
      <c r="BM758" s="199">
        <f t="shared" si="929"/>
        <v>6720.3363074024892</v>
      </c>
      <c r="BN758" s="251">
        <f t="shared" si="886"/>
        <v>2.9020502163441375E-4</v>
      </c>
      <c r="BT758" s="199">
        <f>'Detailed Budget'!$AD$12</f>
        <v>194045122715</v>
      </c>
      <c r="BU758" s="199">
        <f>'Detailed Budget'!$AD$24</f>
        <v>194045122715</v>
      </c>
      <c r="BV758" s="596">
        <f t="shared" si="930"/>
        <v>0</v>
      </c>
      <c r="BW758" s="278"/>
      <c r="BX758" s="275">
        <f t="shared" si="868"/>
        <v>0</v>
      </c>
      <c r="BY758" s="275">
        <f t="shared" si="869"/>
        <v>0</v>
      </c>
      <c r="CA758" s="199">
        <f>'Detailed Budget'!$AD$96</f>
        <v>71050111380.677719</v>
      </c>
      <c r="CB758" s="275">
        <f t="shared" si="887"/>
        <v>29154655.900241476</v>
      </c>
      <c r="CE758" s="199">
        <f>'Detailed Budget'!$AD$175</f>
        <v>4330586076.5988197</v>
      </c>
      <c r="CF758" s="275">
        <f t="shared" si="931"/>
        <v>0</v>
      </c>
      <c r="CG758" s="199">
        <f>'Detailed Budget'!$AD$176</f>
        <v>20662817754.37001</v>
      </c>
      <c r="CH758" s="275">
        <f t="shared" si="932"/>
        <v>0</v>
      </c>
      <c r="CI758" s="275">
        <f t="shared" si="910"/>
        <v>0</v>
      </c>
      <c r="CJ758" s="275">
        <f>'Detailed Budget'!$AD$178</f>
        <v>46025131033.061455</v>
      </c>
      <c r="CK758" s="275">
        <f t="shared" si="933"/>
        <v>0</v>
      </c>
      <c r="CL758" s="275">
        <f t="shared" si="909"/>
        <v>0</v>
      </c>
      <c r="CM758" s="278">
        <f>'Detailed Budget'!$AD$189</f>
        <v>77498869683.252869</v>
      </c>
      <c r="CN758" s="275">
        <f t="shared" si="888"/>
        <v>23344528.887239411</v>
      </c>
      <c r="CO758" s="140">
        <f>'Detailed Budget'!$AD$191</f>
        <v>2684962805.4134097</v>
      </c>
      <c r="CP758" s="616">
        <f t="shared" si="889"/>
        <v>808775.56057674205</v>
      </c>
      <c r="CQ758" s="616">
        <f t="shared" si="890"/>
        <v>24153304.447816152</v>
      </c>
      <c r="CR758" s="199">
        <f>'Detailed Budget'!$AD$195</f>
        <v>18734176418</v>
      </c>
      <c r="CS758" s="275">
        <f t="shared" si="934"/>
        <v>5436752.072688614</v>
      </c>
      <c r="CW758" s="278"/>
      <c r="DH758" s="140">
        <f>'Detailed Budget'!$AD$163</f>
        <v>4928560000</v>
      </c>
      <c r="DI758" s="616">
        <f t="shared" si="935"/>
        <v>5600000</v>
      </c>
    </row>
    <row r="759" spans="1:113" outlineLevel="1">
      <c r="A759" s="214" t="s">
        <v>1565</v>
      </c>
      <c r="B759" s="215" t="s">
        <v>1566</v>
      </c>
      <c r="C759" s="216" t="s">
        <v>234</v>
      </c>
      <c r="D759" s="217"/>
      <c r="E759" s="216"/>
      <c r="F759" s="216"/>
      <c r="G759" s="216" t="s">
        <v>234</v>
      </c>
      <c r="H759" s="216" t="s">
        <v>234</v>
      </c>
      <c r="I759" s="217" t="s">
        <v>234</v>
      </c>
      <c r="J759" s="217"/>
      <c r="K759" s="216"/>
      <c r="L759" s="216"/>
      <c r="M759" s="217"/>
      <c r="N759" s="216" t="s">
        <v>234</v>
      </c>
      <c r="O759" s="217"/>
      <c r="P759" s="216"/>
      <c r="Q759" s="217"/>
      <c r="R759" s="217" t="s">
        <v>234</v>
      </c>
      <c r="S759" s="217"/>
      <c r="T759" s="217"/>
      <c r="U759" s="218">
        <f t="shared" si="924"/>
        <v>6</v>
      </c>
      <c r="V759" s="867" t="s">
        <v>235</v>
      </c>
      <c r="W759" s="219">
        <v>131330</v>
      </c>
      <c r="X759" s="220">
        <v>3.11</v>
      </c>
      <c r="Y759" s="221">
        <f t="shared" si="870"/>
        <v>1.0310999999999999</v>
      </c>
      <c r="Z759" s="199">
        <v>19</v>
      </c>
      <c r="AA759" s="221">
        <f t="shared" si="871"/>
        <v>1.7894309732827145</v>
      </c>
      <c r="AB759" s="199">
        <f t="shared" si="922"/>
        <v>235005.96972121889</v>
      </c>
      <c r="AC759">
        <v>11.5</v>
      </c>
      <c r="AD759" s="199">
        <f t="shared" si="923"/>
        <v>27025.686517940172</v>
      </c>
      <c r="AE759" s="199">
        <f t="shared" si="872"/>
        <v>25674.402192043162</v>
      </c>
      <c r="AF759" s="199">
        <f t="shared" si="893"/>
        <v>0</v>
      </c>
      <c r="AG759" s="614">
        <f t="shared" si="892"/>
        <v>1.1870716446225216E-3</v>
      </c>
      <c r="AH759" s="199">
        <f t="shared" si="936"/>
        <v>11750.298486060945</v>
      </c>
      <c r="AI759" s="252">
        <f t="shared" si="875"/>
        <v>9.1027782027396304E-4</v>
      </c>
      <c r="AJ759" s="199">
        <f t="shared" si="876"/>
        <v>38775.985004001115</v>
      </c>
      <c r="AK759" s="199">
        <f t="shared" si="906"/>
        <v>9400.2387888487556</v>
      </c>
      <c r="AL759" s="199">
        <f t="shared" si="907"/>
        <v>9400.2387888487556</v>
      </c>
      <c r="AM759" s="199">
        <f t="shared" si="877"/>
        <v>18800.477577697511</v>
      </c>
      <c r="AN759" s="645">
        <f t="shared" si="878"/>
        <v>9.1027782027396304E-4</v>
      </c>
      <c r="AO759" s="199">
        <v>11</v>
      </c>
      <c r="AP759" s="250">
        <f t="shared" si="879"/>
        <v>1.2498579706851495E-3</v>
      </c>
      <c r="AQ759" s="199">
        <v>11</v>
      </c>
      <c r="AU759" s="199">
        <v>0</v>
      </c>
      <c r="AW759" s="250">
        <f t="shared" si="880"/>
        <v>0</v>
      </c>
      <c r="AX759" s="199">
        <v>1</v>
      </c>
      <c r="AY759" s="199">
        <f t="shared" si="925"/>
        <v>15774.985613318724</v>
      </c>
      <c r="AZ759" s="199">
        <f t="shared" si="881"/>
        <v>15774.985613318724</v>
      </c>
      <c r="BA759" s="252">
        <f t="shared" si="882"/>
        <v>1.2400162380033703E-3</v>
      </c>
      <c r="BB759" s="284">
        <v>0</v>
      </c>
      <c r="BC759" s="199">
        <f t="shared" si="926"/>
        <v>0</v>
      </c>
      <c r="BD759" s="270">
        <f t="shared" si="911"/>
        <v>0</v>
      </c>
      <c r="BE759" s="199">
        <f t="shared" si="927"/>
        <v>0</v>
      </c>
      <c r="BF759" s="251">
        <f t="shared" si="912"/>
        <v>0</v>
      </c>
      <c r="BG759" s="204">
        <f t="shared" si="928"/>
        <v>0</v>
      </c>
      <c r="BH759" s="636">
        <v>1</v>
      </c>
      <c r="BI759" s="199">
        <f t="shared" si="883"/>
        <v>71911.826734692979</v>
      </c>
      <c r="BJ759" s="199">
        <f t="shared" si="884"/>
        <v>143823.65346938596</v>
      </c>
      <c r="BK759" s="199">
        <f t="shared" si="891"/>
        <v>215735.48020407895</v>
      </c>
      <c r="BL759" s="251">
        <f t="shared" si="885"/>
        <v>9.1027782027396304E-4</v>
      </c>
      <c r="BM759" s="199">
        <f t="shared" si="929"/>
        <v>20308.377257902135</v>
      </c>
      <c r="BN759" s="251">
        <f t="shared" si="886"/>
        <v>8.7697888794605386E-4</v>
      </c>
      <c r="BT759" s="199">
        <f>'Detailed Budget'!$AD$12</f>
        <v>194045122715</v>
      </c>
      <c r="BU759" s="199">
        <f>'Detailed Budget'!$AD$24</f>
        <v>194045122715</v>
      </c>
      <c r="BV759" s="596">
        <f t="shared" si="930"/>
        <v>0</v>
      </c>
      <c r="BW759" s="278"/>
      <c r="BX759" s="275">
        <f t="shared" si="868"/>
        <v>0</v>
      </c>
      <c r="BY759" s="275">
        <f t="shared" si="869"/>
        <v>0</v>
      </c>
      <c r="CA759" s="199">
        <f>'Detailed Budget'!$AD$96</f>
        <v>71050111380.677719</v>
      </c>
      <c r="CB759" s="275">
        <f t="shared" si="887"/>
        <v>88103291.823988438</v>
      </c>
      <c r="CE759" s="199">
        <f>'Detailed Budget'!$AD$175</f>
        <v>4330586076.5988197</v>
      </c>
      <c r="CF759" s="275">
        <f t="shared" si="931"/>
        <v>0</v>
      </c>
      <c r="CG759" s="199">
        <f>'Detailed Budget'!$AD$176</f>
        <v>20662817754.37001</v>
      </c>
      <c r="CH759" s="275">
        <f t="shared" si="932"/>
        <v>0</v>
      </c>
      <c r="CI759" s="275">
        <f t="shared" si="910"/>
        <v>0</v>
      </c>
      <c r="CJ759" s="275">
        <f>'Detailed Budget'!$AD$178</f>
        <v>46025131033.061455</v>
      </c>
      <c r="CK759" s="275">
        <f t="shared" si="933"/>
        <v>0</v>
      </c>
      <c r="CL759" s="275">
        <f t="shared" si="909"/>
        <v>0</v>
      </c>
      <c r="CM759" s="278">
        <f>'Detailed Budget'!$AD$189</f>
        <v>77498869683.252869</v>
      </c>
      <c r="CN759" s="275">
        <f t="shared" si="888"/>
        <v>70545502.168967336</v>
      </c>
      <c r="CO759" s="140">
        <f>'Detailed Budget'!$AD$191</f>
        <v>2684962805.4134097</v>
      </c>
      <c r="CP759" s="616">
        <f t="shared" si="889"/>
        <v>2444062.0900283833</v>
      </c>
      <c r="CQ759" s="616">
        <f t="shared" si="890"/>
        <v>72989564.258995727</v>
      </c>
      <c r="CR759" s="199">
        <f>'Detailed Budget'!$AD$195</f>
        <v>18734176418</v>
      </c>
      <c r="CS759" s="275">
        <f t="shared" si="934"/>
        <v>16429477.201642826</v>
      </c>
      <c r="CW759" s="278"/>
      <c r="DH759" s="140">
        <f>'Detailed Budget'!$AD$163</f>
        <v>4928560000</v>
      </c>
      <c r="DI759" s="616">
        <f t="shared" si="935"/>
        <v>6160000</v>
      </c>
    </row>
    <row r="760" spans="1:113" outlineLevel="1">
      <c r="A760" s="214" t="s">
        <v>1567</v>
      </c>
      <c r="B760" s="215" t="s">
        <v>1568</v>
      </c>
      <c r="C760" s="216" t="s">
        <v>234</v>
      </c>
      <c r="D760" s="217"/>
      <c r="E760" s="216"/>
      <c r="F760" s="216"/>
      <c r="G760" s="216" t="s">
        <v>234</v>
      </c>
      <c r="H760" s="216" t="s">
        <v>234</v>
      </c>
      <c r="I760" s="217" t="s">
        <v>234</v>
      </c>
      <c r="J760" s="217"/>
      <c r="K760" s="216"/>
      <c r="L760" s="216"/>
      <c r="M760" s="217"/>
      <c r="N760" s="216" t="s">
        <v>234</v>
      </c>
      <c r="O760" s="217"/>
      <c r="P760" s="216"/>
      <c r="Q760" s="217"/>
      <c r="R760" s="217" t="s">
        <v>234</v>
      </c>
      <c r="S760" s="217"/>
      <c r="T760" s="217"/>
      <c r="U760" s="218">
        <f t="shared" si="924"/>
        <v>6</v>
      </c>
      <c r="V760" s="867" t="s">
        <v>235</v>
      </c>
      <c r="W760" s="219">
        <v>113951</v>
      </c>
      <c r="X760" s="220">
        <v>3.11</v>
      </c>
      <c r="Y760" s="221">
        <f t="shared" si="870"/>
        <v>1.0310999999999999</v>
      </c>
      <c r="Z760" s="199">
        <v>19</v>
      </c>
      <c r="AA760" s="221">
        <f t="shared" si="871"/>
        <v>1.7894309732827145</v>
      </c>
      <c r="AB760" s="199">
        <f t="shared" si="922"/>
        <v>203907.44883653859</v>
      </c>
      <c r="AC760">
        <v>11.5</v>
      </c>
      <c r="AD760" s="199">
        <f t="shared" si="923"/>
        <v>23449.356616201938</v>
      </c>
      <c r="AE760" s="199">
        <f t="shared" si="872"/>
        <v>22276.888785391839</v>
      </c>
      <c r="AF760" s="199">
        <f t="shared" si="893"/>
        <v>0</v>
      </c>
      <c r="AG760" s="614">
        <f t="shared" si="892"/>
        <v>1.0299855400622933E-3</v>
      </c>
      <c r="AH760" s="199">
        <f t="shared" si="936"/>
        <v>10195.37244182693</v>
      </c>
      <c r="AI760" s="252">
        <f t="shared" si="875"/>
        <v>7.8982005557023038E-4</v>
      </c>
      <c r="AJ760" s="199">
        <f t="shared" si="876"/>
        <v>33644.729058028868</v>
      </c>
      <c r="AK760" s="199">
        <f t="shared" si="906"/>
        <v>8156.2979534615442</v>
      </c>
      <c r="AL760" s="199">
        <f t="shared" si="907"/>
        <v>8156.2979534615442</v>
      </c>
      <c r="AM760" s="199">
        <f t="shared" si="877"/>
        <v>16312.595906923088</v>
      </c>
      <c r="AN760" s="645">
        <f t="shared" si="878"/>
        <v>7.8982005557023038E-4</v>
      </c>
      <c r="AO760" s="199">
        <v>10</v>
      </c>
      <c r="AP760" s="250">
        <f t="shared" si="879"/>
        <v>1.1362345188046814E-3</v>
      </c>
      <c r="AQ760" s="199">
        <v>10</v>
      </c>
      <c r="AU760" s="199">
        <v>0</v>
      </c>
      <c r="AW760" s="250">
        <f t="shared" si="880"/>
        <v>0</v>
      </c>
      <c r="AX760" s="199">
        <v>1</v>
      </c>
      <c r="AY760" s="199">
        <f t="shared" si="925"/>
        <v>13687.469623264158</v>
      </c>
      <c r="AZ760" s="199">
        <f t="shared" si="881"/>
        <v>13687.469623264158</v>
      </c>
      <c r="BA760" s="252">
        <f t="shared" si="882"/>
        <v>1.0759239346434329E-3</v>
      </c>
      <c r="BB760" s="284">
        <v>0</v>
      </c>
      <c r="BC760" s="199">
        <f t="shared" si="926"/>
        <v>0</v>
      </c>
      <c r="BD760" s="270">
        <f t="shared" si="911"/>
        <v>0</v>
      </c>
      <c r="BE760" s="199">
        <f t="shared" si="927"/>
        <v>0</v>
      </c>
      <c r="BF760" s="251">
        <f t="shared" si="912"/>
        <v>0</v>
      </c>
      <c r="BG760" s="204">
        <f t="shared" si="928"/>
        <v>0</v>
      </c>
      <c r="BH760" s="636">
        <v>1</v>
      </c>
      <c r="BI760" s="199">
        <f t="shared" si="883"/>
        <v>62395.67934398081</v>
      </c>
      <c r="BJ760" s="199">
        <f t="shared" si="884"/>
        <v>124791.35868796162</v>
      </c>
      <c r="BK760" s="199">
        <f t="shared" si="891"/>
        <v>187187.03803194244</v>
      </c>
      <c r="BL760" s="251">
        <f t="shared" si="885"/>
        <v>7.8982005557023049E-4</v>
      </c>
      <c r="BM760" s="199">
        <f t="shared" si="929"/>
        <v>17620.95406164019</v>
      </c>
      <c r="BN760" s="251">
        <f t="shared" si="886"/>
        <v>7.6092759659134078E-4</v>
      </c>
      <c r="BT760" s="199">
        <f>'Detailed Budget'!$AD$12</f>
        <v>194045122715</v>
      </c>
      <c r="BU760" s="199">
        <f>'Detailed Budget'!$AD$24</f>
        <v>194045122715</v>
      </c>
      <c r="BV760" s="596">
        <f t="shared" si="930"/>
        <v>0</v>
      </c>
      <c r="BW760" s="278"/>
      <c r="BX760" s="275">
        <f t="shared" si="868"/>
        <v>0</v>
      </c>
      <c r="BY760" s="275">
        <f t="shared" si="869"/>
        <v>0</v>
      </c>
      <c r="CA760" s="199">
        <f>'Detailed Budget'!$AD$96</f>
        <v>71050111380.677719</v>
      </c>
      <c r="CB760" s="275">
        <f t="shared" si="887"/>
        <v>76444515.393552914</v>
      </c>
      <c r="CE760" s="199">
        <f>'Detailed Budget'!$AD$175</f>
        <v>4330586076.5988197</v>
      </c>
      <c r="CF760" s="275">
        <f t="shared" si="931"/>
        <v>0</v>
      </c>
      <c r="CG760" s="199">
        <f>'Detailed Budget'!$AD$176</f>
        <v>20662817754.37001</v>
      </c>
      <c r="CH760" s="275">
        <f t="shared" si="932"/>
        <v>0</v>
      </c>
      <c r="CI760" s="275">
        <f t="shared" si="910"/>
        <v>0</v>
      </c>
      <c r="CJ760" s="275">
        <f>'Detailed Budget'!$AD$178</f>
        <v>46025131033.061455</v>
      </c>
      <c r="CK760" s="275">
        <f t="shared" si="933"/>
        <v>0</v>
      </c>
      <c r="CL760" s="275">
        <f t="shared" si="909"/>
        <v>0</v>
      </c>
      <c r="CM760" s="278">
        <f>'Detailed Budget'!$AD$189</f>
        <v>77498869683.252869</v>
      </c>
      <c r="CN760" s="275">
        <f t="shared" si="888"/>
        <v>61210161.559856832</v>
      </c>
      <c r="CO760" s="140">
        <f>'Detailed Budget'!$AD$191</f>
        <v>2684962805.4134097</v>
      </c>
      <c r="CP760" s="616">
        <f t="shared" si="889"/>
        <v>2120637.472175621</v>
      </c>
      <c r="CQ760" s="616">
        <f t="shared" si="890"/>
        <v>63330799.032032453</v>
      </c>
      <c r="CR760" s="199">
        <f>'Detailed Budget'!$AD$195</f>
        <v>18734176418</v>
      </c>
      <c r="CS760" s="275">
        <f t="shared" si="934"/>
        <v>14255351.835866913</v>
      </c>
      <c r="CW760" s="278"/>
      <c r="DH760" s="140">
        <f>'Detailed Budget'!$AD$163</f>
        <v>4928560000</v>
      </c>
      <c r="DI760" s="616">
        <f t="shared" si="935"/>
        <v>5600000</v>
      </c>
    </row>
    <row r="761" spans="1:113" outlineLevel="1">
      <c r="A761" s="214" t="s">
        <v>1569</v>
      </c>
      <c r="B761" s="215" t="s">
        <v>1570</v>
      </c>
      <c r="C761" s="216" t="s">
        <v>234</v>
      </c>
      <c r="D761" s="217"/>
      <c r="E761" s="216"/>
      <c r="F761" s="216"/>
      <c r="G761" s="216" t="s">
        <v>234</v>
      </c>
      <c r="H761" s="216" t="s">
        <v>234</v>
      </c>
      <c r="I761" s="217" t="s">
        <v>234</v>
      </c>
      <c r="J761" s="217"/>
      <c r="K761" s="216"/>
      <c r="L761" s="216"/>
      <c r="M761" s="217"/>
      <c r="N761" s="216" t="s">
        <v>234</v>
      </c>
      <c r="O761" s="217"/>
      <c r="P761" s="216"/>
      <c r="Q761" s="217"/>
      <c r="R761" s="217" t="s">
        <v>234</v>
      </c>
      <c r="S761" s="217"/>
      <c r="T761" s="217"/>
      <c r="U761" s="218">
        <f t="shared" si="924"/>
        <v>6</v>
      </c>
      <c r="V761" s="867" t="s">
        <v>235</v>
      </c>
      <c r="W761" s="219">
        <v>145408</v>
      </c>
      <c r="X761" s="220">
        <v>3.11</v>
      </c>
      <c r="Y761" s="221">
        <f t="shared" si="870"/>
        <v>1.0310999999999999</v>
      </c>
      <c r="Z761" s="199">
        <v>19</v>
      </c>
      <c r="AA761" s="221">
        <f t="shared" si="871"/>
        <v>1.7894309732827145</v>
      </c>
      <c r="AB761" s="199">
        <f t="shared" si="922"/>
        <v>260197.57896309294</v>
      </c>
      <c r="AC761">
        <v>11.5</v>
      </c>
      <c r="AD761" s="199">
        <f t="shared" si="923"/>
        <v>29922.721580755686</v>
      </c>
      <c r="AE761" s="199">
        <f t="shared" si="872"/>
        <v>28426.585501717902</v>
      </c>
      <c r="AF761" s="199">
        <f t="shared" si="893"/>
        <v>0</v>
      </c>
      <c r="AG761" s="614">
        <f t="shared" si="892"/>
        <v>1.3143205185507626E-3</v>
      </c>
      <c r="AH761" s="199">
        <f t="shared" si="936"/>
        <v>13009.878948154648</v>
      </c>
      <c r="AI761" s="252">
        <f t="shared" si="875"/>
        <v>1.0078556102215519E-3</v>
      </c>
      <c r="AJ761" s="199">
        <f t="shared" si="876"/>
        <v>42932.600528910334</v>
      </c>
      <c r="AK761" s="199">
        <f t="shared" si="906"/>
        <v>10407.903158523717</v>
      </c>
      <c r="AL761" s="199">
        <f t="shared" si="907"/>
        <v>10407.903158523717</v>
      </c>
      <c r="AM761" s="199">
        <f t="shared" si="877"/>
        <v>20815.806317047434</v>
      </c>
      <c r="AN761" s="645">
        <f t="shared" si="878"/>
        <v>1.0078556102215519E-3</v>
      </c>
      <c r="AO761" s="199">
        <v>11</v>
      </c>
      <c r="AP761" s="250">
        <f t="shared" si="879"/>
        <v>1.2498579706851495E-3</v>
      </c>
      <c r="AQ761" s="199">
        <v>11</v>
      </c>
      <c r="AU761" s="199">
        <v>0</v>
      </c>
      <c r="AW761" s="250">
        <f t="shared" si="880"/>
        <v>0</v>
      </c>
      <c r="AX761" s="199">
        <v>1</v>
      </c>
      <c r="AY761" s="199">
        <f t="shared" si="925"/>
        <v>17465.994883586758</v>
      </c>
      <c r="AZ761" s="199">
        <f t="shared" si="881"/>
        <v>17465.994883586758</v>
      </c>
      <c r="BA761" s="252">
        <f t="shared" si="882"/>
        <v>1.3729405401324455E-3</v>
      </c>
      <c r="BB761" s="284">
        <v>0</v>
      </c>
      <c r="BC761" s="199">
        <f t="shared" si="926"/>
        <v>0</v>
      </c>
      <c r="BD761" s="270">
        <f t="shared" si="911"/>
        <v>0</v>
      </c>
      <c r="BE761" s="199">
        <f t="shared" si="927"/>
        <v>0</v>
      </c>
      <c r="BF761" s="251">
        <f t="shared" si="912"/>
        <v>0</v>
      </c>
      <c r="BG761" s="204">
        <f t="shared" si="928"/>
        <v>0</v>
      </c>
      <c r="BH761" s="636">
        <v>1</v>
      </c>
      <c r="BI761" s="199">
        <f t="shared" si="883"/>
        <v>79620.459162706436</v>
      </c>
      <c r="BJ761" s="199">
        <f t="shared" si="884"/>
        <v>159240.91832541287</v>
      </c>
      <c r="BK761" s="199">
        <f t="shared" si="891"/>
        <v>238861.37748811929</v>
      </c>
      <c r="BL761" s="251">
        <f t="shared" si="885"/>
        <v>1.0078556102215519E-3</v>
      </c>
      <c r="BM761" s="199">
        <f t="shared" si="929"/>
        <v>22485.346229475625</v>
      </c>
      <c r="BN761" s="251">
        <f t="shared" si="886"/>
        <v>9.7098717839381565E-4</v>
      </c>
      <c r="BT761" s="199">
        <f>'Detailed Budget'!$AD$12</f>
        <v>194045122715</v>
      </c>
      <c r="BU761" s="199">
        <f>'Detailed Budget'!$AD$24</f>
        <v>194045122715</v>
      </c>
      <c r="BV761" s="596">
        <f t="shared" si="930"/>
        <v>0</v>
      </c>
      <c r="BW761" s="278"/>
      <c r="BX761" s="275">
        <f t="shared" si="868"/>
        <v>0</v>
      </c>
      <c r="BY761" s="275">
        <f t="shared" si="869"/>
        <v>0</v>
      </c>
      <c r="CA761" s="199">
        <f>'Detailed Budget'!$AD$96</f>
        <v>71050111380.677719</v>
      </c>
      <c r="CB761" s="275">
        <f t="shared" si="887"/>
        <v>97547578.295458078</v>
      </c>
      <c r="CE761" s="199">
        <f>'Detailed Budget'!$AD$175</f>
        <v>4330586076.5988197</v>
      </c>
      <c r="CF761" s="275">
        <f t="shared" si="931"/>
        <v>0</v>
      </c>
      <c r="CG761" s="199">
        <f>'Detailed Budget'!$AD$176</f>
        <v>20662817754.37001</v>
      </c>
      <c r="CH761" s="275">
        <f t="shared" si="932"/>
        <v>0</v>
      </c>
      <c r="CI761" s="275">
        <f t="shared" si="910"/>
        <v>0</v>
      </c>
      <c r="CJ761" s="275">
        <f>'Detailed Budget'!$AD$178</f>
        <v>46025131033.061455</v>
      </c>
      <c r="CK761" s="275">
        <f t="shared" si="933"/>
        <v>0</v>
      </c>
      <c r="CL761" s="275">
        <f t="shared" si="909"/>
        <v>0</v>
      </c>
      <c r="CM761" s="278">
        <f>'Detailed Budget'!$AD$189</f>
        <v>77498869683.252869</v>
      </c>
      <c r="CN761" s="275">
        <f t="shared" si="888"/>
        <v>78107670.596095353</v>
      </c>
      <c r="CO761" s="140">
        <f>'Detailed Budget'!$AD$191</f>
        <v>2684962805.4134097</v>
      </c>
      <c r="CP761" s="616">
        <f t="shared" si="889"/>
        <v>2706054.8266721019</v>
      </c>
      <c r="CQ761" s="616">
        <f t="shared" si="890"/>
        <v>80813725.42276746</v>
      </c>
      <c r="CR761" s="199">
        <f>'Detailed Budget'!$AD$195</f>
        <v>18734176418</v>
      </c>
      <c r="CS761" s="275">
        <f t="shared" si="934"/>
        <v>18190645.099645779</v>
      </c>
      <c r="CW761" s="278"/>
      <c r="DH761" s="140">
        <f>'Detailed Budget'!$AD$163</f>
        <v>4928560000</v>
      </c>
      <c r="DI761" s="616">
        <f t="shared" si="935"/>
        <v>6160000</v>
      </c>
    </row>
    <row r="762" spans="1:113" outlineLevel="1">
      <c r="A762" s="214" t="s">
        <v>1571</v>
      </c>
      <c r="B762" s="215" t="s">
        <v>1572</v>
      </c>
      <c r="C762" s="216" t="s">
        <v>234</v>
      </c>
      <c r="D762" s="217"/>
      <c r="E762" s="216"/>
      <c r="F762" s="216"/>
      <c r="G762" s="216" t="s">
        <v>234</v>
      </c>
      <c r="H762" s="216" t="s">
        <v>234</v>
      </c>
      <c r="I762" s="217" t="s">
        <v>234</v>
      </c>
      <c r="J762" s="217"/>
      <c r="K762" s="216"/>
      <c r="L762" s="216"/>
      <c r="M762" s="217"/>
      <c r="N762" s="216" t="s">
        <v>234</v>
      </c>
      <c r="O762" s="217"/>
      <c r="P762" s="216"/>
      <c r="Q762" s="217"/>
      <c r="R762" s="217" t="s">
        <v>234</v>
      </c>
      <c r="S762" s="217"/>
      <c r="T762" s="217"/>
      <c r="U762" s="218">
        <f t="shared" si="924"/>
        <v>6</v>
      </c>
      <c r="V762" s="867" t="s">
        <v>235</v>
      </c>
      <c r="W762" s="219">
        <v>137796</v>
      </c>
      <c r="X762" s="220">
        <v>3.11</v>
      </c>
      <c r="Y762" s="221">
        <f t="shared" si="870"/>
        <v>1.0310999999999999</v>
      </c>
      <c r="Z762" s="199">
        <v>19</v>
      </c>
      <c r="AA762" s="221">
        <f t="shared" si="871"/>
        <v>1.7894309732827145</v>
      </c>
      <c r="AB762" s="199">
        <f t="shared" si="922"/>
        <v>246576.43039446493</v>
      </c>
      <c r="AC762">
        <v>11.5</v>
      </c>
      <c r="AD762" s="199">
        <f t="shared" si="923"/>
        <v>28356.289495363468</v>
      </c>
      <c r="AE762" s="199">
        <f t="shared" si="872"/>
        <v>26938.475020595291</v>
      </c>
      <c r="AF762" s="199">
        <f t="shared" si="893"/>
        <v>0</v>
      </c>
      <c r="AG762" s="614">
        <f t="shared" si="892"/>
        <v>1.2455168228310744E-3</v>
      </c>
      <c r="AH762" s="199">
        <f t="shared" si="936"/>
        <v>12328.821519723248</v>
      </c>
      <c r="AI762" s="252">
        <f t="shared" si="875"/>
        <v>9.5509512314376774E-4</v>
      </c>
      <c r="AJ762" s="199">
        <f t="shared" si="876"/>
        <v>40685.111015086717</v>
      </c>
      <c r="AK762" s="199">
        <f t="shared" si="906"/>
        <v>9863.0572157785973</v>
      </c>
      <c r="AL762" s="199">
        <f t="shared" si="907"/>
        <v>9863.0572157785973</v>
      </c>
      <c r="AM762" s="199">
        <f t="shared" si="877"/>
        <v>19726.114431557195</v>
      </c>
      <c r="AN762" s="645">
        <f t="shared" si="878"/>
        <v>9.5509512314376774E-4</v>
      </c>
      <c r="AO762" s="199">
        <v>12</v>
      </c>
      <c r="AP762" s="250">
        <f t="shared" si="879"/>
        <v>1.3634814225656176E-3</v>
      </c>
      <c r="AQ762" s="199">
        <v>12</v>
      </c>
      <c r="AU762" s="199">
        <v>0</v>
      </c>
      <c r="AW762" s="250">
        <f t="shared" si="880"/>
        <v>0</v>
      </c>
      <c r="AX762" s="199">
        <v>1</v>
      </c>
      <c r="AY762" s="199">
        <f t="shared" si="925"/>
        <v>16551.663120177167</v>
      </c>
      <c r="AZ762" s="199">
        <f t="shared" si="881"/>
        <v>16551.663120177167</v>
      </c>
      <c r="BA762" s="252">
        <f t="shared" si="882"/>
        <v>1.3010681301447685E-3</v>
      </c>
      <c r="BB762" s="284">
        <v>0</v>
      </c>
      <c r="BC762" s="199">
        <f t="shared" si="926"/>
        <v>0</v>
      </c>
      <c r="BD762" s="270">
        <f t="shared" si="911"/>
        <v>0</v>
      </c>
      <c r="BE762" s="199">
        <f t="shared" si="927"/>
        <v>0</v>
      </c>
      <c r="BF762" s="251">
        <f t="shared" si="912"/>
        <v>0</v>
      </c>
      <c r="BG762" s="204">
        <f t="shared" si="928"/>
        <v>0</v>
      </c>
      <c r="BH762" s="636">
        <v>1</v>
      </c>
      <c r="BI762" s="199">
        <f t="shared" si="883"/>
        <v>75452.387700706284</v>
      </c>
      <c r="BJ762" s="199">
        <f t="shared" si="884"/>
        <v>150904.77540141257</v>
      </c>
      <c r="BK762" s="199">
        <f t="shared" si="891"/>
        <v>226357.16310211885</v>
      </c>
      <c r="BL762" s="251">
        <f t="shared" si="885"/>
        <v>9.5509512314376785E-4</v>
      </c>
      <c r="BM762" s="199">
        <f t="shared" si="929"/>
        <v>21308.25517878537</v>
      </c>
      <c r="BN762" s="251">
        <f t="shared" si="886"/>
        <v>9.2015672613579872E-4</v>
      </c>
      <c r="BT762" s="199">
        <f>'Detailed Budget'!$AD$12</f>
        <v>194045122715</v>
      </c>
      <c r="BU762" s="199">
        <f>'Detailed Budget'!$AD$24</f>
        <v>194045122715</v>
      </c>
      <c r="BV762" s="596">
        <f t="shared" si="930"/>
        <v>0</v>
      </c>
      <c r="BW762" s="278"/>
      <c r="BX762" s="275">
        <f t="shared" si="868"/>
        <v>0</v>
      </c>
      <c r="BY762" s="275">
        <f t="shared" si="869"/>
        <v>0</v>
      </c>
      <c r="CA762" s="199">
        <f>'Detailed Budget'!$AD$96</f>
        <v>71050111380.677719</v>
      </c>
      <c r="CB762" s="275">
        <f t="shared" si="887"/>
        <v>92441035.560635895</v>
      </c>
      <c r="CE762" s="199">
        <f>'Detailed Budget'!$AD$175</f>
        <v>4330586076.5988197</v>
      </c>
      <c r="CF762" s="275">
        <f t="shared" si="931"/>
        <v>0</v>
      </c>
      <c r="CG762" s="199">
        <f>'Detailed Budget'!$AD$176</f>
        <v>20662817754.37001</v>
      </c>
      <c r="CH762" s="275">
        <f t="shared" si="932"/>
        <v>0</v>
      </c>
      <c r="CI762" s="275">
        <f t="shared" si="910"/>
        <v>0</v>
      </c>
      <c r="CJ762" s="275">
        <f>'Detailed Budget'!$AD$178</f>
        <v>46025131033.061455</v>
      </c>
      <c r="CK762" s="275">
        <f t="shared" si="933"/>
        <v>0</v>
      </c>
      <c r="CL762" s="275">
        <f t="shared" si="909"/>
        <v>0</v>
      </c>
      <c r="CM762" s="278">
        <f>'Detailed Budget'!$AD$189</f>
        <v>77498869683.252869</v>
      </c>
      <c r="CN762" s="275">
        <f t="shared" si="888"/>
        <v>74018792.483629212</v>
      </c>
      <c r="CO762" s="140">
        <f>'Detailed Budget'!$AD$191</f>
        <v>2684962805.4134097</v>
      </c>
      <c r="CP762" s="616">
        <f t="shared" si="889"/>
        <v>2564394.8812727565</v>
      </c>
      <c r="CQ762" s="616">
        <f t="shared" si="890"/>
        <v>76583187.364901975</v>
      </c>
      <c r="CR762" s="199">
        <f>'Detailed Budget'!$AD$195</f>
        <v>18734176418</v>
      </c>
      <c r="CS762" s="275">
        <f t="shared" si="934"/>
        <v>17238378.439637363</v>
      </c>
      <c r="CW762" s="278"/>
      <c r="DH762" s="140">
        <f>'Detailed Budget'!$AD$163</f>
        <v>4928560000</v>
      </c>
      <c r="DI762" s="616">
        <f t="shared" si="935"/>
        <v>6720000</v>
      </c>
    </row>
    <row r="763" spans="1:113" outlineLevel="1">
      <c r="A763" s="214"/>
      <c r="B763" s="215"/>
      <c r="C763" s="216"/>
      <c r="D763" s="217"/>
      <c r="E763" s="216"/>
      <c r="F763" s="216"/>
      <c r="G763" s="216"/>
      <c r="H763" s="216"/>
      <c r="I763" s="217"/>
      <c r="J763" s="217"/>
      <c r="K763" s="216"/>
      <c r="L763" s="216"/>
      <c r="M763" s="217"/>
      <c r="N763" s="216"/>
      <c r="O763" s="217"/>
      <c r="P763" s="216"/>
      <c r="Q763" s="217"/>
      <c r="R763" s="217"/>
      <c r="S763" s="217"/>
      <c r="T763" s="217"/>
      <c r="U763" s="218"/>
      <c r="V763" s="867"/>
      <c r="W763" s="219"/>
      <c r="X763" s="220"/>
      <c r="Y763" s="221"/>
      <c r="Z763" s="199"/>
      <c r="AA763" s="221"/>
      <c r="AF763" s="199">
        <f t="shared" si="893"/>
        <v>0</v>
      </c>
      <c r="AG763" s="614">
        <f t="shared" si="892"/>
        <v>0</v>
      </c>
      <c r="AJ763" s="199"/>
      <c r="AK763" s="199">
        <f t="shared" si="906"/>
        <v>0</v>
      </c>
      <c r="AL763" s="199">
        <f t="shared" si="907"/>
        <v>0</v>
      </c>
      <c r="AM763" s="199">
        <f t="shared" si="877"/>
        <v>0</v>
      </c>
      <c r="AN763" s="645">
        <f t="shared" si="878"/>
        <v>0</v>
      </c>
      <c r="AP763" s="250">
        <f t="shared" si="879"/>
        <v>0</v>
      </c>
      <c r="AW763" s="250">
        <f t="shared" si="880"/>
        <v>0</v>
      </c>
      <c r="AX763" s="199"/>
      <c r="BA763" s="252">
        <f t="shared" si="882"/>
        <v>0</v>
      </c>
      <c r="BB763" s="284"/>
      <c r="BD763" s="270"/>
      <c r="BF763" s="251"/>
      <c r="BG763" s="204"/>
      <c r="BH763" s="636"/>
      <c r="BI763" s="199">
        <f t="shared" si="883"/>
        <v>0</v>
      </c>
      <c r="BJ763" s="199">
        <f t="shared" si="884"/>
        <v>0</v>
      </c>
      <c r="BK763" s="199">
        <f t="shared" si="891"/>
        <v>0</v>
      </c>
      <c r="BL763" s="251">
        <f t="shared" si="885"/>
        <v>0</v>
      </c>
      <c r="BN763" s="251">
        <f t="shared" si="886"/>
        <v>0</v>
      </c>
      <c r="BT763" s="199"/>
      <c r="BU763" s="199"/>
      <c r="BV763" s="596"/>
      <c r="BW763" s="278"/>
      <c r="BX763" s="275"/>
      <c r="BY763" s="275"/>
      <c r="CA763" s="199">
        <f>'Detailed Budget'!$AD$96</f>
        <v>71050111380.677719</v>
      </c>
      <c r="CB763" s="275">
        <f t="shared" si="887"/>
        <v>0</v>
      </c>
      <c r="CE763" s="199"/>
      <c r="CF763" s="275"/>
      <c r="CG763" s="199"/>
      <c r="CH763" s="275"/>
      <c r="CI763" s="275"/>
      <c r="CJ763" s="275"/>
      <c r="CK763" s="275"/>
      <c r="CL763" s="275"/>
      <c r="CM763" s="278">
        <f>'Detailed Budget'!$AD$189</f>
        <v>77498869683.252869</v>
      </c>
      <c r="CN763" s="275">
        <f t="shared" si="888"/>
        <v>0</v>
      </c>
      <c r="CO763" s="140">
        <f>'Detailed Budget'!$AD$191</f>
        <v>2684962805.4134097</v>
      </c>
      <c r="CP763" s="616">
        <f t="shared" si="889"/>
        <v>0</v>
      </c>
      <c r="CQ763" s="616">
        <f t="shared" si="890"/>
        <v>0</v>
      </c>
      <c r="CR763" s="199"/>
      <c r="CS763" s="275"/>
      <c r="CW763" s="278"/>
      <c r="DH763" s="140">
        <f>'Detailed Budget'!$AD$163</f>
        <v>4928560000</v>
      </c>
      <c r="DI763" s="616">
        <f t="shared" si="935"/>
        <v>0</v>
      </c>
    </row>
    <row r="764" spans="1:113" s="213" customFormat="1">
      <c r="A764" s="206">
        <v>6.2</v>
      </c>
      <c r="B764" s="207" t="s">
        <v>1573</v>
      </c>
      <c r="C764" s="208">
        <f>COUNTA(C766:C785)</f>
        <v>20</v>
      </c>
      <c r="D764" s="208">
        <f t="shared" ref="D764:T764" si="937">COUNTA(D766:D785)</f>
        <v>0</v>
      </c>
      <c r="E764" s="208">
        <f t="shared" si="937"/>
        <v>0</v>
      </c>
      <c r="F764" s="208">
        <f t="shared" si="937"/>
        <v>0</v>
      </c>
      <c r="G764" s="208">
        <f t="shared" si="937"/>
        <v>15</v>
      </c>
      <c r="H764" s="208">
        <f t="shared" si="937"/>
        <v>20</v>
      </c>
      <c r="I764" s="208">
        <f t="shared" si="937"/>
        <v>18</v>
      </c>
      <c r="J764" s="208">
        <f t="shared" si="937"/>
        <v>0</v>
      </c>
      <c r="K764" s="208">
        <f t="shared" si="937"/>
        <v>0</v>
      </c>
      <c r="L764" s="208">
        <f t="shared" si="937"/>
        <v>0</v>
      </c>
      <c r="M764" s="208">
        <f t="shared" si="937"/>
        <v>2</v>
      </c>
      <c r="N764" s="208">
        <f t="shared" si="937"/>
        <v>11</v>
      </c>
      <c r="O764" s="208">
        <f t="shared" si="937"/>
        <v>5</v>
      </c>
      <c r="P764" s="208">
        <f t="shared" si="937"/>
        <v>0</v>
      </c>
      <c r="Q764" s="208">
        <f t="shared" si="937"/>
        <v>16</v>
      </c>
      <c r="R764" s="208">
        <f t="shared" si="937"/>
        <v>4</v>
      </c>
      <c r="S764" s="208">
        <f t="shared" si="937"/>
        <v>0</v>
      </c>
      <c r="T764" s="208">
        <f t="shared" si="937"/>
        <v>0</v>
      </c>
      <c r="U764" s="209">
        <f>SUM(C764:T764)</f>
        <v>111</v>
      </c>
      <c r="V764" s="867"/>
      <c r="W764" s="210">
        <f>SUM(W766:W785)</f>
        <v>9113605</v>
      </c>
      <c r="X764" s="211">
        <v>3.24</v>
      </c>
      <c r="Y764" s="212">
        <f t="shared" si="870"/>
        <v>1.0324</v>
      </c>
      <c r="Z764" s="210">
        <v>19</v>
      </c>
      <c r="AA764" s="212">
        <f t="shared" si="871"/>
        <v>1.8327866870051304</v>
      </c>
      <c r="AB764" s="210">
        <f t="shared" si="922"/>
        <v>16703293.914623391</v>
      </c>
      <c r="AC764" s="213">
        <v>12.6</v>
      </c>
      <c r="AD764" s="210">
        <f t="shared" si="923"/>
        <v>2104615.0332425474</v>
      </c>
      <c r="AE764" s="210">
        <f t="shared" si="872"/>
        <v>1999384.28158042</v>
      </c>
      <c r="AF764" s="210">
        <f>SUM(AF766:AF785)</f>
        <v>0</v>
      </c>
      <c r="AG764" s="614">
        <f t="shared" si="892"/>
        <v>9.2442751718816663E-2</v>
      </c>
      <c r="AH764" s="210">
        <f>SUM(AH766:AH785)</f>
        <v>835164.69573116954</v>
      </c>
      <c r="AI764" s="252">
        <f t="shared" si="875"/>
        <v>6.4698943580180426E-2</v>
      </c>
      <c r="AJ764" s="210">
        <f>SUM(AJ766:AJ785)</f>
        <v>2939779.728973717</v>
      </c>
      <c r="AK764" s="199">
        <f t="shared" si="906"/>
        <v>668131.75658493571</v>
      </c>
      <c r="AL764" s="199">
        <f t="shared" si="907"/>
        <v>668131.75658493571</v>
      </c>
      <c r="AM764" s="199">
        <f t="shared" si="877"/>
        <v>1336263.5131698714</v>
      </c>
      <c r="AN764" s="645">
        <f t="shared" si="878"/>
        <v>6.469894358018044E-2</v>
      </c>
      <c r="AO764" s="210">
        <f>SUM(AO766:AO785)</f>
        <v>245</v>
      </c>
      <c r="AP764" s="250">
        <f t="shared" si="879"/>
        <v>2.7837745710714693E-2</v>
      </c>
      <c r="AQ764" s="210">
        <f>SUM(AQ766:AQ785)</f>
        <v>245</v>
      </c>
      <c r="AR764" s="210"/>
      <c r="AS764" s="210"/>
      <c r="AT764" s="210"/>
      <c r="AU764" s="199"/>
      <c r="AV764" s="199"/>
      <c r="AW764" s="250">
        <f t="shared" si="880"/>
        <v>0</v>
      </c>
      <c r="AX764" s="199"/>
      <c r="AY764" s="210">
        <v>964951</v>
      </c>
      <c r="AZ764" s="210">
        <f>SUM(AZ766:AZ785)</f>
        <v>964950.91103855276</v>
      </c>
      <c r="BA764" s="252">
        <f t="shared" si="882"/>
        <v>7.5851403474733264E-2</v>
      </c>
      <c r="BB764" s="284"/>
      <c r="BC764" s="210"/>
      <c r="BD764" s="270">
        <f t="shared" si="911"/>
        <v>0</v>
      </c>
      <c r="BE764" s="210"/>
      <c r="BF764" s="251">
        <f t="shared" si="912"/>
        <v>0</v>
      </c>
      <c r="BH764"/>
      <c r="BI764" s="199">
        <f t="shared" si="883"/>
        <v>5111207.9378747568</v>
      </c>
      <c r="BJ764" s="199">
        <f t="shared" si="884"/>
        <v>10222415.875749514</v>
      </c>
      <c r="BK764" s="199">
        <f t="shared" si="891"/>
        <v>15333623.81362427</v>
      </c>
      <c r="BL764" s="251">
        <f t="shared" si="885"/>
        <v>6.4698943580180412E-2</v>
      </c>
      <c r="BM764" s="210">
        <v>1433158</v>
      </c>
      <c r="BN764" s="251">
        <f t="shared" si="886"/>
        <v>6.1888219483511003E-2</v>
      </c>
      <c r="BT764" s="210">
        <f>'Detailed Budget'!$AD$12</f>
        <v>194045122715</v>
      </c>
      <c r="BU764" s="210">
        <f>'Detailed Budget'!$AD$24</f>
        <v>194045122715</v>
      </c>
      <c r="BV764" s="596">
        <f>AV764/34743979</f>
        <v>0</v>
      </c>
      <c r="BW764" s="278"/>
      <c r="BX764" s="613">
        <f t="shared" si="868"/>
        <v>0</v>
      </c>
      <c r="BY764" s="613">
        <f t="shared" si="869"/>
        <v>0</v>
      </c>
      <c r="CA764" s="210">
        <f>'Detailed Budget'!$AD$96</f>
        <v>71050111380.677719</v>
      </c>
      <c r="CB764" s="613">
        <f t="shared" si="887"/>
        <v>5389250665.2605238</v>
      </c>
      <c r="CE764" s="210">
        <f>'Detailed Budget'!$AD$175</f>
        <v>4330586076.5988197</v>
      </c>
      <c r="CF764" s="613">
        <f>SUM(CF766:CF785)</f>
        <v>0</v>
      </c>
      <c r="CG764" s="632">
        <f>'Detailed Budget'!$AD$176</f>
        <v>20662817754.37001</v>
      </c>
      <c r="CH764" s="613">
        <f>SUM(CH766:CH785)</f>
        <v>0</v>
      </c>
      <c r="CI764" s="613">
        <f>SUM(CI766:CI785)</f>
        <v>0</v>
      </c>
      <c r="CJ764" s="275">
        <f>'Detailed Budget'!$AD$178</f>
        <v>46025131033.061455</v>
      </c>
      <c r="CK764" s="613">
        <f>SUM(CK766:CK785)</f>
        <v>0</v>
      </c>
      <c r="CL764" s="613">
        <f>SUM(CL766:CL785)</f>
        <v>0</v>
      </c>
      <c r="CM764" s="278">
        <f>'Detailed Budget'!$AD$189</f>
        <v>77498869683.252869</v>
      </c>
      <c r="CN764" s="275">
        <f t="shared" si="888"/>
        <v>0</v>
      </c>
      <c r="CO764" s="140">
        <f>'Detailed Budget'!$AD$191</f>
        <v>2684962805.4134097</v>
      </c>
      <c r="CP764" s="616">
        <f t="shared" si="889"/>
        <v>0</v>
      </c>
      <c r="CQ764" s="616">
        <f t="shared" si="890"/>
        <v>0</v>
      </c>
      <c r="CR764" s="210">
        <f>'Detailed Budget'!$AD$195</f>
        <v>18734176418</v>
      </c>
      <c r="CS764" s="275">
        <f>BN764*CR764</f>
        <v>1159424822</v>
      </c>
      <c r="CW764" s="278"/>
      <c r="DH764" s="140">
        <f>'Detailed Budget'!$AD$163</f>
        <v>4928560000</v>
      </c>
      <c r="DI764" s="616">
        <f t="shared" si="935"/>
        <v>137200000</v>
      </c>
    </row>
    <row r="765" spans="1:113" s="213" customFormat="1">
      <c r="A765" s="214" t="s">
        <v>2351</v>
      </c>
      <c r="B765" s="215" t="s">
        <v>2318</v>
      </c>
      <c r="C765" s="208"/>
      <c r="D765" s="208"/>
      <c r="E765" s="208"/>
      <c r="F765" s="208"/>
      <c r="G765" s="208"/>
      <c r="H765" s="208"/>
      <c r="I765" s="208"/>
      <c r="J765" s="208"/>
      <c r="K765" s="208"/>
      <c r="L765" s="208"/>
      <c r="M765" s="208"/>
      <c r="N765" s="208"/>
      <c r="O765" s="208"/>
      <c r="P765" s="208"/>
      <c r="Q765" s="208"/>
      <c r="R765" s="208"/>
      <c r="S765" s="208"/>
      <c r="T765" s="208"/>
      <c r="U765" s="209"/>
      <c r="V765" s="867"/>
      <c r="W765" s="210"/>
      <c r="X765" s="211"/>
      <c r="Y765" s="212"/>
      <c r="Z765" s="210"/>
      <c r="AA765" s="212"/>
      <c r="AB765" s="210"/>
      <c r="AD765" s="210"/>
      <c r="AE765" s="210"/>
      <c r="AF765" s="199"/>
      <c r="AG765" s="614">
        <f t="shared" si="892"/>
        <v>0</v>
      </c>
      <c r="AH765" s="210"/>
      <c r="AI765" s="252"/>
      <c r="AJ765" s="199"/>
      <c r="AK765" s="199">
        <f t="shared" si="906"/>
        <v>0</v>
      </c>
      <c r="AL765" s="199">
        <f t="shared" si="907"/>
        <v>0</v>
      </c>
      <c r="AM765" s="199">
        <f t="shared" si="877"/>
        <v>0</v>
      </c>
      <c r="AN765" s="645">
        <f t="shared" si="878"/>
        <v>0</v>
      </c>
      <c r="AO765" s="210"/>
      <c r="AP765" s="250"/>
      <c r="AQ765" s="210"/>
      <c r="AR765" s="210"/>
      <c r="AS765" s="210"/>
      <c r="AT765" s="210"/>
      <c r="AU765" s="199"/>
      <c r="AV765" s="199"/>
      <c r="AW765" s="250">
        <f t="shared" si="880"/>
        <v>0</v>
      </c>
      <c r="AX765" s="199"/>
      <c r="AY765" s="210"/>
      <c r="AZ765" s="199"/>
      <c r="BA765" s="252">
        <f t="shared" si="882"/>
        <v>0</v>
      </c>
      <c r="BB765" s="284"/>
      <c r="BC765" s="210"/>
      <c r="BD765" s="270">
        <f t="shared" si="911"/>
        <v>0</v>
      </c>
      <c r="BE765" s="210"/>
      <c r="BF765" s="251">
        <f t="shared" si="912"/>
        <v>0</v>
      </c>
      <c r="BH765"/>
      <c r="BI765" s="199">
        <f t="shared" si="883"/>
        <v>0</v>
      </c>
      <c r="BJ765" s="199">
        <f t="shared" si="884"/>
        <v>0</v>
      </c>
      <c r="BK765" s="199">
        <f t="shared" si="891"/>
        <v>0</v>
      </c>
      <c r="BL765" s="251">
        <f t="shared" si="885"/>
        <v>0</v>
      </c>
      <c r="BM765" s="210"/>
      <c r="BN765" s="251">
        <f t="shared" si="886"/>
        <v>0</v>
      </c>
      <c r="BT765" s="210"/>
      <c r="BU765" s="210">
        <f>'Detailed Budget'!$AD$24</f>
        <v>194045122715</v>
      </c>
      <c r="BV765" s="596"/>
      <c r="BW765" s="278"/>
      <c r="BX765" s="275"/>
      <c r="BY765" s="275"/>
      <c r="CA765" s="210">
        <f>'Detailed Budget'!$AD$96</f>
        <v>71050111380.677719</v>
      </c>
      <c r="CB765" s="275"/>
      <c r="CE765" s="210"/>
      <c r="CF765" s="275"/>
      <c r="CG765" s="240"/>
      <c r="CH765" s="275"/>
      <c r="CI765" s="275"/>
      <c r="CJ765" s="275"/>
      <c r="CK765" s="275">
        <f t="shared" ref="CK765:CK785" si="938">BB765*AG765*CJ765</f>
        <v>0</v>
      </c>
      <c r="CL765" s="275">
        <f t="shared" si="909"/>
        <v>0</v>
      </c>
      <c r="CM765" s="278">
        <f>'Detailed Budget'!$AD$189</f>
        <v>77498869683.252869</v>
      </c>
      <c r="CN765" s="275">
        <f t="shared" si="888"/>
        <v>0</v>
      </c>
      <c r="CO765" s="140">
        <f>'Detailed Budget'!$AD$191</f>
        <v>2684962805.4134097</v>
      </c>
      <c r="CP765" s="616">
        <f t="shared" si="889"/>
        <v>0</v>
      </c>
      <c r="CQ765" s="616">
        <f t="shared" si="890"/>
        <v>0</v>
      </c>
      <c r="CR765" s="210"/>
      <c r="CS765" s="275"/>
      <c r="CW765" s="278"/>
      <c r="DH765" s="140"/>
      <c r="DI765" s="616"/>
    </row>
    <row r="766" spans="1:113" outlineLevel="1">
      <c r="A766" s="214" t="s">
        <v>1574</v>
      </c>
      <c r="B766" s="215" t="s">
        <v>1575</v>
      </c>
      <c r="C766" s="216" t="s">
        <v>234</v>
      </c>
      <c r="D766" s="217"/>
      <c r="E766" s="216"/>
      <c r="F766" s="216"/>
      <c r="G766" s="216" t="s">
        <v>234</v>
      </c>
      <c r="H766" s="216" t="s">
        <v>234</v>
      </c>
      <c r="I766" s="217" t="s">
        <v>234</v>
      </c>
      <c r="J766" s="217"/>
      <c r="K766" s="216"/>
      <c r="L766" s="216"/>
      <c r="M766" s="217"/>
      <c r="N766" s="216" t="s">
        <v>234</v>
      </c>
      <c r="O766" s="217"/>
      <c r="P766" s="216"/>
      <c r="Q766" s="217" t="s">
        <v>234</v>
      </c>
      <c r="R766" s="217"/>
      <c r="S766" s="217"/>
      <c r="T766" s="217"/>
      <c r="U766" s="218">
        <f t="shared" si="924"/>
        <v>6</v>
      </c>
      <c r="V766" s="867" t="s">
        <v>1096</v>
      </c>
      <c r="W766" s="219">
        <v>461743</v>
      </c>
      <c r="X766" s="220">
        <v>3.24</v>
      </c>
      <c r="Y766" s="221">
        <f t="shared" si="870"/>
        <v>1.0324</v>
      </c>
      <c r="Z766" s="199">
        <v>19</v>
      </c>
      <c r="AA766" s="221">
        <f t="shared" si="871"/>
        <v>1.8327866870051304</v>
      </c>
      <c r="AB766" s="199">
        <f t="shared" si="922"/>
        <v>846276.42321780988</v>
      </c>
      <c r="AC766">
        <v>12.6</v>
      </c>
      <c r="AD766" s="199">
        <f t="shared" si="923"/>
        <v>106630.82932544405</v>
      </c>
      <c r="AE766" s="199">
        <f t="shared" si="872"/>
        <v>101299.28785917185</v>
      </c>
      <c r="AF766" s="199">
        <f t="shared" si="893"/>
        <v>0</v>
      </c>
      <c r="AG766" s="614">
        <f t="shared" si="892"/>
        <v>4.683634358401704E-3</v>
      </c>
      <c r="AH766" s="199">
        <f>AB766*0.05</f>
        <v>42313.821160890497</v>
      </c>
      <c r="AI766" s="252">
        <f t="shared" si="875"/>
        <v>3.2779876136329426E-3</v>
      </c>
      <c r="AJ766" s="199">
        <f t="shared" si="876"/>
        <v>148944.65048633455</v>
      </c>
      <c r="AK766" s="199">
        <f t="shared" si="906"/>
        <v>33851.056928712394</v>
      </c>
      <c r="AL766" s="199">
        <f t="shared" si="907"/>
        <v>33851.056928712394</v>
      </c>
      <c r="AM766" s="199">
        <f t="shared" si="877"/>
        <v>67702.113857424789</v>
      </c>
      <c r="AN766" s="645">
        <f t="shared" si="878"/>
        <v>3.2779876136329422E-3</v>
      </c>
      <c r="AO766" s="199">
        <v>11</v>
      </c>
      <c r="AP766" s="250">
        <f t="shared" si="879"/>
        <v>1.2498579706851495E-3</v>
      </c>
      <c r="AQ766" s="199">
        <v>11</v>
      </c>
      <c r="AU766" s="199">
        <v>0</v>
      </c>
      <c r="AW766" s="250">
        <f t="shared" si="880"/>
        <v>0</v>
      </c>
      <c r="AX766" s="199">
        <v>1</v>
      </c>
      <c r="AY766" s="199">
        <f t="shared" ref="AY766:AY785" si="939">AJ766/2939780*964951</f>
        <v>48889.47112758064</v>
      </c>
      <c r="AZ766" s="199">
        <f t="shared" si="881"/>
        <v>48889.47112758064</v>
      </c>
      <c r="BA766" s="252">
        <f t="shared" si="882"/>
        <v>3.8430296896380485E-3</v>
      </c>
      <c r="BB766" s="284">
        <v>0</v>
      </c>
      <c r="BC766" s="199">
        <f t="shared" ref="BC766:BC785" si="940">AD766*BB766*0.18*4</f>
        <v>0</v>
      </c>
      <c r="BD766" s="270">
        <f t="shared" si="911"/>
        <v>0</v>
      </c>
      <c r="BE766" s="199">
        <f t="shared" ref="BE766:BE785" si="941">AD766*BB766*0.77*4</f>
        <v>0</v>
      </c>
      <c r="BF766" s="251">
        <f t="shared" si="912"/>
        <v>0</v>
      </c>
      <c r="BG766" s="204">
        <f t="shared" ref="BG766:BG785" si="942">BC766+BE766</f>
        <v>0</v>
      </c>
      <c r="BH766" s="636">
        <v>1</v>
      </c>
      <c r="BI766" s="199">
        <f t="shared" si="883"/>
        <v>258960.58550464979</v>
      </c>
      <c r="BJ766" s="199">
        <f t="shared" si="884"/>
        <v>517921.17100929958</v>
      </c>
      <c r="BK766" s="199">
        <f t="shared" si="891"/>
        <v>776881.75651394937</v>
      </c>
      <c r="BL766" s="251">
        <f t="shared" si="885"/>
        <v>3.2779876136329418E-3</v>
      </c>
      <c r="BM766" s="199">
        <f t="shared" ref="BM766:BM785" si="943">AH766/835165*1433158</f>
        <v>72611.269997305324</v>
      </c>
      <c r="BN766" s="251">
        <f t="shared" si="886"/>
        <v>3.1355804555880853E-3</v>
      </c>
      <c r="BT766" s="199">
        <f>'Detailed Budget'!$AD$12</f>
        <v>194045122715</v>
      </c>
      <c r="BU766" s="199">
        <f>'Detailed Budget'!$AD$24</f>
        <v>194045122715</v>
      </c>
      <c r="BV766" s="596">
        <f t="shared" ref="BV766:BV785" si="944">AV766/34743979</f>
        <v>0</v>
      </c>
      <c r="BW766" s="278"/>
      <c r="BX766" s="275">
        <f t="shared" si="868"/>
        <v>0</v>
      </c>
      <c r="BY766" s="275">
        <f t="shared" si="869"/>
        <v>0</v>
      </c>
      <c r="CA766" s="199">
        <f>'Detailed Budget'!$AD$96</f>
        <v>71050111380.677719</v>
      </c>
      <c r="CB766" s="275">
        <f t="shared" si="887"/>
        <v>273047687.48803467</v>
      </c>
      <c r="CE766" s="199">
        <f>'Detailed Budget'!$AD$175</f>
        <v>4330586076.5988197</v>
      </c>
      <c r="CF766" s="275">
        <f t="shared" ref="CF766:CF785" si="945">BB766*BD766*CE766</f>
        <v>0</v>
      </c>
      <c r="CG766" s="199">
        <f>'Detailed Budget'!$AD$176</f>
        <v>20662817754.37001</v>
      </c>
      <c r="CH766" s="275">
        <f t="shared" ref="CH766:CH785" si="946">BB766*BF766*CG766</f>
        <v>0</v>
      </c>
      <c r="CI766" s="275">
        <f t="shared" si="910"/>
        <v>0</v>
      </c>
      <c r="CJ766" s="275">
        <f>'Detailed Budget'!$AD$178</f>
        <v>46025131033.061455</v>
      </c>
      <c r="CK766" s="275">
        <f t="shared" si="938"/>
        <v>0</v>
      </c>
      <c r="CL766" s="275">
        <f t="shared" si="909"/>
        <v>0</v>
      </c>
      <c r="CM766" s="278">
        <f>'Detailed Budget'!$AD$189</f>
        <v>77498869683.252869</v>
      </c>
      <c r="CN766" s="275">
        <f t="shared" si="888"/>
        <v>254040334.89225641</v>
      </c>
      <c r="CO766" s="140">
        <f>'Detailed Budget'!$AD$191</f>
        <v>2684962805.4134097</v>
      </c>
      <c r="CP766" s="616">
        <f t="shared" si="889"/>
        <v>8801274.8192103133</v>
      </c>
      <c r="CQ766" s="616">
        <f t="shared" si="890"/>
        <v>262841609.71146673</v>
      </c>
      <c r="CR766" s="199">
        <f>'Detailed Budget'!$AD$195</f>
        <v>18734176418</v>
      </c>
      <c r="CS766" s="275">
        <f t="shared" ref="CS766:CS785" si="947">BN766*CR766</f>
        <v>58742517.427820005</v>
      </c>
      <c r="CW766" s="278"/>
      <c r="DH766" s="140">
        <f>'Detailed Budget'!$AD$163</f>
        <v>4928560000</v>
      </c>
      <c r="DI766" s="616">
        <f t="shared" ref="DI766:DI787" si="948">AP766*DH766</f>
        <v>6160000</v>
      </c>
    </row>
    <row r="767" spans="1:113" outlineLevel="1">
      <c r="A767" s="214" t="s">
        <v>1576</v>
      </c>
      <c r="B767" s="215" t="s">
        <v>1577</v>
      </c>
      <c r="C767" s="216" t="s">
        <v>234</v>
      </c>
      <c r="D767" s="217"/>
      <c r="E767" s="216"/>
      <c r="F767" s="216"/>
      <c r="G767" s="216"/>
      <c r="H767" s="216" t="s">
        <v>234</v>
      </c>
      <c r="I767" s="217" t="s">
        <v>234</v>
      </c>
      <c r="J767" s="217"/>
      <c r="K767" s="216"/>
      <c r="L767" s="216"/>
      <c r="M767" s="217"/>
      <c r="N767" s="216" t="s">
        <v>234</v>
      </c>
      <c r="O767" s="217"/>
      <c r="P767" s="216"/>
      <c r="Q767" s="217" t="s">
        <v>234</v>
      </c>
      <c r="R767" s="217"/>
      <c r="S767" s="217"/>
      <c r="T767" s="217"/>
      <c r="U767" s="218">
        <f t="shared" si="924"/>
        <v>5</v>
      </c>
      <c r="V767" s="867" t="s">
        <v>1150</v>
      </c>
      <c r="W767" s="219">
        <v>687316</v>
      </c>
      <c r="X767" s="220">
        <v>3.24</v>
      </c>
      <c r="Y767" s="221">
        <f t="shared" si="870"/>
        <v>1.0324</v>
      </c>
      <c r="Z767" s="199">
        <v>19</v>
      </c>
      <c r="AA767" s="221">
        <f t="shared" si="871"/>
        <v>1.8327866870051304</v>
      </c>
      <c r="AB767" s="199">
        <f t="shared" si="922"/>
        <v>1259703.6145656181</v>
      </c>
      <c r="AC767">
        <v>12.6</v>
      </c>
      <c r="AD767" s="199">
        <f t="shared" si="923"/>
        <v>158722.65543526786</v>
      </c>
      <c r="AE767" s="199">
        <f t="shared" si="872"/>
        <v>150786.52266350447</v>
      </c>
      <c r="AF767" s="199">
        <f t="shared" si="893"/>
        <v>0</v>
      </c>
      <c r="AG767" s="614">
        <f t="shared" si="892"/>
        <v>6.9717068427225205E-3</v>
      </c>
      <c r="AH767" s="199">
        <f t="shared" ref="AH767:AH785" si="949">AB767*0.05</f>
        <v>62985.18072828091</v>
      </c>
      <c r="AI767" s="252">
        <f t="shared" si="875"/>
        <v>4.8793665191496985E-3</v>
      </c>
      <c r="AJ767" s="199">
        <f t="shared" si="876"/>
        <v>221707.83616354878</v>
      </c>
      <c r="AK767" s="199">
        <f t="shared" si="906"/>
        <v>50388.144582624722</v>
      </c>
      <c r="AL767" s="199">
        <f t="shared" si="907"/>
        <v>50388.144582624722</v>
      </c>
      <c r="AM767" s="199">
        <f t="shared" si="877"/>
        <v>100776.28916524944</v>
      </c>
      <c r="AN767" s="645">
        <f t="shared" si="878"/>
        <v>4.8793665191496985E-3</v>
      </c>
      <c r="AO767" s="199">
        <v>11</v>
      </c>
      <c r="AP767" s="250">
        <f t="shared" si="879"/>
        <v>1.2498579706851495E-3</v>
      </c>
      <c r="AQ767" s="199">
        <v>11</v>
      </c>
      <c r="AU767" s="199">
        <v>0</v>
      </c>
      <c r="AW767" s="250">
        <f t="shared" si="880"/>
        <v>0</v>
      </c>
      <c r="AX767" s="199">
        <v>1</v>
      </c>
      <c r="AY767" s="199">
        <f t="shared" si="939"/>
        <v>72773.200108121207</v>
      </c>
      <c r="AZ767" s="199">
        <f t="shared" si="881"/>
        <v>72773.200108121207</v>
      </c>
      <c r="BA767" s="252">
        <f t="shared" si="882"/>
        <v>5.7204457764671356E-3</v>
      </c>
      <c r="BB767" s="284">
        <v>0</v>
      </c>
      <c r="BC767" s="199">
        <f t="shared" si="940"/>
        <v>0</v>
      </c>
      <c r="BD767" s="270">
        <f t="shared" si="911"/>
        <v>0</v>
      </c>
      <c r="BE767" s="199">
        <f t="shared" si="941"/>
        <v>0</v>
      </c>
      <c r="BF767" s="251">
        <f t="shared" si="912"/>
        <v>0</v>
      </c>
      <c r="BG767" s="204">
        <f t="shared" si="942"/>
        <v>0</v>
      </c>
      <c r="BH767" s="636">
        <v>0</v>
      </c>
      <c r="BI767" s="199">
        <f t="shared" si="883"/>
        <v>385469.30605707911</v>
      </c>
      <c r="BJ767" s="199">
        <f t="shared" si="884"/>
        <v>770938.61211415823</v>
      </c>
      <c r="BK767" s="199">
        <f t="shared" si="891"/>
        <v>1156407.9181712372</v>
      </c>
      <c r="BL767" s="251">
        <f t="shared" si="885"/>
        <v>4.8793665191496976E-3</v>
      </c>
      <c r="BM767" s="199">
        <f t="shared" si="943"/>
        <v>108083.69081819954</v>
      </c>
      <c r="BN767" s="251">
        <f t="shared" si="886"/>
        <v>4.6673899039356972E-3</v>
      </c>
      <c r="BT767" s="199">
        <f>'Detailed Budget'!$AD$12</f>
        <v>194045122715</v>
      </c>
      <c r="BU767" s="199">
        <f>'Detailed Budget'!$AD$24</f>
        <v>194045122715</v>
      </c>
      <c r="BV767" s="596">
        <f t="shared" si="944"/>
        <v>0</v>
      </c>
      <c r="BW767" s="278"/>
      <c r="BX767" s="275">
        <f t="shared" si="868"/>
        <v>0</v>
      </c>
      <c r="BY767" s="275">
        <f t="shared" si="869"/>
        <v>0</v>
      </c>
      <c r="CA767" s="199">
        <f>'Detailed Budget'!$AD$96</f>
        <v>71050111380.677719</v>
      </c>
      <c r="CB767" s="275">
        <f t="shared" si="887"/>
        <v>406438309.56511742</v>
      </c>
      <c r="CE767" s="199">
        <f>'Detailed Budget'!$AD$175</f>
        <v>4330586076.5988197</v>
      </c>
      <c r="CF767" s="275">
        <f t="shared" si="945"/>
        <v>0</v>
      </c>
      <c r="CG767" s="199">
        <f>'Detailed Budget'!$AD$176</f>
        <v>20662817754.37001</v>
      </c>
      <c r="CH767" s="275">
        <f t="shared" si="946"/>
        <v>0</v>
      </c>
      <c r="CI767" s="275">
        <f t="shared" si="910"/>
        <v>0</v>
      </c>
      <c r="CJ767" s="275">
        <f>'Detailed Budget'!$AD$178</f>
        <v>46025131033.061455</v>
      </c>
      <c r="CK767" s="275">
        <f t="shared" si="938"/>
        <v>0</v>
      </c>
      <c r="CL767" s="275">
        <f t="shared" si="909"/>
        <v>0</v>
      </c>
      <c r="CM767" s="278">
        <f>'Detailed Budget'!$AD$189</f>
        <v>77498869683.252869</v>
      </c>
      <c r="CN767" s="275">
        <f t="shared" si="888"/>
        <v>0</v>
      </c>
      <c r="CO767" s="140">
        <f>'Detailed Budget'!$AD$191</f>
        <v>2684962805.4134097</v>
      </c>
      <c r="CP767" s="616">
        <f t="shared" si="889"/>
        <v>0</v>
      </c>
      <c r="CQ767" s="616">
        <f t="shared" si="890"/>
        <v>0</v>
      </c>
      <c r="CR767" s="199">
        <f>'Detailed Budget'!$AD$195</f>
        <v>18734176418</v>
      </c>
      <c r="CS767" s="275">
        <f t="shared" si="947"/>
        <v>87439705.871923417</v>
      </c>
      <c r="CW767" s="278"/>
      <c r="DH767" s="140">
        <f>'Detailed Budget'!$AD$163</f>
        <v>4928560000</v>
      </c>
      <c r="DI767" s="616">
        <f t="shared" si="948"/>
        <v>6160000</v>
      </c>
    </row>
    <row r="768" spans="1:113" outlineLevel="1">
      <c r="A768" s="214" t="s">
        <v>1578</v>
      </c>
      <c r="B768" s="215" t="s">
        <v>1579</v>
      </c>
      <c r="C768" s="216" t="s">
        <v>234</v>
      </c>
      <c r="D768" s="217"/>
      <c r="E768" s="216"/>
      <c r="F768" s="216"/>
      <c r="G768" s="216" t="s">
        <v>234</v>
      </c>
      <c r="H768" s="216" t="s">
        <v>234</v>
      </c>
      <c r="I768" s="217" t="s">
        <v>234</v>
      </c>
      <c r="J768" s="217"/>
      <c r="K768" s="216"/>
      <c r="L768" s="216"/>
      <c r="M768" s="217"/>
      <c r="N768" s="216"/>
      <c r="O768" s="217" t="s">
        <v>234</v>
      </c>
      <c r="P768" s="216"/>
      <c r="Q768" s="217" t="s">
        <v>234</v>
      </c>
      <c r="R768" s="217"/>
      <c r="S768" s="217"/>
      <c r="T768" s="217"/>
      <c r="U768" s="218">
        <f t="shared" si="924"/>
        <v>6</v>
      </c>
      <c r="V768" s="867" t="s">
        <v>1096</v>
      </c>
      <c r="W768" s="219">
        <v>1319571</v>
      </c>
      <c r="X768" s="220">
        <v>3.24</v>
      </c>
      <c r="Y768" s="221">
        <f t="shared" si="870"/>
        <v>1.0324</v>
      </c>
      <c r="Z768" s="199">
        <v>19</v>
      </c>
      <c r="AA768" s="221">
        <f t="shared" si="871"/>
        <v>1.8327866870051304</v>
      </c>
      <c r="AB768" s="199">
        <f t="shared" si="922"/>
        <v>2418492.1613580468</v>
      </c>
      <c r="AC768">
        <v>12.6</v>
      </c>
      <c r="AD768" s="199">
        <f t="shared" si="923"/>
        <v>304730.01233111392</v>
      </c>
      <c r="AE768" s="199">
        <f t="shared" si="872"/>
        <v>289493.51171455823</v>
      </c>
      <c r="AF768" s="199">
        <f t="shared" si="893"/>
        <v>0</v>
      </c>
      <c r="AG768" s="614">
        <f t="shared" si="892"/>
        <v>1.338490908135152E-2</v>
      </c>
      <c r="AH768" s="199">
        <f t="shared" si="949"/>
        <v>120924.60806790234</v>
      </c>
      <c r="AI768" s="252">
        <f t="shared" si="875"/>
        <v>9.367846168343073E-3</v>
      </c>
      <c r="AJ768" s="199">
        <f t="shared" si="876"/>
        <v>425654.62039901625</v>
      </c>
      <c r="AK768" s="199">
        <f t="shared" si="906"/>
        <v>96739.686454321869</v>
      </c>
      <c r="AL768" s="199">
        <f t="shared" si="907"/>
        <v>96739.686454321869</v>
      </c>
      <c r="AM768" s="199">
        <f t="shared" si="877"/>
        <v>193479.37290864374</v>
      </c>
      <c r="AN768" s="645">
        <f t="shared" si="878"/>
        <v>9.3678461683430712E-3</v>
      </c>
      <c r="AO768" s="199">
        <v>11</v>
      </c>
      <c r="AP768" s="250">
        <f t="shared" si="879"/>
        <v>1.2498579706851495E-3</v>
      </c>
      <c r="AQ768" s="199">
        <v>11</v>
      </c>
      <c r="AU768" s="199">
        <v>0</v>
      </c>
      <c r="AW768" s="250">
        <f t="shared" si="880"/>
        <v>0</v>
      </c>
      <c r="AX768" s="199">
        <v>1</v>
      </c>
      <c r="AY768" s="199">
        <f t="shared" si="939"/>
        <v>139716.52695393912</v>
      </c>
      <c r="AZ768" s="199">
        <f t="shared" si="881"/>
        <v>139716.52695393912</v>
      </c>
      <c r="BA768" s="252">
        <f t="shared" si="882"/>
        <v>1.098262568265327E-2</v>
      </c>
      <c r="BB768" s="284">
        <v>0</v>
      </c>
      <c r="BC768" s="199">
        <f t="shared" si="940"/>
        <v>0</v>
      </c>
      <c r="BD768" s="270">
        <f t="shared" si="911"/>
        <v>0</v>
      </c>
      <c r="BE768" s="199">
        <f t="shared" si="941"/>
        <v>0</v>
      </c>
      <c r="BF768" s="251">
        <f t="shared" si="912"/>
        <v>0</v>
      </c>
      <c r="BG768" s="204">
        <f t="shared" si="942"/>
        <v>0</v>
      </c>
      <c r="BH768" s="636">
        <v>1</v>
      </c>
      <c r="BI768" s="199">
        <f t="shared" si="883"/>
        <v>740058.60137556226</v>
      </c>
      <c r="BJ768" s="199">
        <f t="shared" si="884"/>
        <v>1480117.2027511245</v>
      </c>
      <c r="BK768" s="199">
        <f t="shared" si="891"/>
        <v>2220175.8041266869</v>
      </c>
      <c r="BL768" s="251">
        <f t="shared" si="885"/>
        <v>9.3678461683430712E-3</v>
      </c>
      <c r="BM768" s="199">
        <f t="shared" si="943"/>
        <v>207508.77904291824</v>
      </c>
      <c r="BN768" s="251">
        <f t="shared" si="886"/>
        <v>8.9608744201012808E-3</v>
      </c>
      <c r="BT768" s="199">
        <f>'Detailed Budget'!$AD$12</f>
        <v>194045122715</v>
      </c>
      <c r="BU768" s="199">
        <f>'Detailed Budget'!$AD$24</f>
        <v>194045122715</v>
      </c>
      <c r="BV768" s="596">
        <f t="shared" si="944"/>
        <v>0</v>
      </c>
      <c r="BW768" s="278"/>
      <c r="BX768" s="275">
        <f t="shared" si="868"/>
        <v>0</v>
      </c>
      <c r="BY768" s="275">
        <f t="shared" si="869"/>
        <v>0</v>
      </c>
      <c r="CA768" s="199">
        <f>'Detailed Budget'!$AD$96</f>
        <v>71050111380.677719</v>
      </c>
      <c r="CB768" s="275">
        <f t="shared" si="887"/>
        <v>780316778.00480652</v>
      </c>
      <c r="CE768" s="199">
        <f>'Detailed Budget'!$AD$175</f>
        <v>4330586076.5988197</v>
      </c>
      <c r="CF768" s="275">
        <f t="shared" si="945"/>
        <v>0</v>
      </c>
      <c r="CG768" s="199">
        <f>'Detailed Budget'!$AD$176</f>
        <v>20662817754.37001</v>
      </c>
      <c r="CH768" s="275">
        <f t="shared" si="946"/>
        <v>0</v>
      </c>
      <c r="CI768" s="275">
        <f t="shared" si="910"/>
        <v>0</v>
      </c>
      <c r="CJ768" s="275">
        <f>'Detailed Budget'!$AD$178</f>
        <v>46025131033.061455</v>
      </c>
      <c r="CK768" s="275">
        <f t="shared" si="938"/>
        <v>0</v>
      </c>
      <c r="CL768" s="275">
        <f t="shared" si="909"/>
        <v>0</v>
      </c>
      <c r="CM768" s="278">
        <f>'Detailed Budget'!$AD$189</f>
        <v>77498869683.252869</v>
      </c>
      <c r="CN768" s="275">
        <f t="shared" si="888"/>
        <v>725997489.4131794</v>
      </c>
      <c r="CO768" s="140">
        <f>'Detailed Budget'!$AD$191</f>
        <v>2684962805.4134097</v>
      </c>
      <c r="CP768" s="616">
        <f t="shared" si="889"/>
        <v>25152318.528835673</v>
      </c>
      <c r="CQ768" s="616">
        <f t="shared" si="890"/>
        <v>751149807.94201505</v>
      </c>
      <c r="CR768" s="199">
        <f>'Detailed Budget'!$AD$195</f>
        <v>18734176418</v>
      </c>
      <c r="CS768" s="275">
        <f t="shared" si="947"/>
        <v>167874602.24572083</v>
      </c>
      <c r="CW768" s="278"/>
      <c r="DH768" s="140">
        <f>'Detailed Budget'!$AD$163</f>
        <v>4928560000</v>
      </c>
      <c r="DI768" s="616">
        <f t="shared" si="948"/>
        <v>6160000</v>
      </c>
    </row>
    <row r="769" spans="1:113" outlineLevel="1">
      <c r="A769" s="214" t="s">
        <v>1580</v>
      </c>
      <c r="B769" s="215" t="s">
        <v>1581</v>
      </c>
      <c r="C769" s="216" t="s">
        <v>234</v>
      </c>
      <c r="D769" s="217"/>
      <c r="E769" s="216"/>
      <c r="F769" s="216"/>
      <c r="G769" s="216" t="s">
        <v>234</v>
      </c>
      <c r="H769" s="216" t="s">
        <v>234</v>
      </c>
      <c r="I769" s="217" t="s">
        <v>234</v>
      </c>
      <c r="J769" s="217"/>
      <c r="K769" s="216"/>
      <c r="L769" s="216"/>
      <c r="M769" s="217"/>
      <c r="N769" s="216" t="s">
        <v>234</v>
      </c>
      <c r="O769" s="217"/>
      <c r="P769" s="216"/>
      <c r="Q769" s="217" t="s">
        <v>234</v>
      </c>
      <c r="R769" s="217"/>
      <c r="S769" s="217"/>
      <c r="T769" s="217"/>
      <c r="U769" s="218">
        <f t="shared" si="924"/>
        <v>6</v>
      </c>
      <c r="V769" s="867" t="s">
        <v>1096</v>
      </c>
      <c r="W769" s="219">
        <v>328975</v>
      </c>
      <c r="X769" s="220">
        <v>3.24</v>
      </c>
      <c r="Y769" s="221">
        <f t="shared" si="870"/>
        <v>1.0324</v>
      </c>
      <c r="Z769" s="199">
        <v>19</v>
      </c>
      <c r="AA769" s="221">
        <f t="shared" si="871"/>
        <v>1.8327866870051304</v>
      </c>
      <c r="AB769" s="199">
        <f t="shared" si="922"/>
        <v>602941.00035751273</v>
      </c>
      <c r="AC769">
        <v>12.6</v>
      </c>
      <c r="AD769" s="199">
        <f t="shared" si="923"/>
        <v>75970.566045046595</v>
      </c>
      <c r="AE769" s="199">
        <f t="shared" si="872"/>
        <v>72172.037742794259</v>
      </c>
      <c r="AF769" s="199">
        <f t="shared" si="893"/>
        <v>0</v>
      </c>
      <c r="AG769" s="614">
        <f t="shared" si="892"/>
        <v>3.3369181840443712E-3</v>
      </c>
      <c r="AH769" s="199">
        <f t="shared" si="949"/>
        <v>30147.050017875637</v>
      </c>
      <c r="AI769" s="252">
        <f t="shared" si="875"/>
        <v>2.3354462876424703E-3</v>
      </c>
      <c r="AJ769" s="199">
        <f t="shared" si="876"/>
        <v>106117.61606292223</v>
      </c>
      <c r="AK769" s="199">
        <f t="shared" si="906"/>
        <v>24117.640014300508</v>
      </c>
      <c r="AL769" s="199">
        <f t="shared" si="907"/>
        <v>24117.640014300508</v>
      </c>
      <c r="AM769" s="199">
        <f t="shared" si="877"/>
        <v>48235.280028601017</v>
      </c>
      <c r="AN769" s="645">
        <f t="shared" si="878"/>
        <v>2.3354462876424703E-3</v>
      </c>
      <c r="AO769" s="199">
        <v>11</v>
      </c>
      <c r="AP769" s="250">
        <f t="shared" si="879"/>
        <v>1.2498579706851495E-3</v>
      </c>
      <c r="AQ769" s="199">
        <v>11</v>
      </c>
      <c r="AU769" s="199">
        <v>0</v>
      </c>
      <c r="AW769" s="250">
        <f t="shared" si="880"/>
        <v>0</v>
      </c>
      <c r="AX769" s="199">
        <v>1</v>
      </c>
      <c r="AY769" s="199">
        <f t="shared" si="939"/>
        <v>34831.960125428726</v>
      </c>
      <c r="AZ769" s="199">
        <f t="shared" si="881"/>
        <v>34831.960125428726</v>
      </c>
      <c r="BA769" s="252">
        <f t="shared" si="882"/>
        <v>2.7380181013002399E-3</v>
      </c>
      <c r="BB769" s="284">
        <v>0</v>
      </c>
      <c r="BC769" s="199">
        <f t="shared" si="940"/>
        <v>0</v>
      </c>
      <c r="BD769" s="270">
        <f t="shared" si="911"/>
        <v>0</v>
      </c>
      <c r="BE769" s="199">
        <f t="shared" si="941"/>
        <v>0</v>
      </c>
      <c r="BF769" s="251">
        <f t="shared" si="912"/>
        <v>0</v>
      </c>
      <c r="BG769" s="204">
        <f t="shared" si="942"/>
        <v>0</v>
      </c>
      <c r="BH769" s="636">
        <v>1</v>
      </c>
      <c r="BI769" s="199">
        <f t="shared" si="883"/>
        <v>184499.94610939888</v>
      </c>
      <c r="BJ769" s="199">
        <f t="shared" si="884"/>
        <v>368999.89221879776</v>
      </c>
      <c r="BK769" s="199">
        <f t="shared" si="891"/>
        <v>553499.83832819667</v>
      </c>
      <c r="BL769" s="251">
        <f t="shared" si="885"/>
        <v>2.3354462876424703E-3</v>
      </c>
      <c r="BM769" s="199">
        <f t="shared" si="943"/>
        <v>51732.874233856317</v>
      </c>
      <c r="BN769" s="251">
        <f t="shared" si="886"/>
        <v>2.2339863958459366E-3</v>
      </c>
      <c r="BT769" s="199">
        <f>'Detailed Budget'!$AD$12</f>
        <v>194045122715</v>
      </c>
      <c r="BU769" s="199">
        <f>'Detailed Budget'!$AD$24</f>
        <v>194045122715</v>
      </c>
      <c r="BV769" s="596">
        <f t="shared" si="944"/>
        <v>0</v>
      </c>
      <c r="BW769" s="278"/>
      <c r="BX769" s="275">
        <f t="shared" si="868"/>
        <v>0</v>
      </c>
      <c r="BY769" s="275">
        <f t="shared" si="869"/>
        <v>0</v>
      </c>
      <c r="CA769" s="199">
        <f>'Detailed Budget'!$AD$96</f>
        <v>71050111380.677719</v>
      </c>
      <c r="CB769" s="275">
        <f t="shared" si="887"/>
        <v>194536491.05969378</v>
      </c>
      <c r="CE769" s="199">
        <f>'Detailed Budget'!$AD$175</f>
        <v>4330586076.5988197</v>
      </c>
      <c r="CF769" s="275">
        <f t="shared" si="945"/>
        <v>0</v>
      </c>
      <c r="CG769" s="199">
        <f>'Detailed Budget'!$AD$176</f>
        <v>20662817754.37001</v>
      </c>
      <c r="CH769" s="275">
        <f t="shared" si="946"/>
        <v>0</v>
      </c>
      <c r="CI769" s="275">
        <f t="shared" si="910"/>
        <v>0</v>
      </c>
      <c r="CJ769" s="275">
        <f>'Detailed Budget'!$AD$178</f>
        <v>46025131033.061455</v>
      </c>
      <c r="CK769" s="275">
        <f t="shared" si="938"/>
        <v>0</v>
      </c>
      <c r="CL769" s="275">
        <f t="shared" si="909"/>
        <v>0</v>
      </c>
      <c r="CM769" s="278">
        <f>'Detailed Budget'!$AD$189</f>
        <v>77498869683.252869</v>
      </c>
      <c r="CN769" s="275">
        <f t="shared" si="888"/>
        <v>180994447.4982405</v>
      </c>
      <c r="CO769" s="140">
        <f>'Detailed Budget'!$AD$191</f>
        <v>2684962805.4134097</v>
      </c>
      <c r="CP769" s="616">
        <f t="shared" si="889"/>
        <v>6270586.4163608598</v>
      </c>
      <c r="CQ769" s="616">
        <f t="shared" si="890"/>
        <v>187265033.91460136</v>
      </c>
      <c r="CR769" s="199">
        <f>'Detailed Budget'!$AD$195</f>
        <v>18734176418</v>
      </c>
      <c r="CS769" s="275">
        <f t="shared" si="947"/>
        <v>41851895.255189762</v>
      </c>
      <c r="CW769" s="278"/>
      <c r="DH769" s="140">
        <f>'Detailed Budget'!$AD$163</f>
        <v>4928560000</v>
      </c>
      <c r="DI769" s="616">
        <f t="shared" si="948"/>
        <v>6160000</v>
      </c>
    </row>
    <row r="770" spans="1:113" outlineLevel="1">
      <c r="A770" s="214" t="s">
        <v>1582</v>
      </c>
      <c r="B770" s="215" t="s">
        <v>1583</v>
      </c>
      <c r="C770" s="216" t="s">
        <v>234</v>
      </c>
      <c r="D770" s="217"/>
      <c r="E770" s="216"/>
      <c r="F770" s="216"/>
      <c r="G770" s="216"/>
      <c r="H770" s="216" t="s">
        <v>234</v>
      </c>
      <c r="I770" s="217" t="s">
        <v>234</v>
      </c>
      <c r="J770" s="217"/>
      <c r="K770" s="216"/>
      <c r="L770" s="216"/>
      <c r="M770" s="217"/>
      <c r="N770" s="216" t="s">
        <v>234</v>
      </c>
      <c r="O770" s="217"/>
      <c r="P770" s="216"/>
      <c r="Q770" s="217" t="s">
        <v>234</v>
      </c>
      <c r="R770" s="217"/>
      <c r="S770" s="217"/>
      <c r="T770" s="217"/>
      <c r="U770" s="218">
        <f t="shared" si="924"/>
        <v>5</v>
      </c>
      <c r="V770" s="867" t="s">
        <v>1150</v>
      </c>
      <c r="W770" s="219">
        <v>222986</v>
      </c>
      <c r="X770" s="220">
        <v>3.24</v>
      </c>
      <c r="Y770" s="221">
        <f t="shared" si="870"/>
        <v>1.0324</v>
      </c>
      <c r="Z770" s="199">
        <v>19</v>
      </c>
      <c r="AA770" s="221">
        <f t="shared" si="871"/>
        <v>1.8327866870051304</v>
      </c>
      <c r="AB770" s="199">
        <f t="shared" si="922"/>
        <v>408685.772188526</v>
      </c>
      <c r="AC770">
        <v>12.6</v>
      </c>
      <c r="AD770" s="199">
        <f t="shared" si="923"/>
        <v>51494.407295754274</v>
      </c>
      <c r="AE770" s="199">
        <f t="shared" si="872"/>
        <v>48919.686930966556</v>
      </c>
      <c r="AF770" s="199">
        <f t="shared" si="893"/>
        <v>0</v>
      </c>
      <c r="AG770" s="614">
        <f t="shared" si="892"/>
        <v>2.2618315622382193E-3</v>
      </c>
      <c r="AH770" s="199">
        <f t="shared" si="949"/>
        <v>20434.288609426301</v>
      </c>
      <c r="AI770" s="252">
        <f t="shared" si="875"/>
        <v>1.583013377600863E-3</v>
      </c>
      <c r="AJ770" s="199">
        <f t="shared" si="876"/>
        <v>71928.695905180575</v>
      </c>
      <c r="AK770" s="199">
        <f t="shared" si="906"/>
        <v>16347.430887541041</v>
      </c>
      <c r="AL770" s="199">
        <f t="shared" si="907"/>
        <v>16347.430887541041</v>
      </c>
      <c r="AM770" s="199">
        <f t="shared" si="877"/>
        <v>32694.861775082081</v>
      </c>
      <c r="AN770" s="645">
        <f t="shared" si="878"/>
        <v>1.583013377600863E-3</v>
      </c>
      <c r="AO770" s="199">
        <v>10</v>
      </c>
      <c r="AP770" s="250">
        <f t="shared" si="879"/>
        <v>1.1362345188046814E-3</v>
      </c>
      <c r="AQ770" s="199">
        <v>10</v>
      </c>
      <c r="AU770" s="199">
        <v>0</v>
      </c>
      <c r="AW770" s="250">
        <f t="shared" si="880"/>
        <v>0</v>
      </c>
      <c r="AX770" s="199">
        <v>1</v>
      </c>
      <c r="AY770" s="199">
        <f t="shared" si="939"/>
        <v>23609.816735401935</v>
      </c>
      <c r="AZ770" s="199">
        <f t="shared" si="881"/>
        <v>23609.816735401935</v>
      </c>
      <c r="BA770" s="252">
        <f t="shared" si="882"/>
        <v>1.8558848068592915E-3</v>
      </c>
      <c r="BB770" s="284">
        <v>0</v>
      </c>
      <c r="BC770" s="199">
        <f t="shared" si="940"/>
        <v>0</v>
      </c>
      <c r="BD770" s="270">
        <f t="shared" si="911"/>
        <v>0</v>
      </c>
      <c r="BE770" s="199">
        <f t="shared" si="941"/>
        <v>0</v>
      </c>
      <c r="BF770" s="251">
        <f t="shared" si="912"/>
        <v>0</v>
      </c>
      <c r="BG770" s="204">
        <f t="shared" si="942"/>
        <v>0</v>
      </c>
      <c r="BH770" s="636">
        <v>0</v>
      </c>
      <c r="BI770" s="199">
        <f t="shared" si="883"/>
        <v>125057.84628968895</v>
      </c>
      <c r="BJ770" s="199">
        <f t="shared" si="884"/>
        <v>250115.69257937791</v>
      </c>
      <c r="BK770" s="199">
        <f t="shared" si="891"/>
        <v>375173.53886906686</v>
      </c>
      <c r="BL770" s="251">
        <f t="shared" si="885"/>
        <v>1.583013377600863E-3</v>
      </c>
      <c r="BM770" s="199">
        <f t="shared" si="943"/>
        <v>35065.60283885002</v>
      </c>
      <c r="BN770" s="251">
        <f t="shared" si="886"/>
        <v>1.5142417827011235E-3</v>
      </c>
      <c r="BT770" s="199">
        <f>'Detailed Budget'!$AD$12</f>
        <v>194045122715</v>
      </c>
      <c r="BU770" s="199">
        <f>'Detailed Budget'!$AD$24</f>
        <v>194045122715</v>
      </c>
      <c r="BV770" s="596">
        <f t="shared" si="944"/>
        <v>0</v>
      </c>
      <c r="BW770" s="278"/>
      <c r="BX770" s="275">
        <f t="shared" si="868"/>
        <v>0</v>
      </c>
      <c r="BY770" s="275">
        <f t="shared" si="869"/>
        <v>0</v>
      </c>
      <c r="CA770" s="199">
        <f>'Detailed Budget'!$AD$96</f>
        <v>71050111380.677719</v>
      </c>
      <c r="CB770" s="275">
        <f t="shared" si="887"/>
        <v>131860822.23706022</v>
      </c>
      <c r="CE770" s="199">
        <f>'Detailed Budget'!$AD$175</f>
        <v>4330586076.5988197</v>
      </c>
      <c r="CF770" s="275">
        <f t="shared" si="945"/>
        <v>0</v>
      </c>
      <c r="CG770" s="199">
        <f>'Detailed Budget'!$AD$176</f>
        <v>20662817754.37001</v>
      </c>
      <c r="CH770" s="275">
        <f t="shared" si="946"/>
        <v>0</v>
      </c>
      <c r="CI770" s="275">
        <f t="shared" si="910"/>
        <v>0</v>
      </c>
      <c r="CJ770" s="275">
        <f>'Detailed Budget'!$AD$178</f>
        <v>46025131033.061455</v>
      </c>
      <c r="CK770" s="275">
        <f t="shared" si="938"/>
        <v>0</v>
      </c>
      <c r="CL770" s="275">
        <f t="shared" si="909"/>
        <v>0</v>
      </c>
      <c r="CM770" s="278">
        <f>'Detailed Budget'!$AD$189</f>
        <v>77498869683.252869</v>
      </c>
      <c r="CN770" s="275">
        <f t="shared" si="888"/>
        <v>0</v>
      </c>
      <c r="CO770" s="140">
        <f>'Detailed Budget'!$AD$191</f>
        <v>2684962805.4134097</v>
      </c>
      <c r="CP770" s="616">
        <f t="shared" si="889"/>
        <v>0</v>
      </c>
      <c r="CQ770" s="616">
        <f t="shared" si="890"/>
        <v>0</v>
      </c>
      <c r="CR770" s="199">
        <f>'Detailed Budget'!$AD$195</f>
        <v>18734176418</v>
      </c>
      <c r="CS770" s="275">
        <f t="shared" si="947"/>
        <v>28368072.696629666</v>
      </c>
      <c r="CW770" s="278"/>
      <c r="DH770" s="140">
        <f>'Detailed Budget'!$AD$163</f>
        <v>4928560000</v>
      </c>
      <c r="DI770" s="616">
        <f t="shared" si="948"/>
        <v>5600000</v>
      </c>
    </row>
    <row r="771" spans="1:113" outlineLevel="1">
      <c r="A771" s="214" t="s">
        <v>1584</v>
      </c>
      <c r="B771" s="215" t="s">
        <v>1585</v>
      </c>
      <c r="C771" s="216" t="s">
        <v>234</v>
      </c>
      <c r="D771" s="217"/>
      <c r="E771" s="216"/>
      <c r="F771" s="216"/>
      <c r="G771" s="216" t="s">
        <v>234</v>
      </c>
      <c r="H771" s="216" t="s">
        <v>234</v>
      </c>
      <c r="I771" s="217" t="s">
        <v>234</v>
      </c>
      <c r="J771" s="217"/>
      <c r="K771" s="216"/>
      <c r="L771" s="216"/>
      <c r="M771" s="217"/>
      <c r="N771" s="216"/>
      <c r="O771" s="217" t="s">
        <v>234</v>
      </c>
      <c r="P771" s="216"/>
      <c r="Q771" s="217"/>
      <c r="R771" s="217" t="s">
        <v>234</v>
      </c>
      <c r="S771" s="217"/>
      <c r="T771" s="217"/>
      <c r="U771" s="218">
        <f t="shared" si="924"/>
        <v>6</v>
      </c>
      <c r="V771" s="867" t="s">
        <v>235</v>
      </c>
      <c r="W771" s="219">
        <v>237731</v>
      </c>
      <c r="X771" s="220">
        <v>3.24</v>
      </c>
      <c r="Y771" s="221">
        <f t="shared" si="870"/>
        <v>1.0324</v>
      </c>
      <c r="Z771" s="199">
        <v>19</v>
      </c>
      <c r="AA771" s="221">
        <f t="shared" si="871"/>
        <v>1.8327866870051304</v>
      </c>
      <c r="AB771" s="199">
        <f t="shared" si="922"/>
        <v>435710.21188841667</v>
      </c>
      <c r="AC771">
        <v>12.6</v>
      </c>
      <c r="AD771" s="199">
        <f t="shared" si="923"/>
        <v>54899.486697940498</v>
      </c>
      <c r="AE771" s="199">
        <f t="shared" si="872"/>
        <v>52154.512363043468</v>
      </c>
      <c r="AF771" s="199">
        <f t="shared" si="893"/>
        <v>0</v>
      </c>
      <c r="AG771" s="614">
        <f t="shared" si="892"/>
        <v>2.411395689067718E-3</v>
      </c>
      <c r="AH771" s="199">
        <f t="shared" si="949"/>
        <v>21785.510594420834</v>
      </c>
      <c r="AI771" s="252">
        <f t="shared" si="875"/>
        <v>1.6876904974771098E-3</v>
      </c>
      <c r="AJ771" s="199">
        <f t="shared" si="876"/>
        <v>76684.997292361339</v>
      </c>
      <c r="AK771" s="199">
        <f t="shared" si="906"/>
        <v>17428.408475536668</v>
      </c>
      <c r="AL771" s="199">
        <f t="shared" si="907"/>
        <v>17428.408475536668</v>
      </c>
      <c r="AM771" s="199">
        <f t="shared" si="877"/>
        <v>34856.816951073335</v>
      </c>
      <c r="AN771" s="645">
        <f t="shared" si="878"/>
        <v>1.6876904974771098E-3</v>
      </c>
      <c r="AO771" s="199">
        <v>11</v>
      </c>
      <c r="AP771" s="250">
        <f t="shared" si="879"/>
        <v>1.2498579706851495E-3</v>
      </c>
      <c r="AQ771" s="199">
        <v>11</v>
      </c>
      <c r="AU771" s="199">
        <v>0</v>
      </c>
      <c r="AW771" s="250">
        <f t="shared" si="880"/>
        <v>0</v>
      </c>
      <c r="AX771" s="199">
        <v>1</v>
      </c>
      <c r="AY771" s="199">
        <f t="shared" si="939"/>
        <v>25171.021240453832</v>
      </c>
      <c r="AZ771" s="199">
        <f t="shared" si="881"/>
        <v>25171.021240453832</v>
      </c>
      <c r="BA771" s="252">
        <f t="shared" si="882"/>
        <v>1.9786056120988148E-3</v>
      </c>
      <c r="BB771" s="284">
        <v>0</v>
      </c>
      <c r="BC771" s="199">
        <f t="shared" si="940"/>
        <v>0</v>
      </c>
      <c r="BD771" s="270">
        <f t="shared" si="911"/>
        <v>0</v>
      </c>
      <c r="BE771" s="199">
        <f t="shared" si="941"/>
        <v>0</v>
      </c>
      <c r="BF771" s="251">
        <f t="shared" si="912"/>
        <v>0</v>
      </c>
      <c r="BG771" s="204">
        <f t="shared" si="942"/>
        <v>0</v>
      </c>
      <c r="BH771" s="636">
        <v>1</v>
      </c>
      <c r="BI771" s="199">
        <f t="shared" si="883"/>
        <v>133327.3248378555</v>
      </c>
      <c r="BJ771" s="199">
        <f t="shared" si="884"/>
        <v>266654.649675711</v>
      </c>
      <c r="BK771" s="199">
        <f t="shared" si="891"/>
        <v>399981.97451356647</v>
      </c>
      <c r="BL771" s="251">
        <f t="shared" si="885"/>
        <v>1.6876904974771096E-3</v>
      </c>
      <c r="BM771" s="199">
        <f t="shared" si="943"/>
        <v>37384.323807246437</v>
      </c>
      <c r="BN771" s="251">
        <f t="shared" si="886"/>
        <v>1.6143713652127074E-3</v>
      </c>
      <c r="BT771" s="199">
        <f>'Detailed Budget'!$AD$12</f>
        <v>194045122715</v>
      </c>
      <c r="BU771" s="199">
        <f>'Detailed Budget'!$AD$24</f>
        <v>194045122715</v>
      </c>
      <c r="BV771" s="596">
        <f t="shared" si="944"/>
        <v>0</v>
      </c>
      <c r="BW771" s="278"/>
      <c r="BX771" s="275">
        <f t="shared" si="868"/>
        <v>0</v>
      </c>
      <c r="BY771" s="275">
        <f t="shared" si="869"/>
        <v>0</v>
      </c>
      <c r="CA771" s="199">
        <f>'Detailed Budget'!$AD$96</f>
        <v>71050111380.677719</v>
      </c>
      <c r="CB771" s="275">
        <f t="shared" si="887"/>
        <v>140580149.11805481</v>
      </c>
      <c r="CE771" s="199">
        <f>'Detailed Budget'!$AD$175</f>
        <v>4330586076.5988197</v>
      </c>
      <c r="CF771" s="275">
        <f t="shared" si="945"/>
        <v>0</v>
      </c>
      <c r="CG771" s="199">
        <f>'Detailed Budget'!$AD$176</f>
        <v>20662817754.37001</v>
      </c>
      <c r="CH771" s="275">
        <f t="shared" si="946"/>
        <v>0</v>
      </c>
      <c r="CI771" s="275">
        <f t="shared" si="910"/>
        <v>0</v>
      </c>
      <c r="CJ771" s="275">
        <f>'Detailed Budget'!$AD$178</f>
        <v>46025131033.061455</v>
      </c>
      <c r="CK771" s="275">
        <f t="shared" si="938"/>
        <v>0</v>
      </c>
      <c r="CL771" s="275">
        <f t="shared" si="909"/>
        <v>0</v>
      </c>
      <c r="CM771" s="278">
        <f>'Detailed Budget'!$AD$189</f>
        <v>77498869683.252869</v>
      </c>
      <c r="CN771" s="275">
        <f t="shared" si="888"/>
        <v>130794105.92964272</v>
      </c>
      <c r="CO771" s="140">
        <f>'Detailed Budget'!$AD$191</f>
        <v>2684962805.4134097</v>
      </c>
      <c r="CP771" s="616">
        <f t="shared" si="889"/>
        <v>4531386.2127756942</v>
      </c>
      <c r="CQ771" s="616">
        <f t="shared" si="890"/>
        <v>135325492.14241841</v>
      </c>
      <c r="CR771" s="199">
        <f>'Detailed Budget'!$AD$195</f>
        <v>18734176418</v>
      </c>
      <c r="CS771" s="275">
        <f t="shared" si="947"/>
        <v>30243917.96006237</v>
      </c>
      <c r="CW771" s="278"/>
      <c r="DH771" s="140">
        <f>'Detailed Budget'!$AD$163</f>
        <v>4928560000</v>
      </c>
      <c r="DI771" s="616">
        <f t="shared" si="948"/>
        <v>6160000</v>
      </c>
    </row>
    <row r="772" spans="1:113" outlineLevel="1">
      <c r="A772" s="214" t="s">
        <v>1586</v>
      </c>
      <c r="B772" s="215" t="s">
        <v>1587</v>
      </c>
      <c r="C772" s="216" t="s">
        <v>234</v>
      </c>
      <c r="D772" s="217"/>
      <c r="E772" s="216"/>
      <c r="F772" s="216"/>
      <c r="G772" s="216" t="s">
        <v>234</v>
      </c>
      <c r="H772" s="216" t="s">
        <v>234</v>
      </c>
      <c r="I772" s="217" t="s">
        <v>234</v>
      </c>
      <c r="J772" s="217"/>
      <c r="K772" s="216"/>
      <c r="L772" s="216"/>
      <c r="M772" s="217" t="s">
        <v>234</v>
      </c>
      <c r="N772" s="216"/>
      <c r="O772" s="217"/>
      <c r="P772" s="216"/>
      <c r="Q772" s="217"/>
      <c r="R772" s="217" t="s">
        <v>234</v>
      </c>
      <c r="S772" s="217"/>
      <c r="T772" s="217"/>
      <c r="U772" s="218">
        <f t="shared" si="924"/>
        <v>6</v>
      </c>
      <c r="V772" s="867" t="s">
        <v>235</v>
      </c>
      <c r="W772" s="219">
        <v>181734</v>
      </c>
      <c r="X772" s="220">
        <v>3.24</v>
      </c>
      <c r="Y772" s="221">
        <f t="shared" si="870"/>
        <v>1.0324</v>
      </c>
      <c r="Z772" s="199">
        <v>19</v>
      </c>
      <c r="AA772" s="221">
        <f t="shared" si="871"/>
        <v>1.8327866870051304</v>
      </c>
      <c r="AB772" s="199">
        <f t="shared" si="922"/>
        <v>333079.65577619034</v>
      </c>
      <c r="AC772">
        <v>12.6</v>
      </c>
      <c r="AD772" s="199">
        <f t="shared" si="923"/>
        <v>41968.036627799978</v>
      </c>
      <c r="AE772" s="199">
        <f t="shared" si="872"/>
        <v>39869.634796409977</v>
      </c>
      <c r="AF772" s="199">
        <f t="shared" si="893"/>
        <v>0</v>
      </c>
      <c r="AG772" s="614">
        <f t="shared" si="892"/>
        <v>1.8433968820096352E-3</v>
      </c>
      <c r="AH772" s="199">
        <f t="shared" si="949"/>
        <v>16653.982788809517</v>
      </c>
      <c r="AI772" s="252">
        <f t="shared" si="875"/>
        <v>1.2901588134004612E-3</v>
      </c>
      <c r="AJ772" s="199">
        <f t="shared" si="876"/>
        <v>58622.019416609495</v>
      </c>
      <c r="AK772" s="199">
        <f t="shared" si="906"/>
        <v>13323.186231047614</v>
      </c>
      <c r="AL772" s="199">
        <f t="shared" si="907"/>
        <v>13323.186231047614</v>
      </c>
      <c r="AM772" s="199">
        <f t="shared" si="877"/>
        <v>26646.372462095227</v>
      </c>
      <c r="AN772" s="645">
        <f t="shared" si="878"/>
        <v>1.2901588134004612E-3</v>
      </c>
      <c r="AO772" s="199">
        <v>19</v>
      </c>
      <c r="AP772" s="250">
        <f t="shared" si="879"/>
        <v>2.1588455857288946E-3</v>
      </c>
      <c r="AQ772" s="199">
        <v>19</v>
      </c>
      <c r="AU772" s="199">
        <v>0</v>
      </c>
      <c r="AW772" s="250">
        <f t="shared" si="880"/>
        <v>0</v>
      </c>
      <c r="AX772" s="199">
        <v>1</v>
      </c>
      <c r="AY772" s="199">
        <f t="shared" si="939"/>
        <v>19242.04405026116</v>
      </c>
      <c r="AZ772" s="199">
        <f t="shared" si="881"/>
        <v>19242.04405026116</v>
      </c>
      <c r="BA772" s="252">
        <f t="shared" si="882"/>
        <v>1.5125495299694442E-3</v>
      </c>
      <c r="BB772" s="284">
        <v>0</v>
      </c>
      <c r="BC772" s="199">
        <f t="shared" si="940"/>
        <v>0</v>
      </c>
      <c r="BD772" s="270">
        <f t="shared" si="911"/>
        <v>0</v>
      </c>
      <c r="BE772" s="199">
        <f t="shared" si="941"/>
        <v>0</v>
      </c>
      <c r="BF772" s="251">
        <f t="shared" si="912"/>
        <v>0</v>
      </c>
      <c r="BG772" s="204">
        <f t="shared" si="942"/>
        <v>0</v>
      </c>
      <c r="BH772" s="636">
        <v>1</v>
      </c>
      <c r="BI772" s="199">
        <f t="shared" si="883"/>
        <v>101922.37466751423</v>
      </c>
      <c r="BJ772" s="199">
        <f t="shared" si="884"/>
        <v>203844.74933502846</v>
      </c>
      <c r="BK772" s="199">
        <f t="shared" si="891"/>
        <v>305767.1240025427</v>
      </c>
      <c r="BL772" s="251">
        <f t="shared" si="885"/>
        <v>1.2901588134004609E-3</v>
      </c>
      <c r="BM772" s="199">
        <f t="shared" si="943"/>
        <v>28578.530788101354</v>
      </c>
      <c r="BN772" s="251">
        <f t="shared" si="886"/>
        <v>1.2341098371081859E-3</v>
      </c>
      <c r="BT772" s="199">
        <f>'Detailed Budget'!$AD$12</f>
        <v>194045122715</v>
      </c>
      <c r="BU772" s="199">
        <f>'Detailed Budget'!$AD$24</f>
        <v>194045122715</v>
      </c>
      <c r="BV772" s="596">
        <f t="shared" si="944"/>
        <v>0</v>
      </c>
      <c r="BW772" s="278"/>
      <c r="BX772" s="275">
        <f t="shared" si="868"/>
        <v>0</v>
      </c>
      <c r="BY772" s="275">
        <f t="shared" si="869"/>
        <v>0</v>
      </c>
      <c r="CA772" s="199">
        <f>'Detailed Budget'!$AD$96</f>
        <v>71050111380.677719</v>
      </c>
      <c r="CB772" s="275">
        <f t="shared" si="887"/>
        <v>107466812.57312074</v>
      </c>
      <c r="CE772" s="199">
        <f>'Detailed Budget'!$AD$175</f>
        <v>4330586076.5988197</v>
      </c>
      <c r="CF772" s="275">
        <f t="shared" si="945"/>
        <v>0</v>
      </c>
      <c r="CG772" s="199">
        <f>'Detailed Budget'!$AD$176</f>
        <v>20662817754.37001</v>
      </c>
      <c r="CH772" s="275">
        <f t="shared" si="946"/>
        <v>0</v>
      </c>
      <c r="CI772" s="275">
        <f t="shared" si="910"/>
        <v>0</v>
      </c>
      <c r="CJ772" s="275">
        <f>'Detailed Budget'!$AD$178</f>
        <v>46025131033.061455</v>
      </c>
      <c r="CK772" s="275">
        <f t="shared" si="938"/>
        <v>0</v>
      </c>
      <c r="CL772" s="275">
        <f t="shared" si="909"/>
        <v>0</v>
      </c>
      <c r="CM772" s="278">
        <f>'Detailed Budget'!$AD$189</f>
        <v>77498869683.252869</v>
      </c>
      <c r="CN772" s="275">
        <f t="shared" si="888"/>
        <v>99985849.750422478</v>
      </c>
      <c r="CO772" s="140">
        <f>'Detailed Budget'!$AD$191</f>
        <v>2684962805.4134097</v>
      </c>
      <c r="CP772" s="616">
        <f t="shared" si="889"/>
        <v>3464028.4270565379</v>
      </c>
      <c r="CQ772" s="616">
        <f t="shared" si="890"/>
        <v>103449878.17747901</v>
      </c>
      <c r="CR772" s="199">
        <f>'Detailed Budget'!$AD$195</f>
        <v>18734176418</v>
      </c>
      <c r="CS772" s="275">
        <f t="shared" si="947"/>
        <v>23120031.407573998</v>
      </c>
      <c r="CW772" s="278"/>
      <c r="DH772" s="140">
        <f>'Detailed Budget'!$AD$163</f>
        <v>4928560000</v>
      </c>
      <c r="DI772" s="616">
        <f t="shared" si="948"/>
        <v>10640000</v>
      </c>
    </row>
    <row r="773" spans="1:113" outlineLevel="1">
      <c r="A773" s="214" t="s">
        <v>1588</v>
      </c>
      <c r="B773" s="215" t="s">
        <v>1589</v>
      </c>
      <c r="C773" s="216" t="s">
        <v>234</v>
      </c>
      <c r="D773" s="217"/>
      <c r="E773" s="216"/>
      <c r="F773" s="216"/>
      <c r="G773" s="216" t="s">
        <v>234</v>
      </c>
      <c r="H773" s="216" t="s">
        <v>234</v>
      </c>
      <c r="I773" s="217" t="s">
        <v>234</v>
      </c>
      <c r="J773" s="217"/>
      <c r="K773" s="216"/>
      <c r="L773" s="216"/>
      <c r="M773" s="217"/>
      <c r="N773" s="216" t="s">
        <v>234</v>
      </c>
      <c r="O773" s="217"/>
      <c r="P773" s="216"/>
      <c r="Q773" s="217" t="s">
        <v>234</v>
      </c>
      <c r="R773" s="217"/>
      <c r="S773" s="217"/>
      <c r="T773" s="217"/>
      <c r="U773" s="218">
        <f t="shared" si="924"/>
        <v>6</v>
      </c>
      <c r="V773" s="867" t="s">
        <v>1096</v>
      </c>
      <c r="W773" s="219">
        <v>283791</v>
      </c>
      <c r="X773" s="220">
        <v>3.24</v>
      </c>
      <c r="Y773" s="221">
        <f t="shared" si="870"/>
        <v>1.0324</v>
      </c>
      <c r="Z773" s="199">
        <v>19</v>
      </c>
      <c r="AA773" s="221">
        <f t="shared" si="871"/>
        <v>1.8327866870051304</v>
      </c>
      <c r="AB773" s="199">
        <f t="shared" si="922"/>
        <v>520128.36669187294</v>
      </c>
      <c r="AC773">
        <v>12.6</v>
      </c>
      <c r="AD773" s="199">
        <f t="shared" si="923"/>
        <v>65536.174203175993</v>
      </c>
      <c r="AE773" s="199">
        <f t="shared" si="872"/>
        <v>62259.365493017191</v>
      </c>
      <c r="AF773" s="199">
        <f t="shared" si="893"/>
        <v>0</v>
      </c>
      <c r="AG773" s="614">
        <f t="shared" si="892"/>
        <v>2.8785997366612549E-3</v>
      </c>
      <c r="AH773" s="199">
        <f t="shared" si="949"/>
        <v>26006.418334593647</v>
      </c>
      <c r="AI773" s="252">
        <f t="shared" si="875"/>
        <v>2.0146778248084029E-3</v>
      </c>
      <c r="AJ773" s="199">
        <f t="shared" si="876"/>
        <v>91542.59253776964</v>
      </c>
      <c r="AK773" s="199">
        <f t="shared" si="906"/>
        <v>20805.13466767492</v>
      </c>
      <c r="AL773" s="199">
        <f t="shared" si="907"/>
        <v>20805.13466767492</v>
      </c>
      <c r="AM773" s="199">
        <f t="shared" si="877"/>
        <v>41610.26933534984</v>
      </c>
      <c r="AN773" s="645">
        <f t="shared" si="878"/>
        <v>2.0146778248084029E-3</v>
      </c>
      <c r="AO773" s="199">
        <v>10</v>
      </c>
      <c r="AP773" s="250">
        <f t="shared" si="879"/>
        <v>1.1362345188046814E-3</v>
      </c>
      <c r="AQ773" s="199">
        <v>10</v>
      </c>
      <c r="AU773" s="199">
        <v>0</v>
      </c>
      <c r="AW773" s="250">
        <f t="shared" si="880"/>
        <v>0</v>
      </c>
      <c r="AX773" s="199">
        <v>1</v>
      </c>
      <c r="AY773" s="199">
        <f t="shared" si="939"/>
        <v>30047.866238940787</v>
      </c>
      <c r="AZ773" s="199">
        <f t="shared" si="881"/>
        <v>30047.866238940787</v>
      </c>
      <c r="BA773" s="252">
        <f t="shared" si="882"/>
        <v>2.3619572763465204E-3</v>
      </c>
      <c r="BB773" s="284">
        <v>0</v>
      </c>
      <c r="BC773" s="199">
        <f t="shared" si="940"/>
        <v>0</v>
      </c>
      <c r="BD773" s="270">
        <f t="shared" si="911"/>
        <v>0</v>
      </c>
      <c r="BE773" s="199">
        <f t="shared" si="941"/>
        <v>0</v>
      </c>
      <c r="BF773" s="251">
        <f t="shared" si="912"/>
        <v>0</v>
      </c>
      <c r="BG773" s="204">
        <f t="shared" si="942"/>
        <v>0</v>
      </c>
      <c r="BH773" s="636">
        <v>1</v>
      </c>
      <c r="BI773" s="199">
        <f t="shared" si="883"/>
        <v>159159.28020771313</v>
      </c>
      <c r="BJ773" s="199">
        <f t="shared" si="884"/>
        <v>318318.56041542627</v>
      </c>
      <c r="BK773" s="199">
        <f t="shared" si="891"/>
        <v>477477.8406231394</v>
      </c>
      <c r="BL773" s="251">
        <f t="shared" si="885"/>
        <v>2.0146778248084029E-3</v>
      </c>
      <c r="BM773" s="199">
        <f t="shared" si="943"/>
        <v>44627.476591535284</v>
      </c>
      <c r="BN773" s="251">
        <f t="shared" si="886"/>
        <v>1.9271532282499105E-3</v>
      </c>
      <c r="BT773" s="199">
        <f>'Detailed Budget'!$AD$12</f>
        <v>194045122715</v>
      </c>
      <c r="BU773" s="199">
        <f>'Detailed Budget'!$AD$24</f>
        <v>194045122715</v>
      </c>
      <c r="BV773" s="596">
        <f t="shared" si="944"/>
        <v>0</v>
      </c>
      <c r="BW773" s="278"/>
      <c r="BX773" s="275">
        <f t="shared" ref="BX773:BX842" si="950">BT773*BV773</f>
        <v>0</v>
      </c>
      <c r="BY773" s="275">
        <f t="shared" ref="BY773:BY842" si="951">BU773*BV773</f>
        <v>0</v>
      </c>
      <c r="CA773" s="199">
        <f>'Detailed Budget'!$AD$96</f>
        <v>71050111380.677719</v>
      </c>
      <c r="CB773" s="275">
        <f t="shared" si="887"/>
        <v>167817327.56082246</v>
      </c>
      <c r="CE773" s="199">
        <f>'Detailed Budget'!$AD$175</f>
        <v>4330586076.5988197</v>
      </c>
      <c r="CF773" s="275">
        <f t="shared" si="945"/>
        <v>0</v>
      </c>
      <c r="CG773" s="199">
        <f>'Detailed Budget'!$AD$176</f>
        <v>20662817754.37001</v>
      </c>
      <c r="CH773" s="275">
        <f t="shared" si="946"/>
        <v>0</v>
      </c>
      <c r="CI773" s="275">
        <f t="shared" si="910"/>
        <v>0</v>
      </c>
      <c r="CJ773" s="275">
        <f>'Detailed Budget'!$AD$178</f>
        <v>46025131033.061455</v>
      </c>
      <c r="CK773" s="275">
        <f t="shared" si="938"/>
        <v>0</v>
      </c>
      <c r="CL773" s="275">
        <f t="shared" si="909"/>
        <v>0</v>
      </c>
      <c r="CM773" s="278">
        <f>'Detailed Budget'!$AD$189</f>
        <v>77498869683.252869</v>
      </c>
      <c r="CN773" s="275">
        <f t="shared" si="888"/>
        <v>156135254.19856578</v>
      </c>
      <c r="CO773" s="140">
        <f>'Detailed Budget'!$AD$191</f>
        <v>2684962805.4134097</v>
      </c>
      <c r="CP773" s="616">
        <f t="shared" si="889"/>
        <v>5409335.0245017549</v>
      </c>
      <c r="CQ773" s="616">
        <f t="shared" si="890"/>
        <v>161544589.22306752</v>
      </c>
      <c r="CR773" s="199">
        <f>'Detailed Budget'!$AD$195</f>
        <v>18734176418</v>
      </c>
      <c r="CS773" s="275">
        <f t="shared" si="947"/>
        <v>36103628.562552042</v>
      </c>
      <c r="CW773" s="278"/>
      <c r="DH773" s="140">
        <f>'Detailed Budget'!$AD$163</f>
        <v>4928560000</v>
      </c>
      <c r="DI773" s="616">
        <f t="shared" si="948"/>
        <v>5600000</v>
      </c>
    </row>
    <row r="774" spans="1:113" outlineLevel="1">
      <c r="A774" s="214" t="s">
        <v>1590</v>
      </c>
      <c r="B774" s="215" t="s">
        <v>1591</v>
      </c>
      <c r="C774" s="216" t="s">
        <v>234</v>
      </c>
      <c r="D774" s="217"/>
      <c r="E774" s="216"/>
      <c r="F774" s="216"/>
      <c r="G774" s="216" t="s">
        <v>234</v>
      </c>
      <c r="H774" s="216" t="s">
        <v>234</v>
      </c>
      <c r="I774" s="217" t="s">
        <v>234</v>
      </c>
      <c r="J774" s="217"/>
      <c r="K774" s="216"/>
      <c r="L774" s="216"/>
      <c r="M774" s="217" t="s">
        <v>234</v>
      </c>
      <c r="N774" s="216"/>
      <c r="O774" s="217"/>
      <c r="P774" s="216"/>
      <c r="Q774" s="217"/>
      <c r="R774" s="217" t="s">
        <v>234</v>
      </c>
      <c r="S774" s="217"/>
      <c r="T774" s="217"/>
      <c r="U774" s="218">
        <f t="shared" si="924"/>
        <v>6</v>
      </c>
      <c r="V774" s="867" t="s">
        <v>235</v>
      </c>
      <c r="W774" s="219">
        <v>117793</v>
      </c>
      <c r="X774" s="220">
        <v>3.24</v>
      </c>
      <c r="Y774" s="221">
        <f t="shared" si="870"/>
        <v>1.0324</v>
      </c>
      <c r="Z774" s="199">
        <v>19</v>
      </c>
      <c r="AA774" s="221">
        <f t="shared" si="871"/>
        <v>1.8327866870051304</v>
      </c>
      <c r="AB774" s="199">
        <f t="shared" si="922"/>
        <v>215889.44222239533</v>
      </c>
      <c r="AC774">
        <v>12.6</v>
      </c>
      <c r="AD774" s="199">
        <f t="shared" si="923"/>
        <v>27202.069720021813</v>
      </c>
      <c r="AE774" s="199">
        <f t="shared" si="872"/>
        <v>25841.966234020721</v>
      </c>
      <c r="AF774" s="199">
        <f t="shared" si="893"/>
        <v>0</v>
      </c>
      <c r="AG774" s="614">
        <f t="shared" si="892"/>
        <v>1.1948190703036364E-3</v>
      </c>
      <c r="AH774" s="199">
        <f t="shared" si="949"/>
        <v>10794.472111119767</v>
      </c>
      <c r="AI774" s="252">
        <f t="shared" ref="AI774:AI837" si="952">AH774/12908475</f>
        <v>8.3623139922568441E-4</v>
      </c>
      <c r="AJ774" s="199">
        <f t="shared" si="876"/>
        <v>37996.541831141578</v>
      </c>
      <c r="AK774" s="199">
        <f t="shared" si="906"/>
        <v>8635.5776888958135</v>
      </c>
      <c r="AL774" s="199">
        <f t="shared" si="907"/>
        <v>8635.5776888958135</v>
      </c>
      <c r="AM774" s="199">
        <f t="shared" si="877"/>
        <v>17271.155377791627</v>
      </c>
      <c r="AN774" s="645">
        <f t="shared" si="878"/>
        <v>8.3623139922568441E-4</v>
      </c>
      <c r="AO774" s="199">
        <v>11</v>
      </c>
      <c r="AP774" s="250">
        <f t="shared" si="879"/>
        <v>1.2498579706851495E-3</v>
      </c>
      <c r="AQ774" s="199">
        <v>11</v>
      </c>
      <c r="AU774" s="199">
        <v>0</v>
      </c>
      <c r="AW774" s="250">
        <f t="shared" si="880"/>
        <v>0</v>
      </c>
      <c r="AX774" s="199">
        <v>1</v>
      </c>
      <c r="AY774" s="199">
        <f t="shared" si="939"/>
        <v>12471.954036187028</v>
      </c>
      <c r="AZ774" s="199">
        <f t="shared" si="881"/>
        <v>12471.954036187028</v>
      </c>
      <c r="BA774" s="252">
        <f t="shared" si="882"/>
        <v>9.803765216398184E-4</v>
      </c>
      <c r="BB774" s="284">
        <v>0</v>
      </c>
      <c r="BC774" s="199">
        <f t="shared" si="940"/>
        <v>0</v>
      </c>
      <c r="BD774" s="270">
        <f t="shared" si="911"/>
        <v>0</v>
      </c>
      <c r="BE774" s="199">
        <f t="shared" si="941"/>
        <v>0</v>
      </c>
      <c r="BF774" s="251">
        <f t="shared" si="912"/>
        <v>0</v>
      </c>
      <c r="BG774" s="204">
        <f t="shared" si="942"/>
        <v>0</v>
      </c>
      <c r="BH774" s="636">
        <v>1</v>
      </c>
      <c r="BI774" s="199">
        <f t="shared" si="883"/>
        <v>66062.16932005297</v>
      </c>
      <c r="BJ774" s="199">
        <f t="shared" si="884"/>
        <v>132124.33864010594</v>
      </c>
      <c r="BK774" s="199">
        <f t="shared" si="891"/>
        <v>198186.50796015892</v>
      </c>
      <c r="BL774" s="251">
        <f t="shared" si="885"/>
        <v>8.3623139922568441E-4</v>
      </c>
      <c r="BM774" s="199">
        <f t="shared" si="943"/>
        <v>18523.506207549628</v>
      </c>
      <c r="BN774" s="251">
        <f t="shared" si="886"/>
        <v>7.9990260513984493E-4</v>
      </c>
      <c r="BT774" s="199">
        <f>'Detailed Budget'!$AD$12</f>
        <v>194045122715</v>
      </c>
      <c r="BU774" s="199">
        <f>'Detailed Budget'!$AD$24</f>
        <v>194045122715</v>
      </c>
      <c r="BV774" s="596">
        <f t="shared" si="944"/>
        <v>0</v>
      </c>
      <c r="BW774" s="278"/>
      <c r="BX774" s="275">
        <f t="shared" si="950"/>
        <v>0</v>
      </c>
      <c r="BY774" s="275">
        <f t="shared" si="951"/>
        <v>0</v>
      </c>
      <c r="CA774" s="199">
        <f>'Detailed Budget'!$AD$96</f>
        <v>71050111380.677719</v>
      </c>
      <c r="CB774" s="275">
        <f t="shared" si="887"/>
        <v>69655861.057510495</v>
      </c>
      <c r="CE774" s="199">
        <f>'Detailed Budget'!$AD$175</f>
        <v>4330586076.5988197</v>
      </c>
      <c r="CF774" s="275">
        <f t="shared" si="945"/>
        <v>0</v>
      </c>
      <c r="CG774" s="199">
        <f>'Detailed Budget'!$AD$176</f>
        <v>20662817754.37001</v>
      </c>
      <c r="CH774" s="275">
        <f t="shared" si="946"/>
        <v>0</v>
      </c>
      <c r="CI774" s="275">
        <f t="shared" si="910"/>
        <v>0</v>
      </c>
      <c r="CJ774" s="275">
        <f>'Detailed Budget'!$AD$178</f>
        <v>46025131033.061455</v>
      </c>
      <c r="CK774" s="275">
        <f t="shared" si="938"/>
        <v>0</v>
      </c>
      <c r="CL774" s="275">
        <f t="shared" si="909"/>
        <v>0</v>
      </c>
      <c r="CM774" s="278">
        <f>'Detailed Budget'!$AD$189</f>
        <v>77498869683.252869</v>
      </c>
      <c r="CN774" s="275">
        <f t="shared" si="888"/>
        <v>64806988.233635522</v>
      </c>
      <c r="CO774" s="140">
        <f>'Detailed Budget'!$AD$191</f>
        <v>2684962805.4134097</v>
      </c>
      <c r="CP774" s="616">
        <f t="shared" si="889"/>
        <v>2245250.2036397746</v>
      </c>
      <c r="CQ774" s="616">
        <f t="shared" si="890"/>
        <v>67052238.437275298</v>
      </c>
      <c r="CR774" s="199">
        <f>'Detailed Budget'!$AD$195</f>
        <v>18734176418</v>
      </c>
      <c r="CS774" s="275">
        <f t="shared" si="947"/>
        <v>14985516.521907648</v>
      </c>
      <c r="CW774" s="278"/>
      <c r="DH774" s="140">
        <f>'Detailed Budget'!$AD$163</f>
        <v>4928560000</v>
      </c>
      <c r="DI774" s="616">
        <f t="shared" si="948"/>
        <v>6160000</v>
      </c>
    </row>
    <row r="775" spans="1:113" outlineLevel="1">
      <c r="A775" s="214" t="s">
        <v>1592</v>
      </c>
      <c r="B775" s="215" t="s">
        <v>1593</v>
      </c>
      <c r="C775" s="216" t="s">
        <v>234</v>
      </c>
      <c r="D775" s="217"/>
      <c r="E775" s="216"/>
      <c r="F775" s="216"/>
      <c r="G775" s="216" t="s">
        <v>234</v>
      </c>
      <c r="H775" s="216" t="s">
        <v>234</v>
      </c>
      <c r="I775" s="217" t="s">
        <v>234</v>
      </c>
      <c r="J775" s="217"/>
      <c r="K775" s="216"/>
      <c r="L775" s="216"/>
      <c r="M775" s="217"/>
      <c r="N775" s="216"/>
      <c r="O775" s="217" t="s">
        <v>234</v>
      </c>
      <c r="P775" s="216"/>
      <c r="Q775" s="217" t="s">
        <v>234</v>
      </c>
      <c r="R775" s="217"/>
      <c r="S775" s="217"/>
      <c r="T775" s="217"/>
      <c r="U775" s="218">
        <f t="shared" si="924"/>
        <v>6</v>
      </c>
      <c r="V775" s="867" t="s">
        <v>1096</v>
      </c>
      <c r="W775" s="219">
        <v>427737</v>
      </c>
      <c r="X775" s="220">
        <v>3.24</v>
      </c>
      <c r="Y775" s="221">
        <f t="shared" ref="Y775:Y844" si="953">1+X775/100</f>
        <v>1.0324</v>
      </c>
      <c r="Z775" s="199">
        <v>19</v>
      </c>
      <c r="AA775" s="221">
        <f t="shared" ref="AA775:AA844" si="954">POWER(Y775,Z775)</f>
        <v>1.8327866870051304</v>
      </c>
      <c r="AB775" s="199">
        <f t="shared" si="922"/>
        <v>783950.67913951341</v>
      </c>
      <c r="AC775">
        <v>12.6</v>
      </c>
      <c r="AD775" s="199">
        <f t="shared" si="923"/>
        <v>98777.785571578686</v>
      </c>
      <c r="AE775" s="199">
        <f t="shared" ref="AE775:AE844" si="955">AD775*0.95</f>
        <v>93838.896292999751</v>
      </c>
      <c r="AF775" s="199">
        <f t="shared" si="893"/>
        <v>0</v>
      </c>
      <c r="AG775" s="614">
        <f t="shared" si="892"/>
        <v>4.3386986041145598E-3</v>
      </c>
      <c r="AH775" s="199">
        <f t="shared" si="949"/>
        <v>39197.533956975669</v>
      </c>
      <c r="AI775" s="252">
        <f t="shared" si="952"/>
        <v>3.0365735655819661E-3</v>
      </c>
      <c r="AJ775" s="199">
        <f t="shared" ref="AJ775:AJ838" si="956">AD775+AH775</f>
        <v>137975.31952855436</v>
      </c>
      <c r="AK775" s="199">
        <f t="shared" si="906"/>
        <v>31358.027165580537</v>
      </c>
      <c r="AL775" s="199">
        <f t="shared" si="907"/>
        <v>31358.027165580537</v>
      </c>
      <c r="AM775" s="199">
        <f t="shared" ref="AM775:AM838" si="957">AK775+AL775</f>
        <v>62716.054331161075</v>
      </c>
      <c r="AN775" s="645">
        <f t="shared" ref="AN775:AN838" si="958">AM775/20653560</f>
        <v>3.0365735655819661E-3</v>
      </c>
      <c r="AO775" s="199">
        <v>11</v>
      </c>
      <c r="AP775" s="250">
        <f t="shared" ref="AP775:AP838" si="959">AO775/8801</f>
        <v>1.2498579706851495E-3</v>
      </c>
      <c r="AQ775" s="199">
        <v>11</v>
      </c>
      <c r="AU775" s="199">
        <v>0</v>
      </c>
      <c r="AW775" s="250">
        <f t="shared" ref="AW775:AW838" si="960">AV775/34743979</f>
        <v>0</v>
      </c>
      <c r="AX775" s="199">
        <v>1</v>
      </c>
      <c r="AY775" s="199">
        <f t="shared" si="939"/>
        <v>45288.906841463664</v>
      </c>
      <c r="AZ775" s="199">
        <f t="shared" ref="AZ775:AZ838" si="961">AX775*AY775</f>
        <v>45288.906841463664</v>
      </c>
      <c r="BA775" s="252">
        <f t="shared" ref="BA775:BA838" si="962">AZ775/12721596</f>
        <v>3.5600019715658054E-3</v>
      </c>
      <c r="BB775" s="284">
        <v>0</v>
      </c>
      <c r="BC775" s="199">
        <f t="shared" si="940"/>
        <v>0</v>
      </c>
      <c r="BD775" s="270">
        <f t="shared" si="911"/>
        <v>0</v>
      </c>
      <c r="BE775" s="199">
        <f t="shared" si="941"/>
        <v>0</v>
      </c>
      <c r="BF775" s="251">
        <f t="shared" si="912"/>
        <v>0</v>
      </c>
      <c r="BG775" s="204">
        <f t="shared" si="942"/>
        <v>0</v>
      </c>
      <c r="BH775" s="636">
        <v>1</v>
      </c>
      <c r="BI775" s="199">
        <f t="shared" ref="BI775:BI838" si="963">AK775*0.85*0.75*12</f>
        <v>239888.90781669112</v>
      </c>
      <c r="BJ775" s="199">
        <f t="shared" ref="BJ775:BJ838" si="964">AL775*0.85*0.75*2*12</f>
        <v>479777.81563338224</v>
      </c>
      <c r="BK775" s="199">
        <f t="shared" si="891"/>
        <v>719666.72345007339</v>
      </c>
      <c r="BL775" s="251">
        <f t="shared" ref="BL775:BL838" si="965">BK775/236999601</f>
        <v>3.0365735655819666E-3</v>
      </c>
      <c r="BM775" s="199">
        <f t="shared" si="943"/>
        <v>67263.665707628228</v>
      </c>
      <c r="BN775" s="251">
        <f t="shared" ref="BN775:BN838" si="966">BM775/23157202</f>
        <v>2.9046542716010433E-3</v>
      </c>
      <c r="BT775" s="199">
        <f>'Detailed Budget'!$AD$12</f>
        <v>194045122715</v>
      </c>
      <c r="BU775" s="199">
        <f>'Detailed Budget'!$AD$24</f>
        <v>194045122715</v>
      </c>
      <c r="BV775" s="596">
        <f t="shared" si="944"/>
        <v>0</v>
      </c>
      <c r="BW775" s="278"/>
      <c r="BX775" s="275">
        <f t="shared" si="950"/>
        <v>0</v>
      </c>
      <c r="BY775" s="275">
        <f t="shared" si="951"/>
        <v>0</v>
      </c>
      <c r="CA775" s="199">
        <f>'Detailed Budget'!$AD$96</f>
        <v>71050111380.677719</v>
      </c>
      <c r="CB775" s="275">
        <f t="shared" ref="CB775:CB838" si="967">BA775*CA775</f>
        <v>252938536.59518275</v>
      </c>
      <c r="CE775" s="199">
        <f>'Detailed Budget'!$AD$175</f>
        <v>4330586076.5988197</v>
      </c>
      <c r="CF775" s="275">
        <f t="shared" si="945"/>
        <v>0</v>
      </c>
      <c r="CG775" s="199">
        <f>'Detailed Budget'!$AD$176</f>
        <v>20662817754.37001</v>
      </c>
      <c r="CH775" s="275">
        <f t="shared" si="946"/>
        <v>0</v>
      </c>
      <c r="CI775" s="275">
        <f t="shared" si="910"/>
        <v>0</v>
      </c>
      <c r="CJ775" s="275">
        <f>'Detailed Budget'!$AD$178</f>
        <v>46025131033.061455</v>
      </c>
      <c r="CK775" s="275">
        <f t="shared" si="938"/>
        <v>0</v>
      </c>
      <c r="CL775" s="275">
        <f t="shared" si="909"/>
        <v>0</v>
      </c>
      <c r="CM775" s="278">
        <f>'Detailed Budget'!$AD$189</f>
        <v>77498869683.252869</v>
      </c>
      <c r="CN775" s="275">
        <f t="shared" ref="CN775:CN838" si="968">BH775*BL775*CM775</f>
        <v>235331019.04264733</v>
      </c>
      <c r="CO775" s="140">
        <f>'Detailed Budget'!$AD$191</f>
        <v>2684962805.4134097</v>
      </c>
      <c r="CP775" s="616">
        <f t="shared" ref="CP775:CP838" si="969">BH775*AN775*CO775</f>
        <v>8153087.0794891566</v>
      </c>
      <c r="CQ775" s="616">
        <f t="shared" ref="CQ775:CQ838" si="970">CN775+CP775</f>
        <v>243484106.12213647</v>
      </c>
      <c r="CR775" s="199">
        <f>'Detailed Budget'!$AD$195</f>
        <v>18734176418</v>
      </c>
      <c r="CS775" s="275">
        <f t="shared" si="947"/>
        <v>54416305.557471231</v>
      </c>
      <c r="CW775" s="278"/>
      <c r="DH775" s="140">
        <f>'Detailed Budget'!$AD$163</f>
        <v>4928560000</v>
      </c>
      <c r="DI775" s="616">
        <f t="shared" si="948"/>
        <v>6160000</v>
      </c>
    </row>
    <row r="776" spans="1:113" outlineLevel="1">
      <c r="A776" s="214" t="s">
        <v>1594</v>
      </c>
      <c r="B776" s="215" t="s">
        <v>1595</v>
      </c>
      <c r="C776" s="216" t="s">
        <v>234</v>
      </c>
      <c r="D776" s="217"/>
      <c r="E776" s="216"/>
      <c r="F776" s="216"/>
      <c r="G776" s="216" t="s">
        <v>234</v>
      </c>
      <c r="H776" s="216" t="s">
        <v>234</v>
      </c>
      <c r="I776" s="217" t="s">
        <v>234</v>
      </c>
      <c r="J776" s="217"/>
      <c r="K776" s="216"/>
      <c r="L776" s="216"/>
      <c r="M776" s="217"/>
      <c r="N776" s="216" t="s">
        <v>234</v>
      </c>
      <c r="O776" s="217"/>
      <c r="P776" s="216"/>
      <c r="Q776" s="217" t="s">
        <v>234</v>
      </c>
      <c r="R776" s="217"/>
      <c r="S776" s="217"/>
      <c r="T776" s="217"/>
      <c r="U776" s="218">
        <f t="shared" si="924"/>
        <v>6</v>
      </c>
      <c r="V776" s="867" t="s">
        <v>1096</v>
      </c>
      <c r="W776" s="219">
        <v>317614</v>
      </c>
      <c r="X776" s="220">
        <v>3.24</v>
      </c>
      <c r="Y776" s="221">
        <f t="shared" si="953"/>
        <v>1.0324</v>
      </c>
      <c r="Z776" s="199">
        <v>19</v>
      </c>
      <c r="AA776" s="221">
        <f t="shared" si="954"/>
        <v>1.8327866870051304</v>
      </c>
      <c r="AB776" s="199">
        <f t="shared" si="922"/>
        <v>582118.71080644743</v>
      </c>
      <c r="AC776">
        <v>12.6</v>
      </c>
      <c r="AD776" s="199">
        <f t="shared" si="923"/>
        <v>73346.957561612377</v>
      </c>
      <c r="AE776" s="199">
        <f t="shared" si="955"/>
        <v>69679.609683531758</v>
      </c>
      <c r="AF776" s="199">
        <f t="shared" si="893"/>
        <v>0</v>
      </c>
      <c r="AG776" s="614">
        <f t="shared" si="892"/>
        <v>3.221679252548276E-3</v>
      </c>
      <c r="AH776" s="199">
        <f t="shared" si="949"/>
        <v>29105.935540322374</v>
      </c>
      <c r="AI776" s="252">
        <f t="shared" si="952"/>
        <v>2.254792726508931E-3</v>
      </c>
      <c r="AJ776" s="199">
        <f t="shared" si="956"/>
        <v>102452.89310193475</v>
      </c>
      <c r="AK776" s="199">
        <f t="shared" si="906"/>
        <v>23284.748432257897</v>
      </c>
      <c r="AL776" s="199">
        <f t="shared" si="907"/>
        <v>23284.748432257897</v>
      </c>
      <c r="AM776" s="199">
        <f t="shared" si="957"/>
        <v>46569.496864515793</v>
      </c>
      <c r="AN776" s="645">
        <f t="shared" si="958"/>
        <v>2.254792726508931E-3</v>
      </c>
      <c r="AO776" s="199">
        <v>10</v>
      </c>
      <c r="AP776" s="250">
        <f t="shared" si="959"/>
        <v>1.1362345188046814E-3</v>
      </c>
      <c r="AQ776" s="199">
        <v>10</v>
      </c>
      <c r="AU776" s="199">
        <v>0</v>
      </c>
      <c r="AW776" s="250">
        <f t="shared" si="960"/>
        <v>0</v>
      </c>
      <c r="AX776" s="199">
        <v>1</v>
      </c>
      <c r="AY776" s="199">
        <f t="shared" si="939"/>
        <v>33629.054436592211</v>
      </c>
      <c r="AZ776" s="199">
        <f t="shared" si="961"/>
        <v>33629.054436592211</v>
      </c>
      <c r="BA776" s="252">
        <f t="shared" si="962"/>
        <v>2.643461908127896E-3</v>
      </c>
      <c r="BB776" s="284">
        <v>0</v>
      </c>
      <c r="BC776" s="199">
        <f t="shared" si="940"/>
        <v>0</v>
      </c>
      <c r="BD776" s="270">
        <f t="shared" si="911"/>
        <v>0</v>
      </c>
      <c r="BE776" s="199">
        <f t="shared" si="941"/>
        <v>0</v>
      </c>
      <c r="BF776" s="251">
        <f t="shared" si="912"/>
        <v>0</v>
      </c>
      <c r="BG776" s="204">
        <f t="shared" si="942"/>
        <v>0</v>
      </c>
      <c r="BH776" s="636">
        <v>1</v>
      </c>
      <c r="BI776" s="199">
        <f t="shared" si="963"/>
        <v>178128.3255067729</v>
      </c>
      <c r="BJ776" s="199">
        <f t="shared" si="964"/>
        <v>356256.65101354581</v>
      </c>
      <c r="BK776" s="199">
        <f t="shared" ref="BK776:BK839" si="971">BI776+BJ776</f>
        <v>534384.97652031877</v>
      </c>
      <c r="BL776" s="251">
        <f t="shared" si="965"/>
        <v>2.254792726508931E-3</v>
      </c>
      <c r="BM776" s="199">
        <f t="shared" si="943"/>
        <v>49946.303265938266</v>
      </c>
      <c r="BN776" s="251">
        <f t="shared" si="966"/>
        <v>2.1568367053125962E-3</v>
      </c>
      <c r="BT776" s="199">
        <f>'Detailed Budget'!$AD$12</f>
        <v>194045122715</v>
      </c>
      <c r="BU776" s="199">
        <f>'Detailed Budget'!$AD$24</f>
        <v>194045122715</v>
      </c>
      <c r="BV776" s="596">
        <f t="shared" si="944"/>
        <v>0</v>
      </c>
      <c r="BW776" s="278"/>
      <c r="BX776" s="275">
        <f t="shared" si="950"/>
        <v>0</v>
      </c>
      <c r="BY776" s="275">
        <f t="shared" si="951"/>
        <v>0</v>
      </c>
      <c r="CA776" s="199">
        <f>'Detailed Budget'!$AD$96</f>
        <v>71050111380.677719</v>
      </c>
      <c r="CB776" s="275">
        <f t="shared" si="967"/>
        <v>187818263.00306585</v>
      </c>
      <c r="CE776" s="199">
        <f>'Detailed Budget'!$AD$175</f>
        <v>4330586076.5988197</v>
      </c>
      <c r="CF776" s="275">
        <f t="shared" si="945"/>
        <v>0</v>
      </c>
      <c r="CG776" s="199">
        <f>'Detailed Budget'!$AD$176</f>
        <v>20662817754.37001</v>
      </c>
      <c r="CH776" s="275">
        <f t="shared" si="946"/>
        <v>0</v>
      </c>
      <c r="CI776" s="275">
        <f t="shared" si="910"/>
        <v>0</v>
      </c>
      <c r="CJ776" s="275">
        <f>'Detailed Budget'!$AD$178</f>
        <v>46025131033.061455</v>
      </c>
      <c r="CK776" s="275">
        <f t="shared" si="938"/>
        <v>0</v>
      </c>
      <c r="CL776" s="275">
        <f t="shared" si="909"/>
        <v>0</v>
      </c>
      <c r="CM776" s="278">
        <f>'Detailed Budget'!$AD$189</f>
        <v>77498869683.252869</v>
      </c>
      <c r="CN776" s="275">
        <f t="shared" si="968"/>
        <v>174743887.67446208</v>
      </c>
      <c r="CO776" s="140">
        <f>'Detailed Budget'!$AD$191</f>
        <v>2684962805.4134097</v>
      </c>
      <c r="CP776" s="616">
        <f t="shared" si="969"/>
        <v>6054034.6045931699</v>
      </c>
      <c r="CQ776" s="616">
        <f t="shared" si="970"/>
        <v>180797922.27905524</v>
      </c>
      <c r="CR776" s="199">
        <f>'Detailed Budget'!$AD$195</f>
        <v>18734176418</v>
      </c>
      <c r="CS776" s="275">
        <f t="shared" si="947"/>
        <v>40406559.342144057</v>
      </c>
      <c r="CW776" s="278"/>
      <c r="DH776" s="140">
        <f>'Detailed Budget'!$AD$163</f>
        <v>4928560000</v>
      </c>
      <c r="DI776" s="616">
        <f t="shared" si="948"/>
        <v>5600000</v>
      </c>
    </row>
    <row r="777" spans="1:113" outlineLevel="1">
      <c r="A777" s="214" t="s">
        <v>1596</v>
      </c>
      <c r="B777" s="215" t="s">
        <v>1597</v>
      </c>
      <c r="C777" s="216" t="s">
        <v>234</v>
      </c>
      <c r="D777" s="217"/>
      <c r="E777" s="216"/>
      <c r="F777" s="216"/>
      <c r="G777" s="216" t="s">
        <v>234</v>
      </c>
      <c r="H777" s="216" t="s">
        <v>234</v>
      </c>
      <c r="I777" s="217" t="s">
        <v>234</v>
      </c>
      <c r="J777" s="217"/>
      <c r="K777" s="216"/>
      <c r="L777" s="216"/>
      <c r="M777" s="217"/>
      <c r="N777" s="216"/>
      <c r="O777" s="217" t="s">
        <v>234</v>
      </c>
      <c r="P777" s="216"/>
      <c r="Q777" s="217"/>
      <c r="R777" s="217" t="s">
        <v>234</v>
      </c>
      <c r="S777" s="217"/>
      <c r="T777" s="217"/>
      <c r="U777" s="218">
        <f t="shared" si="924"/>
        <v>6</v>
      </c>
      <c r="V777" s="867" t="s">
        <v>235</v>
      </c>
      <c r="W777" s="219">
        <v>527917</v>
      </c>
      <c r="X777" s="220">
        <v>3.24</v>
      </c>
      <c r="Y777" s="221">
        <f t="shared" si="953"/>
        <v>1.0324</v>
      </c>
      <c r="Z777" s="199">
        <v>19</v>
      </c>
      <c r="AA777" s="221">
        <f t="shared" si="954"/>
        <v>1.8327866870051304</v>
      </c>
      <c r="AB777" s="199">
        <f t="shared" si="922"/>
        <v>967559.24944368738</v>
      </c>
      <c r="AC777">
        <v>12.6</v>
      </c>
      <c r="AD777" s="199">
        <f t="shared" si="923"/>
        <v>121912.46542990461</v>
      </c>
      <c r="AE777" s="199">
        <f t="shared" si="955"/>
        <v>115816.84215840937</v>
      </c>
      <c r="AF777" s="199">
        <f t="shared" si="893"/>
        <v>0</v>
      </c>
      <c r="AG777" s="614">
        <f t="shared" ref="AG777:AG840" si="972">AE777/21628351</f>
        <v>5.3548623359408846E-3</v>
      </c>
      <c r="AH777" s="199">
        <f t="shared" si="949"/>
        <v>48377.962472184372</v>
      </c>
      <c r="AI777" s="252">
        <f t="shared" si="952"/>
        <v>3.7477674529473367E-3</v>
      </c>
      <c r="AJ777" s="199">
        <f t="shared" si="956"/>
        <v>170290.42790208897</v>
      </c>
      <c r="AK777" s="199">
        <f t="shared" si="906"/>
        <v>38702.369977747498</v>
      </c>
      <c r="AL777" s="199">
        <f t="shared" si="907"/>
        <v>38702.369977747498</v>
      </c>
      <c r="AM777" s="199">
        <f t="shared" si="957"/>
        <v>77404.739955494995</v>
      </c>
      <c r="AN777" s="645">
        <f t="shared" si="958"/>
        <v>3.7477674529473367E-3</v>
      </c>
      <c r="AO777" s="199">
        <v>19</v>
      </c>
      <c r="AP777" s="250">
        <f t="shared" si="959"/>
        <v>2.1588455857288946E-3</v>
      </c>
      <c r="AQ777" s="199">
        <v>19</v>
      </c>
      <c r="AU777" s="199">
        <v>0</v>
      </c>
      <c r="AW777" s="250">
        <f t="shared" si="960"/>
        <v>0</v>
      </c>
      <c r="AX777" s="199">
        <v>1</v>
      </c>
      <c r="AY777" s="199">
        <f t="shared" si="939"/>
        <v>55895.991773040383</v>
      </c>
      <c r="AZ777" s="199">
        <f t="shared" si="961"/>
        <v>55895.991773040383</v>
      </c>
      <c r="BA777" s="252">
        <f t="shared" si="962"/>
        <v>4.3937876798666132E-3</v>
      </c>
      <c r="BB777" s="284">
        <v>0</v>
      </c>
      <c r="BC777" s="199">
        <f t="shared" si="940"/>
        <v>0</v>
      </c>
      <c r="BD777" s="270">
        <f t="shared" si="911"/>
        <v>0</v>
      </c>
      <c r="BE777" s="199">
        <f t="shared" si="941"/>
        <v>0</v>
      </c>
      <c r="BF777" s="251">
        <f t="shared" si="912"/>
        <v>0</v>
      </c>
      <c r="BG777" s="204">
        <f t="shared" si="942"/>
        <v>0</v>
      </c>
      <c r="BH777" s="636">
        <v>1</v>
      </c>
      <c r="BI777" s="199">
        <f t="shared" si="963"/>
        <v>296073.13032976835</v>
      </c>
      <c r="BJ777" s="199">
        <f t="shared" si="964"/>
        <v>592146.2606595367</v>
      </c>
      <c r="BK777" s="199">
        <f t="shared" si="971"/>
        <v>888219.39098930499</v>
      </c>
      <c r="BL777" s="251">
        <f t="shared" si="965"/>
        <v>3.7477674529473363E-3</v>
      </c>
      <c r="BM777" s="199">
        <f t="shared" si="943"/>
        <v>83017.444386092335</v>
      </c>
      <c r="BN777" s="251">
        <f t="shared" si="966"/>
        <v>3.5849514283328504E-3</v>
      </c>
      <c r="BT777" s="199">
        <f>'Detailed Budget'!$AD$12</f>
        <v>194045122715</v>
      </c>
      <c r="BU777" s="199">
        <f>'Detailed Budget'!$AD$24</f>
        <v>194045122715</v>
      </c>
      <c r="BV777" s="596">
        <f t="shared" si="944"/>
        <v>0</v>
      </c>
      <c r="BW777" s="278"/>
      <c r="BX777" s="275">
        <f t="shared" si="950"/>
        <v>0</v>
      </c>
      <c r="BY777" s="275">
        <f t="shared" si="951"/>
        <v>0</v>
      </c>
      <c r="CA777" s="199">
        <f>'Detailed Budget'!$AD$96</f>
        <v>71050111380.677719</v>
      </c>
      <c r="CB777" s="275">
        <f t="shared" si="967"/>
        <v>312179104.03757238</v>
      </c>
      <c r="CE777" s="199">
        <f>'Detailed Budget'!$AD$175</f>
        <v>4330586076.5988197</v>
      </c>
      <c r="CF777" s="275">
        <f t="shared" si="945"/>
        <v>0</v>
      </c>
      <c r="CG777" s="199">
        <f>'Detailed Budget'!$AD$176</f>
        <v>20662817754.37001</v>
      </c>
      <c r="CH777" s="275">
        <f t="shared" si="946"/>
        <v>0</v>
      </c>
      <c r="CI777" s="275">
        <f t="shared" si="910"/>
        <v>0</v>
      </c>
      <c r="CJ777" s="275">
        <f>'Detailed Budget'!$AD$178</f>
        <v>46025131033.061455</v>
      </c>
      <c r="CK777" s="275">
        <f t="shared" si="938"/>
        <v>0</v>
      </c>
      <c r="CL777" s="275">
        <f t="shared" si="909"/>
        <v>0</v>
      </c>
      <c r="CM777" s="278">
        <f>'Detailed Budget'!$AD$189</f>
        <v>77498869683.252869</v>
      </c>
      <c r="CN777" s="275">
        <f t="shared" si="968"/>
        <v>290447741.43910211</v>
      </c>
      <c r="CO777" s="140">
        <f>'Detailed Budget'!$AD$191</f>
        <v>2684962805.4134097</v>
      </c>
      <c r="CP777" s="616">
        <f t="shared" si="969"/>
        <v>10062616.214502551</v>
      </c>
      <c r="CQ777" s="616">
        <f t="shared" si="970"/>
        <v>300510357.65360469</v>
      </c>
      <c r="CR777" s="199">
        <f>'Detailed Budget'!$AD$195</f>
        <v>18734176418</v>
      </c>
      <c r="CS777" s="275">
        <f t="shared" si="947"/>
        <v>67161112.508348703</v>
      </c>
      <c r="CW777" s="278"/>
      <c r="DH777" s="140">
        <f>'Detailed Budget'!$AD$163</f>
        <v>4928560000</v>
      </c>
      <c r="DI777" s="616">
        <f t="shared" si="948"/>
        <v>10640000</v>
      </c>
    </row>
    <row r="778" spans="1:113" outlineLevel="1">
      <c r="A778" s="214" t="s">
        <v>1598</v>
      </c>
      <c r="B778" s="215" t="s">
        <v>1599</v>
      </c>
      <c r="C778" s="216" t="s">
        <v>234</v>
      </c>
      <c r="D778" s="217"/>
      <c r="E778" s="216"/>
      <c r="F778" s="216"/>
      <c r="G778" s="216" t="s">
        <v>234</v>
      </c>
      <c r="H778" s="216" t="s">
        <v>234</v>
      </c>
      <c r="I778" s="217" t="s">
        <v>234</v>
      </c>
      <c r="J778" s="217"/>
      <c r="K778" s="216"/>
      <c r="L778" s="216"/>
      <c r="M778" s="217"/>
      <c r="N778" s="216" t="s">
        <v>234</v>
      </c>
      <c r="O778" s="217"/>
      <c r="P778" s="216"/>
      <c r="Q778" s="217" t="s">
        <v>234</v>
      </c>
      <c r="R778" s="217"/>
      <c r="S778" s="217"/>
      <c r="T778" s="217"/>
      <c r="U778" s="218">
        <f t="shared" si="924"/>
        <v>6</v>
      </c>
      <c r="V778" s="867" t="s">
        <v>1096</v>
      </c>
      <c r="W778" s="219">
        <v>682772</v>
      </c>
      <c r="X778" s="220">
        <v>3.24</v>
      </c>
      <c r="Y778" s="221">
        <f t="shared" si="953"/>
        <v>1.0324</v>
      </c>
      <c r="Z778" s="199">
        <v>19</v>
      </c>
      <c r="AA778" s="221">
        <f t="shared" si="954"/>
        <v>1.8327866870051304</v>
      </c>
      <c r="AB778" s="199">
        <f t="shared" si="922"/>
        <v>1251375.4318598669</v>
      </c>
      <c r="AC778">
        <v>12.6</v>
      </c>
      <c r="AD778" s="199">
        <f t="shared" si="923"/>
        <v>157673.30441434323</v>
      </c>
      <c r="AE778" s="199">
        <f t="shared" si="955"/>
        <v>149789.63919362606</v>
      </c>
      <c r="AF778" s="199">
        <f t="shared" si="893"/>
        <v>0</v>
      </c>
      <c r="AG778" s="614">
        <f t="shared" si="972"/>
        <v>6.9256153274757778E-3</v>
      </c>
      <c r="AH778" s="199">
        <f t="shared" si="949"/>
        <v>62568.771592993347</v>
      </c>
      <c r="AI778" s="252">
        <f t="shared" si="952"/>
        <v>4.8471079343604378E-3</v>
      </c>
      <c r="AJ778" s="199">
        <f t="shared" si="956"/>
        <v>220242.07600733658</v>
      </c>
      <c r="AK778" s="199">
        <f t="shared" si="906"/>
        <v>50055.017274394682</v>
      </c>
      <c r="AL778" s="199">
        <f t="shared" si="907"/>
        <v>50055.017274394682</v>
      </c>
      <c r="AM778" s="199">
        <f t="shared" si="957"/>
        <v>100110.03454878936</v>
      </c>
      <c r="AN778" s="645">
        <f t="shared" si="958"/>
        <v>4.8471079343604378E-3</v>
      </c>
      <c r="AO778" s="199">
        <v>10</v>
      </c>
      <c r="AP778" s="250">
        <f t="shared" si="959"/>
        <v>1.1362345188046814E-3</v>
      </c>
      <c r="AQ778" s="199">
        <v>10</v>
      </c>
      <c r="AU778" s="199">
        <v>0</v>
      </c>
      <c r="AW778" s="250">
        <f t="shared" si="960"/>
        <v>0</v>
      </c>
      <c r="AX778" s="199">
        <v>1</v>
      </c>
      <c r="AY778" s="199">
        <f t="shared" si="939"/>
        <v>72292.080184692546</v>
      </c>
      <c r="AZ778" s="199">
        <f t="shared" si="961"/>
        <v>72292.080184692546</v>
      </c>
      <c r="BA778" s="252">
        <f t="shared" si="962"/>
        <v>5.6826266283485612E-3</v>
      </c>
      <c r="BB778" s="284">
        <v>0</v>
      </c>
      <c r="BC778" s="199">
        <f t="shared" si="940"/>
        <v>0</v>
      </c>
      <c r="BD778" s="270">
        <f t="shared" si="911"/>
        <v>0</v>
      </c>
      <c r="BE778" s="199">
        <f t="shared" si="941"/>
        <v>0</v>
      </c>
      <c r="BF778" s="251">
        <f t="shared" si="912"/>
        <v>0</v>
      </c>
      <c r="BG778" s="204">
        <f t="shared" si="942"/>
        <v>0</v>
      </c>
      <c r="BH778" s="636">
        <v>1</v>
      </c>
      <c r="BI778" s="199">
        <f t="shared" si="963"/>
        <v>382920.88214911934</v>
      </c>
      <c r="BJ778" s="199">
        <f t="shared" si="964"/>
        <v>765841.76429823868</v>
      </c>
      <c r="BK778" s="199">
        <f t="shared" si="971"/>
        <v>1148762.646447358</v>
      </c>
      <c r="BL778" s="251">
        <f t="shared" si="965"/>
        <v>4.8471079343604378E-3</v>
      </c>
      <c r="BM778" s="199">
        <f t="shared" si="943"/>
        <v>107369.12533292364</v>
      </c>
      <c r="BN778" s="251">
        <f t="shared" si="966"/>
        <v>4.6365327440216495E-3</v>
      </c>
      <c r="BT778" s="199">
        <f>'Detailed Budget'!$AD$12</f>
        <v>194045122715</v>
      </c>
      <c r="BU778" s="199">
        <f>'Detailed Budget'!$AD$24</f>
        <v>194045122715</v>
      </c>
      <c r="BV778" s="596">
        <f t="shared" si="944"/>
        <v>0</v>
      </c>
      <c r="BW778" s="278"/>
      <c r="BX778" s="275">
        <f t="shared" si="950"/>
        <v>0</v>
      </c>
      <c r="BY778" s="275">
        <f t="shared" si="951"/>
        <v>0</v>
      </c>
      <c r="CA778" s="199">
        <f>'Detailed Budget'!$AD$96</f>
        <v>71050111380.677719</v>
      </c>
      <c r="CB778" s="275">
        <f t="shared" si="967"/>
        <v>403751254.87897038</v>
      </c>
      <c r="CE778" s="199">
        <f>'Detailed Budget'!$AD$175</f>
        <v>4330586076.5988197</v>
      </c>
      <c r="CF778" s="275">
        <f t="shared" si="945"/>
        <v>0</v>
      </c>
      <c r="CG778" s="199">
        <f>'Detailed Budget'!$AD$176</f>
        <v>20662817754.37001</v>
      </c>
      <c r="CH778" s="275">
        <f t="shared" si="946"/>
        <v>0</v>
      </c>
      <c r="CI778" s="275">
        <f t="shared" si="910"/>
        <v>0</v>
      </c>
      <c r="CJ778" s="275">
        <f>'Detailed Budget'!$AD$178</f>
        <v>46025131033.061455</v>
      </c>
      <c r="CK778" s="275">
        <f t="shared" si="938"/>
        <v>0</v>
      </c>
      <c r="CL778" s="275">
        <f t="shared" si="909"/>
        <v>0</v>
      </c>
      <c r="CM778" s="278">
        <f>'Detailed Budget'!$AD$189</f>
        <v>77498869683.252869</v>
      </c>
      <c r="CN778" s="275">
        <f t="shared" si="968"/>
        <v>375645386.14566058</v>
      </c>
      <c r="CO778" s="140">
        <f>'Detailed Budget'!$AD$191</f>
        <v>2684962805.4134097</v>
      </c>
      <c r="CP778" s="616">
        <f t="shared" si="969"/>
        <v>13014304.517581999</v>
      </c>
      <c r="CQ778" s="616">
        <f t="shared" si="970"/>
        <v>388659690.66324258</v>
      </c>
      <c r="CR778" s="199">
        <f>'Detailed Budget'!$AD$195</f>
        <v>18734176418</v>
      </c>
      <c r="CS778" s="275">
        <f t="shared" si="947"/>
        <v>86861622.39433521</v>
      </c>
      <c r="CW778" s="278"/>
      <c r="DH778" s="140">
        <f>'Detailed Budget'!$AD$163</f>
        <v>4928560000</v>
      </c>
      <c r="DI778" s="616">
        <f t="shared" si="948"/>
        <v>5600000</v>
      </c>
    </row>
    <row r="779" spans="1:113" outlineLevel="1">
      <c r="A779" s="214" t="s">
        <v>1600</v>
      </c>
      <c r="B779" s="215" t="s">
        <v>1601</v>
      </c>
      <c r="C779" s="216" t="s">
        <v>234</v>
      </c>
      <c r="D779" s="217"/>
      <c r="E779" s="216"/>
      <c r="F779" s="216"/>
      <c r="G779" s="216" t="s">
        <v>234</v>
      </c>
      <c r="H779" s="216" t="s">
        <v>234</v>
      </c>
      <c r="I779" s="217" t="s">
        <v>234</v>
      </c>
      <c r="J779" s="217"/>
      <c r="K779" s="216"/>
      <c r="L779" s="216"/>
      <c r="M779" s="217"/>
      <c r="N779" s="216" t="s">
        <v>234</v>
      </c>
      <c r="O779" s="217"/>
      <c r="P779" s="216"/>
      <c r="Q779" s="217" t="s">
        <v>234</v>
      </c>
      <c r="R779" s="217"/>
      <c r="S779" s="217"/>
      <c r="T779" s="217"/>
      <c r="U779" s="218">
        <f t="shared" si="924"/>
        <v>6</v>
      </c>
      <c r="V779" s="867" t="s">
        <v>1096</v>
      </c>
      <c r="W779" s="219">
        <v>212700</v>
      </c>
      <c r="X779" s="220">
        <v>3.24</v>
      </c>
      <c r="Y779" s="221">
        <f t="shared" si="953"/>
        <v>1.0324</v>
      </c>
      <c r="Z779" s="199">
        <v>19</v>
      </c>
      <c r="AA779" s="221">
        <f t="shared" si="954"/>
        <v>1.8327866870051304</v>
      </c>
      <c r="AB779" s="199">
        <f t="shared" si="922"/>
        <v>389833.72832599125</v>
      </c>
      <c r="AC779">
        <v>12.6</v>
      </c>
      <c r="AD779" s="199">
        <f t="shared" si="923"/>
        <v>49119.049769074896</v>
      </c>
      <c r="AE779" s="199">
        <f t="shared" si="955"/>
        <v>46663.09728062115</v>
      </c>
      <c r="AF779" s="199">
        <f t="shared" si="893"/>
        <v>0</v>
      </c>
      <c r="AG779" s="614">
        <f t="shared" si="972"/>
        <v>2.1574967634204359E-3</v>
      </c>
      <c r="AH779" s="199">
        <f t="shared" si="949"/>
        <v>19491.686416299563</v>
      </c>
      <c r="AI779" s="252">
        <f t="shared" si="952"/>
        <v>1.5099914138811566E-3</v>
      </c>
      <c r="AJ779" s="199">
        <f t="shared" si="956"/>
        <v>68610.736185374466</v>
      </c>
      <c r="AK779" s="199">
        <f t="shared" si="906"/>
        <v>15593.34913303965</v>
      </c>
      <c r="AL779" s="199">
        <f t="shared" si="907"/>
        <v>15593.34913303965</v>
      </c>
      <c r="AM779" s="199">
        <f t="shared" si="957"/>
        <v>31186.6982660793</v>
      </c>
      <c r="AN779" s="645">
        <f t="shared" si="958"/>
        <v>1.5099914138811566E-3</v>
      </c>
      <c r="AO779" s="199">
        <v>19</v>
      </c>
      <c r="AP779" s="250">
        <f t="shared" si="959"/>
        <v>2.1588455857288946E-3</v>
      </c>
      <c r="AQ779" s="199">
        <v>19</v>
      </c>
      <c r="AU779" s="199">
        <v>0</v>
      </c>
      <c r="AW779" s="250">
        <f t="shared" si="960"/>
        <v>0</v>
      </c>
      <c r="AX779" s="199">
        <v>1</v>
      </c>
      <c r="AY779" s="199">
        <f t="shared" si="939"/>
        <v>22520.732331267398</v>
      </c>
      <c r="AZ779" s="199">
        <f t="shared" si="961"/>
        <v>22520.732331267398</v>
      </c>
      <c r="BA779" s="252">
        <f t="shared" si="962"/>
        <v>1.770275705286302E-3</v>
      </c>
      <c r="BB779" s="284">
        <v>0</v>
      </c>
      <c r="BC779" s="199">
        <f t="shared" si="940"/>
        <v>0</v>
      </c>
      <c r="BD779" s="270">
        <f t="shared" si="911"/>
        <v>0</v>
      </c>
      <c r="BE779" s="199">
        <f t="shared" si="941"/>
        <v>0</v>
      </c>
      <c r="BF779" s="251">
        <f t="shared" si="912"/>
        <v>0</v>
      </c>
      <c r="BG779" s="204">
        <f t="shared" si="942"/>
        <v>0</v>
      </c>
      <c r="BH779" s="636">
        <v>1</v>
      </c>
      <c r="BI779" s="199">
        <f t="shared" si="963"/>
        <v>119289.12086775331</v>
      </c>
      <c r="BJ779" s="199">
        <f t="shared" si="964"/>
        <v>238578.24173550663</v>
      </c>
      <c r="BK779" s="199">
        <f t="shared" si="971"/>
        <v>357867.36260325997</v>
      </c>
      <c r="BL779" s="251">
        <f t="shared" si="965"/>
        <v>1.5099914138811566E-3</v>
      </c>
      <c r="BM779" s="199">
        <f t="shared" si="943"/>
        <v>33448.080703826243</v>
      </c>
      <c r="BN779" s="251">
        <f t="shared" si="966"/>
        <v>1.4443921465048431E-3</v>
      </c>
      <c r="BT779" s="199">
        <f>'Detailed Budget'!$AD$12</f>
        <v>194045122715</v>
      </c>
      <c r="BU779" s="199">
        <f>'Detailed Budget'!$AD$24</f>
        <v>194045122715</v>
      </c>
      <c r="BV779" s="596">
        <f t="shared" si="944"/>
        <v>0</v>
      </c>
      <c r="BW779" s="278"/>
      <c r="BX779" s="275">
        <f t="shared" si="950"/>
        <v>0</v>
      </c>
      <c r="BY779" s="275">
        <f t="shared" si="951"/>
        <v>0</v>
      </c>
      <c r="CA779" s="199">
        <f>'Detailed Budget'!$AD$96</f>
        <v>71050111380.677719</v>
      </c>
      <c r="CB779" s="275">
        <f t="shared" si="967"/>
        <v>125778286.03509957</v>
      </c>
      <c r="CE779" s="199">
        <f>'Detailed Budget'!$AD$175</f>
        <v>4330586076.5988197</v>
      </c>
      <c r="CF779" s="275">
        <f t="shared" si="945"/>
        <v>0</v>
      </c>
      <c r="CG779" s="199">
        <f>'Detailed Budget'!$AD$176</f>
        <v>20662817754.37001</v>
      </c>
      <c r="CH779" s="275">
        <f t="shared" si="946"/>
        <v>0</v>
      </c>
      <c r="CI779" s="275">
        <f t="shared" si="910"/>
        <v>0</v>
      </c>
      <c r="CJ779" s="275">
        <f>'Detailed Budget'!$AD$178</f>
        <v>46025131033.061455</v>
      </c>
      <c r="CK779" s="275">
        <f t="shared" si="938"/>
        <v>0</v>
      </c>
      <c r="CL779" s="275">
        <f t="shared" si="909"/>
        <v>0</v>
      </c>
      <c r="CM779" s="278">
        <f>'Detailed Budget'!$AD$189</f>
        <v>77498869683.252869</v>
      </c>
      <c r="CN779" s="275">
        <f t="shared" si="968"/>
        <v>117022627.8072065</v>
      </c>
      <c r="CO779" s="140">
        <f>'Detailed Budget'!$AD$191</f>
        <v>2684962805.4134097</v>
      </c>
      <c r="CP779" s="616">
        <f t="shared" si="969"/>
        <v>4054270.7827645112</v>
      </c>
      <c r="CQ779" s="616">
        <f t="shared" si="970"/>
        <v>121076898.58997101</v>
      </c>
      <c r="CR779" s="199">
        <f>'Detailed Budget'!$AD$195</f>
        <v>18734176418</v>
      </c>
      <c r="CS779" s="275">
        <f t="shared" si="947"/>
        <v>27059497.289395433</v>
      </c>
      <c r="CW779" s="278"/>
      <c r="DH779" s="140">
        <f>'Detailed Budget'!$AD$163</f>
        <v>4928560000</v>
      </c>
      <c r="DI779" s="616">
        <f t="shared" si="948"/>
        <v>10640000</v>
      </c>
    </row>
    <row r="780" spans="1:113" outlineLevel="1">
      <c r="A780" s="214" t="s">
        <v>1602</v>
      </c>
      <c r="B780" s="215" t="s">
        <v>1603</v>
      </c>
      <c r="C780" s="216" t="s">
        <v>234</v>
      </c>
      <c r="D780" s="217"/>
      <c r="E780" s="216"/>
      <c r="F780" s="216"/>
      <c r="G780" s="216" t="s">
        <v>234</v>
      </c>
      <c r="H780" s="216" t="s">
        <v>234</v>
      </c>
      <c r="I780" s="217"/>
      <c r="J780" s="217"/>
      <c r="K780" s="216"/>
      <c r="L780" s="216"/>
      <c r="M780" s="217"/>
      <c r="N780" s="216"/>
      <c r="O780" s="217"/>
      <c r="P780" s="216"/>
      <c r="Q780" s="217" t="s">
        <v>234</v>
      </c>
      <c r="R780" s="217"/>
      <c r="S780" s="217"/>
      <c r="T780" s="217"/>
      <c r="U780" s="218">
        <f t="shared" si="924"/>
        <v>4</v>
      </c>
      <c r="V780" s="867" t="s">
        <v>1096</v>
      </c>
      <c r="W780" s="219">
        <v>326700</v>
      </c>
      <c r="X780" s="220">
        <v>3.24</v>
      </c>
      <c r="Y780" s="221">
        <f t="shared" si="953"/>
        <v>1.0324</v>
      </c>
      <c r="Z780" s="199">
        <v>19</v>
      </c>
      <c r="AA780" s="221">
        <f t="shared" si="954"/>
        <v>1.8327866870051304</v>
      </c>
      <c r="AB780" s="199">
        <f t="shared" ref="AB780:AB815" si="973">W780*AA780</f>
        <v>598771.41064457607</v>
      </c>
      <c r="AC780">
        <v>12.6</v>
      </c>
      <c r="AD780" s="199">
        <f t="shared" ref="AD780:AD815" si="974">AB780*AC780/100</f>
        <v>75445.197741216572</v>
      </c>
      <c r="AE780" s="199">
        <f t="shared" si="955"/>
        <v>71672.937854155738</v>
      </c>
      <c r="AF780" s="199">
        <f t="shared" ref="AF780:AF843" si="975">AE780*BB780</f>
        <v>0</v>
      </c>
      <c r="AG780" s="614">
        <f t="shared" si="972"/>
        <v>3.3138419962832921E-3</v>
      </c>
      <c r="AH780" s="199">
        <f t="shared" si="949"/>
        <v>29938.570532228805</v>
      </c>
      <c r="AI780" s="252">
        <f t="shared" si="952"/>
        <v>2.3192956977666846E-3</v>
      </c>
      <c r="AJ780" s="199">
        <f t="shared" si="956"/>
        <v>105383.76827344537</v>
      </c>
      <c r="AK780" s="199">
        <f t="shared" si="906"/>
        <v>23950.856425783044</v>
      </c>
      <c r="AL780" s="199">
        <f t="shared" si="907"/>
        <v>23950.856425783044</v>
      </c>
      <c r="AM780" s="199">
        <f t="shared" si="957"/>
        <v>47901.712851566088</v>
      </c>
      <c r="AN780" s="645">
        <f t="shared" si="958"/>
        <v>2.3192956977666846E-3</v>
      </c>
      <c r="AO780" s="199">
        <v>11</v>
      </c>
      <c r="AP780" s="250">
        <f t="shared" si="959"/>
        <v>1.2498579706851495E-3</v>
      </c>
      <c r="AQ780" s="199">
        <v>11</v>
      </c>
      <c r="AU780" s="199">
        <v>0</v>
      </c>
      <c r="AW780" s="250">
        <f t="shared" si="960"/>
        <v>0</v>
      </c>
      <c r="AX780" s="199">
        <v>1</v>
      </c>
      <c r="AY780" s="199">
        <f t="shared" si="939"/>
        <v>34591.082522919874</v>
      </c>
      <c r="AZ780" s="199">
        <f t="shared" si="961"/>
        <v>34591.082522919874</v>
      </c>
      <c r="BA780" s="252">
        <f t="shared" si="962"/>
        <v>2.7190835586132331E-3</v>
      </c>
      <c r="BB780" s="284">
        <v>0</v>
      </c>
      <c r="BC780" s="199">
        <f t="shared" si="940"/>
        <v>0</v>
      </c>
      <c r="BD780" s="270">
        <f t="shared" si="911"/>
        <v>0</v>
      </c>
      <c r="BE780" s="199">
        <f t="shared" si="941"/>
        <v>0</v>
      </c>
      <c r="BF780" s="251">
        <f t="shared" si="912"/>
        <v>0</v>
      </c>
      <c r="BG780" s="204">
        <f t="shared" si="942"/>
        <v>0</v>
      </c>
      <c r="BH780" s="636">
        <v>1</v>
      </c>
      <c r="BI780" s="199">
        <f t="shared" si="963"/>
        <v>183224.05165724026</v>
      </c>
      <c r="BJ780" s="199">
        <f t="shared" si="964"/>
        <v>366448.10331448051</v>
      </c>
      <c r="BK780" s="199">
        <f t="shared" si="971"/>
        <v>549672.15497172077</v>
      </c>
      <c r="BL780" s="251">
        <f t="shared" si="965"/>
        <v>2.3192956977666841E-3</v>
      </c>
      <c r="BM780" s="199">
        <f t="shared" si="943"/>
        <v>51375.119727033547</v>
      </c>
      <c r="BN780" s="251">
        <f t="shared" si="966"/>
        <v>2.2185374436442516E-3</v>
      </c>
      <c r="BT780" s="199">
        <f>'Detailed Budget'!$AD$12</f>
        <v>194045122715</v>
      </c>
      <c r="BU780" s="199">
        <f>'Detailed Budget'!$AD$24</f>
        <v>194045122715</v>
      </c>
      <c r="BV780" s="596">
        <f t="shared" si="944"/>
        <v>0</v>
      </c>
      <c r="BW780" s="278"/>
      <c r="BX780" s="275">
        <f t="shared" si="950"/>
        <v>0</v>
      </c>
      <c r="BY780" s="275">
        <f t="shared" si="951"/>
        <v>0</v>
      </c>
      <c r="CA780" s="199">
        <f>'Detailed Budget'!$AD$96</f>
        <v>71050111380.677719</v>
      </c>
      <c r="CB780" s="275">
        <f t="shared" si="967"/>
        <v>193191189.69283974</v>
      </c>
      <c r="CE780" s="199">
        <f>'Detailed Budget'!$AD$175</f>
        <v>4330586076.5988197</v>
      </c>
      <c r="CF780" s="275">
        <f t="shared" si="945"/>
        <v>0</v>
      </c>
      <c r="CG780" s="199">
        <f>'Detailed Budget'!$AD$176</f>
        <v>20662817754.37001</v>
      </c>
      <c r="CH780" s="275">
        <f t="shared" si="946"/>
        <v>0</v>
      </c>
      <c r="CI780" s="275">
        <f t="shared" si="910"/>
        <v>0</v>
      </c>
      <c r="CJ780" s="275">
        <f>'Detailed Budget'!$AD$178</f>
        <v>46025131033.061455</v>
      </c>
      <c r="CK780" s="275">
        <f t="shared" si="938"/>
        <v>0</v>
      </c>
      <c r="CL780" s="275">
        <f t="shared" si="909"/>
        <v>0</v>
      </c>
      <c r="CM780" s="278">
        <f>'Detailed Budget'!$AD$189</f>
        <v>77498869683.252869</v>
      </c>
      <c r="CN780" s="275">
        <f t="shared" si="968"/>
        <v>179742795.0381493</v>
      </c>
      <c r="CO780" s="140">
        <f>'Detailed Budget'!$AD$191</f>
        <v>2684962805.4134097</v>
      </c>
      <c r="CP780" s="616">
        <f t="shared" si="969"/>
        <v>6227222.6832588892</v>
      </c>
      <c r="CQ780" s="616">
        <f t="shared" si="970"/>
        <v>185970017.72140819</v>
      </c>
      <c r="CR780" s="199">
        <f>'Detailed Budget'!$AD$195</f>
        <v>18734176418</v>
      </c>
      <c r="CS780" s="275">
        <f t="shared" si="947"/>
        <v>41562471.859170139</v>
      </c>
      <c r="CW780" s="278"/>
      <c r="DH780" s="140">
        <f>'Detailed Budget'!$AD$163</f>
        <v>4928560000</v>
      </c>
      <c r="DI780" s="616">
        <f t="shared" si="948"/>
        <v>6160000</v>
      </c>
    </row>
    <row r="781" spans="1:113" outlineLevel="1">
      <c r="A781" s="214" t="s">
        <v>1604</v>
      </c>
      <c r="B781" s="215" t="s">
        <v>1605</v>
      </c>
      <c r="C781" s="216" t="s">
        <v>234</v>
      </c>
      <c r="D781" s="217"/>
      <c r="E781" s="216"/>
      <c r="F781" s="216"/>
      <c r="G781" s="216"/>
      <c r="H781" s="216" t="s">
        <v>234</v>
      </c>
      <c r="I781" s="217" t="s">
        <v>234</v>
      </c>
      <c r="J781" s="217"/>
      <c r="K781" s="216"/>
      <c r="L781" s="216"/>
      <c r="M781" s="217"/>
      <c r="N781" s="216" t="s">
        <v>234</v>
      </c>
      <c r="O781" s="217"/>
      <c r="P781" s="216"/>
      <c r="Q781" s="217" t="s">
        <v>234</v>
      </c>
      <c r="R781" s="217"/>
      <c r="S781" s="217"/>
      <c r="T781" s="217"/>
      <c r="U781" s="218">
        <f t="shared" si="924"/>
        <v>5</v>
      </c>
      <c r="V781" s="867" t="s">
        <v>1150</v>
      </c>
      <c r="W781" s="219">
        <v>631857</v>
      </c>
      <c r="X781" s="220">
        <v>3.24</v>
      </c>
      <c r="Y781" s="221">
        <f t="shared" si="953"/>
        <v>1.0324</v>
      </c>
      <c r="Z781" s="199">
        <v>19</v>
      </c>
      <c r="AA781" s="221">
        <f t="shared" si="954"/>
        <v>1.8327866870051304</v>
      </c>
      <c r="AB781" s="199">
        <f t="shared" si="973"/>
        <v>1158059.0976910007</v>
      </c>
      <c r="AC781">
        <v>12.6</v>
      </c>
      <c r="AD781" s="199">
        <f t="shared" si="974"/>
        <v>145915.44630906609</v>
      </c>
      <c r="AE781" s="199">
        <f t="shared" si="955"/>
        <v>138619.67399361279</v>
      </c>
      <c r="AF781" s="199">
        <f t="shared" si="975"/>
        <v>0</v>
      </c>
      <c r="AG781" s="614">
        <f t="shared" si="972"/>
        <v>6.4091651736932131E-3</v>
      </c>
      <c r="AH781" s="199">
        <f t="shared" si="949"/>
        <v>57902.954884550039</v>
      </c>
      <c r="AI781" s="252">
        <f t="shared" si="952"/>
        <v>4.4856541833601599E-3</v>
      </c>
      <c r="AJ781" s="199">
        <f t="shared" si="956"/>
        <v>203818.40119361613</v>
      </c>
      <c r="AK781" s="199">
        <f t="shared" si="906"/>
        <v>46322.363907640029</v>
      </c>
      <c r="AL781" s="199">
        <f t="shared" si="907"/>
        <v>46322.363907640029</v>
      </c>
      <c r="AM781" s="199">
        <f t="shared" si="957"/>
        <v>92644.727815280057</v>
      </c>
      <c r="AN781" s="645">
        <f t="shared" si="958"/>
        <v>4.4856541833601599E-3</v>
      </c>
      <c r="AO781" s="199">
        <v>14</v>
      </c>
      <c r="AP781" s="250">
        <f t="shared" si="959"/>
        <v>1.5907283263265539E-3</v>
      </c>
      <c r="AQ781" s="199">
        <v>14</v>
      </c>
      <c r="AU781" s="199">
        <v>0</v>
      </c>
      <c r="AW781" s="250">
        <f t="shared" si="960"/>
        <v>0</v>
      </c>
      <c r="AX781" s="199">
        <v>1</v>
      </c>
      <c r="AY781" s="199">
        <f t="shared" si="939"/>
        <v>66901.186500411961</v>
      </c>
      <c r="AZ781" s="199">
        <f t="shared" si="961"/>
        <v>66901.186500411961</v>
      </c>
      <c r="BA781" s="252">
        <f t="shared" si="962"/>
        <v>5.2588674015753966E-3</v>
      </c>
      <c r="BB781" s="284">
        <v>0</v>
      </c>
      <c r="BC781" s="199">
        <f t="shared" si="940"/>
        <v>0</v>
      </c>
      <c r="BD781" s="270">
        <f t="shared" si="911"/>
        <v>0</v>
      </c>
      <c r="BE781" s="199">
        <f t="shared" si="941"/>
        <v>0</v>
      </c>
      <c r="BF781" s="251">
        <f t="shared" si="912"/>
        <v>0</v>
      </c>
      <c r="BG781" s="204">
        <f t="shared" si="942"/>
        <v>0</v>
      </c>
      <c r="BH781" s="636">
        <v>0</v>
      </c>
      <c r="BI781" s="199">
        <f t="shared" si="963"/>
        <v>354366.08389344614</v>
      </c>
      <c r="BJ781" s="199">
        <f t="shared" si="964"/>
        <v>708732.16778689227</v>
      </c>
      <c r="BK781" s="199">
        <f t="shared" si="971"/>
        <v>1063098.2516803383</v>
      </c>
      <c r="BL781" s="251">
        <f t="shared" si="965"/>
        <v>4.4856541833601582E-3</v>
      </c>
      <c r="BM781" s="199">
        <f t="shared" si="943"/>
        <v>99362.500842865731</v>
      </c>
      <c r="BN781" s="251">
        <f t="shared" si="966"/>
        <v>4.2907817983738163E-3</v>
      </c>
      <c r="BT781" s="199">
        <f>'Detailed Budget'!$AD$12</f>
        <v>194045122715</v>
      </c>
      <c r="BU781" s="199">
        <f>'Detailed Budget'!$AD$24</f>
        <v>194045122715</v>
      </c>
      <c r="BV781" s="596">
        <f t="shared" si="944"/>
        <v>0</v>
      </c>
      <c r="BW781" s="278"/>
      <c r="BX781" s="275">
        <f t="shared" si="950"/>
        <v>0</v>
      </c>
      <c r="BY781" s="275">
        <f t="shared" si="951"/>
        <v>0</v>
      </c>
      <c r="CA781" s="199">
        <f>'Detailed Budget'!$AD$96</f>
        <v>71050111380.677719</v>
      </c>
      <c r="CB781" s="275">
        <f t="shared" si="967"/>
        <v>373643114.61814713</v>
      </c>
      <c r="CE781" s="199">
        <f>'Detailed Budget'!$AD$175</f>
        <v>4330586076.5988197</v>
      </c>
      <c r="CF781" s="275">
        <f t="shared" si="945"/>
        <v>0</v>
      </c>
      <c r="CG781" s="199">
        <f>'Detailed Budget'!$AD$176</f>
        <v>20662817754.37001</v>
      </c>
      <c r="CH781" s="275">
        <f t="shared" si="946"/>
        <v>0</v>
      </c>
      <c r="CI781" s="275">
        <f t="shared" si="910"/>
        <v>0</v>
      </c>
      <c r="CJ781" s="275">
        <f>'Detailed Budget'!$AD$178</f>
        <v>46025131033.061455</v>
      </c>
      <c r="CK781" s="275">
        <f t="shared" si="938"/>
        <v>0</v>
      </c>
      <c r="CL781" s="275">
        <f t="shared" si="909"/>
        <v>0</v>
      </c>
      <c r="CM781" s="278">
        <f>'Detailed Budget'!$AD$189</f>
        <v>77498869683.252869</v>
      </c>
      <c r="CN781" s="275">
        <f t="shared" si="968"/>
        <v>0</v>
      </c>
      <c r="CO781" s="140">
        <f>'Detailed Budget'!$AD$191</f>
        <v>2684962805.4134097</v>
      </c>
      <c r="CP781" s="616">
        <f t="shared" si="969"/>
        <v>0</v>
      </c>
      <c r="CQ781" s="616">
        <f t="shared" si="970"/>
        <v>0</v>
      </c>
      <c r="CR781" s="199">
        <f>'Detailed Budget'!$AD$195</f>
        <v>18734176418</v>
      </c>
      <c r="CS781" s="275">
        <f t="shared" si="947"/>
        <v>80384263.181878373</v>
      </c>
      <c r="CW781" s="278"/>
      <c r="DH781" s="140">
        <f>'Detailed Budget'!$AD$163</f>
        <v>4928560000</v>
      </c>
      <c r="DI781" s="616">
        <f t="shared" si="948"/>
        <v>7840000.0000000009</v>
      </c>
    </row>
    <row r="782" spans="1:113" outlineLevel="1">
      <c r="A782" s="214" t="s">
        <v>1606</v>
      </c>
      <c r="B782" s="215" t="s">
        <v>1607</v>
      </c>
      <c r="C782" s="216" t="s">
        <v>234</v>
      </c>
      <c r="D782" s="217"/>
      <c r="E782" s="216"/>
      <c r="F782" s="216"/>
      <c r="G782" s="216" t="s">
        <v>234</v>
      </c>
      <c r="H782" s="216" t="s">
        <v>234</v>
      </c>
      <c r="I782" s="217" t="s">
        <v>234</v>
      </c>
      <c r="J782" s="217"/>
      <c r="K782" s="216"/>
      <c r="L782" s="216"/>
      <c r="M782" s="217"/>
      <c r="N782" s="216"/>
      <c r="O782" s="217" t="s">
        <v>234</v>
      </c>
      <c r="P782" s="216"/>
      <c r="Q782" s="217" t="s">
        <v>234</v>
      </c>
      <c r="R782" s="217"/>
      <c r="S782" s="217"/>
      <c r="T782" s="217"/>
      <c r="U782" s="218">
        <f t="shared" si="924"/>
        <v>6</v>
      </c>
      <c r="V782" s="867" t="s">
        <v>1096</v>
      </c>
      <c r="W782" s="219">
        <v>609173</v>
      </c>
      <c r="X782" s="220">
        <v>3.24</v>
      </c>
      <c r="Y782" s="221">
        <f t="shared" si="953"/>
        <v>1.0324</v>
      </c>
      <c r="Z782" s="199">
        <v>19</v>
      </c>
      <c r="AA782" s="221">
        <f t="shared" si="954"/>
        <v>1.8327866870051304</v>
      </c>
      <c r="AB782" s="199">
        <f t="shared" si="973"/>
        <v>1116484.1644829763</v>
      </c>
      <c r="AC782">
        <v>12.6</v>
      </c>
      <c r="AD782" s="199">
        <f t="shared" si="974"/>
        <v>140677.00472485501</v>
      </c>
      <c r="AE782" s="199">
        <f t="shared" si="955"/>
        <v>133643.15448861226</v>
      </c>
      <c r="AF782" s="199">
        <f t="shared" si="975"/>
        <v>0</v>
      </c>
      <c r="AG782" s="614">
        <f t="shared" si="972"/>
        <v>6.1790727591119754E-3</v>
      </c>
      <c r="AH782" s="199">
        <f t="shared" si="949"/>
        <v>55824.208224148817</v>
      </c>
      <c r="AI782" s="252">
        <f t="shared" si="952"/>
        <v>4.3246168291877097E-3</v>
      </c>
      <c r="AJ782" s="199">
        <f t="shared" si="956"/>
        <v>196501.21294900382</v>
      </c>
      <c r="AK782" s="199">
        <f t="shared" si="906"/>
        <v>44659.366579319052</v>
      </c>
      <c r="AL782" s="199">
        <f t="shared" si="907"/>
        <v>44659.366579319052</v>
      </c>
      <c r="AM782" s="199">
        <f t="shared" si="957"/>
        <v>89318.733158638104</v>
      </c>
      <c r="AN782" s="645">
        <f t="shared" si="958"/>
        <v>4.3246168291877088E-3</v>
      </c>
      <c r="AO782" s="199">
        <v>11</v>
      </c>
      <c r="AP782" s="250">
        <f t="shared" si="959"/>
        <v>1.2498579706851495E-3</v>
      </c>
      <c r="AQ782" s="199">
        <v>11</v>
      </c>
      <c r="AU782" s="199">
        <v>0</v>
      </c>
      <c r="AW782" s="250">
        <f t="shared" si="960"/>
        <v>0</v>
      </c>
      <c r="AX782" s="199">
        <v>1</v>
      </c>
      <c r="AY782" s="199">
        <f t="shared" si="939"/>
        <v>64499.398572802798</v>
      </c>
      <c r="AZ782" s="199">
        <f t="shared" si="961"/>
        <v>64499.398572802798</v>
      </c>
      <c r="BA782" s="252">
        <f t="shared" si="962"/>
        <v>5.0700712845151499E-3</v>
      </c>
      <c r="BB782" s="284">
        <v>0</v>
      </c>
      <c r="BC782" s="199">
        <f t="shared" si="940"/>
        <v>0</v>
      </c>
      <c r="BD782" s="270">
        <f t="shared" si="911"/>
        <v>0</v>
      </c>
      <c r="BE782" s="199">
        <f t="shared" si="941"/>
        <v>0</v>
      </c>
      <c r="BF782" s="251">
        <f t="shared" si="912"/>
        <v>0</v>
      </c>
      <c r="BG782" s="204">
        <f t="shared" si="942"/>
        <v>0</v>
      </c>
      <c r="BH782" s="636">
        <v>1</v>
      </c>
      <c r="BI782" s="199">
        <f t="shared" si="963"/>
        <v>341644.15433179069</v>
      </c>
      <c r="BJ782" s="199">
        <f t="shared" si="964"/>
        <v>683288.30866358138</v>
      </c>
      <c r="BK782" s="199">
        <f t="shared" si="971"/>
        <v>1024932.462995372</v>
      </c>
      <c r="BL782" s="251">
        <f t="shared" si="965"/>
        <v>4.324616829187708E-3</v>
      </c>
      <c r="BM782" s="199">
        <f t="shared" si="943"/>
        <v>95795.334586704019</v>
      </c>
      <c r="BN782" s="251">
        <f t="shared" si="966"/>
        <v>4.1367404657395145E-3</v>
      </c>
      <c r="BT782" s="199">
        <f>'Detailed Budget'!$AD$12</f>
        <v>194045122715</v>
      </c>
      <c r="BU782" s="199">
        <f>'Detailed Budget'!$AD$24</f>
        <v>194045122715</v>
      </c>
      <c r="BV782" s="596">
        <f t="shared" si="944"/>
        <v>0</v>
      </c>
      <c r="BW782" s="278"/>
      <c r="BX782" s="275">
        <f t="shared" si="950"/>
        <v>0</v>
      </c>
      <c r="BY782" s="275">
        <f t="shared" si="951"/>
        <v>0</v>
      </c>
      <c r="CA782" s="199">
        <f>'Detailed Budget'!$AD$96</f>
        <v>71050111380.677719</v>
      </c>
      <c r="CB782" s="275">
        <f t="shared" si="967"/>
        <v>360229129.47277713</v>
      </c>
      <c r="CE782" s="199">
        <f>'Detailed Budget'!$AD$175</f>
        <v>4330586076.5988197</v>
      </c>
      <c r="CF782" s="275">
        <f t="shared" si="945"/>
        <v>0</v>
      </c>
      <c r="CG782" s="199">
        <f>'Detailed Budget'!$AD$176</f>
        <v>20662817754.37001</v>
      </c>
      <c r="CH782" s="275">
        <f t="shared" si="946"/>
        <v>0</v>
      </c>
      <c r="CI782" s="275">
        <f t="shared" si="910"/>
        <v>0</v>
      </c>
      <c r="CJ782" s="275">
        <f>'Detailed Budget'!$AD$178</f>
        <v>46025131033.061455</v>
      </c>
      <c r="CK782" s="275">
        <f t="shared" si="938"/>
        <v>0</v>
      </c>
      <c r="CL782" s="275">
        <f t="shared" si="909"/>
        <v>0</v>
      </c>
      <c r="CM782" s="278">
        <f>'Detailed Budget'!$AD$189</f>
        <v>77498869683.252869</v>
      </c>
      <c r="CN782" s="275">
        <f t="shared" si="968"/>
        <v>335152916.07522041</v>
      </c>
      <c r="CO782" s="140">
        <f>'Detailed Budget'!$AD$191</f>
        <v>2684962805.4134097</v>
      </c>
      <c r="CP782" s="616">
        <f t="shared" si="969"/>
        <v>11611435.334033875</v>
      </c>
      <c r="CQ782" s="616">
        <f t="shared" si="970"/>
        <v>346764351.40925425</v>
      </c>
      <c r="CR782" s="199">
        <f>'Detailed Budget'!$AD$195</f>
        <v>18734176418</v>
      </c>
      <c r="CS782" s="275">
        <f t="shared" si="947"/>
        <v>77498425.680643544</v>
      </c>
      <c r="CW782" s="278"/>
      <c r="DH782" s="140">
        <f>'Detailed Budget'!$AD$163</f>
        <v>4928560000</v>
      </c>
      <c r="DI782" s="616">
        <f t="shared" si="948"/>
        <v>6160000</v>
      </c>
    </row>
    <row r="783" spans="1:113" outlineLevel="1">
      <c r="A783" s="214" t="s">
        <v>1608</v>
      </c>
      <c r="B783" s="215" t="s">
        <v>1609</v>
      </c>
      <c r="C783" s="216" t="s">
        <v>234</v>
      </c>
      <c r="D783" s="217"/>
      <c r="E783" s="216"/>
      <c r="F783" s="216"/>
      <c r="G783" s="216"/>
      <c r="H783" s="216" t="s">
        <v>234</v>
      </c>
      <c r="I783" s="217" t="s">
        <v>234</v>
      </c>
      <c r="J783" s="217"/>
      <c r="K783" s="216"/>
      <c r="L783" s="216"/>
      <c r="M783" s="217"/>
      <c r="N783" s="216" t="s">
        <v>234</v>
      </c>
      <c r="O783" s="217"/>
      <c r="P783" s="216"/>
      <c r="Q783" s="217" t="s">
        <v>234</v>
      </c>
      <c r="R783" s="217"/>
      <c r="S783" s="217"/>
      <c r="T783" s="217"/>
      <c r="U783" s="218">
        <f t="shared" si="924"/>
        <v>5</v>
      </c>
      <c r="V783" s="867" t="s">
        <v>1150</v>
      </c>
      <c r="W783" s="219">
        <v>629061</v>
      </c>
      <c r="X783" s="220">
        <v>3.24</v>
      </c>
      <c r="Y783" s="221">
        <f t="shared" si="953"/>
        <v>1.0324</v>
      </c>
      <c r="Z783" s="199">
        <v>19</v>
      </c>
      <c r="AA783" s="221">
        <f t="shared" si="954"/>
        <v>1.8327866870051304</v>
      </c>
      <c r="AB783" s="199">
        <f t="shared" si="973"/>
        <v>1152934.6261141342</v>
      </c>
      <c r="AC783">
        <v>12.6</v>
      </c>
      <c r="AD783" s="199">
        <f t="shared" si="974"/>
        <v>145269.76289038089</v>
      </c>
      <c r="AE783" s="199">
        <f t="shared" si="955"/>
        <v>138006.27474586185</v>
      </c>
      <c r="AF783" s="199">
        <f t="shared" si="975"/>
        <v>0</v>
      </c>
      <c r="AG783" s="614">
        <f t="shared" si="972"/>
        <v>6.3808042853503652E-3</v>
      </c>
      <c r="AH783" s="199">
        <f t="shared" si="949"/>
        <v>57646.731305706715</v>
      </c>
      <c r="AI783" s="252">
        <f t="shared" si="952"/>
        <v>4.4658049309238088E-3</v>
      </c>
      <c r="AJ783" s="199">
        <f t="shared" si="956"/>
        <v>202916.49419608762</v>
      </c>
      <c r="AK783" s="199">
        <f t="shared" si="906"/>
        <v>46117.385044565366</v>
      </c>
      <c r="AL783" s="199">
        <f t="shared" si="907"/>
        <v>46117.385044565366</v>
      </c>
      <c r="AM783" s="199">
        <f t="shared" si="957"/>
        <v>92234.770089130732</v>
      </c>
      <c r="AN783" s="645">
        <f t="shared" si="958"/>
        <v>4.4658049309238088E-3</v>
      </c>
      <c r="AO783" s="199">
        <v>11</v>
      </c>
      <c r="AP783" s="250">
        <f t="shared" si="959"/>
        <v>1.2498579706851495E-3</v>
      </c>
      <c r="AQ783" s="199">
        <v>11</v>
      </c>
      <c r="AU783" s="199">
        <v>0</v>
      </c>
      <c r="AW783" s="250">
        <f t="shared" si="960"/>
        <v>0</v>
      </c>
      <c r="AX783" s="199">
        <v>1</v>
      </c>
      <c r="AY783" s="199">
        <f t="shared" si="939"/>
        <v>66605.145279921941</v>
      </c>
      <c r="AZ783" s="199">
        <f t="shared" si="961"/>
        <v>66605.145279921941</v>
      </c>
      <c r="BA783" s="252">
        <f t="shared" si="962"/>
        <v>5.2355966405411665E-3</v>
      </c>
      <c r="BB783" s="284">
        <v>0</v>
      </c>
      <c r="BC783" s="199">
        <f t="shared" si="940"/>
        <v>0</v>
      </c>
      <c r="BD783" s="270">
        <f t="shared" si="911"/>
        <v>0</v>
      </c>
      <c r="BE783" s="199">
        <f t="shared" si="941"/>
        <v>0</v>
      </c>
      <c r="BF783" s="251">
        <f t="shared" si="912"/>
        <v>0</v>
      </c>
      <c r="BG783" s="204">
        <f t="shared" si="942"/>
        <v>0</v>
      </c>
      <c r="BH783" s="636">
        <v>0</v>
      </c>
      <c r="BI783" s="199">
        <f t="shared" si="963"/>
        <v>352797.99559092504</v>
      </c>
      <c r="BJ783" s="199">
        <f t="shared" si="964"/>
        <v>705595.99118185008</v>
      </c>
      <c r="BK783" s="199">
        <f t="shared" si="971"/>
        <v>1058393.9867727752</v>
      </c>
      <c r="BL783" s="251">
        <f t="shared" si="965"/>
        <v>4.4658049309238088E-3</v>
      </c>
      <c r="BM783" s="199">
        <f t="shared" si="943"/>
        <v>98922.816622612329</v>
      </c>
      <c r="BN783" s="251">
        <f t="shared" si="966"/>
        <v>4.2717948663492386E-3</v>
      </c>
      <c r="BT783" s="199">
        <f>'Detailed Budget'!$AD$12</f>
        <v>194045122715</v>
      </c>
      <c r="BU783" s="199">
        <f>'Detailed Budget'!$AD$24</f>
        <v>194045122715</v>
      </c>
      <c r="BV783" s="596">
        <f t="shared" si="944"/>
        <v>0</v>
      </c>
      <c r="BW783" s="278"/>
      <c r="BX783" s="275">
        <f t="shared" si="950"/>
        <v>0</v>
      </c>
      <c r="BY783" s="275">
        <f t="shared" si="951"/>
        <v>0</v>
      </c>
      <c r="CA783" s="199">
        <f>'Detailed Budget'!$AD$96</f>
        <v>71050111380.677719</v>
      </c>
      <c r="CB783" s="275">
        <f t="shared" si="967"/>
        <v>371989724.45475197</v>
      </c>
      <c r="CE783" s="199">
        <f>'Detailed Budget'!$AD$175</f>
        <v>4330586076.5988197</v>
      </c>
      <c r="CF783" s="275">
        <f t="shared" si="945"/>
        <v>0</v>
      </c>
      <c r="CG783" s="199">
        <f>'Detailed Budget'!$AD$176</f>
        <v>20662817754.37001</v>
      </c>
      <c r="CH783" s="275">
        <f t="shared" si="946"/>
        <v>0</v>
      </c>
      <c r="CI783" s="275">
        <f t="shared" si="910"/>
        <v>0</v>
      </c>
      <c r="CJ783" s="275">
        <f>'Detailed Budget'!$AD$178</f>
        <v>46025131033.061455</v>
      </c>
      <c r="CK783" s="275">
        <f t="shared" si="938"/>
        <v>0</v>
      </c>
      <c r="CL783" s="275">
        <f t="shared" si="909"/>
        <v>0</v>
      </c>
      <c r="CM783" s="278">
        <f>'Detailed Budget'!$AD$189</f>
        <v>77498869683.252869</v>
      </c>
      <c r="CN783" s="275">
        <f t="shared" si="968"/>
        <v>0</v>
      </c>
      <c r="CO783" s="140">
        <f>'Detailed Budget'!$AD$191</f>
        <v>2684962805.4134097</v>
      </c>
      <c r="CP783" s="616">
        <f t="shared" si="969"/>
        <v>0</v>
      </c>
      <c r="CQ783" s="616">
        <f t="shared" si="970"/>
        <v>0</v>
      </c>
      <c r="CR783" s="199">
        <f>'Detailed Budget'!$AD$195</f>
        <v>18734176418</v>
      </c>
      <c r="CS783" s="275">
        <f t="shared" si="947"/>
        <v>80028558.647693366</v>
      </c>
      <c r="CW783" s="278"/>
      <c r="DH783" s="140">
        <f>'Detailed Budget'!$AD$163</f>
        <v>4928560000</v>
      </c>
      <c r="DI783" s="616">
        <f t="shared" si="948"/>
        <v>6160000</v>
      </c>
    </row>
    <row r="784" spans="1:113" outlineLevel="1">
      <c r="A784" s="214" t="s">
        <v>1610</v>
      </c>
      <c r="B784" s="215" t="s">
        <v>1611</v>
      </c>
      <c r="C784" s="216" t="s">
        <v>234</v>
      </c>
      <c r="D784" s="217"/>
      <c r="E784" s="216"/>
      <c r="F784" s="216"/>
      <c r="G784" s="216" t="s">
        <v>234</v>
      </c>
      <c r="H784" s="216" t="s">
        <v>234</v>
      </c>
      <c r="I784" s="217"/>
      <c r="J784" s="217"/>
      <c r="K784" s="216"/>
      <c r="L784" s="216"/>
      <c r="M784" s="217"/>
      <c r="N784" s="216"/>
      <c r="O784" s="217"/>
      <c r="P784" s="216"/>
      <c r="Q784" s="217" t="s">
        <v>234</v>
      </c>
      <c r="R784" s="217"/>
      <c r="S784" s="217"/>
      <c r="T784" s="217"/>
      <c r="U784" s="218">
        <f t="shared" si="924"/>
        <v>4</v>
      </c>
      <c r="V784" s="867" t="s">
        <v>1096</v>
      </c>
      <c r="W784" s="219">
        <v>403569</v>
      </c>
      <c r="X784" s="220">
        <v>3.24</v>
      </c>
      <c r="Y784" s="221">
        <f t="shared" si="953"/>
        <v>1.0324</v>
      </c>
      <c r="Z784" s="199">
        <v>19</v>
      </c>
      <c r="AA784" s="221">
        <f t="shared" si="954"/>
        <v>1.8327866870051304</v>
      </c>
      <c r="AB784" s="199">
        <f t="shared" si="973"/>
        <v>739655.89048797346</v>
      </c>
      <c r="AC784">
        <v>12.6</v>
      </c>
      <c r="AD784" s="199">
        <f t="shared" si="974"/>
        <v>93196.642201484647</v>
      </c>
      <c r="AE784" s="199">
        <f t="shared" si="955"/>
        <v>88536.810091410414</v>
      </c>
      <c r="AF784" s="199">
        <f t="shared" si="975"/>
        <v>0</v>
      </c>
      <c r="AG784" s="614">
        <f t="shared" si="972"/>
        <v>4.0935534147476344E-3</v>
      </c>
      <c r="AH784" s="199">
        <f t="shared" si="949"/>
        <v>36982.794524398676</v>
      </c>
      <c r="AI784" s="252">
        <f t="shared" si="952"/>
        <v>2.8650010573982344E-3</v>
      </c>
      <c r="AJ784" s="199">
        <f t="shared" si="956"/>
        <v>130179.43672588332</v>
      </c>
      <c r="AK784" s="199">
        <f t="shared" si="906"/>
        <v>29586.235619518939</v>
      </c>
      <c r="AL784" s="199">
        <f t="shared" si="907"/>
        <v>29586.235619518939</v>
      </c>
      <c r="AM784" s="199">
        <f t="shared" si="957"/>
        <v>59172.471239037877</v>
      </c>
      <c r="AN784" s="645">
        <f t="shared" si="958"/>
        <v>2.8650010573982344E-3</v>
      </c>
      <c r="AO784" s="199">
        <v>12</v>
      </c>
      <c r="AP784" s="250">
        <f t="shared" si="959"/>
        <v>1.3634814225656176E-3</v>
      </c>
      <c r="AQ784" s="199">
        <v>12</v>
      </c>
      <c r="AU784" s="199">
        <v>0</v>
      </c>
      <c r="AW784" s="250">
        <f t="shared" si="960"/>
        <v>0</v>
      </c>
      <c r="AX784" s="199">
        <v>1</v>
      </c>
      <c r="AY784" s="199">
        <f t="shared" si="939"/>
        <v>42729.992600833342</v>
      </c>
      <c r="AZ784" s="199">
        <f t="shared" si="961"/>
        <v>42729.992600833342</v>
      </c>
      <c r="BA784" s="252">
        <f t="shared" si="962"/>
        <v>3.3588547066604963E-3</v>
      </c>
      <c r="BB784" s="284">
        <v>0</v>
      </c>
      <c r="BC784" s="199">
        <f t="shared" si="940"/>
        <v>0</v>
      </c>
      <c r="BD784" s="270">
        <f t="shared" si="911"/>
        <v>0</v>
      </c>
      <c r="BE784" s="199">
        <f t="shared" si="941"/>
        <v>0</v>
      </c>
      <c r="BF784" s="251">
        <f t="shared" si="912"/>
        <v>0</v>
      </c>
      <c r="BG784" s="204">
        <f t="shared" si="942"/>
        <v>0</v>
      </c>
      <c r="BH784" s="636">
        <v>1</v>
      </c>
      <c r="BI784" s="199">
        <f t="shared" si="963"/>
        <v>226334.7024893199</v>
      </c>
      <c r="BJ784" s="199">
        <f t="shared" si="964"/>
        <v>452669.4049786398</v>
      </c>
      <c r="BK784" s="199">
        <f t="shared" si="971"/>
        <v>679004.10746795963</v>
      </c>
      <c r="BL784" s="251">
        <f t="shared" si="965"/>
        <v>2.8650010573982344E-3</v>
      </c>
      <c r="BM784" s="199">
        <f t="shared" si="943"/>
        <v>63463.133434708303</v>
      </c>
      <c r="BN784" s="251">
        <f t="shared" si="966"/>
        <v>2.7405354686074897E-3</v>
      </c>
      <c r="BT784" s="199">
        <f>'Detailed Budget'!$AD$12</f>
        <v>194045122715</v>
      </c>
      <c r="BU784" s="199">
        <f>'Detailed Budget'!$AD$24</f>
        <v>194045122715</v>
      </c>
      <c r="BV784" s="596">
        <f t="shared" si="944"/>
        <v>0</v>
      </c>
      <c r="BW784" s="278"/>
      <c r="BX784" s="275">
        <f t="shared" si="950"/>
        <v>0</v>
      </c>
      <c r="BY784" s="275">
        <f t="shared" si="951"/>
        <v>0</v>
      </c>
      <c r="CA784" s="199">
        <f>'Detailed Budget'!$AD$96</f>
        <v>71050111380.677719</v>
      </c>
      <c r="CB784" s="275">
        <f t="shared" si="967"/>
        <v>238647001.01974183</v>
      </c>
      <c r="CE784" s="199">
        <f>'Detailed Budget'!$AD$175</f>
        <v>4330586076.5988197</v>
      </c>
      <c r="CF784" s="275">
        <f t="shared" si="945"/>
        <v>0</v>
      </c>
      <c r="CG784" s="199">
        <f>'Detailed Budget'!$AD$176</f>
        <v>20662817754.37001</v>
      </c>
      <c r="CH784" s="275">
        <f t="shared" si="946"/>
        <v>0</v>
      </c>
      <c r="CI784" s="275">
        <f t="shared" si="910"/>
        <v>0</v>
      </c>
      <c r="CJ784" s="275">
        <f>'Detailed Budget'!$AD$178</f>
        <v>46025131033.061455</v>
      </c>
      <c r="CK784" s="275">
        <f t="shared" si="938"/>
        <v>0</v>
      </c>
      <c r="CL784" s="275">
        <f t="shared" si="909"/>
        <v>0</v>
      </c>
      <c r="CM784" s="278">
        <f>'Detailed Budget'!$AD$189</f>
        <v>77498869683.252869</v>
      </c>
      <c r="CN784" s="275">
        <f t="shared" si="968"/>
        <v>222034343.58968744</v>
      </c>
      <c r="CO784" s="140">
        <f>'Detailed Budget'!$AD$191</f>
        <v>2684962805.4134097</v>
      </c>
      <c r="CP784" s="616">
        <f t="shared" si="969"/>
        <v>7692421.2765843486</v>
      </c>
      <c r="CQ784" s="616">
        <f t="shared" si="970"/>
        <v>229726764.86627179</v>
      </c>
      <c r="CR784" s="199">
        <f>'Detailed Budget'!$AD$195</f>
        <v>18734176418</v>
      </c>
      <c r="CS784" s="275">
        <f t="shared" si="947"/>
        <v>51341674.948679015</v>
      </c>
      <c r="CW784" s="278"/>
      <c r="DH784" s="140">
        <f>'Detailed Budget'!$AD$163</f>
        <v>4928560000</v>
      </c>
      <c r="DI784" s="616">
        <f t="shared" si="948"/>
        <v>6720000</v>
      </c>
    </row>
    <row r="785" spans="1:113" outlineLevel="1">
      <c r="A785" s="214" t="s">
        <v>1612</v>
      </c>
      <c r="B785" s="215" t="s">
        <v>1613</v>
      </c>
      <c r="C785" s="216" t="s">
        <v>234</v>
      </c>
      <c r="D785" s="217"/>
      <c r="E785" s="216"/>
      <c r="F785" s="216"/>
      <c r="G785" s="216"/>
      <c r="H785" s="216" t="s">
        <v>234</v>
      </c>
      <c r="I785" s="217" t="s">
        <v>234</v>
      </c>
      <c r="J785" s="217"/>
      <c r="K785" s="216"/>
      <c r="L785" s="216"/>
      <c r="M785" s="217"/>
      <c r="N785" s="216" t="s">
        <v>234</v>
      </c>
      <c r="O785" s="217"/>
      <c r="P785" s="216"/>
      <c r="Q785" s="217" t="s">
        <v>234</v>
      </c>
      <c r="R785" s="217"/>
      <c r="S785" s="217"/>
      <c r="T785" s="217"/>
      <c r="U785" s="218">
        <f t="shared" si="924"/>
        <v>5</v>
      </c>
      <c r="V785" s="867" t="s">
        <v>1150</v>
      </c>
      <c r="W785" s="219">
        <v>502865</v>
      </c>
      <c r="X785" s="220">
        <v>3.24</v>
      </c>
      <c r="Y785" s="221">
        <f t="shared" si="953"/>
        <v>1.0324</v>
      </c>
      <c r="Z785" s="199">
        <v>19</v>
      </c>
      <c r="AA785" s="221">
        <f t="shared" si="954"/>
        <v>1.8327866870051304</v>
      </c>
      <c r="AB785" s="199">
        <f t="shared" si="973"/>
        <v>921644.27736083488</v>
      </c>
      <c r="AC785">
        <v>12.6</v>
      </c>
      <c r="AD785" s="199">
        <f t="shared" si="974"/>
        <v>116127.1789474652</v>
      </c>
      <c r="AE785" s="199">
        <f t="shared" si="955"/>
        <v>110320.82000009193</v>
      </c>
      <c r="AF785" s="199">
        <f t="shared" si="975"/>
        <v>0</v>
      </c>
      <c r="AG785" s="614">
        <f t="shared" si="972"/>
        <v>5.1007503993296547E-3</v>
      </c>
      <c r="AH785" s="199">
        <f t="shared" si="949"/>
        <v>46082.213868041748</v>
      </c>
      <c r="AI785" s="252">
        <f t="shared" si="952"/>
        <v>3.5699192869832995E-3</v>
      </c>
      <c r="AJ785" s="199">
        <f t="shared" si="956"/>
        <v>162209.39281550696</v>
      </c>
      <c r="AK785" s="199">
        <f t="shared" ref="AK785:AK848" si="976">AB785*0.04</f>
        <v>36865.771094433396</v>
      </c>
      <c r="AL785" s="199">
        <f t="shared" ref="AL785:AL848" si="977">AB785*0.04</f>
        <v>36865.771094433396</v>
      </c>
      <c r="AM785" s="199">
        <f t="shared" si="957"/>
        <v>73731.542188866792</v>
      </c>
      <c r="AN785" s="645">
        <f t="shared" si="958"/>
        <v>3.5699192869832995E-3</v>
      </c>
      <c r="AO785" s="199">
        <v>12</v>
      </c>
      <c r="AP785" s="250">
        <f t="shared" si="959"/>
        <v>1.3634814225656176E-3</v>
      </c>
      <c r="AQ785" s="199">
        <v>12</v>
      </c>
      <c r="AU785" s="199">
        <v>0</v>
      </c>
      <c r="AW785" s="250">
        <f t="shared" si="960"/>
        <v>0</v>
      </c>
      <c r="AX785" s="199">
        <v>1</v>
      </c>
      <c r="AY785" s="199">
        <f t="shared" si="939"/>
        <v>53243.479378292344</v>
      </c>
      <c r="AZ785" s="199">
        <f t="shared" si="961"/>
        <v>53243.479378292344</v>
      </c>
      <c r="BA785" s="252">
        <f t="shared" si="962"/>
        <v>4.1852829926600672E-3</v>
      </c>
      <c r="BB785" s="284">
        <v>0</v>
      </c>
      <c r="BC785" s="199">
        <f t="shared" si="940"/>
        <v>0</v>
      </c>
      <c r="BD785" s="270">
        <f t="shared" si="911"/>
        <v>0</v>
      </c>
      <c r="BE785" s="199">
        <f t="shared" si="941"/>
        <v>0</v>
      </c>
      <c r="BF785" s="251">
        <f t="shared" si="912"/>
        <v>0</v>
      </c>
      <c r="BG785" s="204">
        <f t="shared" si="942"/>
        <v>0</v>
      </c>
      <c r="BH785" s="636">
        <v>0</v>
      </c>
      <c r="BI785" s="199">
        <f t="shared" si="963"/>
        <v>282023.14887241554</v>
      </c>
      <c r="BJ785" s="199">
        <f t="shared" si="964"/>
        <v>564046.29774483107</v>
      </c>
      <c r="BK785" s="199">
        <f t="shared" si="971"/>
        <v>846069.44661724661</v>
      </c>
      <c r="BL785" s="251">
        <f t="shared" si="965"/>
        <v>3.5699192869832999E-3</v>
      </c>
      <c r="BM785" s="199">
        <f t="shared" si="943"/>
        <v>79077.898933378412</v>
      </c>
      <c r="BN785" s="251">
        <f t="shared" si="966"/>
        <v>3.4148296039123558E-3</v>
      </c>
      <c r="BT785" s="199">
        <f>'Detailed Budget'!$AD$12</f>
        <v>194045122715</v>
      </c>
      <c r="BU785" s="199">
        <f>'Detailed Budget'!$AD$24</f>
        <v>194045122715</v>
      </c>
      <c r="BV785" s="596">
        <f t="shared" si="944"/>
        <v>0</v>
      </c>
      <c r="BW785" s="278"/>
      <c r="BX785" s="275">
        <f t="shared" si="950"/>
        <v>0</v>
      </c>
      <c r="BY785" s="275">
        <f t="shared" si="951"/>
        <v>0</v>
      </c>
      <c r="CA785" s="199">
        <f>'Detailed Budget'!$AD$96</f>
        <v>71050111380.677719</v>
      </c>
      <c r="CB785" s="275">
        <f t="shared" si="967"/>
        <v>297364822.78815395</v>
      </c>
      <c r="CE785" s="199">
        <f>'Detailed Budget'!$AD$175</f>
        <v>4330586076.5988197</v>
      </c>
      <c r="CF785" s="275">
        <f t="shared" si="945"/>
        <v>0</v>
      </c>
      <c r="CG785" s="199">
        <f>'Detailed Budget'!$AD$176</f>
        <v>20662817754.37001</v>
      </c>
      <c r="CH785" s="275">
        <f t="shared" si="946"/>
        <v>0</v>
      </c>
      <c r="CI785" s="275">
        <f t="shared" si="910"/>
        <v>0</v>
      </c>
      <c r="CJ785" s="275">
        <f>'Detailed Budget'!$AD$178</f>
        <v>46025131033.061455</v>
      </c>
      <c r="CK785" s="275">
        <f t="shared" si="938"/>
        <v>0</v>
      </c>
      <c r="CL785" s="275">
        <f t="shared" si="909"/>
        <v>0</v>
      </c>
      <c r="CM785" s="278">
        <f>'Detailed Budget'!$AD$189</f>
        <v>77498869683.252869</v>
      </c>
      <c r="CN785" s="275">
        <f t="shared" si="968"/>
        <v>0</v>
      </c>
      <c r="CO785" s="140">
        <f>'Detailed Budget'!$AD$191</f>
        <v>2684962805.4134097</v>
      </c>
      <c r="CP785" s="616">
        <f t="shared" si="969"/>
        <v>0</v>
      </c>
      <c r="CQ785" s="616">
        <f t="shared" si="970"/>
        <v>0</v>
      </c>
      <c r="CR785" s="199">
        <f>'Detailed Budget'!$AD$195</f>
        <v>18734176418</v>
      </c>
      <c r="CS785" s="275">
        <f t="shared" si="947"/>
        <v>63974020.237103134</v>
      </c>
      <c r="CW785" s="278"/>
      <c r="DH785" s="140">
        <f>'Detailed Budget'!$AD$163</f>
        <v>4928560000</v>
      </c>
      <c r="DI785" s="616">
        <f t="shared" si="948"/>
        <v>6720000</v>
      </c>
    </row>
    <row r="786" spans="1:113" outlineLevel="1">
      <c r="A786" s="214"/>
      <c r="B786" s="215"/>
      <c r="C786" s="216"/>
      <c r="D786" s="217"/>
      <c r="E786" s="216"/>
      <c r="F786" s="216"/>
      <c r="G786" s="216"/>
      <c r="H786" s="216"/>
      <c r="I786" s="217"/>
      <c r="J786" s="217"/>
      <c r="K786" s="216"/>
      <c r="L786" s="216"/>
      <c r="M786" s="217"/>
      <c r="N786" s="216"/>
      <c r="O786" s="217"/>
      <c r="P786" s="216"/>
      <c r="Q786" s="217"/>
      <c r="R786" s="217"/>
      <c r="S786" s="217"/>
      <c r="T786" s="217"/>
      <c r="U786" s="218"/>
      <c r="V786" s="867"/>
      <c r="W786" s="219"/>
      <c r="X786" s="220"/>
      <c r="Y786" s="221"/>
      <c r="Z786" s="199"/>
      <c r="AA786" s="221"/>
      <c r="AF786" s="199">
        <f t="shared" si="975"/>
        <v>0</v>
      </c>
      <c r="AG786" s="614">
        <f t="shared" si="972"/>
        <v>0</v>
      </c>
      <c r="AJ786" s="199"/>
      <c r="AK786" s="199">
        <f t="shared" si="976"/>
        <v>0</v>
      </c>
      <c r="AL786" s="199">
        <f t="shared" si="977"/>
        <v>0</v>
      </c>
      <c r="AM786" s="199">
        <f t="shared" si="957"/>
        <v>0</v>
      </c>
      <c r="AN786" s="645">
        <f t="shared" si="958"/>
        <v>0</v>
      </c>
      <c r="AP786" s="250">
        <f t="shared" si="959"/>
        <v>0</v>
      </c>
      <c r="AW786" s="250">
        <f t="shared" si="960"/>
        <v>0</v>
      </c>
      <c r="AX786" s="199"/>
      <c r="BA786" s="252">
        <f t="shared" si="962"/>
        <v>0</v>
      </c>
      <c r="BB786" s="284"/>
      <c r="BD786" s="270"/>
      <c r="BF786" s="251"/>
      <c r="BG786" s="204"/>
      <c r="BH786" s="636"/>
      <c r="BI786" s="199">
        <f t="shared" si="963"/>
        <v>0</v>
      </c>
      <c r="BJ786" s="199">
        <f t="shared" si="964"/>
        <v>0</v>
      </c>
      <c r="BK786" s="199">
        <f t="shared" si="971"/>
        <v>0</v>
      </c>
      <c r="BL786" s="251">
        <f t="shared" si="965"/>
        <v>0</v>
      </c>
      <c r="BN786" s="251">
        <f t="shared" si="966"/>
        <v>0</v>
      </c>
      <c r="BT786" s="199"/>
      <c r="BU786" s="199"/>
      <c r="BV786" s="596"/>
      <c r="BW786" s="278"/>
      <c r="BX786" s="275"/>
      <c r="BY786" s="275"/>
      <c r="CA786" s="199">
        <f>'Detailed Budget'!$AD$96</f>
        <v>71050111380.677719</v>
      </c>
      <c r="CB786" s="275">
        <f t="shared" si="967"/>
        <v>0</v>
      </c>
      <c r="CE786" s="199"/>
      <c r="CF786" s="275"/>
      <c r="CG786" s="199"/>
      <c r="CH786" s="275"/>
      <c r="CI786" s="275"/>
      <c r="CJ786" s="275"/>
      <c r="CK786" s="275"/>
      <c r="CL786" s="275"/>
      <c r="CM786" s="278">
        <f>'Detailed Budget'!$AD$189</f>
        <v>77498869683.252869</v>
      </c>
      <c r="CN786" s="275">
        <f t="shared" si="968"/>
        <v>0</v>
      </c>
      <c r="CO786" s="140">
        <f>'Detailed Budget'!$AD$191</f>
        <v>2684962805.4134097</v>
      </c>
      <c r="CP786" s="616">
        <f t="shared" si="969"/>
        <v>0</v>
      </c>
      <c r="CQ786" s="616">
        <f t="shared" si="970"/>
        <v>0</v>
      </c>
      <c r="CR786" s="199"/>
      <c r="CS786" s="275"/>
      <c r="CW786" s="278"/>
      <c r="DH786" s="140">
        <f>'Detailed Budget'!$AD$163</f>
        <v>4928560000</v>
      </c>
      <c r="DI786" s="616">
        <f t="shared" si="948"/>
        <v>0</v>
      </c>
    </row>
    <row r="787" spans="1:113" s="213" customFormat="1">
      <c r="A787" s="206">
        <v>6.3</v>
      </c>
      <c r="B787" s="207" t="s">
        <v>1614</v>
      </c>
      <c r="C787" s="208">
        <f>COUNTA(C789:C808)</f>
        <v>20</v>
      </c>
      <c r="D787" s="208">
        <f t="shared" ref="D787:T787" si="978">COUNTA(D789:D808)</f>
        <v>0</v>
      </c>
      <c r="E787" s="208">
        <f t="shared" si="978"/>
        <v>0</v>
      </c>
      <c r="F787" s="208">
        <f t="shared" si="978"/>
        <v>0</v>
      </c>
      <c r="G787" s="208">
        <f t="shared" si="978"/>
        <v>20</v>
      </c>
      <c r="H787" s="208">
        <f t="shared" si="978"/>
        <v>20</v>
      </c>
      <c r="I787" s="208">
        <f t="shared" si="978"/>
        <v>20</v>
      </c>
      <c r="J787" s="208">
        <f t="shared" si="978"/>
        <v>0</v>
      </c>
      <c r="K787" s="208">
        <f t="shared" si="978"/>
        <v>0</v>
      </c>
      <c r="L787" s="208">
        <f t="shared" si="978"/>
        <v>0</v>
      </c>
      <c r="M787" s="208">
        <f t="shared" si="978"/>
        <v>6</v>
      </c>
      <c r="N787" s="208">
        <f t="shared" si="978"/>
        <v>10</v>
      </c>
      <c r="O787" s="208">
        <f t="shared" si="978"/>
        <v>4</v>
      </c>
      <c r="P787" s="208">
        <f t="shared" si="978"/>
        <v>0</v>
      </c>
      <c r="Q787" s="208">
        <f t="shared" si="978"/>
        <v>2</v>
      </c>
      <c r="R787" s="208">
        <f t="shared" si="978"/>
        <v>18</v>
      </c>
      <c r="S787" s="208">
        <f t="shared" si="978"/>
        <v>0</v>
      </c>
      <c r="T787" s="208">
        <f t="shared" si="978"/>
        <v>0</v>
      </c>
      <c r="U787" s="209">
        <f>SUM(C787:T787)</f>
        <v>120</v>
      </c>
      <c r="V787" s="866"/>
      <c r="W787" s="210">
        <f>SUM(W789:W808)</f>
        <v>3751140</v>
      </c>
      <c r="X787" s="211">
        <v>3.31</v>
      </c>
      <c r="Y787" s="212">
        <f t="shared" si="953"/>
        <v>1.0330999999999999</v>
      </c>
      <c r="Z787" s="210">
        <v>19</v>
      </c>
      <c r="AA787" s="212">
        <f t="shared" si="954"/>
        <v>1.8565423880120511</v>
      </c>
      <c r="AB787" s="210">
        <f t="shared" si="973"/>
        <v>6964150.4133675257</v>
      </c>
      <c r="AC787" s="213">
        <v>14.1</v>
      </c>
      <c r="AD787" s="210">
        <f t="shared" si="974"/>
        <v>981945.20828482101</v>
      </c>
      <c r="AE787" s="210">
        <f t="shared" si="955"/>
        <v>932847.9478705799</v>
      </c>
      <c r="AF787" s="210">
        <f>SUM(AF789:AF808)</f>
        <v>0</v>
      </c>
      <c r="AG787" s="614">
        <f t="shared" si="972"/>
        <v>4.3130793830310037E-2</v>
      </c>
      <c r="AH787" s="210">
        <f>SUM(AH789:AH808)</f>
        <v>348207.5206683763</v>
      </c>
      <c r="AI787" s="252">
        <f t="shared" si="952"/>
        <v>2.6975109040252725E-2</v>
      </c>
      <c r="AJ787" s="210">
        <f>SUM(AJ789:AJ808)</f>
        <v>1330152.7289531971</v>
      </c>
      <c r="AK787" s="199">
        <f t="shared" si="976"/>
        <v>278566.01653470105</v>
      </c>
      <c r="AL787" s="199">
        <f t="shared" si="977"/>
        <v>278566.01653470105</v>
      </c>
      <c r="AM787" s="199">
        <f t="shared" si="957"/>
        <v>557132.0330694021</v>
      </c>
      <c r="AN787" s="645">
        <f t="shared" si="958"/>
        <v>2.6975109040252725E-2</v>
      </c>
      <c r="AO787" s="210">
        <f>SUM(AO789:AO808)</f>
        <v>236</v>
      </c>
      <c r="AP787" s="250">
        <f t="shared" si="959"/>
        <v>2.6815134643790477E-2</v>
      </c>
      <c r="AQ787" s="210">
        <f>SUM(AQ789:AQ808)</f>
        <v>236</v>
      </c>
      <c r="AR787" s="210"/>
      <c r="AS787" s="210"/>
      <c r="AT787" s="210"/>
      <c r="AU787" s="199"/>
      <c r="AV787" s="199"/>
      <c r="AW787" s="250">
        <f t="shared" si="960"/>
        <v>0</v>
      </c>
      <c r="AX787" s="199"/>
      <c r="AY787" s="210">
        <v>382245</v>
      </c>
      <c r="AZ787" s="210">
        <f>SUM(AZ789:AZ808)</f>
        <v>382244.92210949783</v>
      </c>
      <c r="BA787" s="252">
        <f t="shared" si="962"/>
        <v>3.0046931384198793E-2</v>
      </c>
      <c r="BB787" s="284"/>
      <c r="BC787" s="210"/>
      <c r="BD787" s="270">
        <f t="shared" si="911"/>
        <v>0</v>
      </c>
      <c r="BE787" s="210"/>
      <c r="BF787" s="251">
        <f t="shared" si="912"/>
        <v>0</v>
      </c>
      <c r="BH787"/>
      <c r="BI787" s="199">
        <f t="shared" si="963"/>
        <v>2131030.0264904629</v>
      </c>
      <c r="BJ787" s="199">
        <f t="shared" si="964"/>
        <v>4262060.0529809259</v>
      </c>
      <c r="BK787" s="199">
        <f t="shared" si="971"/>
        <v>6393090.0794713888</v>
      </c>
      <c r="BL787" s="251">
        <f t="shared" si="965"/>
        <v>2.6975109040252725E-2</v>
      </c>
      <c r="BM787" s="210">
        <v>600570</v>
      </c>
      <c r="BN787" s="251">
        <f t="shared" si="966"/>
        <v>2.5934480340068719E-2</v>
      </c>
      <c r="BT787" s="210">
        <f>'Detailed Budget'!$AD$12</f>
        <v>194045122715</v>
      </c>
      <c r="BU787" s="210">
        <f>'Detailed Budget'!$AD$24</f>
        <v>194045122715</v>
      </c>
      <c r="BV787" s="596">
        <f>AV787/34743979</f>
        <v>0</v>
      </c>
      <c r="BW787" s="278"/>
      <c r="BX787" s="613">
        <f t="shared" si="950"/>
        <v>0</v>
      </c>
      <c r="BY787" s="613">
        <f t="shared" si="951"/>
        <v>0</v>
      </c>
      <c r="CA787" s="210">
        <f>'Detailed Budget'!$AD$96</f>
        <v>71050111380.677719</v>
      </c>
      <c r="CB787" s="613">
        <f t="shared" si="967"/>
        <v>2134837821.4949052</v>
      </c>
      <c r="CE787" s="210">
        <f>'Detailed Budget'!$AD$175</f>
        <v>4330586076.5988197</v>
      </c>
      <c r="CF787" s="613">
        <f>SUM(CF789:CF808)</f>
        <v>0</v>
      </c>
      <c r="CG787" s="632">
        <f>'Detailed Budget'!$AD$176</f>
        <v>20662817754.37001</v>
      </c>
      <c r="CH787" s="613">
        <f>SUM(CH789:CH808)</f>
        <v>0</v>
      </c>
      <c r="CI787" s="613">
        <f>SUM(CI789:CI808)</f>
        <v>0</v>
      </c>
      <c r="CJ787" s="275">
        <f>'Detailed Budget'!$AD$178</f>
        <v>46025131033.061455</v>
      </c>
      <c r="CK787" s="613">
        <f>SUM(CK789:CK808)</f>
        <v>0</v>
      </c>
      <c r="CL787" s="613">
        <f>SUM(CL789:CL808)</f>
        <v>0</v>
      </c>
      <c r="CM787" s="278">
        <f>'Detailed Budget'!$AD$189</f>
        <v>77498869683.252869</v>
      </c>
      <c r="CN787" s="275">
        <f t="shared" si="968"/>
        <v>0</v>
      </c>
      <c r="CO787" s="140">
        <f>'Detailed Budget'!$AD$191</f>
        <v>2684962805.4134097</v>
      </c>
      <c r="CP787" s="616">
        <f t="shared" si="969"/>
        <v>0</v>
      </c>
      <c r="CQ787" s="616">
        <f t="shared" si="970"/>
        <v>0</v>
      </c>
      <c r="CR787" s="210">
        <f>'Detailed Budget'!$AD$195</f>
        <v>18734176418</v>
      </c>
      <c r="CS787" s="275">
        <f>BN787*CR787</f>
        <v>485861130</v>
      </c>
      <c r="CW787" s="278"/>
      <c r="DH787" s="140">
        <f>'Detailed Budget'!$AD$163</f>
        <v>4928560000</v>
      </c>
      <c r="DI787" s="616">
        <f t="shared" si="948"/>
        <v>132159999.99999999</v>
      </c>
    </row>
    <row r="788" spans="1:113" s="213" customFormat="1">
      <c r="A788" s="214" t="s">
        <v>2352</v>
      </c>
      <c r="B788" s="215" t="s">
        <v>2318</v>
      </c>
      <c r="C788" s="208"/>
      <c r="D788" s="208"/>
      <c r="E788" s="208"/>
      <c r="F788" s="208"/>
      <c r="G788" s="208"/>
      <c r="H788" s="208"/>
      <c r="I788" s="208"/>
      <c r="J788" s="208"/>
      <c r="K788" s="208"/>
      <c r="L788" s="208"/>
      <c r="M788" s="208"/>
      <c r="N788" s="208"/>
      <c r="O788" s="208"/>
      <c r="P788" s="208"/>
      <c r="Q788" s="208"/>
      <c r="R788" s="208"/>
      <c r="S788" s="208"/>
      <c r="T788" s="208"/>
      <c r="U788" s="209"/>
      <c r="V788" s="866"/>
      <c r="W788" s="210"/>
      <c r="X788" s="211"/>
      <c r="Y788" s="212"/>
      <c r="Z788" s="210"/>
      <c r="AA788" s="212"/>
      <c r="AB788" s="210"/>
      <c r="AD788" s="210"/>
      <c r="AE788" s="210"/>
      <c r="AF788" s="199"/>
      <c r="AG788" s="614">
        <f t="shared" si="972"/>
        <v>0</v>
      </c>
      <c r="AH788" s="210"/>
      <c r="AI788" s="252"/>
      <c r="AJ788" s="199"/>
      <c r="AK788" s="199">
        <f t="shared" si="976"/>
        <v>0</v>
      </c>
      <c r="AL788" s="199">
        <f t="shared" si="977"/>
        <v>0</v>
      </c>
      <c r="AM788" s="199">
        <f t="shared" si="957"/>
        <v>0</v>
      </c>
      <c r="AN788" s="645">
        <f t="shared" si="958"/>
        <v>0</v>
      </c>
      <c r="AO788" s="210"/>
      <c r="AP788" s="250"/>
      <c r="AQ788" s="210"/>
      <c r="AR788" s="210"/>
      <c r="AS788" s="210"/>
      <c r="AT788" s="210"/>
      <c r="AU788" s="199"/>
      <c r="AV788" s="199"/>
      <c r="AW788" s="250">
        <f t="shared" si="960"/>
        <v>0</v>
      </c>
      <c r="AX788" s="199"/>
      <c r="AY788" s="210"/>
      <c r="AZ788" s="199"/>
      <c r="BA788" s="252">
        <f t="shared" si="962"/>
        <v>0</v>
      </c>
      <c r="BB788" s="284"/>
      <c r="BC788" s="210"/>
      <c r="BD788" s="270">
        <f t="shared" si="911"/>
        <v>0</v>
      </c>
      <c r="BE788" s="210"/>
      <c r="BF788" s="251">
        <f t="shared" si="912"/>
        <v>0</v>
      </c>
      <c r="BH788"/>
      <c r="BI788" s="199">
        <f t="shared" si="963"/>
        <v>0</v>
      </c>
      <c r="BJ788" s="199">
        <f t="shared" si="964"/>
        <v>0</v>
      </c>
      <c r="BK788" s="199">
        <f t="shared" si="971"/>
        <v>0</v>
      </c>
      <c r="BL788" s="251">
        <f t="shared" si="965"/>
        <v>0</v>
      </c>
      <c r="BM788" s="210"/>
      <c r="BN788" s="251">
        <f t="shared" si="966"/>
        <v>0</v>
      </c>
      <c r="BT788" s="210"/>
      <c r="BU788" s="210">
        <f>'Detailed Budget'!$AD$24</f>
        <v>194045122715</v>
      </c>
      <c r="BV788" s="596"/>
      <c r="BW788" s="278"/>
      <c r="BX788" s="275"/>
      <c r="BY788" s="275"/>
      <c r="CA788" s="210">
        <f>'Detailed Budget'!$AD$96</f>
        <v>71050111380.677719</v>
      </c>
      <c r="CB788" s="275"/>
      <c r="CE788" s="210"/>
      <c r="CF788" s="275"/>
      <c r="CG788" s="240"/>
      <c r="CH788" s="275"/>
      <c r="CI788" s="275"/>
      <c r="CJ788" s="275"/>
      <c r="CK788" s="275">
        <f t="shared" ref="CK788:CK808" si="979">BB788*AG788*CJ788</f>
        <v>0</v>
      </c>
      <c r="CL788" s="275">
        <f t="shared" si="909"/>
        <v>0</v>
      </c>
      <c r="CM788" s="278">
        <f>'Detailed Budget'!$AD$189</f>
        <v>77498869683.252869</v>
      </c>
      <c r="CN788" s="275">
        <f t="shared" si="968"/>
        <v>0</v>
      </c>
      <c r="CO788" s="140">
        <f>'Detailed Budget'!$AD$191</f>
        <v>2684962805.4134097</v>
      </c>
      <c r="CP788" s="616">
        <f t="shared" si="969"/>
        <v>0</v>
      </c>
      <c r="CQ788" s="616">
        <f t="shared" si="970"/>
        <v>0</v>
      </c>
      <c r="CR788" s="210"/>
      <c r="CS788" s="275"/>
      <c r="CW788" s="278"/>
      <c r="DH788" s="140"/>
      <c r="DI788" s="616"/>
    </row>
    <row r="789" spans="1:113" outlineLevel="1">
      <c r="A789" s="214" t="s">
        <v>1615</v>
      </c>
      <c r="B789" s="215" t="s">
        <v>1616</v>
      </c>
      <c r="C789" s="216" t="s">
        <v>234</v>
      </c>
      <c r="D789" s="217"/>
      <c r="E789" s="216"/>
      <c r="F789" s="216"/>
      <c r="G789" s="216" t="s">
        <v>234</v>
      </c>
      <c r="H789" s="216" t="s">
        <v>234</v>
      </c>
      <c r="I789" s="217" t="s">
        <v>234</v>
      </c>
      <c r="J789" s="217"/>
      <c r="K789" s="216"/>
      <c r="L789" s="216"/>
      <c r="M789" s="217"/>
      <c r="N789" s="216" t="s">
        <v>234</v>
      </c>
      <c r="O789" s="217"/>
      <c r="P789" s="216"/>
      <c r="Q789" s="217" t="s">
        <v>234</v>
      </c>
      <c r="R789" s="217"/>
      <c r="S789" s="217"/>
      <c r="T789" s="217"/>
      <c r="U789" s="218">
        <f t="shared" si="924"/>
        <v>6</v>
      </c>
      <c r="V789" s="867" t="s">
        <v>1096</v>
      </c>
      <c r="W789" s="219">
        <v>198793</v>
      </c>
      <c r="X789" s="220">
        <v>3.31</v>
      </c>
      <c r="Y789" s="221">
        <f t="shared" si="953"/>
        <v>1.0330999999999999</v>
      </c>
      <c r="Z789" s="199">
        <v>19</v>
      </c>
      <c r="AA789" s="221">
        <f t="shared" si="954"/>
        <v>1.8565423880120511</v>
      </c>
      <c r="AB789" s="199">
        <f t="shared" si="973"/>
        <v>369067.63094007969</v>
      </c>
      <c r="AC789">
        <v>14.1</v>
      </c>
      <c r="AD789" s="199">
        <f t="shared" si="974"/>
        <v>52038.535962551236</v>
      </c>
      <c r="AE789" s="199">
        <f t="shared" si="955"/>
        <v>49436.609164423673</v>
      </c>
      <c r="AF789" s="199">
        <f t="shared" si="975"/>
        <v>0</v>
      </c>
      <c r="AG789" s="614">
        <f t="shared" si="972"/>
        <v>2.2857317769821505E-3</v>
      </c>
      <c r="AH789" s="199">
        <f>AB789*0.05</f>
        <v>18453.381547003984</v>
      </c>
      <c r="AI789" s="252">
        <f t="shared" si="952"/>
        <v>1.4295555088423679E-3</v>
      </c>
      <c r="AJ789" s="199">
        <f t="shared" si="956"/>
        <v>70491.91750955522</v>
      </c>
      <c r="AK789" s="199">
        <f t="shared" si="976"/>
        <v>14762.705237603188</v>
      </c>
      <c r="AL789" s="199">
        <f t="shared" si="977"/>
        <v>14762.705237603188</v>
      </c>
      <c r="AM789" s="199">
        <f t="shared" si="957"/>
        <v>29525.410475206376</v>
      </c>
      <c r="AN789" s="645">
        <f t="shared" si="958"/>
        <v>1.4295555088423679E-3</v>
      </c>
      <c r="AO789" s="199">
        <v>16</v>
      </c>
      <c r="AP789" s="250">
        <f t="shared" si="959"/>
        <v>1.81797523008749E-3</v>
      </c>
      <c r="AQ789" s="199">
        <v>16</v>
      </c>
      <c r="AU789" s="199">
        <v>0</v>
      </c>
      <c r="AW789" s="250">
        <f t="shared" si="960"/>
        <v>0</v>
      </c>
      <c r="AX789" s="199">
        <v>1</v>
      </c>
      <c r="AY789" s="199">
        <f t="shared" ref="AY789:AY808" si="980">AJ789/1330153*382245</f>
        <v>20257.205756360308</v>
      </c>
      <c r="AZ789" s="199">
        <f t="shared" si="961"/>
        <v>20257.205756360308</v>
      </c>
      <c r="BA789" s="252">
        <f t="shared" si="962"/>
        <v>1.5923478277694331E-3</v>
      </c>
      <c r="BB789" s="284">
        <v>0</v>
      </c>
      <c r="BC789" s="199">
        <f t="shared" ref="BC789:BC808" si="981">AD789*BB789*0.18*4</f>
        <v>0</v>
      </c>
      <c r="BD789" s="270">
        <f t="shared" si="911"/>
        <v>0</v>
      </c>
      <c r="BE789" s="199">
        <f t="shared" ref="BE789:BE808" si="982">AD789*BB789*0.77*4</f>
        <v>0</v>
      </c>
      <c r="BF789" s="251">
        <f t="shared" si="912"/>
        <v>0</v>
      </c>
      <c r="BG789" s="204">
        <f t="shared" ref="BG789:BG808" si="983">BC789+BE789</f>
        <v>0</v>
      </c>
      <c r="BH789" s="636">
        <v>1</v>
      </c>
      <c r="BI789" s="199">
        <f t="shared" si="963"/>
        <v>112934.69506766439</v>
      </c>
      <c r="BJ789" s="199">
        <f t="shared" si="964"/>
        <v>225869.39013532878</v>
      </c>
      <c r="BK789" s="199">
        <f t="shared" si="971"/>
        <v>338804.08520299318</v>
      </c>
      <c r="BL789" s="251">
        <f t="shared" si="965"/>
        <v>1.4295555088423681E-3</v>
      </c>
      <c r="BM789" s="199">
        <f t="shared" ref="BM789:BM808" si="984">AH789/348208*600570</f>
        <v>31827.377187440219</v>
      </c>
      <c r="BN789" s="251">
        <f t="shared" si="966"/>
        <v>1.3744051283674176E-3</v>
      </c>
      <c r="BT789" s="199">
        <f>'Detailed Budget'!$AD$12</f>
        <v>194045122715</v>
      </c>
      <c r="BU789" s="199">
        <f>'Detailed Budget'!$AD$24</f>
        <v>194045122715</v>
      </c>
      <c r="BV789" s="596">
        <f t="shared" ref="BV789:BV808" si="985">AV789/34743979</f>
        <v>0</v>
      </c>
      <c r="BW789" s="278"/>
      <c r="BX789" s="275">
        <f t="shared" si="950"/>
        <v>0</v>
      </c>
      <c r="BY789" s="275">
        <f t="shared" si="951"/>
        <v>0</v>
      </c>
      <c r="CA789" s="199">
        <f>'Detailed Budget'!$AD$96</f>
        <v>71050111380.677719</v>
      </c>
      <c r="CB789" s="275">
        <f t="shared" si="967"/>
        <v>113136490.51979844</v>
      </c>
      <c r="CE789" s="199">
        <f>'Detailed Budget'!$AD$175</f>
        <v>4330586076.5988197</v>
      </c>
      <c r="CF789" s="275">
        <f t="shared" ref="CF789:CF808" si="986">BB789*BD789*CE789</f>
        <v>0</v>
      </c>
      <c r="CG789" s="199">
        <f>'Detailed Budget'!$AD$176</f>
        <v>20662817754.37001</v>
      </c>
      <c r="CH789" s="275">
        <f t="shared" ref="CH789:CH808" si="987">BB789*BF789*CG789</f>
        <v>0</v>
      </c>
      <c r="CI789" s="275">
        <f t="shared" si="910"/>
        <v>0</v>
      </c>
      <c r="CJ789" s="275">
        <f>'Detailed Budget'!$AD$178</f>
        <v>46025131033.061455</v>
      </c>
      <c r="CK789" s="275">
        <f t="shared" si="979"/>
        <v>0</v>
      </c>
      <c r="CL789" s="275">
        <f t="shared" si="909"/>
        <v>0</v>
      </c>
      <c r="CM789" s="278">
        <f>'Detailed Budget'!$AD$189</f>
        <v>77498869683.252869</v>
      </c>
      <c r="CN789" s="275">
        <f t="shared" si="968"/>
        <v>110788936.08475094</v>
      </c>
      <c r="CO789" s="140">
        <f>'Detailed Budget'!$AD$191</f>
        <v>2684962805.4134097</v>
      </c>
      <c r="CP789" s="616">
        <f t="shared" si="969"/>
        <v>3838303.3695155983</v>
      </c>
      <c r="CQ789" s="616">
        <f t="shared" si="970"/>
        <v>114627239.45426653</v>
      </c>
      <c r="CR789" s="199">
        <f>'Detailed Budget'!$AD$195</f>
        <v>18734176418</v>
      </c>
      <c r="CS789" s="275">
        <f t="shared" ref="CS789:CS808" si="988">BN789*CR789</f>
        <v>25748348.144639138</v>
      </c>
      <c r="CW789" s="278"/>
      <c r="DH789" s="140">
        <f>'Detailed Budget'!$AD$163</f>
        <v>4928560000</v>
      </c>
      <c r="DI789" s="616">
        <f t="shared" ref="DI789:DI810" si="989">AP789*DH789</f>
        <v>8960000</v>
      </c>
    </row>
    <row r="790" spans="1:113" outlineLevel="1">
      <c r="A790" s="214" t="s">
        <v>1617</v>
      </c>
      <c r="B790" s="215" t="s">
        <v>1618</v>
      </c>
      <c r="C790" s="216" t="s">
        <v>234</v>
      </c>
      <c r="D790" s="217"/>
      <c r="E790" s="216"/>
      <c r="F790" s="216"/>
      <c r="G790" s="216" t="s">
        <v>234</v>
      </c>
      <c r="H790" s="216" t="s">
        <v>234</v>
      </c>
      <c r="I790" s="217" t="s">
        <v>234</v>
      </c>
      <c r="J790" s="217"/>
      <c r="K790" s="216"/>
      <c r="L790" s="216"/>
      <c r="M790" s="217"/>
      <c r="N790" s="216"/>
      <c r="O790" s="217" t="s">
        <v>234</v>
      </c>
      <c r="P790" s="216"/>
      <c r="Q790" s="217" t="s">
        <v>234</v>
      </c>
      <c r="R790" s="217"/>
      <c r="S790" s="217"/>
      <c r="T790" s="217"/>
      <c r="U790" s="218">
        <f t="shared" si="924"/>
        <v>6</v>
      </c>
      <c r="V790" s="867" t="s">
        <v>1096</v>
      </c>
      <c r="W790" s="219">
        <v>250295</v>
      </c>
      <c r="X790" s="220">
        <v>3.31</v>
      </c>
      <c r="Y790" s="221">
        <f t="shared" si="953"/>
        <v>1.0330999999999999</v>
      </c>
      <c r="Z790" s="199">
        <v>19</v>
      </c>
      <c r="AA790" s="221">
        <f t="shared" si="954"/>
        <v>1.8565423880120511</v>
      </c>
      <c r="AB790" s="199">
        <f t="shared" si="973"/>
        <v>464683.27700747631</v>
      </c>
      <c r="AC790">
        <v>14.1</v>
      </c>
      <c r="AD790" s="199">
        <f t="shared" si="974"/>
        <v>65520.342058054164</v>
      </c>
      <c r="AE790" s="199">
        <f t="shared" si="955"/>
        <v>62244.324955151453</v>
      </c>
      <c r="AF790" s="199">
        <f t="shared" si="975"/>
        <v>0</v>
      </c>
      <c r="AG790" s="614">
        <f t="shared" si="972"/>
        <v>2.8779043282195415E-3</v>
      </c>
      <c r="AH790" s="199">
        <f t="shared" ref="AH790:AH808" si="990">AB790*0.05</f>
        <v>23234.163850373818</v>
      </c>
      <c r="AI790" s="252">
        <f t="shared" si="952"/>
        <v>1.7999154702917129E-3</v>
      </c>
      <c r="AJ790" s="199">
        <f t="shared" si="956"/>
        <v>88754.505908427978</v>
      </c>
      <c r="AK790" s="199">
        <f t="shared" si="976"/>
        <v>18587.331080299053</v>
      </c>
      <c r="AL790" s="199">
        <f t="shared" si="977"/>
        <v>18587.331080299053</v>
      </c>
      <c r="AM790" s="199">
        <f t="shared" si="957"/>
        <v>37174.662160598105</v>
      </c>
      <c r="AN790" s="645">
        <f t="shared" si="958"/>
        <v>1.7999154702917127E-3</v>
      </c>
      <c r="AO790" s="199">
        <v>15</v>
      </c>
      <c r="AP790" s="250">
        <f t="shared" si="959"/>
        <v>1.7043517782070218E-3</v>
      </c>
      <c r="AQ790" s="199">
        <v>15</v>
      </c>
      <c r="AU790" s="199">
        <v>0</v>
      </c>
      <c r="AW790" s="250">
        <f t="shared" si="960"/>
        <v>0</v>
      </c>
      <c r="AX790" s="199">
        <v>1</v>
      </c>
      <c r="AY790" s="199">
        <f t="shared" si="980"/>
        <v>25505.31112658999</v>
      </c>
      <c r="AZ790" s="199">
        <f t="shared" si="961"/>
        <v>25505.31112658999</v>
      </c>
      <c r="BA790" s="252">
        <f t="shared" si="962"/>
        <v>2.0048829664603396E-3</v>
      </c>
      <c r="BB790" s="284">
        <v>0</v>
      </c>
      <c r="BC790" s="199">
        <f t="shared" si="981"/>
        <v>0</v>
      </c>
      <c r="BD790" s="270">
        <f t="shared" si="911"/>
        <v>0</v>
      </c>
      <c r="BE790" s="199">
        <f t="shared" si="982"/>
        <v>0</v>
      </c>
      <c r="BF790" s="251">
        <f t="shared" si="912"/>
        <v>0</v>
      </c>
      <c r="BG790" s="204">
        <f t="shared" si="983"/>
        <v>0</v>
      </c>
      <c r="BH790" s="636">
        <v>1</v>
      </c>
      <c r="BI790" s="199">
        <f t="shared" si="963"/>
        <v>142193.08276428774</v>
      </c>
      <c r="BJ790" s="199">
        <f t="shared" si="964"/>
        <v>284386.16552857548</v>
      </c>
      <c r="BK790" s="199">
        <f t="shared" si="971"/>
        <v>426579.24829286325</v>
      </c>
      <c r="BL790" s="251">
        <f t="shared" si="965"/>
        <v>1.7999154702917127E-3</v>
      </c>
      <c r="BM790" s="199">
        <f t="shared" si="984"/>
        <v>40073.007465707291</v>
      </c>
      <c r="BN790" s="251">
        <f t="shared" si="966"/>
        <v>1.7304770872451382E-3</v>
      </c>
      <c r="BT790" s="199">
        <f>'Detailed Budget'!$AD$12</f>
        <v>194045122715</v>
      </c>
      <c r="BU790" s="199">
        <f>'Detailed Budget'!$AD$24</f>
        <v>194045122715</v>
      </c>
      <c r="BV790" s="596">
        <f t="shared" si="985"/>
        <v>0</v>
      </c>
      <c r="BW790" s="278"/>
      <c r="BX790" s="275">
        <f t="shared" si="950"/>
        <v>0</v>
      </c>
      <c r="BY790" s="275">
        <f t="shared" si="951"/>
        <v>0</v>
      </c>
      <c r="CA790" s="199">
        <f>'Detailed Budget'!$AD$96</f>
        <v>71050111380.677719</v>
      </c>
      <c r="CB790" s="275">
        <f t="shared" si="967"/>
        <v>142447158.0722307</v>
      </c>
      <c r="CE790" s="199">
        <f>'Detailed Budget'!$AD$175</f>
        <v>4330586076.5988197</v>
      </c>
      <c r="CF790" s="275">
        <f t="shared" si="986"/>
        <v>0</v>
      </c>
      <c r="CG790" s="199">
        <f>'Detailed Budget'!$AD$176</f>
        <v>20662817754.37001</v>
      </c>
      <c r="CH790" s="275">
        <f t="shared" si="987"/>
        <v>0</v>
      </c>
      <c r="CI790" s="275">
        <f t="shared" si="910"/>
        <v>0</v>
      </c>
      <c r="CJ790" s="275">
        <f>'Detailed Budget'!$AD$178</f>
        <v>46025131033.061455</v>
      </c>
      <c r="CK790" s="275">
        <f t="shared" si="979"/>
        <v>0</v>
      </c>
      <c r="CL790" s="275">
        <f t="shared" si="909"/>
        <v>0</v>
      </c>
      <c r="CM790" s="278">
        <f>'Detailed Budget'!$AD$189</f>
        <v>77498869683.252869</v>
      </c>
      <c r="CN790" s="275">
        <f t="shared" si="968"/>
        <v>139491414.47300825</v>
      </c>
      <c r="CO790" s="140">
        <f>'Detailed Budget'!$AD$191</f>
        <v>2684962805.4134097</v>
      </c>
      <c r="CP790" s="616">
        <f t="shared" si="969"/>
        <v>4832706.0906214332</v>
      </c>
      <c r="CQ790" s="616">
        <f t="shared" si="970"/>
        <v>144324120.56362969</v>
      </c>
      <c r="CR790" s="199">
        <f>'Detailed Budget'!$AD$195</f>
        <v>18734176418</v>
      </c>
      <c r="CS790" s="275">
        <f t="shared" si="988"/>
        <v>32419063.039757196</v>
      </c>
      <c r="CW790" s="278"/>
      <c r="DH790" s="140">
        <f>'Detailed Budget'!$AD$163</f>
        <v>4928560000</v>
      </c>
      <c r="DI790" s="616">
        <f t="shared" si="989"/>
        <v>8400000</v>
      </c>
    </row>
    <row r="791" spans="1:113" outlineLevel="1">
      <c r="A791" s="214" t="s">
        <v>1619</v>
      </c>
      <c r="B791" s="215" t="s">
        <v>1620</v>
      </c>
      <c r="C791" s="216" t="s">
        <v>234</v>
      </c>
      <c r="D791" s="217"/>
      <c r="E791" s="216"/>
      <c r="F791" s="216"/>
      <c r="G791" s="216" t="s">
        <v>234</v>
      </c>
      <c r="H791" s="216" t="s">
        <v>234</v>
      </c>
      <c r="I791" s="217" t="s">
        <v>234</v>
      </c>
      <c r="J791" s="217"/>
      <c r="K791" s="216"/>
      <c r="L791" s="216"/>
      <c r="M791" s="217"/>
      <c r="N791" s="216" t="s">
        <v>234</v>
      </c>
      <c r="O791" s="217"/>
      <c r="P791" s="216"/>
      <c r="Q791" s="217"/>
      <c r="R791" s="217" t="s">
        <v>234</v>
      </c>
      <c r="S791" s="217"/>
      <c r="T791" s="217"/>
      <c r="U791" s="218">
        <f t="shared" si="924"/>
        <v>6</v>
      </c>
      <c r="V791" s="867" t="s">
        <v>235</v>
      </c>
      <c r="W791" s="219">
        <v>527242</v>
      </c>
      <c r="X791" s="220">
        <v>3.31</v>
      </c>
      <c r="Y791" s="221">
        <f t="shared" si="953"/>
        <v>1.0330999999999999</v>
      </c>
      <c r="Z791" s="199">
        <v>19</v>
      </c>
      <c r="AA791" s="221">
        <f t="shared" si="954"/>
        <v>1.8565423880120511</v>
      </c>
      <c r="AB791" s="199">
        <f t="shared" si="973"/>
        <v>978847.1217402498</v>
      </c>
      <c r="AC791">
        <v>14.1</v>
      </c>
      <c r="AD791" s="199">
        <f t="shared" si="974"/>
        <v>138017.4441653752</v>
      </c>
      <c r="AE791" s="199">
        <f t="shared" si="955"/>
        <v>131116.57195710644</v>
      </c>
      <c r="AF791" s="199">
        <f t="shared" si="975"/>
        <v>0</v>
      </c>
      <c r="AG791" s="614">
        <f t="shared" si="972"/>
        <v>6.0622546747602923E-3</v>
      </c>
      <c r="AH791" s="199">
        <f t="shared" si="990"/>
        <v>48942.356087012493</v>
      </c>
      <c r="AI791" s="252">
        <f t="shared" si="952"/>
        <v>3.7914901711482178E-3</v>
      </c>
      <c r="AJ791" s="199">
        <f t="shared" si="956"/>
        <v>186959.80025238771</v>
      </c>
      <c r="AK791" s="199">
        <f t="shared" si="976"/>
        <v>39153.884869609996</v>
      </c>
      <c r="AL791" s="199">
        <f t="shared" si="977"/>
        <v>39153.884869609996</v>
      </c>
      <c r="AM791" s="199">
        <f t="shared" si="957"/>
        <v>78307.769739219992</v>
      </c>
      <c r="AN791" s="645">
        <f t="shared" si="958"/>
        <v>3.7914901711482182E-3</v>
      </c>
      <c r="AO791" s="199">
        <v>16</v>
      </c>
      <c r="AP791" s="250">
        <f t="shared" si="959"/>
        <v>1.81797523008749E-3</v>
      </c>
      <c r="AQ791" s="199">
        <v>16</v>
      </c>
      <c r="AU791" s="199">
        <v>0</v>
      </c>
      <c r="AW791" s="250">
        <f t="shared" si="960"/>
        <v>0</v>
      </c>
      <c r="AX791" s="199">
        <v>1</v>
      </c>
      <c r="AY791" s="199">
        <f t="shared" si="980"/>
        <v>53726.487740488454</v>
      </c>
      <c r="AZ791" s="199">
        <f t="shared" si="961"/>
        <v>53726.487740488454</v>
      </c>
      <c r="BA791" s="252">
        <f t="shared" si="962"/>
        <v>4.223250584320431E-3</v>
      </c>
      <c r="BB791" s="284">
        <v>0</v>
      </c>
      <c r="BC791" s="199">
        <f t="shared" si="981"/>
        <v>0</v>
      </c>
      <c r="BD791" s="270">
        <f t="shared" si="911"/>
        <v>0</v>
      </c>
      <c r="BE791" s="199">
        <f t="shared" si="982"/>
        <v>0</v>
      </c>
      <c r="BF791" s="251">
        <f t="shared" si="912"/>
        <v>0</v>
      </c>
      <c r="BG791" s="204">
        <f t="shared" si="983"/>
        <v>0</v>
      </c>
      <c r="BH791" s="636">
        <v>1</v>
      </c>
      <c r="BI791" s="199">
        <f t="shared" si="963"/>
        <v>299527.21925251652</v>
      </c>
      <c r="BJ791" s="199">
        <f t="shared" si="964"/>
        <v>599054.43850503303</v>
      </c>
      <c r="BK791" s="199">
        <f t="shared" si="971"/>
        <v>898581.65775754955</v>
      </c>
      <c r="BL791" s="251">
        <f t="shared" si="965"/>
        <v>3.7914901711482187E-3</v>
      </c>
      <c r="BM791" s="199">
        <f t="shared" si="984"/>
        <v>84413.082971031952</v>
      </c>
      <c r="BN791" s="251">
        <f t="shared" si="966"/>
        <v>3.6452194427907115E-3</v>
      </c>
      <c r="BT791" s="199">
        <f>'Detailed Budget'!$AD$12</f>
        <v>194045122715</v>
      </c>
      <c r="BU791" s="199">
        <f>'Detailed Budget'!$AD$24</f>
        <v>194045122715</v>
      </c>
      <c r="BV791" s="596">
        <f t="shared" si="985"/>
        <v>0</v>
      </c>
      <c r="BW791" s="278"/>
      <c r="BX791" s="275">
        <f t="shared" si="950"/>
        <v>0</v>
      </c>
      <c r="BY791" s="275">
        <f t="shared" si="951"/>
        <v>0</v>
      </c>
      <c r="CA791" s="199">
        <f>'Detailed Budget'!$AD$96</f>
        <v>71050111380.677719</v>
      </c>
      <c r="CB791" s="275">
        <f t="shared" si="967"/>
        <v>300062424.40447891</v>
      </c>
      <c r="CE791" s="199">
        <f>'Detailed Budget'!$AD$175</f>
        <v>4330586076.5988197</v>
      </c>
      <c r="CF791" s="275">
        <f t="shared" si="986"/>
        <v>0</v>
      </c>
      <c r="CG791" s="199">
        <f>'Detailed Budget'!$AD$176</f>
        <v>20662817754.37001</v>
      </c>
      <c r="CH791" s="275">
        <f t="shared" si="987"/>
        <v>0</v>
      </c>
      <c r="CI791" s="275">
        <f t="shared" si="910"/>
        <v>0</v>
      </c>
      <c r="CJ791" s="275">
        <f>'Detailed Budget'!$AD$178</f>
        <v>46025131033.061455</v>
      </c>
      <c r="CK791" s="275">
        <f t="shared" si="979"/>
        <v>0</v>
      </c>
      <c r="CL791" s="275">
        <f t="shared" si="909"/>
        <v>0</v>
      </c>
      <c r="CM791" s="278">
        <f>'Detailed Budget'!$AD$189</f>
        <v>77498869683.252869</v>
      </c>
      <c r="CN791" s="275">
        <f t="shared" si="968"/>
        <v>293836202.67914993</v>
      </c>
      <c r="CO791" s="140">
        <f>'Detailed Budget'!$AD$191</f>
        <v>2684962805.4134097</v>
      </c>
      <c r="CP791" s="616">
        <f t="shared" si="969"/>
        <v>10180010.086623488</v>
      </c>
      <c r="CQ791" s="616">
        <f t="shared" si="970"/>
        <v>304016212.76577342</v>
      </c>
      <c r="CR791" s="199">
        <f>'Detailed Budget'!$AD$195</f>
        <v>18734176418</v>
      </c>
      <c r="CS791" s="275">
        <f t="shared" si="988"/>
        <v>68290184.123564854</v>
      </c>
      <c r="CW791" s="278"/>
      <c r="DH791" s="140">
        <f>'Detailed Budget'!$AD$163</f>
        <v>4928560000</v>
      </c>
      <c r="DI791" s="616">
        <f t="shared" si="989"/>
        <v>8960000</v>
      </c>
    </row>
    <row r="792" spans="1:113" outlineLevel="1">
      <c r="A792" s="214" t="s">
        <v>1621</v>
      </c>
      <c r="B792" s="215" t="s">
        <v>1622</v>
      </c>
      <c r="C792" s="216" t="s">
        <v>234</v>
      </c>
      <c r="D792" s="217"/>
      <c r="E792" s="216"/>
      <c r="F792" s="216"/>
      <c r="G792" s="216" t="s">
        <v>234</v>
      </c>
      <c r="H792" s="216" t="s">
        <v>234</v>
      </c>
      <c r="I792" s="217" t="s">
        <v>234</v>
      </c>
      <c r="J792" s="217"/>
      <c r="K792" s="216"/>
      <c r="L792" s="216"/>
      <c r="M792" s="217"/>
      <c r="N792" s="216" t="s">
        <v>234</v>
      </c>
      <c r="O792" s="217"/>
      <c r="P792" s="216"/>
      <c r="Q792" s="217"/>
      <c r="R792" s="217" t="s">
        <v>234</v>
      </c>
      <c r="S792" s="217"/>
      <c r="T792" s="217"/>
      <c r="U792" s="218">
        <f t="shared" si="924"/>
        <v>6</v>
      </c>
      <c r="V792" s="867" t="s">
        <v>235</v>
      </c>
      <c r="W792" s="219">
        <v>183844</v>
      </c>
      <c r="X792" s="220">
        <v>3.31</v>
      </c>
      <c r="Y792" s="221">
        <f t="shared" si="953"/>
        <v>1.0330999999999999</v>
      </c>
      <c r="Z792" s="199">
        <v>19</v>
      </c>
      <c r="AA792" s="221">
        <f t="shared" si="954"/>
        <v>1.8565423880120511</v>
      </c>
      <c r="AB792" s="199">
        <f t="shared" si="973"/>
        <v>341314.17878168751</v>
      </c>
      <c r="AC792">
        <v>14.1</v>
      </c>
      <c r="AD792" s="199">
        <f t="shared" si="974"/>
        <v>48125.299208217933</v>
      </c>
      <c r="AE792" s="199">
        <f t="shared" si="955"/>
        <v>45719.034247807038</v>
      </c>
      <c r="AF792" s="199">
        <f t="shared" si="975"/>
        <v>0</v>
      </c>
      <c r="AG792" s="614">
        <f t="shared" si="972"/>
        <v>2.1138474332974824E-3</v>
      </c>
      <c r="AH792" s="199">
        <f t="shared" si="990"/>
        <v>17065.708939084376</v>
      </c>
      <c r="AI792" s="252">
        <f t="shared" si="952"/>
        <v>1.3220546144362038E-3</v>
      </c>
      <c r="AJ792" s="199">
        <f t="shared" si="956"/>
        <v>65191.008147302309</v>
      </c>
      <c r="AK792" s="199">
        <f t="shared" si="976"/>
        <v>13652.567151267502</v>
      </c>
      <c r="AL792" s="199">
        <f t="shared" si="977"/>
        <v>13652.567151267502</v>
      </c>
      <c r="AM792" s="199">
        <f t="shared" si="957"/>
        <v>27305.134302535003</v>
      </c>
      <c r="AN792" s="645">
        <f t="shared" si="958"/>
        <v>1.322054614436204E-3</v>
      </c>
      <c r="AO792" s="199">
        <v>11</v>
      </c>
      <c r="AP792" s="250">
        <f t="shared" si="959"/>
        <v>1.2498579706851495E-3</v>
      </c>
      <c r="AQ792" s="199">
        <v>11</v>
      </c>
      <c r="AU792" s="199">
        <v>0</v>
      </c>
      <c r="AW792" s="250">
        <f t="shared" si="960"/>
        <v>0</v>
      </c>
      <c r="AX792" s="199">
        <v>1</v>
      </c>
      <c r="AY792" s="199">
        <f t="shared" si="980"/>
        <v>18733.887687555922</v>
      </c>
      <c r="AZ792" s="199">
        <f t="shared" si="961"/>
        <v>18733.887687555922</v>
      </c>
      <c r="BA792" s="252">
        <f t="shared" si="962"/>
        <v>1.4726051422758529E-3</v>
      </c>
      <c r="BB792" s="284">
        <v>0</v>
      </c>
      <c r="BC792" s="199">
        <f t="shared" si="981"/>
        <v>0</v>
      </c>
      <c r="BD792" s="270">
        <f t="shared" si="911"/>
        <v>0</v>
      </c>
      <c r="BE792" s="199">
        <f t="shared" si="982"/>
        <v>0</v>
      </c>
      <c r="BF792" s="251">
        <f t="shared" si="912"/>
        <v>0</v>
      </c>
      <c r="BG792" s="204">
        <f t="shared" si="983"/>
        <v>0</v>
      </c>
      <c r="BH792" s="636">
        <v>1</v>
      </c>
      <c r="BI792" s="199">
        <f t="shared" si="963"/>
        <v>104442.1387071964</v>
      </c>
      <c r="BJ792" s="199">
        <f t="shared" si="964"/>
        <v>208884.2774143928</v>
      </c>
      <c r="BK792" s="199">
        <f t="shared" si="971"/>
        <v>313326.41612158919</v>
      </c>
      <c r="BL792" s="251">
        <f t="shared" si="965"/>
        <v>1.322054614436204E-3</v>
      </c>
      <c r="BM792" s="199">
        <f t="shared" si="984"/>
        <v>29433.995823030786</v>
      </c>
      <c r="BN792" s="251">
        <f t="shared" si="966"/>
        <v>1.2710514777662166E-3</v>
      </c>
      <c r="BT792" s="199">
        <f>'Detailed Budget'!$AD$12</f>
        <v>194045122715</v>
      </c>
      <c r="BU792" s="199">
        <f>'Detailed Budget'!$AD$24</f>
        <v>194045122715</v>
      </c>
      <c r="BV792" s="596">
        <f t="shared" si="985"/>
        <v>0</v>
      </c>
      <c r="BW792" s="278"/>
      <c r="BX792" s="275">
        <f t="shared" si="950"/>
        <v>0</v>
      </c>
      <c r="BY792" s="275">
        <f t="shared" si="951"/>
        <v>0</v>
      </c>
      <c r="CA792" s="199">
        <f>'Detailed Budget'!$AD$96</f>
        <v>71050111380.677719</v>
      </c>
      <c r="CB792" s="275">
        <f t="shared" si="967"/>
        <v>104628759.37845811</v>
      </c>
      <c r="CE792" s="199">
        <f>'Detailed Budget'!$AD$175</f>
        <v>4330586076.5988197</v>
      </c>
      <c r="CF792" s="275">
        <f t="shared" si="986"/>
        <v>0</v>
      </c>
      <c r="CG792" s="199">
        <f>'Detailed Budget'!$AD$176</f>
        <v>20662817754.37001</v>
      </c>
      <c r="CH792" s="275">
        <f t="shared" si="987"/>
        <v>0</v>
      </c>
      <c r="CI792" s="275">
        <f t="shared" si="910"/>
        <v>0</v>
      </c>
      <c r="CJ792" s="275">
        <f>'Detailed Budget'!$AD$178</f>
        <v>46025131033.061455</v>
      </c>
      <c r="CK792" s="275">
        <f t="shared" si="979"/>
        <v>0</v>
      </c>
      <c r="CL792" s="275">
        <f t="shared" si="909"/>
        <v>0</v>
      </c>
      <c r="CM792" s="278">
        <f>'Detailed Budget'!$AD$189</f>
        <v>77498869683.252869</v>
      </c>
      <c r="CN792" s="275">
        <f t="shared" si="968"/>
        <v>102457738.27833448</v>
      </c>
      <c r="CO792" s="140">
        <f>'Detailed Budget'!$AD$191</f>
        <v>2684962805.4134097</v>
      </c>
      <c r="CP792" s="616">
        <f t="shared" si="969"/>
        <v>3549667.4664863739</v>
      </c>
      <c r="CQ792" s="616">
        <f t="shared" si="970"/>
        <v>106007405.74482086</v>
      </c>
      <c r="CR792" s="199">
        <f>'Detailed Budget'!$AD$195</f>
        <v>18734176418</v>
      </c>
      <c r="CS792" s="275">
        <f t="shared" si="988"/>
        <v>23812102.620831907</v>
      </c>
      <c r="CW792" s="278"/>
      <c r="DH792" s="140">
        <f>'Detailed Budget'!$AD$163</f>
        <v>4928560000</v>
      </c>
      <c r="DI792" s="616">
        <f t="shared" si="989"/>
        <v>6160000</v>
      </c>
    </row>
    <row r="793" spans="1:113" outlineLevel="1">
      <c r="A793" s="214" t="s">
        <v>1623</v>
      </c>
      <c r="B793" s="215" t="s">
        <v>1624</v>
      </c>
      <c r="C793" s="216" t="s">
        <v>234</v>
      </c>
      <c r="D793" s="217"/>
      <c r="E793" s="216"/>
      <c r="F793" s="216"/>
      <c r="G793" s="216" t="s">
        <v>234</v>
      </c>
      <c r="H793" s="216" t="s">
        <v>234</v>
      </c>
      <c r="I793" s="217" t="s">
        <v>234</v>
      </c>
      <c r="J793" s="217"/>
      <c r="K793" s="216"/>
      <c r="L793" s="216"/>
      <c r="M793" s="217"/>
      <c r="N793" s="216" t="s">
        <v>234</v>
      </c>
      <c r="O793" s="217"/>
      <c r="P793" s="216"/>
      <c r="Q793" s="217"/>
      <c r="R793" s="217" t="s">
        <v>234</v>
      </c>
      <c r="S793" s="217"/>
      <c r="T793" s="217"/>
      <c r="U793" s="218">
        <f t="shared" si="924"/>
        <v>6</v>
      </c>
      <c r="V793" s="867" t="s">
        <v>235</v>
      </c>
      <c r="W793" s="219">
        <v>168336</v>
      </c>
      <c r="X793" s="220">
        <v>3.31</v>
      </c>
      <c r="Y793" s="221">
        <f t="shared" si="953"/>
        <v>1.0330999999999999</v>
      </c>
      <c r="Z793" s="199">
        <v>19</v>
      </c>
      <c r="AA793" s="221">
        <f t="shared" si="954"/>
        <v>1.8565423880120511</v>
      </c>
      <c r="AB793" s="199">
        <f t="shared" si="973"/>
        <v>312522.91942839662</v>
      </c>
      <c r="AC793">
        <v>14.1</v>
      </c>
      <c r="AD793" s="199">
        <f t="shared" si="974"/>
        <v>44065.731639403923</v>
      </c>
      <c r="AE793" s="199">
        <f t="shared" si="955"/>
        <v>41862.445057433724</v>
      </c>
      <c r="AF793" s="199">
        <f t="shared" si="975"/>
        <v>0</v>
      </c>
      <c r="AG793" s="614">
        <f t="shared" si="972"/>
        <v>1.9355356798784024E-3</v>
      </c>
      <c r="AH793" s="199">
        <f t="shared" si="990"/>
        <v>15626.145971419832</v>
      </c>
      <c r="AI793" s="252">
        <f t="shared" si="952"/>
        <v>1.210533852482174E-3</v>
      </c>
      <c r="AJ793" s="199">
        <f t="shared" si="956"/>
        <v>59691.877610823751</v>
      </c>
      <c r="AK793" s="199">
        <f t="shared" si="976"/>
        <v>12500.916777135864</v>
      </c>
      <c r="AL793" s="199">
        <f t="shared" si="977"/>
        <v>12500.916777135864</v>
      </c>
      <c r="AM793" s="199">
        <f t="shared" si="957"/>
        <v>25001.833554271729</v>
      </c>
      <c r="AN793" s="645">
        <f t="shared" si="958"/>
        <v>1.210533852482174E-3</v>
      </c>
      <c r="AO793" s="199">
        <v>10</v>
      </c>
      <c r="AP793" s="250">
        <f t="shared" si="959"/>
        <v>1.1362345188046814E-3</v>
      </c>
      <c r="AQ793" s="199">
        <v>10</v>
      </c>
      <c r="AU793" s="199">
        <v>0</v>
      </c>
      <c r="AW793" s="250">
        <f t="shared" si="960"/>
        <v>0</v>
      </c>
      <c r="AX793" s="199">
        <v>1</v>
      </c>
      <c r="AY793" s="199">
        <f t="shared" si="980"/>
        <v>17153.606959010976</v>
      </c>
      <c r="AZ793" s="199">
        <f t="shared" si="961"/>
        <v>17153.606959010976</v>
      </c>
      <c r="BA793" s="252">
        <f t="shared" si="962"/>
        <v>1.3483848220782184E-3</v>
      </c>
      <c r="BB793" s="284">
        <v>0</v>
      </c>
      <c r="BC793" s="199">
        <f t="shared" si="981"/>
        <v>0</v>
      </c>
      <c r="BD793" s="270">
        <f t="shared" si="911"/>
        <v>0</v>
      </c>
      <c r="BE793" s="199">
        <f t="shared" si="982"/>
        <v>0</v>
      </c>
      <c r="BF793" s="251">
        <f t="shared" si="912"/>
        <v>0</v>
      </c>
      <c r="BG793" s="204">
        <f t="shared" si="983"/>
        <v>0</v>
      </c>
      <c r="BH793" s="636">
        <v>1</v>
      </c>
      <c r="BI793" s="199">
        <f t="shared" si="963"/>
        <v>95632.013345089363</v>
      </c>
      <c r="BJ793" s="199">
        <f t="shared" si="964"/>
        <v>191264.02669017873</v>
      </c>
      <c r="BK793" s="199">
        <f t="shared" si="971"/>
        <v>286896.04003526806</v>
      </c>
      <c r="BL793" s="251">
        <f t="shared" si="965"/>
        <v>1.2105338524821738E-3</v>
      </c>
      <c r="BM793" s="199">
        <f t="shared" si="984"/>
        <v>26951.116821140262</v>
      </c>
      <c r="BN793" s="251">
        <f t="shared" si="966"/>
        <v>1.1638330408457922E-3</v>
      </c>
      <c r="BT793" s="199">
        <f>'Detailed Budget'!$AD$12</f>
        <v>194045122715</v>
      </c>
      <c r="BU793" s="199">
        <f>'Detailed Budget'!$AD$24</f>
        <v>194045122715</v>
      </c>
      <c r="BV793" s="596">
        <f t="shared" si="985"/>
        <v>0</v>
      </c>
      <c r="BW793" s="278"/>
      <c r="BX793" s="275">
        <f t="shared" si="950"/>
        <v>0</v>
      </c>
      <c r="BY793" s="275">
        <f t="shared" si="951"/>
        <v>0</v>
      </c>
      <c r="CA793" s="199">
        <f>'Detailed Budget'!$AD$96</f>
        <v>71050111380.677719</v>
      </c>
      <c r="CB793" s="275">
        <f t="shared" si="967"/>
        <v>95802891.792672724</v>
      </c>
      <c r="CE793" s="199">
        <f>'Detailed Budget'!$AD$175</f>
        <v>4330586076.5988197</v>
      </c>
      <c r="CF793" s="275">
        <f t="shared" si="986"/>
        <v>0</v>
      </c>
      <c r="CG793" s="199">
        <f>'Detailed Budget'!$AD$176</f>
        <v>20662817754.37001</v>
      </c>
      <c r="CH793" s="275">
        <f t="shared" si="987"/>
        <v>0</v>
      </c>
      <c r="CI793" s="275">
        <f t="shared" si="910"/>
        <v>0</v>
      </c>
      <c r="CJ793" s="275">
        <f>'Detailed Budget'!$AD$178</f>
        <v>46025131033.061455</v>
      </c>
      <c r="CK793" s="275">
        <f t="shared" si="979"/>
        <v>0</v>
      </c>
      <c r="CL793" s="275">
        <f t="shared" si="909"/>
        <v>0</v>
      </c>
      <c r="CM793" s="278">
        <f>'Detailed Budget'!$AD$189</f>
        <v>77498869683.252869</v>
      </c>
      <c r="CN793" s="275">
        <f t="shared" si="968"/>
        <v>93815005.280682042</v>
      </c>
      <c r="CO793" s="140">
        <f>'Detailed Budget'!$AD$191</f>
        <v>2684962805.4134097</v>
      </c>
      <c r="CP793" s="616">
        <f t="shared" si="969"/>
        <v>3250238.3686084407</v>
      </c>
      <c r="CQ793" s="616">
        <f t="shared" si="970"/>
        <v>97065243.649290487</v>
      </c>
      <c r="CR793" s="199">
        <f>'Detailed Budget'!$AD$195</f>
        <v>18734176418</v>
      </c>
      <c r="CS793" s="275">
        <f t="shared" si="988"/>
        <v>21803453.508302473</v>
      </c>
      <c r="CW793" s="278"/>
      <c r="DH793" s="140">
        <f>'Detailed Budget'!$AD$163</f>
        <v>4928560000</v>
      </c>
      <c r="DI793" s="616">
        <f t="shared" si="989"/>
        <v>5600000</v>
      </c>
    </row>
    <row r="794" spans="1:113" outlineLevel="1">
      <c r="A794" s="214" t="s">
        <v>1625</v>
      </c>
      <c r="B794" s="215" t="s">
        <v>1626</v>
      </c>
      <c r="C794" s="216" t="s">
        <v>234</v>
      </c>
      <c r="D794" s="217"/>
      <c r="E794" s="216"/>
      <c r="F794" s="216"/>
      <c r="G794" s="216" t="s">
        <v>234</v>
      </c>
      <c r="H794" s="216" t="s">
        <v>234</v>
      </c>
      <c r="I794" s="217" t="s">
        <v>234</v>
      </c>
      <c r="J794" s="217"/>
      <c r="K794" s="216"/>
      <c r="L794" s="216"/>
      <c r="M794" s="217"/>
      <c r="N794" s="216" t="s">
        <v>234</v>
      </c>
      <c r="O794" s="217"/>
      <c r="P794" s="216"/>
      <c r="Q794" s="217"/>
      <c r="R794" s="217" t="s">
        <v>234</v>
      </c>
      <c r="S794" s="217"/>
      <c r="T794" s="217"/>
      <c r="U794" s="218">
        <f t="shared" si="924"/>
        <v>6</v>
      </c>
      <c r="V794" s="867" t="s">
        <v>235</v>
      </c>
      <c r="W794" s="219">
        <v>55093</v>
      </c>
      <c r="X794" s="220">
        <v>3.31</v>
      </c>
      <c r="Y794" s="221">
        <f t="shared" si="953"/>
        <v>1.0330999999999999</v>
      </c>
      <c r="Z794" s="199">
        <v>19</v>
      </c>
      <c r="AA794" s="221">
        <f t="shared" si="954"/>
        <v>1.8565423880120511</v>
      </c>
      <c r="AB794" s="199">
        <f t="shared" si="973"/>
        <v>102282.48978274793</v>
      </c>
      <c r="AC794">
        <v>14.1</v>
      </c>
      <c r="AD794" s="199">
        <f t="shared" si="974"/>
        <v>14421.831059367456</v>
      </c>
      <c r="AE794" s="199">
        <f t="shared" si="955"/>
        <v>13700.739506399083</v>
      </c>
      <c r="AF794" s="199">
        <f t="shared" si="975"/>
        <v>0</v>
      </c>
      <c r="AG794" s="614">
        <f t="shared" si="972"/>
        <v>6.3346204740246184E-4</v>
      </c>
      <c r="AH794" s="199">
        <f t="shared" si="990"/>
        <v>5114.1244891373972</v>
      </c>
      <c r="AI794" s="252">
        <f t="shared" si="952"/>
        <v>3.9618347551801411E-4</v>
      </c>
      <c r="AJ794" s="199">
        <f t="shared" si="956"/>
        <v>19535.955548504855</v>
      </c>
      <c r="AK794" s="199">
        <f t="shared" si="976"/>
        <v>4091.2995913099171</v>
      </c>
      <c r="AL794" s="199">
        <f t="shared" si="977"/>
        <v>4091.2995913099171</v>
      </c>
      <c r="AM794" s="199">
        <f t="shared" si="957"/>
        <v>8182.5991826198342</v>
      </c>
      <c r="AN794" s="645">
        <f t="shared" si="958"/>
        <v>3.9618347551801406E-4</v>
      </c>
      <c r="AO794" s="199">
        <v>10</v>
      </c>
      <c r="AP794" s="250">
        <f t="shared" si="959"/>
        <v>1.1362345188046814E-3</v>
      </c>
      <c r="AQ794" s="199">
        <v>10</v>
      </c>
      <c r="AU794" s="199">
        <v>0</v>
      </c>
      <c r="AW794" s="250">
        <f t="shared" si="960"/>
        <v>0</v>
      </c>
      <c r="AX794" s="199">
        <v>1</v>
      </c>
      <c r="AY794" s="199">
        <f t="shared" si="980"/>
        <v>5614.0318659870236</v>
      </c>
      <c r="AZ794" s="199">
        <f t="shared" si="961"/>
        <v>5614.0318659870236</v>
      </c>
      <c r="BA794" s="252">
        <f t="shared" si="962"/>
        <v>4.4129933586847309E-4</v>
      </c>
      <c r="BB794" s="284">
        <v>0</v>
      </c>
      <c r="BC794" s="199">
        <f t="shared" si="981"/>
        <v>0</v>
      </c>
      <c r="BD794" s="270">
        <f t="shared" si="911"/>
        <v>0</v>
      </c>
      <c r="BE794" s="199">
        <f t="shared" si="982"/>
        <v>0</v>
      </c>
      <c r="BF794" s="251">
        <f t="shared" si="912"/>
        <v>0</v>
      </c>
      <c r="BG794" s="204">
        <f t="shared" si="983"/>
        <v>0</v>
      </c>
      <c r="BH794" s="636">
        <v>1</v>
      </c>
      <c r="BI794" s="199">
        <f t="shared" si="963"/>
        <v>31298.441873520864</v>
      </c>
      <c r="BJ794" s="199">
        <f t="shared" si="964"/>
        <v>62596.883747041727</v>
      </c>
      <c r="BK794" s="199">
        <f t="shared" si="971"/>
        <v>93895.325620562595</v>
      </c>
      <c r="BL794" s="251">
        <f t="shared" si="965"/>
        <v>3.9618347551801406E-4</v>
      </c>
      <c r="BM794" s="199">
        <f t="shared" si="984"/>
        <v>8820.560539795888</v>
      </c>
      <c r="BN794" s="251">
        <f t="shared" si="966"/>
        <v>3.8089923557241018E-4</v>
      </c>
      <c r="BT794" s="199">
        <f>'Detailed Budget'!$AD$12</f>
        <v>194045122715</v>
      </c>
      <c r="BU794" s="199">
        <f>'Detailed Budget'!$AD$24</f>
        <v>194045122715</v>
      </c>
      <c r="BV794" s="596">
        <f t="shared" si="985"/>
        <v>0</v>
      </c>
      <c r="BW794" s="278"/>
      <c r="BX794" s="275">
        <f t="shared" si="950"/>
        <v>0</v>
      </c>
      <c r="BY794" s="275">
        <f t="shared" si="951"/>
        <v>0</v>
      </c>
      <c r="CA794" s="199">
        <f>'Detailed Budget'!$AD$96</f>
        <v>71050111380.677719</v>
      </c>
      <c r="CB794" s="275">
        <f t="shared" si="967"/>
        <v>31354366.965674121</v>
      </c>
      <c r="CE794" s="199">
        <f>'Detailed Budget'!$AD$175</f>
        <v>4330586076.5988197</v>
      </c>
      <c r="CF794" s="275">
        <f t="shared" si="986"/>
        <v>0</v>
      </c>
      <c r="CG794" s="199">
        <f>'Detailed Budget'!$AD$176</f>
        <v>20662817754.37001</v>
      </c>
      <c r="CH794" s="275">
        <f t="shared" si="987"/>
        <v>0</v>
      </c>
      <c r="CI794" s="275">
        <f t="shared" si="910"/>
        <v>0</v>
      </c>
      <c r="CJ794" s="275">
        <f>'Detailed Budget'!$AD$178</f>
        <v>46025131033.061455</v>
      </c>
      <c r="CK794" s="275">
        <f t="shared" si="979"/>
        <v>0</v>
      </c>
      <c r="CL794" s="275">
        <f t="shared" ref="CL794:CL859" si="991">CI794+CK794</f>
        <v>0</v>
      </c>
      <c r="CM794" s="278">
        <f>'Detailed Budget'!$AD$189</f>
        <v>77498869683.252869</v>
      </c>
      <c r="CN794" s="275">
        <f t="shared" si="968"/>
        <v>30703771.539828774</v>
      </c>
      <c r="CO794" s="140">
        <f>'Detailed Budget'!$AD$191</f>
        <v>2684962805.4134097</v>
      </c>
      <c r="CP794" s="616">
        <f t="shared" si="969"/>
        <v>1063737.895885282</v>
      </c>
      <c r="CQ794" s="616">
        <f t="shared" si="970"/>
        <v>31767509.435714055</v>
      </c>
      <c r="CR794" s="199">
        <f>'Detailed Budget'!$AD$195</f>
        <v>18734176418</v>
      </c>
      <c r="CS794" s="275">
        <f t="shared" si="988"/>
        <v>7135833.4766948735</v>
      </c>
      <c r="CW794" s="278"/>
      <c r="DH794" s="140">
        <f>'Detailed Budget'!$AD$163</f>
        <v>4928560000</v>
      </c>
      <c r="DI794" s="616">
        <f t="shared" si="989"/>
        <v>5600000</v>
      </c>
    </row>
    <row r="795" spans="1:113" outlineLevel="1">
      <c r="A795" s="214" t="s">
        <v>1627</v>
      </c>
      <c r="B795" s="215" t="s">
        <v>1628</v>
      </c>
      <c r="C795" s="216" t="s">
        <v>234</v>
      </c>
      <c r="D795" s="217"/>
      <c r="E795" s="216"/>
      <c r="F795" s="216"/>
      <c r="G795" s="216" t="s">
        <v>234</v>
      </c>
      <c r="H795" s="216" t="s">
        <v>234</v>
      </c>
      <c r="I795" s="217" t="s">
        <v>234</v>
      </c>
      <c r="J795" s="217"/>
      <c r="K795" s="216"/>
      <c r="L795" s="216"/>
      <c r="M795" s="217"/>
      <c r="N795" s="216"/>
      <c r="O795" s="217" t="s">
        <v>234</v>
      </c>
      <c r="P795" s="216"/>
      <c r="Q795" s="217"/>
      <c r="R795" s="217" t="s">
        <v>234</v>
      </c>
      <c r="S795" s="217"/>
      <c r="T795" s="217"/>
      <c r="U795" s="218">
        <f t="shared" si="924"/>
        <v>6</v>
      </c>
      <c r="V795" s="867" t="s">
        <v>235</v>
      </c>
      <c r="W795" s="219">
        <v>539170</v>
      </c>
      <c r="X795" s="220">
        <v>3.31</v>
      </c>
      <c r="Y795" s="221">
        <f t="shared" si="953"/>
        <v>1.0330999999999999</v>
      </c>
      <c r="Z795" s="199">
        <v>19</v>
      </c>
      <c r="AA795" s="221">
        <f t="shared" si="954"/>
        <v>1.8565423880120511</v>
      </c>
      <c r="AB795" s="199">
        <f t="shared" si="973"/>
        <v>1000991.9593444576</v>
      </c>
      <c r="AC795">
        <v>14.1</v>
      </c>
      <c r="AD795" s="199">
        <f t="shared" si="974"/>
        <v>141139.86626756852</v>
      </c>
      <c r="AE795" s="199">
        <f t="shared" si="955"/>
        <v>134082.8729541901</v>
      </c>
      <c r="AF795" s="199">
        <f t="shared" si="975"/>
        <v>0</v>
      </c>
      <c r="AG795" s="614">
        <f t="shared" si="972"/>
        <v>6.1994034105600608E-3</v>
      </c>
      <c r="AH795" s="199">
        <f t="shared" si="990"/>
        <v>50049.597967222886</v>
      </c>
      <c r="AI795" s="252">
        <f t="shared" si="952"/>
        <v>3.8772665219728034E-3</v>
      </c>
      <c r="AJ795" s="199">
        <f t="shared" si="956"/>
        <v>191189.46423479141</v>
      </c>
      <c r="AK795" s="199">
        <f t="shared" si="976"/>
        <v>40039.678373778304</v>
      </c>
      <c r="AL795" s="199">
        <f t="shared" si="977"/>
        <v>40039.678373778304</v>
      </c>
      <c r="AM795" s="199">
        <f t="shared" si="957"/>
        <v>80079.356747556609</v>
      </c>
      <c r="AN795" s="645">
        <f t="shared" si="958"/>
        <v>3.877266521972803E-3</v>
      </c>
      <c r="AO795" s="199">
        <v>11</v>
      </c>
      <c r="AP795" s="250">
        <f t="shared" si="959"/>
        <v>1.2498579706851495E-3</v>
      </c>
      <c r="AQ795" s="199">
        <v>11</v>
      </c>
      <c r="AU795" s="199">
        <v>0</v>
      </c>
      <c r="AW795" s="250">
        <f t="shared" si="960"/>
        <v>0</v>
      </c>
      <c r="AX795" s="199">
        <v>1</v>
      </c>
      <c r="AY795" s="199">
        <f t="shared" si="980"/>
        <v>54941.962884290631</v>
      </c>
      <c r="AZ795" s="199">
        <f t="shared" si="961"/>
        <v>54941.962884290631</v>
      </c>
      <c r="BA795" s="252">
        <f t="shared" si="962"/>
        <v>4.3187948182201851E-3</v>
      </c>
      <c r="BB795" s="284">
        <v>0</v>
      </c>
      <c r="BC795" s="199">
        <f t="shared" si="981"/>
        <v>0</v>
      </c>
      <c r="BD795" s="270">
        <f t="shared" si="911"/>
        <v>0</v>
      </c>
      <c r="BE795" s="199">
        <f t="shared" si="982"/>
        <v>0</v>
      </c>
      <c r="BF795" s="251">
        <f t="shared" si="912"/>
        <v>0</v>
      </c>
      <c r="BG795" s="204">
        <f t="shared" si="983"/>
        <v>0</v>
      </c>
      <c r="BH795" s="636">
        <v>1</v>
      </c>
      <c r="BI795" s="199">
        <f t="shared" si="963"/>
        <v>306303.53955940402</v>
      </c>
      <c r="BJ795" s="199">
        <f t="shared" si="964"/>
        <v>612607.07911880803</v>
      </c>
      <c r="BK795" s="199">
        <f t="shared" si="971"/>
        <v>918910.61867821205</v>
      </c>
      <c r="BL795" s="251">
        <f t="shared" si="965"/>
        <v>3.877266521972803E-3</v>
      </c>
      <c r="BM795" s="199">
        <f t="shared" si="984"/>
        <v>86322.792845583812</v>
      </c>
      <c r="BN795" s="251">
        <f t="shared" si="966"/>
        <v>3.7276866542678088E-3</v>
      </c>
      <c r="BT795" s="199">
        <f>'Detailed Budget'!$AD$12</f>
        <v>194045122715</v>
      </c>
      <c r="BU795" s="199">
        <f>'Detailed Budget'!$AD$24</f>
        <v>194045122715</v>
      </c>
      <c r="BV795" s="596">
        <f t="shared" si="985"/>
        <v>0</v>
      </c>
      <c r="BW795" s="278"/>
      <c r="BX795" s="275">
        <f t="shared" si="950"/>
        <v>0</v>
      </c>
      <c r="BY795" s="275">
        <f t="shared" si="951"/>
        <v>0</v>
      </c>
      <c r="CA795" s="199">
        <f>'Detailed Budget'!$AD$96</f>
        <v>71050111380.677719</v>
      </c>
      <c r="CB795" s="275">
        <f t="shared" si="967"/>
        <v>306850852.86483794</v>
      </c>
      <c r="CE795" s="199">
        <f>'Detailed Budget'!$AD$175</f>
        <v>4330586076.5988197</v>
      </c>
      <c r="CF795" s="275">
        <f t="shared" si="986"/>
        <v>0</v>
      </c>
      <c r="CG795" s="199">
        <f>'Detailed Budget'!$AD$176</f>
        <v>20662817754.37001</v>
      </c>
      <c r="CH795" s="275">
        <f t="shared" si="987"/>
        <v>0</v>
      </c>
      <c r="CI795" s="275">
        <f t="shared" si="910"/>
        <v>0</v>
      </c>
      <c r="CJ795" s="275">
        <f>'Detailed Budget'!$AD$178</f>
        <v>46025131033.061455</v>
      </c>
      <c r="CK795" s="275">
        <f t="shared" si="979"/>
        <v>0</v>
      </c>
      <c r="CL795" s="275">
        <f t="shared" si="991"/>
        <v>0</v>
      </c>
      <c r="CM795" s="278">
        <f>'Detailed Budget'!$AD$189</f>
        <v>77498869683.252869</v>
      </c>
      <c r="CN795" s="275">
        <f t="shared" si="968"/>
        <v>300483772.91360933</v>
      </c>
      <c r="CO795" s="140">
        <f>'Detailed Budget'!$AD$191</f>
        <v>2684962805.4134097</v>
      </c>
      <c r="CP795" s="616">
        <f t="shared" si="969"/>
        <v>10410316.398171591</v>
      </c>
      <c r="CQ795" s="616">
        <f t="shared" si="970"/>
        <v>310894089.31178093</v>
      </c>
      <c r="CR795" s="199">
        <f>'Detailed Budget'!$AD$195</f>
        <v>18734176418</v>
      </c>
      <c r="CS795" s="275">
        <f t="shared" si="988"/>
        <v>69835139.412077308</v>
      </c>
      <c r="CW795" s="278"/>
      <c r="DH795" s="140">
        <f>'Detailed Budget'!$AD$163</f>
        <v>4928560000</v>
      </c>
      <c r="DI795" s="616">
        <f t="shared" si="989"/>
        <v>6160000</v>
      </c>
    </row>
    <row r="796" spans="1:113" outlineLevel="1">
      <c r="A796" s="214" t="s">
        <v>1629</v>
      </c>
      <c r="B796" s="215" t="s">
        <v>1630</v>
      </c>
      <c r="C796" s="216" t="s">
        <v>234</v>
      </c>
      <c r="D796" s="217"/>
      <c r="E796" s="216"/>
      <c r="F796" s="216"/>
      <c r="G796" s="216" t="s">
        <v>234</v>
      </c>
      <c r="H796" s="216" t="s">
        <v>234</v>
      </c>
      <c r="I796" s="217" t="s">
        <v>234</v>
      </c>
      <c r="J796" s="217"/>
      <c r="K796" s="216"/>
      <c r="L796" s="216"/>
      <c r="M796" s="217" t="s">
        <v>234</v>
      </c>
      <c r="N796" s="216"/>
      <c r="O796" s="217"/>
      <c r="P796" s="216"/>
      <c r="Q796" s="217"/>
      <c r="R796" s="217" t="s">
        <v>234</v>
      </c>
      <c r="S796" s="217"/>
      <c r="T796" s="217"/>
      <c r="U796" s="218">
        <f t="shared" si="924"/>
        <v>6</v>
      </c>
      <c r="V796" s="867" t="s">
        <v>235</v>
      </c>
      <c r="W796" s="219">
        <v>109321</v>
      </c>
      <c r="X796" s="220">
        <v>3.31</v>
      </c>
      <c r="Y796" s="221">
        <f t="shared" si="953"/>
        <v>1.0330999999999999</v>
      </c>
      <c r="Z796" s="199">
        <v>19</v>
      </c>
      <c r="AA796" s="221">
        <f t="shared" si="954"/>
        <v>1.8565423880120511</v>
      </c>
      <c r="AB796" s="199">
        <f t="shared" si="973"/>
        <v>202959.07039986542</v>
      </c>
      <c r="AC796">
        <v>14.1</v>
      </c>
      <c r="AD796" s="199">
        <f t="shared" si="974"/>
        <v>28617.228926381023</v>
      </c>
      <c r="AE796" s="199">
        <f t="shared" si="955"/>
        <v>27186.36748006197</v>
      </c>
      <c r="AF796" s="199">
        <f t="shared" si="975"/>
        <v>0</v>
      </c>
      <c r="AG796" s="614">
        <f t="shared" si="972"/>
        <v>1.2569782818885255E-3</v>
      </c>
      <c r="AH796" s="199">
        <f t="shared" si="990"/>
        <v>10147.953519993272</v>
      </c>
      <c r="AI796" s="252">
        <f t="shared" si="952"/>
        <v>7.8614658354246125E-4</v>
      </c>
      <c r="AJ796" s="199">
        <f t="shared" si="956"/>
        <v>38765.182446374296</v>
      </c>
      <c r="AK796" s="199">
        <f t="shared" si="976"/>
        <v>8118.3628159946174</v>
      </c>
      <c r="AL796" s="199">
        <f t="shared" si="977"/>
        <v>8118.3628159946174</v>
      </c>
      <c r="AM796" s="199">
        <f t="shared" si="957"/>
        <v>16236.725631989235</v>
      </c>
      <c r="AN796" s="645">
        <f t="shared" si="958"/>
        <v>7.8614658354246125E-4</v>
      </c>
      <c r="AO796" s="199">
        <v>11</v>
      </c>
      <c r="AP796" s="250">
        <f t="shared" si="959"/>
        <v>1.2498579706851495E-3</v>
      </c>
      <c r="AQ796" s="199">
        <v>11</v>
      </c>
      <c r="AU796" s="199">
        <v>0</v>
      </c>
      <c r="AW796" s="250">
        <f t="shared" si="960"/>
        <v>0</v>
      </c>
      <c r="AX796" s="199">
        <v>1</v>
      </c>
      <c r="AY796" s="199">
        <f t="shared" si="980"/>
        <v>11139.919365828098</v>
      </c>
      <c r="AZ796" s="199">
        <f t="shared" si="961"/>
        <v>11139.919365828098</v>
      </c>
      <c r="BA796" s="252">
        <f t="shared" si="962"/>
        <v>8.7566995256162033E-4</v>
      </c>
      <c r="BB796" s="284">
        <v>0</v>
      </c>
      <c r="BC796" s="199">
        <f t="shared" si="981"/>
        <v>0</v>
      </c>
      <c r="BD796" s="270">
        <f t="shared" si="911"/>
        <v>0</v>
      </c>
      <c r="BE796" s="199">
        <f t="shared" si="982"/>
        <v>0</v>
      </c>
      <c r="BF796" s="251">
        <f t="shared" si="912"/>
        <v>0</v>
      </c>
      <c r="BG796" s="204">
        <f t="shared" si="983"/>
        <v>0</v>
      </c>
      <c r="BH796" s="636">
        <v>1</v>
      </c>
      <c r="BI796" s="199">
        <f t="shared" si="963"/>
        <v>62105.475542358829</v>
      </c>
      <c r="BJ796" s="199">
        <f t="shared" si="964"/>
        <v>124210.95108471766</v>
      </c>
      <c r="BK796" s="199">
        <f t="shared" si="971"/>
        <v>186316.42662707649</v>
      </c>
      <c r="BL796" s="251">
        <f t="shared" si="965"/>
        <v>7.8614658354246125E-4</v>
      </c>
      <c r="BM796" s="199">
        <f t="shared" si="984"/>
        <v>17502.631891002962</v>
      </c>
      <c r="BN796" s="251">
        <f t="shared" si="966"/>
        <v>7.5581807728770348E-4</v>
      </c>
      <c r="BT796" s="199">
        <f>'Detailed Budget'!$AD$12</f>
        <v>194045122715</v>
      </c>
      <c r="BU796" s="199">
        <f>'Detailed Budget'!$AD$24</f>
        <v>194045122715</v>
      </c>
      <c r="BV796" s="596">
        <f t="shared" si="985"/>
        <v>0</v>
      </c>
      <c r="BW796" s="278"/>
      <c r="BX796" s="275">
        <f t="shared" si="950"/>
        <v>0</v>
      </c>
      <c r="BY796" s="275">
        <f t="shared" si="951"/>
        <v>0</v>
      </c>
      <c r="CA796" s="199">
        <f>'Detailed Budget'!$AD$96</f>
        <v>71050111380.677719</v>
      </c>
      <c r="CB796" s="275">
        <f t="shared" si="967"/>
        <v>62216447.662215896</v>
      </c>
      <c r="CE796" s="199">
        <f>'Detailed Budget'!$AD$175</f>
        <v>4330586076.5988197</v>
      </c>
      <c r="CF796" s="275">
        <f t="shared" si="986"/>
        <v>0</v>
      </c>
      <c r="CG796" s="199">
        <f>'Detailed Budget'!$AD$176</f>
        <v>20662817754.37001</v>
      </c>
      <c r="CH796" s="275">
        <f t="shared" si="987"/>
        <v>0</v>
      </c>
      <c r="CI796" s="275">
        <f t="shared" si="910"/>
        <v>0</v>
      </c>
      <c r="CJ796" s="275">
        <f>'Detailed Budget'!$AD$178</f>
        <v>46025131033.061455</v>
      </c>
      <c r="CK796" s="275">
        <f t="shared" si="979"/>
        <v>0</v>
      </c>
      <c r="CL796" s="275">
        <f t="shared" si="991"/>
        <v>0</v>
      </c>
      <c r="CM796" s="278">
        <f>'Detailed Budget'!$AD$189</f>
        <v>77498869683.252869</v>
      </c>
      <c r="CN796" s="275">
        <f t="shared" si="968"/>
        <v>60925471.629891671</v>
      </c>
      <c r="CO796" s="140">
        <f>'Detailed Budget'!$AD$191</f>
        <v>2684962805.4134097</v>
      </c>
      <c r="CP796" s="616">
        <f t="shared" si="969"/>
        <v>2110774.3364143344</v>
      </c>
      <c r="CQ796" s="616">
        <f t="shared" si="970"/>
        <v>63036245.966306008</v>
      </c>
      <c r="CR796" s="199">
        <f>'Detailed Budget'!$AD$195</f>
        <v>18734176418</v>
      </c>
      <c r="CS796" s="275">
        <f t="shared" si="988"/>
        <v>14159629.199821396</v>
      </c>
      <c r="CW796" s="278"/>
      <c r="DH796" s="140">
        <f>'Detailed Budget'!$AD$163</f>
        <v>4928560000</v>
      </c>
      <c r="DI796" s="616">
        <f t="shared" si="989"/>
        <v>6160000</v>
      </c>
    </row>
    <row r="797" spans="1:113" outlineLevel="1">
      <c r="A797" s="214" t="s">
        <v>1631</v>
      </c>
      <c r="B797" s="215" t="s">
        <v>1632</v>
      </c>
      <c r="C797" s="216" t="s">
        <v>234</v>
      </c>
      <c r="D797" s="217"/>
      <c r="E797" s="216"/>
      <c r="F797" s="216"/>
      <c r="G797" s="216" t="s">
        <v>234</v>
      </c>
      <c r="H797" s="216" t="s">
        <v>234</v>
      </c>
      <c r="I797" s="217" t="s">
        <v>234</v>
      </c>
      <c r="J797" s="217"/>
      <c r="K797" s="216"/>
      <c r="L797" s="216"/>
      <c r="M797" s="217" t="s">
        <v>234</v>
      </c>
      <c r="N797" s="216"/>
      <c r="O797" s="217"/>
      <c r="P797" s="216"/>
      <c r="Q797" s="217"/>
      <c r="R797" s="217" t="s">
        <v>234</v>
      </c>
      <c r="S797" s="217"/>
      <c r="T797" s="217"/>
      <c r="U797" s="218">
        <f t="shared" si="924"/>
        <v>6</v>
      </c>
      <c r="V797" s="867" t="s">
        <v>235</v>
      </c>
      <c r="W797" s="219">
        <v>280520</v>
      </c>
      <c r="X797" s="220">
        <v>3.31</v>
      </c>
      <c r="Y797" s="221">
        <f t="shared" si="953"/>
        <v>1.0330999999999999</v>
      </c>
      <c r="Z797" s="199">
        <v>19</v>
      </c>
      <c r="AA797" s="221">
        <f t="shared" si="954"/>
        <v>1.8565423880120511</v>
      </c>
      <c r="AB797" s="199">
        <f t="shared" si="973"/>
        <v>520797.27068514057</v>
      </c>
      <c r="AC797">
        <v>14.1</v>
      </c>
      <c r="AD797" s="199">
        <f t="shared" si="974"/>
        <v>73432.415166604813</v>
      </c>
      <c r="AE797" s="199">
        <f t="shared" si="955"/>
        <v>69760.794408274567</v>
      </c>
      <c r="AF797" s="199">
        <f t="shared" si="975"/>
        <v>0</v>
      </c>
      <c r="AG797" s="614">
        <f t="shared" si="972"/>
        <v>3.2254328778127637E-3</v>
      </c>
      <c r="AH797" s="199">
        <f t="shared" si="990"/>
        <v>26039.863534257031</v>
      </c>
      <c r="AI797" s="252">
        <f t="shared" si="952"/>
        <v>2.0172687737518981E-3</v>
      </c>
      <c r="AJ797" s="199">
        <f t="shared" si="956"/>
        <v>99472.278700861847</v>
      </c>
      <c r="AK797" s="199">
        <f t="shared" si="976"/>
        <v>20831.890827405623</v>
      </c>
      <c r="AL797" s="199">
        <f t="shared" si="977"/>
        <v>20831.890827405623</v>
      </c>
      <c r="AM797" s="199">
        <f t="shared" si="957"/>
        <v>41663.781654811246</v>
      </c>
      <c r="AN797" s="645">
        <f t="shared" si="958"/>
        <v>2.0172687737518976E-3</v>
      </c>
      <c r="AO797" s="199">
        <v>11</v>
      </c>
      <c r="AP797" s="250">
        <f t="shared" si="959"/>
        <v>1.2498579706851495E-3</v>
      </c>
      <c r="AQ797" s="199">
        <v>11</v>
      </c>
      <c r="AU797" s="199">
        <v>0</v>
      </c>
      <c r="AW797" s="250">
        <f t="shared" si="960"/>
        <v>0</v>
      </c>
      <c r="AX797" s="199">
        <v>1</v>
      </c>
      <c r="AY797" s="199">
        <f t="shared" si="980"/>
        <v>28585.268891631968</v>
      </c>
      <c r="AZ797" s="199">
        <f t="shared" si="961"/>
        <v>28585.268891631968</v>
      </c>
      <c r="BA797" s="252">
        <f t="shared" si="962"/>
        <v>2.246987633598172E-3</v>
      </c>
      <c r="BB797" s="284">
        <v>0</v>
      </c>
      <c r="BC797" s="199">
        <f t="shared" si="981"/>
        <v>0</v>
      </c>
      <c r="BD797" s="270">
        <f t="shared" si="911"/>
        <v>0</v>
      </c>
      <c r="BE797" s="199">
        <f t="shared" si="982"/>
        <v>0</v>
      </c>
      <c r="BF797" s="251">
        <f t="shared" si="912"/>
        <v>0</v>
      </c>
      <c r="BG797" s="204">
        <f t="shared" si="983"/>
        <v>0</v>
      </c>
      <c r="BH797" s="636">
        <v>1</v>
      </c>
      <c r="BI797" s="199">
        <f t="shared" si="963"/>
        <v>159363.96482965301</v>
      </c>
      <c r="BJ797" s="199">
        <f t="shared" si="964"/>
        <v>318727.92965930601</v>
      </c>
      <c r="BK797" s="199">
        <f t="shared" si="971"/>
        <v>478091.89448895899</v>
      </c>
      <c r="BL797" s="251">
        <f t="shared" si="965"/>
        <v>2.0172687737518976E-3</v>
      </c>
      <c r="BM797" s="199">
        <f t="shared" si="984"/>
        <v>44912.123910905961</v>
      </c>
      <c r="BN797" s="251">
        <f t="shared" si="966"/>
        <v>1.9394451847380336E-3</v>
      </c>
      <c r="BT797" s="199">
        <f>'Detailed Budget'!$AD$12</f>
        <v>194045122715</v>
      </c>
      <c r="BU797" s="199">
        <f>'Detailed Budget'!$AD$24</f>
        <v>194045122715</v>
      </c>
      <c r="BV797" s="596">
        <f t="shared" si="985"/>
        <v>0</v>
      </c>
      <c r="BW797" s="278"/>
      <c r="BX797" s="275">
        <f t="shared" si="950"/>
        <v>0</v>
      </c>
      <c r="BY797" s="275">
        <f t="shared" si="951"/>
        <v>0</v>
      </c>
      <c r="CA797" s="199">
        <f>'Detailed Budget'!$AD$96</f>
        <v>71050111380.677719</v>
      </c>
      <c r="CB797" s="275">
        <f t="shared" si="967"/>
        <v>159648721.63815558</v>
      </c>
      <c r="CE797" s="199">
        <f>'Detailed Budget'!$AD$175</f>
        <v>4330586076.5988197</v>
      </c>
      <c r="CF797" s="275">
        <f t="shared" si="986"/>
        <v>0</v>
      </c>
      <c r="CG797" s="199">
        <f>'Detailed Budget'!$AD$176</f>
        <v>20662817754.37001</v>
      </c>
      <c r="CH797" s="275">
        <f t="shared" si="987"/>
        <v>0</v>
      </c>
      <c r="CI797" s="275">
        <f t="shared" si="910"/>
        <v>0</v>
      </c>
      <c r="CJ797" s="275">
        <f>'Detailed Budget'!$AD$178</f>
        <v>46025131033.061455</v>
      </c>
      <c r="CK797" s="275">
        <f t="shared" si="979"/>
        <v>0</v>
      </c>
      <c r="CL797" s="275">
        <f t="shared" si="991"/>
        <v>0</v>
      </c>
      <c r="CM797" s="278">
        <f>'Detailed Budget'!$AD$189</f>
        <v>77498869683.252869</v>
      </c>
      <c r="CN797" s="275">
        <f t="shared" si="968"/>
        <v>156336049.81309363</v>
      </c>
      <c r="CO797" s="140">
        <f>'Detailed Budget'!$AD$191</f>
        <v>2684962805.4134097</v>
      </c>
      <c r="CP797" s="616">
        <f t="shared" si="969"/>
        <v>5416291.6260457635</v>
      </c>
      <c r="CQ797" s="616">
        <f t="shared" si="970"/>
        <v>161752341.4391394</v>
      </c>
      <c r="CR797" s="199">
        <f>'Detailed Budget'!$AD$195</f>
        <v>18734176418</v>
      </c>
      <c r="CS797" s="275">
        <f t="shared" si="988"/>
        <v>36333908.243922919</v>
      </c>
      <c r="CW797" s="278"/>
      <c r="DH797" s="140">
        <f>'Detailed Budget'!$AD$163</f>
        <v>4928560000</v>
      </c>
      <c r="DI797" s="616">
        <f t="shared" si="989"/>
        <v>6160000</v>
      </c>
    </row>
    <row r="798" spans="1:113" outlineLevel="1">
      <c r="A798" s="214" t="s">
        <v>1633</v>
      </c>
      <c r="B798" s="215" t="s">
        <v>1634</v>
      </c>
      <c r="C798" s="216" t="s">
        <v>234</v>
      </c>
      <c r="D798" s="217"/>
      <c r="E798" s="216"/>
      <c r="F798" s="216"/>
      <c r="G798" s="216" t="s">
        <v>234</v>
      </c>
      <c r="H798" s="216" t="s">
        <v>234</v>
      </c>
      <c r="I798" s="217" t="s">
        <v>234</v>
      </c>
      <c r="J798" s="217"/>
      <c r="K798" s="216"/>
      <c r="L798" s="216"/>
      <c r="M798" s="217" t="s">
        <v>234</v>
      </c>
      <c r="N798" s="216"/>
      <c r="O798" s="217"/>
      <c r="P798" s="216"/>
      <c r="Q798" s="217"/>
      <c r="R798" s="217" t="s">
        <v>234</v>
      </c>
      <c r="S798" s="217"/>
      <c r="T798" s="217"/>
      <c r="U798" s="218">
        <f t="shared" si="924"/>
        <v>6</v>
      </c>
      <c r="V798" s="867" t="s">
        <v>235</v>
      </c>
      <c r="W798" s="219">
        <v>68800</v>
      </c>
      <c r="X798" s="220">
        <v>3.31</v>
      </c>
      <c r="Y798" s="221">
        <f t="shared" si="953"/>
        <v>1.0330999999999999</v>
      </c>
      <c r="Z798" s="199">
        <v>19</v>
      </c>
      <c r="AA798" s="221">
        <f t="shared" si="954"/>
        <v>1.8565423880120511</v>
      </c>
      <c r="AB798" s="199">
        <f t="shared" si="973"/>
        <v>127730.11629522912</v>
      </c>
      <c r="AC798">
        <v>14.1</v>
      </c>
      <c r="AD798" s="199">
        <f t="shared" si="974"/>
        <v>18009.946397627307</v>
      </c>
      <c r="AE798" s="199">
        <f t="shared" si="955"/>
        <v>17109.44907774594</v>
      </c>
      <c r="AF798" s="199">
        <f t="shared" si="975"/>
        <v>0</v>
      </c>
      <c r="AG798" s="614">
        <f t="shared" si="972"/>
        <v>7.9106581346612788E-4</v>
      </c>
      <c r="AH798" s="199">
        <f t="shared" si="990"/>
        <v>6386.5058147614563</v>
      </c>
      <c r="AI798" s="252">
        <f t="shared" si="952"/>
        <v>4.94752928968097E-4</v>
      </c>
      <c r="AJ798" s="199">
        <f t="shared" si="956"/>
        <v>24396.452212388765</v>
      </c>
      <c r="AK798" s="199">
        <f t="shared" si="976"/>
        <v>5109.2046518091647</v>
      </c>
      <c r="AL798" s="199">
        <f t="shared" si="977"/>
        <v>5109.2046518091647</v>
      </c>
      <c r="AM798" s="199">
        <f t="shared" si="957"/>
        <v>10218.409303618329</v>
      </c>
      <c r="AN798" s="645">
        <f t="shared" si="958"/>
        <v>4.94752928968097E-4</v>
      </c>
      <c r="AO798" s="199">
        <v>10</v>
      </c>
      <c r="AP798" s="250">
        <f t="shared" si="959"/>
        <v>1.1362345188046814E-3</v>
      </c>
      <c r="AQ798" s="199">
        <v>10</v>
      </c>
      <c r="AU798" s="199">
        <v>0</v>
      </c>
      <c r="AW798" s="250">
        <f t="shared" si="960"/>
        <v>0</v>
      </c>
      <c r="AX798" s="199">
        <v>1</v>
      </c>
      <c r="AY798" s="199">
        <f t="shared" si="980"/>
        <v>7010.7888911460141</v>
      </c>
      <c r="AZ798" s="199">
        <f t="shared" si="961"/>
        <v>7010.7888911460141</v>
      </c>
      <c r="BA798" s="252">
        <f t="shared" si="962"/>
        <v>5.5109350203748136E-4</v>
      </c>
      <c r="BB798" s="284">
        <v>0</v>
      </c>
      <c r="BC798" s="199">
        <f t="shared" si="981"/>
        <v>0</v>
      </c>
      <c r="BD798" s="270">
        <f t="shared" si="911"/>
        <v>0</v>
      </c>
      <c r="BE798" s="199">
        <f t="shared" si="982"/>
        <v>0</v>
      </c>
      <c r="BF798" s="251">
        <f t="shared" si="912"/>
        <v>0</v>
      </c>
      <c r="BG798" s="204">
        <f t="shared" si="983"/>
        <v>0</v>
      </c>
      <c r="BH798" s="636">
        <v>1</v>
      </c>
      <c r="BI798" s="199">
        <f t="shared" si="963"/>
        <v>39085.41558634011</v>
      </c>
      <c r="BJ798" s="199">
        <f t="shared" si="964"/>
        <v>78170.83117268022</v>
      </c>
      <c r="BK798" s="199">
        <f t="shared" si="971"/>
        <v>117256.24675902033</v>
      </c>
      <c r="BL798" s="251">
        <f t="shared" si="965"/>
        <v>4.94752928968097E-4</v>
      </c>
      <c r="BM798" s="199">
        <f t="shared" si="984"/>
        <v>11015.09384382693</v>
      </c>
      <c r="BN798" s="251">
        <f t="shared" si="966"/>
        <v>4.7566600851980863E-4</v>
      </c>
      <c r="BT798" s="199">
        <f>'Detailed Budget'!$AD$12</f>
        <v>194045122715</v>
      </c>
      <c r="BU798" s="199">
        <f>'Detailed Budget'!$AD$24</f>
        <v>194045122715</v>
      </c>
      <c r="BV798" s="596">
        <f t="shared" si="985"/>
        <v>0</v>
      </c>
      <c r="BW798" s="278"/>
      <c r="BX798" s="275">
        <f t="shared" si="950"/>
        <v>0</v>
      </c>
      <c r="BY798" s="275">
        <f t="shared" si="951"/>
        <v>0</v>
      </c>
      <c r="CA798" s="199">
        <f>'Detailed Budget'!$AD$96</f>
        <v>71050111380.677719</v>
      </c>
      <c r="CB798" s="275">
        <f t="shared" si="967"/>
        <v>39155254.700930797</v>
      </c>
      <c r="CE798" s="199">
        <f>'Detailed Budget'!$AD$175</f>
        <v>4330586076.5988197</v>
      </c>
      <c r="CF798" s="275">
        <f t="shared" si="986"/>
        <v>0</v>
      </c>
      <c r="CG798" s="199">
        <f>'Detailed Budget'!$AD$176</f>
        <v>20662817754.37001</v>
      </c>
      <c r="CH798" s="275">
        <f t="shared" si="987"/>
        <v>0</v>
      </c>
      <c r="CI798" s="275">
        <f t="shared" si="910"/>
        <v>0</v>
      </c>
      <c r="CJ798" s="275">
        <f>'Detailed Budget'!$AD$178</f>
        <v>46025131033.061455</v>
      </c>
      <c r="CK798" s="275">
        <f t="shared" si="979"/>
        <v>0</v>
      </c>
      <c r="CL798" s="275">
        <f t="shared" si="991"/>
        <v>0</v>
      </c>
      <c r="CM798" s="278">
        <f>'Detailed Budget'!$AD$189</f>
        <v>77498869683.252869</v>
      </c>
      <c r="CN798" s="275">
        <f t="shared" si="968"/>
        <v>38342792.767506212</v>
      </c>
      <c r="CO798" s="140">
        <f>'Detailed Budget'!$AD$191</f>
        <v>2684962805.4134097</v>
      </c>
      <c r="CP798" s="616">
        <f t="shared" si="969"/>
        <v>1328393.2121486831</v>
      </c>
      <c r="CQ798" s="616">
        <f t="shared" si="970"/>
        <v>39671185.979654893</v>
      </c>
      <c r="CR798" s="199">
        <f>'Detailed Budget'!$AD$195</f>
        <v>18734176418</v>
      </c>
      <c r="CS798" s="275">
        <f t="shared" si="988"/>
        <v>8911210.9196559861</v>
      </c>
      <c r="CW798" s="278"/>
      <c r="DH798" s="140">
        <f>'Detailed Budget'!$AD$163</f>
        <v>4928560000</v>
      </c>
      <c r="DI798" s="616">
        <f t="shared" si="989"/>
        <v>5600000</v>
      </c>
    </row>
    <row r="799" spans="1:113" outlineLevel="1">
      <c r="A799" s="214" t="s">
        <v>1635</v>
      </c>
      <c r="B799" s="215" t="s">
        <v>1636</v>
      </c>
      <c r="C799" s="216" t="s">
        <v>234</v>
      </c>
      <c r="D799" s="217"/>
      <c r="E799" s="216"/>
      <c r="F799" s="216"/>
      <c r="G799" s="216" t="s">
        <v>234</v>
      </c>
      <c r="H799" s="216" t="s">
        <v>234</v>
      </c>
      <c r="I799" s="217" t="s">
        <v>234</v>
      </c>
      <c r="J799" s="217"/>
      <c r="K799" s="216"/>
      <c r="L799" s="216"/>
      <c r="M799" s="217"/>
      <c r="N799" s="216" t="s">
        <v>234</v>
      </c>
      <c r="O799" s="217"/>
      <c r="P799" s="216"/>
      <c r="Q799" s="217"/>
      <c r="R799" s="217" t="s">
        <v>234</v>
      </c>
      <c r="S799" s="217"/>
      <c r="T799" s="217"/>
      <c r="U799" s="218">
        <f t="shared" si="924"/>
        <v>6</v>
      </c>
      <c r="V799" s="867" t="s">
        <v>235</v>
      </c>
      <c r="W799" s="219">
        <v>157161</v>
      </c>
      <c r="X799" s="220">
        <v>3.31</v>
      </c>
      <c r="Y799" s="221">
        <f t="shared" si="953"/>
        <v>1.0330999999999999</v>
      </c>
      <c r="Z799" s="199">
        <v>19</v>
      </c>
      <c r="AA799" s="221">
        <f t="shared" si="954"/>
        <v>1.8565423880120511</v>
      </c>
      <c r="AB799" s="199">
        <f t="shared" si="973"/>
        <v>291776.05824236193</v>
      </c>
      <c r="AC799">
        <v>14.1</v>
      </c>
      <c r="AD799" s="199">
        <f t="shared" si="974"/>
        <v>41140.424212173035</v>
      </c>
      <c r="AE799" s="199">
        <f t="shared" si="955"/>
        <v>39083.40300156438</v>
      </c>
      <c r="AF799" s="199">
        <f t="shared" si="975"/>
        <v>0</v>
      </c>
      <c r="AG799" s="614">
        <f t="shared" si="972"/>
        <v>1.8070449754382283E-3</v>
      </c>
      <c r="AH799" s="199">
        <f t="shared" si="990"/>
        <v>14588.802912118097</v>
      </c>
      <c r="AI799" s="252">
        <f t="shared" si="952"/>
        <v>1.130172457406324E-3</v>
      </c>
      <c r="AJ799" s="199">
        <f t="shared" si="956"/>
        <v>55729.22712429113</v>
      </c>
      <c r="AK799" s="199">
        <f t="shared" si="976"/>
        <v>11671.042329694477</v>
      </c>
      <c r="AL799" s="199">
        <f t="shared" si="977"/>
        <v>11671.042329694477</v>
      </c>
      <c r="AM799" s="199">
        <f t="shared" si="957"/>
        <v>23342.084659388955</v>
      </c>
      <c r="AN799" s="645">
        <f t="shared" si="958"/>
        <v>1.1301724574063238E-3</v>
      </c>
      <c r="AO799" s="199">
        <v>11</v>
      </c>
      <c r="AP799" s="250">
        <f t="shared" si="959"/>
        <v>1.2498579706851495E-3</v>
      </c>
      <c r="AQ799" s="199">
        <v>11</v>
      </c>
      <c r="AU799" s="199">
        <v>0</v>
      </c>
      <c r="AW799" s="250">
        <f t="shared" si="960"/>
        <v>0</v>
      </c>
      <c r="AX799" s="199">
        <v>1</v>
      </c>
      <c r="AY799" s="199">
        <f t="shared" si="980"/>
        <v>16014.863269206373</v>
      </c>
      <c r="AZ799" s="199">
        <f t="shared" si="961"/>
        <v>16014.863269206373</v>
      </c>
      <c r="BA799" s="252">
        <f t="shared" si="962"/>
        <v>1.2588721783969852E-3</v>
      </c>
      <c r="BB799" s="284">
        <v>0</v>
      </c>
      <c r="BC799" s="199">
        <f t="shared" si="981"/>
        <v>0</v>
      </c>
      <c r="BD799" s="270">
        <f t="shared" si="911"/>
        <v>0</v>
      </c>
      <c r="BE799" s="199">
        <f t="shared" si="982"/>
        <v>0</v>
      </c>
      <c r="BF799" s="251">
        <f t="shared" si="912"/>
        <v>0</v>
      </c>
      <c r="BG799" s="204">
        <f t="shared" si="983"/>
        <v>0</v>
      </c>
      <c r="BH799" s="636">
        <v>1</v>
      </c>
      <c r="BI799" s="199">
        <f t="shared" si="963"/>
        <v>89283.473822162749</v>
      </c>
      <c r="BJ799" s="199">
        <f t="shared" si="964"/>
        <v>178566.9476443255</v>
      </c>
      <c r="BK799" s="199">
        <f t="shared" si="971"/>
        <v>267850.42146648827</v>
      </c>
      <c r="BL799" s="251">
        <f t="shared" si="965"/>
        <v>1.130172457406324E-3</v>
      </c>
      <c r="BM799" s="199">
        <f t="shared" si="984"/>
        <v>25161.964587059359</v>
      </c>
      <c r="BN799" s="251">
        <f t="shared" si="966"/>
        <v>1.0865718832119423E-3</v>
      </c>
      <c r="BT799" s="199">
        <f>'Detailed Budget'!$AD$12</f>
        <v>194045122715</v>
      </c>
      <c r="BU799" s="199">
        <f>'Detailed Budget'!$AD$24</f>
        <v>194045122715</v>
      </c>
      <c r="BV799" s="596">
        <f t="shared" si="985"/>
        <v>0</v>
      </c>
      <c r="BW799" s="278"/>
      <c r="BX799" s="275">
        <f t="shared" si="950"/>
        <v>0</v>
      </c>
      <c r="BY799" s="275">
        <f t="shared" si="951"/>
        <v>0</v>
      </c>
      <c r="CA799" s="199">
        <f>'Detailed Budget'!$AD$96</f>
        <v>71050111380.677719</v>
      </c>
      <c r="CB799" s="275">
        <f t="shared" si="967"/>
        <v>89443008.489142194</v>
      </c>
      <c r="CE799" s="199">
        <f>'Detailed Budget'!$AD$175</f>
        <v>4330586076.5988197</v>
      </c>
      <c r="CF799" s="275">
        <f t="shared" si="986"/>
        <v>0</v>
      </c>
      <c r="CG799" s="199">
        <f>'Detailed Budget'!$AD$176</f>
        <v>20662817754.37001</v>
      </c>
      <c r="CH799" s="275">
        <f t="shared" si="987"/>
        <v>0</v>
      </c>
      <c r="CI799" s="275">
        <f t="shared" ref="CI799:CI868" si="992">CF799+CH799</f>
        <v>0</v>
      </c>
      <c r="CJ799" s="275">
        <f>'Detailed Budget'!$AD$178</f>
        <v>46025131033.061455</v>
      </c>
      <c r="CK799" s="275">
        <f t="shared" si="979"/>
        <v>0</v>
      </c>
      <c r="CL799" s="275">
        <f t="shared" si="991"/>
        <v>0</v>
      </c>
      <c r="CM799" s="278">
        <f>'Detailed Budget'!$AD$189</f>
        <v>77498869683.252869</v>
      </c>
      <c r="CN799" s="275">
        <f t="shared" si="968"/>
        <v>87587087.996134356</v>
      </c>
      <c r="CO799" s="140">
        <f>'Detailed Budget'!$AD$191</f>
        <v>2684962805.4134097</v>
      </c>
      <c r="CP799" s="616">
        <f t="shared" si="969"/>
        <v>3034471.0118386503</v>
      </c>
      <c r="CQ799" s="616">
        <f t="shared" si="970"/>
        <v>90621559.007973</v>
      </c>
      <c r="CR799" s="199">
        <f>'Detailed Budget'!$AD$195</f>
        <v>18734176418</v>
      </c>
      <c r="CS799" s="275">
        <f t="shared" si="988"/>
        <v>20356029.350931019</v>
      </c>
      <c r="CW799" s="278"/>
      <c r="DH799" s="140">
        <f>'Detailed Budget'!$AD$163</f>
        <v>4928560000</v>
      </c>
      <c r="DI799" s="616">
        <f t="shared" si="989"/>
        <v>6160000</v>
      </c>
    </row>
    <row r="800" spans="1:113" outlineLevel="1">
      <c r="A800" s="214" t="s">
        <v>1637</v>
      </c>
      <c r="B800" s="215" t="s">
        <v>1638</v>
      </c>
      <c r="C800" s="216" t="s">
        <v>234</v>
      </c>
      <c r="D800" s="217"/>
      <c r="E800" s="216"/>
      <c r="F800" s="216"/>
      <c r="G800" s="216" t="s">
        <v>234</v>
      </c>
      <c r="H800" s="216" t="s">
        <v>234</v>
      </c>
      <c r="I800" s="217" t="s">
        <v>234</v>
      </c>
      <c r="J800" s="217"/>
      <c r="K800" s="216"/>
      <c r="L800" s="216"/>
      <c r="M800" s="217"/>
      <c r="N800" s="216"/>
      <c r="O800" s="217" t="s">
        <v>234</v>
      </c>
      <c r="P800" s="216"/>
      <c r="Q800" s="217"/>
      <c r="R800" s="217" t="s">
        <v>234</v>
      </c>
      <c r="S800" s="217"/>
      <c r="T800" s="217"/>
      <c r="U800" s="218">
        <f t="shared" si="924"/>
        <v>6</v>
      </c>
      <c r="V800" s="867" t="s">
        <v>235</v>
      </c>
      <c r="W800" s="219">
        <v>119117</v>
      </c>
      <c r="X800" s="220">
        <v>3.31</v>
      </c>
      <c r="Y800" s="221">
        <f t="shared" si="953"/>
        <v>1.0330999999999999</v>
      </c>
      <c r="Z800" s="199">
        <v>19</v>
      </c>
      <c r="AA800" s="221">
        <f t="shared" si="954"/>
        <v>1.8565423880120511</v>
      </c>
      <c r="AB800" s="199">
        <f t="shared" si="973"/>
        <v>221145.7596328315</v>
      </c>
      <c r="AC800">
        <v>14.1</v>
      </c>
      <c r="AD800" s="199">
        <f t="shared" si="974"/>
        <v>31181.55210822924</v>
      </c>
      <c r="AE800" s="199">
        <f t="shared" si="955"/>
        <v>29622.474502817775</v>
      </c>
      <c r="AF800" s="199">
        <f t="shared" si="975"/>
        <v>0</v>
      </c>
      <c r="AG800" s="614">
        <f t="shared" si="972"/>
        <v>1.369613175910534E-3</v>
      </c>
      <c r="AH800" s="199">
        <f t="shared" si="990"/>
        <v>11057.287981641575</v>
      </c>
      <c r="AI800" s="252">
        <f t="shared" si="952"/>
        <v>8.5659134651006996E-4</v>
      </c>
      <c r="AJ800" s="199">
        <f t="shared" si="956"/>
        <v>42238.840089870813</v>
      </c>
      <c r="AK800" s="199">
        <f t="shared" si="976"/>
        <v>8845.8303853132602</v>
      </c>
      <c r="AL800" s="199">
        <f t="shared" si="977"/>
        <v>8845.8303853132602</v>
      </c>
      <c r="AM800" s="199">
        <f t="shared" si="957"/>
        <v>17691.66077062652</v>
      </c>
      <c r="AN800" s="645">
        <f t="shared" si="958"/>
        <v>8.5659134651006996E-4</v>
      </c>
      <c r="AO800" s="199">
        <v>10</v>
      </c>
      <c r="AP800" s="250">
        <f t="shared" si="959"/>
        <v>1.1362345188046814E-3</v>
      </c>
      <c r="AQ800" s="199">
        <v>10</v>
      </c>
      <c r="AU800" s="199">
        <v>0</v>
      </c>
      <c r="AW800" s="250">
        <f t="shared" si="960"/>
        <v>0</v>
      </c>
      <c r="AX800" s="199">
        <v>1</v>
      </c>
      <c r="AY800" s="199">
        <f t="shared" si="980"/>
        <v>12138.141574805808</v>
      </c>
      <c r="AZ800" s="199">
        <f t="shared" si="961"/>
        <v>12138.141574805808</v>
      </c>
      <c r="BA800" s="252">
        <f t="shared" si="962"/>
        <v>9.5413669596218964E-4</v>
      </c>
      <c r="BB800" s="284">
        <v>0</v>
      </c>
      <c r="BC800" s="199">
        <f t="shared" si="981"/>
        <v>0</v>
      </c>
      <c r="BD800" s="270">
        <f t="shared" si="911"/>
        <v>0</v>
      </c>
      <c r="BE800" s="199">
        <f t="shared" si="982"/>
        <v>0</v>
      </c>
      <c r="BF800" s="251">
        <f t="shared" si="912"/>
        <v>0</v>
      </c>
      <c r="BG800" s="204">
        <f t="shared" si="983"/>
        <v>0</v>
      </c>
      <c r="BH800" s="636">
        <v>1</v>
      </c>
      <c r="BI800" s="199">
        <f t="shared" si="963"/>
        <v>67670.602447646437</v>
      </c>
      <c r="BJ800" s="199">
        <f t="shared" si="964"/>
        <v>135341.20489529287</v>
      </c>
      <c r="BK800" s="199">
        <f t="shared" si="971"/>
        <v>203011.80734293931</v>
      </c>
      <c r="BL800" s="251">
        <f t="shared" si="965"/>
        <v>8.5659134651006996E-4</v>
      </c>
      <c r="BM800" s="199">
        <f t="shared" si="984"/>
        <v>19071.001938882739</v>
      </c>
      <c r="BN800" s="251">
        <f t="shared" si="966"/>
        <v>8.2354517350078553E-4</v>
      </c>
      <c r="BT800" s="199">
        <f>'Detailed Budget'!$AD$12</f>
        <v>194045122715</v>
      </c>
      <c r="BU800" s="199">
        <f>'Detailed Budget'!$AD$24</f>
        <v>194045122715</v>
      </c>
      <c r="BV800" s="596">
        <f t="shared" si="985"/>
        <v>0</v>
      </c>
      <c r="BW800" s="278"/>
      <c r="BX800" s="275">
        <f t="shared" si="950"/>
        <v>0</v>
      </c>
      <c r="BY800" s="275">
        <f t="shared" si="951"/>
        <v>0</v>
      </c>
      <c r="CA800" s="199">
        <f>'Detailed Budget'!$AD$96</f>
        <v>71050111380.677719</v>
      </c>
      <c r="CB800" s="275">
        <f t="shared" si="967"/>
        <v>67791518.520505413</v>
      </c>
      <c r="CE800" s="199">
        <f>'Detailed Budget'!$AD$175</f>
        <v>4330586076.5988197</v>
      </c>
      <c r="CF800" s="275">
        <f t="shared" si="986"/>
        <v>0</v>
      </c>
      <c r="CG800" s="199">
        <f>'Detailed Budget'!$AD$176</f>
        <v>20662817754.37001</v>
      </c>
      <c r="CH800" s="275">
        <f t="shared" si="987"/>
        <v>0</v>
      </c>
      <c r="CI800" s="275">
        <f t="shared" si="992"/>
        <v>0</v>
      </c>
      <c r="CJ800" s="275">
        <f>'Detailed Budget'!$AD$178</f>
        <v>46025131033.061455</v>
      </c>
      <c r="CK800" s="275">
        <f t="shared" si="979"/>
        <v>0</v>
      </c>
      <c r="CL800" s="275">
        <f t="shared" si="991"/>
        <v>0</v>
      </c>
      <c r="CM800" s="278">
        <f>'Detailed Budget'!$AD$189</f>
        <v>77498869683.252869</v>
      </c>
      <c r="CN800" s="275">
        <f t="shared" si="968"/>
        <v>66384861.134986013</v>
      </c>
      <c r="CO800" s="140">
        <f>'Detailed Budget'!$AD$191</f>
        <v>2684962805.4134097</v>
      </c>
      <c r="CP800" s="616">
        <f t="shared" si="969"/>
        <v>2299915.9048185274</v>
      </c>
      <c r="CQ800" s="616">
        <f t="shared" si="970"/>
        <v>68684777.039804548</v>
      </c>
      <c r="CR800" s="199">
        <f>'Detailed Budget'!$AD$195</f>
        <v>18734176418</v>
      </c>
      <c r="CS800" s="275">
        <f t="shared" si="988"/>
        <v>15428440.568556136</v>
      </c>
      <c r="CW800" s="278"/>
      <c r="DH800" s="140">
        <f>'Detailed Budget'!$AD$163</f>
        <v>4928560000</v>
      </c>
      <c r="DI800" s="616">
        <f t="shared" si="989"/>
        <v>5600000</v>
      </c>
    </row>
    <row r="801" spans="1:113" outlineLevel="1">
      <c r="A801" s="214" t="s">
        <v>1639</v>
      </c>
      <c r="B801" s="215" t="s">
        <v>1640</v>
      </c>
      <c r="C801" s="216" t="s">
        <v>234</v>
      </c>
      <c r="D801" s="217"/>
      <c r="E801" s="216"/>
      <c r="F801" s="216"/>
      <c r="G801" s="216" t="s">
        <v>234</v>
      </c>
      <c r="H801" s="216" t="s">
        <v>234</v>
      </c>
      <c r="I801" s="217" t="s">
        <v>234</v>
      </c>
      <c r="J801" s="217"/>
      <c r="K801" s="216"/>
      <c r="L801" s="216"/>
      <c r="M801" s="217" t="s">
        <v>234</v>
      </c>
      <c r="N801" s="216"/>
      <c r="O801" s="217"/>
      <c r="P801" s="216"/>
      <c r="Q801" s="217"/>
      <c r="R801" s="217" t="s">
        <v>234</v>
      </c>
      <c r="S801" s="217"/>
      <c r="T801" s="217"/>
      <c r="U801" s="218">
        <f t="shared" si="924"/>
        <v>6</v>
      </c>
      <c r="V801" s="867" t="s">
        <v>235</v>
      </c>
      <c r="W801" s="219">
        <v>82952</v>
      </c>
      <c r="X801" s="220">
        <v>3.31</v>
      </c>
      <c r="Y801" s="221">
        <f t="shared" si="953"/>
        <v>1.0330999999999999</v>
      </c>
      <c r="Z801" s="199">
        <v>19</v>
      </c>
      <c r="AA801" s="221">
        <f t="shared" si="954"/>
        <v>1.8565423880120511</v>
      </c>
      <c r="AB801" s="199">
        <f t="shared" si="973"/>
        <v>154003.90417037567</v>
      </c>
      <c r="AC801">
        <v>14.1</v>
      </c>
      <c r="AD801" s="199">
        <f t="shared" si="974"/>
        <v>21714.550488022967</v>
      </c>
      <c r="AE801" s="199">
        <f t="shared" si="955"/>
        <v>20628.822963621817</v>
      </c>
      <c r="AF801" s="199">
        <f t="shared" si="975"/>
        <v>0</v>
      </c>
      <c r="AG801" s="614">
        <f t="shared" si="972"/>
        <v>9.5378621160817194E-4</v>
      </c>
      <c r="AH801" s="199">
        <f t="shared" si="990"/>
        <v>7700.1952085187841</v>
      </c>
      <c r="AI801" s="252">
        <f t="shared" si="952"/>
        <v>5.9652245586862772E-4</v>
      </c>
      <c r="AJ801" s="199">
        <f t="shared" si="956"/>
        <v>29414.745696541751</v>
      </c>
      <c r="AK801" s="199">
        <f t="shared" si="976"/>
        <v>6160.1561668150271</v>
      </c>
      <c r="AL801" s="199">
        <f t="shared" si="977"/>
        <v>6160.1561668150271</v>
      </c>
      <c r="AM801" s="199">
        <f t="shared" si="957"/>
        <v>12320.312333630054</v>
      </c>
      <c r="AN801" s="645">
        <f t="shared" si="958"/>
        <v>5.9652245586862772E-4</v>
      </c>
      <c r="AO801" s="199">
        <v>10</v>
      </c>
      <c r="AP801" s="250">
        <f t="shared" si="959"/>
        <v>1.1362345188046814E-3</v>
      </c>
      <c r="AQ801" s="199">
        <v>10</v>
      </c>
      <c r="AU801" s="199">
        <v>0</v>
      </c>
      <c r="AW801" s="250">
        <f t="shared" si="960"/>
        <v>0</v>
      </c>
      <c r="AX801" s="199">
        <v>1</v>
      </c>
      <c r="AY801" s="199">
        <f t="shared" si="980"/>
        <v>8452.8918618945354</v>
      </c>
      <c r="AZ801" s="199">
        <f t="shared" si="961"/>
        <v>8452.8918618945354</v>
      </c>
      <c r="BA801" s="252">
        <f t="shared" si="962"/>
        <v>6.6445215379379568E-4</v>
      </c>
      <c r="BB801" s="284">
        <v>0</v>
      </c>
      <c r="BC801" s="199">
        <f t="shared" si="981"/>
        <v>0</v>
      </c>
      <c r="BD801" s="270">
        <f t="shared" si="911"/>
        <v>0</v>
      </c>
      <c r="BE801" s="199">
        <f t="shared" si="982"/>
        <v>0</v>
      </c>
      <c r="BF801" s="251">
        <f t="shared" si="912"/>
        <v>0</v>
      </c>
      <c r="BG801" s="204">
        <f t="shared" si="983"/>
        <v>0</v>
      </c>
      <c r="BH801" s="636">
        <v>1</v>
      </c>
      <c r="BI801" s="199">
        <f t="shared" si="963"/>
        <v>47125.194676134961</v>
      </c>
      <c r="BJ801" s="199">
        <f t="shared" si="964"/>
        <v>94250.389352269922</v>
      </c>
      <c r="BK801" s="199">
        <f t="shared" si="971"/>
        <v>141375.58402840488</v>
      </c>
      <c r="BL801" s="251">
        <f t="shared" si="965"/>
        <v>5.9652245586862772E-4</v>
      </c>
      <c r="BM801" s="199">
        <f t="shared" si="984"/>
        <v>13280.873031004819</v>
      </c>
      <c r="BN801" s="251">
        <f t="shared" si="966"/>
        <v>5.7350940027231349E-4</v>
      </c>
      <c r="BT801" s="199">
        <f>'Detailed Budget'!$AD$12</f>
        <v>194045122715</v>
      </c>
      <c r="BU801" s="199">
        <f>'Detailed Budget'!$AD$24</f>
        <v>194045122715</v>
      </c>
      <c r="BV801" s="596">
        <f t="shared" si="985"/>
        <v>0</v>
      </c>
      <c r="BW801" s="278"/>
      <c r="BX801" s="275">
        <f t="shared" si="950"/>
        <v>0</v>
      </c>
      <c r="BY801" s="275">
        <f t="shared" si="951"/>
        <v>0</v>
      </c>
      <c r="CA801" s="199">
        <f>'Detailed Budget'!$AD$96</f>
        <v>71050111380.677719</v>
      </c>
      <c r="CB801" s="275">
        <f t="shared" si="967"/>
        <v>47209399.534180388</v>
      </c>
      <c r="CE801" s="199">
        <f>'Detailed Budget'!$AD$175</f>
        <v>4330586076.5988197</v>
      </c>
      <c r="CF801" s="275">
        <f t="shared" si="986"/>
        <v>0</v>
      </c>
      <c r="CG801" s="199">
        <f>'Detailed Budget'!$AD$176</f>
        <v>20662817754.37001</v>
      </c>
      <c r="CH801" s="275">
        <f t="shared" si="987"/>
        <v>0</v>
      </c>
      <c r="CI801" s="275">
        <f t="shared" si="992"/>
        <v>0</v>
      </c>
      <c r="CJ801" s="275">
        <f>'Detailed Budget'!$AD$178</f>
        <v>46025131033.061455</v>
      </c>
      <c r="CK801" s="275">
        <f t="shared" si="979"/>
        <v>0</v>
      </c>
      <c r="CL801" s="275">
        <f t="shared" si="991"/>
        <v>0</v>
      </c>
      <c r="CM801" s="278">
        <f>'Detailed Budget'!$AD$189</f>
        <v>77498869683.252869</v>
      </c>
      <c r="CN801" s="275">
        <f t="shared" si="968"/>
        <v>46229816.070496738</v>
      </c>
      <c r="CO801" s="140">
        <f>'Detailed Budget'!$AD$191</f>
        <v>2684962805.4134097</v>
      </c>
      <c r="CP801" s="616">
        <f t="shared" si="969"/>
        <v>1601640.6066011277</v>
      </c>
      <c r="CQ801" s="616">
        <f t="shared" si="970"/>
        <v>47831456.677097864</v>
      </c>
      <c r="CR801" s="199">
        <f>'Detailed Budget'!$AD$195</f>
        <v>18734176418</v>
      </c>
      <c r="CS801" s="275">
        <f t="shared" si="988"/>
        <v>10744226.282082899</v>
      </c>
      <c r="CW801" s="278"/>
      <c r="DH801" s="140">
        <f>'Detailed Budget'!$AD$163</f>
        <v>4928560000</v>
      </c>
      <c r="DI801" s="616">
        <f t="shared" si="989"/>
        <v>5600000</v>
      </c>
    </row>
    <row r="802" spans="1:113" outlineLevel="1">
      <c r="A802" s="214" t="s">
        <v>1641</v>
      </c>
      <c r="B802" s="215" t="s">
        <v>1642</v>
      </c>
      <c r="C802" s="216" t="s">
        <v>234</v>
      </c>
      <c r="D802" s="217"/>
      <c r="E802" s="216"/>
      <c r="F802" s="216"/>
      <c r="G802" s="216" t="s">
        <v>234</v>
      </c>
      <c r="H802" s="216" t="s">
        <v>234</v>
      </c>
      <c r="I802" s="217" t="s">
        <v>234</v>
      </c>
      <c r="J802" s="217"/>
      <c r="K802" s="216"/>
      <c r="L802" s="216"/>
      <c r="M802" s="217"/>
      <c r="N802" s="216" t="s">
        <v>234</v>
      </c>
      <c r="O802" s="217"/>
      <c r="P802" s="216"/>
      <c r="Q802" s="217"/>
      <c r="R802" s="217" t="s">
        <v>234</v>
      </c>
      <c r="S802" s="217"/>
      <c r="T802" s="217"/>
      <c r="U802" s="218">
        <f t="shared" si="924"/>
        <v>6</v>
      </c>
      <c r="V802" s="867" t="s">
        <v>235</v>
      </c>
      <c r="W802" s="219">
        <v>150387</v>
      </c>
      <c r="X802" s="220">
        <v>3.31</v>
      </c>
      <c r="Y802" s="221">
        <f t="shared" si="953"/>
        <v>1.0330999999999999</v>
      </c>
      <c r="Z802" s="199">
        <v>19</v>
      </c>
      <c r="AA802" s="221">
        <f t="shared" si="954"/>
        <v>1.8565423880120511</v>
      </c>
      <c r="AB802" s="199">
        <f t="shared" si="973"/>
        <v>279199.84010596835</v>
      </c>
      <c r="AC802">
        <v>14.1</v>
      </c>
      <c r="AD802" s="199">
        <f t="shared" si="974"/>
        <v>39367.177454941535</v>
      </c>
      <c r="AE802" s="199">
        <f t="shared" si="955"/>
        <v>37398.818582194457</v>
      </c>
      <c r="AF802" s="199">
        <f t="shared" si="975"/>
        <v>0</v>
      </c>
      <c r="AG802" s="614">
        <f t="shared" si="972"/>
        <v>1.729157187350735E-3</v>
      </c>
      <c r="AH802" s="199">
        <f t="shared" si="990"/>
        <v>13959.992005298418</v>
      </c>
      <c r="AI802" s="252">
        <f t="shared" si="952"/>
        <v>1.0814594291965875E-3</v>
      </c>
      <c r="AJ802" s="199">
        <f t="shared" si="956"/>
        <v>53327.169460239951</v>
      </c>
      <c r="AK802" s="199">
        <f t="shared" si="976"/>
        <v>11167.993604238734</v>
      </c>
      <c r="AL802" s="199">
        <f t="shared" si="977"/>
        <v>11167.993604238734</v>
      </c>
      <c r="AM802" s="199">
        <f t="shared" si="957"/>
        <v>22335.987208477469</v>
      </c>
      <c r="AN802" s="645">
        <f t="shared" si="958"/>
        <v>1.0814594291965875E-3</v>
      </c>
      <c r="AO802" s="199">
        <v>12</v>
      </c>
      <c r="AP802" s="250">
        <f t="shared" si="959"/>
        <v>1.3634814225656176E-3</v>
      </c>
      <c r="AQ802" s="199">
        <v>12</v>
      </c>
      <c r="AU802" s="199">
        <v>0</v>
      </c>
      <c r="AW802" s="250">
        <f t="shared" si="960"/>
        <v>0</v>
      </c>
      <c r="AX802" s="199">
        <v>1</v>
      </c>
      <c r="AY802" s="199">
        <f t="shared" si="980"/>
        <v>15324.585886232202</v>
      </c>
      <c r="AZ802" s="199">
        <f t="shared" si="961"/>
        <v>15324.585886232202</v>
      </c>
      <c r="BA802" s="252">
        <f t="shared" si="962"/>
        <v>1.2046118966702135E-3</v>
      </c>
      <c r="BB802" s="284">
        <v>0</v>
      </c>
      <c r="BC802" s="199">
        <f t="shared" si="981"/>
        <v>0</v>
      </c>
      <c r="BD802" s="270">
        <f t="shared" si="911"/>
        <v>0</v>
      </c>
      <c r="BE802" s="199">
        <f t="shared" si="982"/>
        <v>0</v>
      </c>
      <c r="BF802" s="251">
        <f t="shared" si="912"/>
        <v>0</v>
      </c>
      <c r="BG802" s="204">
        <f t="shared" si="983"/>
        <v>0</v>
      </c>
      <c r="BH802" s="636">
        <v>1</v>
      </c>
      <c r="BI802" s="199">
        <f t="shared" si="963"/>
        <v>85435.151072426306</v>
      </c>
      <c r="BJ802" s="199">
        <f t="shared" si="964"/>
        <v>170870.30214485261</v>
      </c>
      <c r="BK802" s="199">
        <f t="shared" si="971"/>
        <v>256305.45321727893</v>
      </c>
      <c r="BL802" s="251">
        <f t="shared" si="965"/>
        <v>1.0814594291965872E-3</v>
      </c>
      <c r="BM802" s="199">
        <f t="shared" si="984"/>
        <v>24077.426132145356</v>
      </c>
      <c r="BN802" s="251">
        <f t="shared" si="966"/>
        <v>1.0397381398730881E-3</v>
      </c>
      <c r="BT802" s="199">
        <f>'Detailed Budget'!$AD$12</f>
        <v>194045122715</v>
      </c>
      <c r="BU802" s="199">
        <f>'Detailed Budget'!$AD$24</f>
        <v>194045122715</v>
      </c>
      <c r="BV802" s="596">
        <f t="shared" si="985"/>
        <v>0</v>
      </c>
      <c r="BW802" s="278"/>
      <c r="BX802" s="275">
        <f t="shared" si="950"/>
        <v>0</v>
      </c>
      <c r="BY802" s="275">
        <f t="shared" si="951"/>
        <v>0</v>
      </c>
      <c r="CA802" s="199">
        <f>'Detailed Budget'!$AD$96</f>
        <v>71050111380.677719</v>
      </c>
      <c r="CB802" s="275">
        <f t="shared" si="967"/>
        <v>85587809.42890811</v>
      </c>
      <c r="CE802" s="199">
        <f>'Detailed Budget'!$AD$175</f>
        <v>4330586076.5988197</v>
      </c>
      <c r="CF802" s="275">
        <f t="shared" si="986"/>
        <v>0</v>
      </c>
      <c r="CG802" s="199">
        <f>'Detailed Budget'!$AD$176</f>
        <v>20662817754.37001</v>
      </c>
      <c r="CH802" s="275">
        <f t="shared" si="987"/>
        <v>0</v>
      </c>
      <c r="CI802" s="275">
        <f t="shared" si="992"/>
        <v>0</v>
      </c>
      <c r="CJ802" s="275">
        <f>'Detailed Budget'!$AD$178</f>
        <v>46025131033.061455</v>
      </c>
      <c r="CK802" s="275">
        <f t="shared" si="979"/>
        <v>0</v>
      </c>
      <c r="CL802" s="275">
        <f t="shared" si="991"/>
        <v>0</v>
      </c>
      <c r="CM802" s="278">
        <f>'Detailed Budget'!$AD$189</f>
        <v>77498869683.252869</v>
      </c>
      <c r="CN802" s="275">
        <f t="shared" si="968"/>
        <v>83811883.371031344</v>
      </c>
      <c r="CO802" s="140">
        <f>'Detailed Budget'!$AD$191</f>
        <v>2684962805.4134097</v>
      </c>
      <c r="CP802" s="616">
        <f t="shared" si="969"/>
        <v>2903678.342956454</v>
      </c>
      <c r="CQ802" s="616">
        <f t="shared" si="970"/>
        <v>86715561.713987797</v>
      </c>
      <c r="CR802" s="199">
        <f>'Detailed Budget'!$AD$195</f>
        <v>18734176418</v>
      </c>
      <c r="CS802" s="275">
        <f t="shared" si="988"/>
        <v>19478637.74090559</v>
      </c>
      <c r="CW802" s="278"/>
      <c r="DH802" s="140">
        <f>'Detailed Budget'!$AD$163</f>
        <v>4928560000</v>
      </c>
      <c r="DI802" s="616">
        <f t="shared" si="989"/>
        <v>6720000</v>
      </c>
    </row>
    <row r="803" spans="1:113" outlineLevel="1">
      <c r="A803" s="214" t="s">
        <v>1643</v>
      </c>
      <c r="B803" s="215" t="s">
        <v>1644</v>
      </c>
      <c r="C803" s="216" t="s">
        <v>234</v>
      </c>
      <c r="D803" s="217"/>
      <c r="E803" s="216"/>
      <c r="F803" s="216"/>
      <c r="G803" s="216" t="s">
        <v>234</v>
      </c>
      <c r="H803" s="216" t="s">
        <v>234</v>
      </c>
      <c r="I803" s="217" t="s">
        <v>234</v>
      </c>
      <c r="J803" s="217"/>
      <c r="K803" s="216"/>
      <c r="L803" s="216"/>
      <c r="M803" s="217"/>
      <c r="N803" s="216" t="s">
        <v>234</v>
      </c>
      <c r="O803" s="217"/>
      <c r="P803" s="216"/>
      <c r="Q803" s="217"/>
      <c r="R803" s="217" t="s">
        <v>234</v>
      </c>
      <c r="S803" s="217"/>
      <c r="T803" s="217"/>
      <c r="U803" s="218">
        <f t="shared" si="924"/>
        <v>6</v>
      </c>
      <c r="V803" s="867" t="s">
        <v>235</v>
      </c>
      <c r="W803" s="219">
        <v>235071</v>
      </c>
      <c r="X803" s="220">
        <v>3.31</v>
      </c>
      <c r="Y803" s="221">
        <f t="shared" si="953"/>
        <v>1.0330999999999999</v>
      </c>
      <c r="Z803" s="199">
        <v>19</v>
      </c>
      <c r="AA803" s="221">
        <f t="shared" si="954"/>
        <v>1.8565423880120511</v>
      </c>
      <c r="AB803" s="199">
        <f t="shared" si="973"/>
        <v>436419.27569238085</v>
      </c>
      <c r="AC803">
        <v>14.1</v>
      </c>
      <c r="AD803" s="199">
        <f t="shared" si="974"/>
        <v>61535.117872625699</v>
      </c>
      <c r="AE803" s="199">
        <f t="shared" si="955"/>
        <v>58458.361978994413</v>
      </c>
      <c r="AF803" s="199">
        <f t="shared" si="975"/>
        <v>0</v>
      </c>
      <c r="AG803" s="614">
        <f t="shared" si="972"/>
        <v>2.702858020890932E-3</v>
      </c>
      <c r="AH803" s="199">
        <f t="shared" si="990"/>
        <v>21820.963784619045</v>
      </c>
      <c r="AI803" s="252">
        <f t="shared" si="952"/>
        <v>1.6904370024049351E-3</v>
      </c>
      <c r="AJ803" s="199">
        <f t="shared" si="956"/>
        <v>83356.081657244737</v>
      </c>
      <c r="AK803" s="199">
        <f t="shared" si="976"/>
        <v>17456.771027695235</v>
      </c>
      <c r="AL803" s="199">
        <f t="shared" si="977"/>
        <v>17456.771027695235</v>
      </c>
      <c r="AM803" s="199">
        <f t="shared" si="957"/>
        <v>34913.54205539047</v>
      </c>
      <c r="AN803" s="645">
        <f t="shared" si="958"/>
        <v>1.6904370024049351E-3</v>
      </c>
      <c r="AO803" s="199">
        <v>12</v>
      </c>
      <c r="AP803" s="250">
        <f t="shared" si="959"/>
        <v>1.3634814225656176E-3</v>
      </c>
      <c r="AQ803" s="199">
        <v>12</v>
      </c>
      <c r="AU803" s="199">
        <v>0</v>
      </c>
      <c r="AW803" s="250">
        <f t="shared" si="960"/>
        <v>0</v>
      </c>
      <c r="AX803" s="199">
        <v>1</v>
      </c>
      <c r="AY803" s="199">
        <f t="shared" si="980"/>
        <v>23953.97028242128</v>
      </c>
      <c r="AZ803" s="199">
        <f t="shared" si="961"/>
        <v>23953.97028242128</v>
      </c>
      <c r="BA803" s="252">
        <f t="shared" si="962"/>
        <v>1.8829375089746035E-3</v>
      </c>
      <c r="BB803" s="284">
        <v>0</v>
      </c>
      <c r="BC803" s="199">
        <f t="shared" si="981"/>
        <v>0</v>
      </c>
      <c r="BD803" s="270">
        <f t="shared" ref="BD803:BD869" si="993">BC803/11104067</f>
        <v>0</v>
      </c>
      <c r="BE803" s="199">
        <f t="shared" si="982"/>
        <v>0</v>
      </c>
      <c r="BF803" s="251">
        <f t="shared" ref="BF803:BF869" si="994">BE803/47500730</f>
        <v>0</v>
      </c>
      <c r="BG803" s="204">
        <f t="shared" si="983"/>
        <v>0</v>
      </c>
      <c r="BH803" s="636">
        <v>1</v>
      </c>
      <c r="BI803" s="199">
        <f t="shared" si="963"/>
        <v>133544.29836186854</v>
      </c>
      <c r="BJ803" s="199">
        <f t="shared" si="964"/>
        <v>267088.59672373708</v>
      </c>
      <c r="BK803" s="199">
        <f t="shared" si="971"/>
        <v>400632.89508560562</v>
      </c>
      <c r="BL803" s="251">
        <f t="shared" si="965"/>
        <v>1.6904370024049349E-3</v>
      </c>
      <c r="BM803" s="199">
        <f t="shared" si="984"/>
        <v>37635.597746544197</v>
      </c>
      <c r="BN803" s="251">
        <f t="shared" si="966"/>
        <v>1.6252221553598831E-3</v>
      </c>
      <c r="BT803" s="199">
        <f>'Detailed Budget'!$AD$12</f>
        <v>194045122715</v>
      </c>
      <c r="BU803" s="199">
        <f>'Detailed Budget'!$AD$24</f>
        <v>194045122715</v>
      </c>
      <c r="BV803" s="596">
        <f t="shared" si="985"/>
        <v>0</v>
      </c>
      <c r="BW803" s="278"/>
      <c r="BX803" s="275">
        <f t="shared" si="950"/>
        <v>0</v>
      </c>
      <c r="BY803" s="275">
        <f t="shared" si="951"/>
        <v>0</v>
      </c>
      <c r="CA803" s="199">
        <f>'Detailed Budget'!$AD$96</f>
        <v>71050111380.677719</v>
      </c>
      <c r="CB803" s="275">
        <f t="shared" si="967"/>
        <v>133782919.73550142</v>
      </c>
      <c r="CE803" s="199">
        <f>'Detailed Budget'!$AD$175</f>
        <v>4330586076.5988197</v>
      </c>
      <c r="CF803" s="275">
        <f t="shared" si="986"/>
        <v>0</v>
      </c>
      <c r="CG803" s="199">
        <f>'Detailed Budget'!$AD$176</f>
        <v>20662817754.37001</v>
      </c>
      <c r="CH803" s="275">
        <f t="shared" si="987"/>
        <v>0</v>
      </c>
      <c r="CI803" s="275">
        <f t="shared" si="992"/>
        <v>0</v>
      </c>
      <c r="CJ803" s="275">
        <f>'Detailed Budget'!$AD$178</f>
        <v>46025131033.061455</v>
      </c>
      <c r="CK803" s="275">
        <f t="shared" si="979"/>
        <v>0</v>
      </c>
      <c r="CL803" s="275">
        <f t="shared" si="991"/>
        <v>0</v>
      </c>
      <c r="CM803" s="278">
        <f>'Detailed Budget'!$AD$189</f>
        <v>77498869683.252869</v>
      </c>
      <c r="CN803" s="275">
        <f t="shared" si="968"/>
        <v>131006956.95712866</v>
      </c>
      <c r="CO803" s="140">
        <f>'Detailed Budget'!$AD$191</f>
        <v>2684962805.4134097</v>
      </c>
      <c r="CP803" s="616">
        <f t="shared" si="969"/>
        <v>4538760.4763517892</v>
      </c>
      <c r="CQ803" s="616">
        <f t="shared" si="970"/>
        <v>135545717.43348044</v>
      </c>
      <c r="CR803" s="199">
        <f>'Detailed Budget'!$AD$195</f>
        <v>18734176418</v>
      </c>
      <c r="CS803" s="275">
        <f t="shared" si="988"/>
        <v>30447198.576954253</v>
      </c>
      <c r="CW803" s="278"/>
      <c r="DH803" s="140">
        <f>'Detailed Budget'!$AD$163</f>
        <v>4928560000</v>
      </c>
      <c r="DI803" s="616">
        <f t="shared" si="989"/>
        <v>6720000</v>
      </c>
    </row>
    <row r="804" spans="1:113" outlineLevel="1">
      <c r="A804" s="214" t="s">
        <v>1645</v>
      </c>
      <c r="B804" s="215" t="s">
        <v>1646</v>
      </c>
      <c r="C804" s="216" t="s">
        <v>234</v>
      </c>
      <c r="D804" s="217"/>
      <c r="E804" s="216"/>
      <c r="F804" s="216"/>
      <c r="G804" s="216" t="s">
        <v>234</v>
      </c>
      <c r="H804" s="216" t="s">
        <v>234</v>
      </c>
      <c r="I804" s="217" t="s">
        <v>234</v>
      </c>
      <c r="J804" s="217"/>
      <c r="K804" s="216"/>
      <c r="L804" s="216"/>
      <c r="M804" s="217"/>
      <c r="N804" s="216" t="s">
        <v>234</v>
      </c>
      <c r="O804" s="217"/>
      <c r="P804" s="216"/>
      <c r="Q804" s="217"/>
      <c r="R804" s="217" t="s">
        <v>234</v>
      </c>
      <c r="S804" s="217"/>
      <c r="T804" s="217"/>
      <c r="U804" s="218">
        <f t="shared" si="924"/>
        <v>6</v>
      </c>
      <c r="V804" s="867" t="s">
        <v>235</v>
      </c>
      <c r="W804" s="219">
        <v>109522</v>
      </c>
      <c r="X804" s="220">
        <v>3.31</v>
      </c>
      <c r="Y804" s="221">
        <f t="shared" si="953"/>
        <v>1.0330999999999999</v>
      </c>
      <c r="Z804" s="199">
        <v>19</v>
      </c>
      <c r="AA804" s="221">
        <f t="shared" si="954"/>
        <v>1.8565423880120511</v>
      </c>
      <c r="AB804" s="199">
        <f t="shared" si="973"/>
        <v>203332.23541985586</v>
      </c>
      <c r="AC804">
        <v>14.1</v>
      </c>
      <c r="AD804" s="199">
        <f t="shared" si="974"/>
        <v>28669.845194199675</v>
      </c>
      <c r="AE804" s="199">
        <f t="shared" si="955"/>
        <v>27236.352934489689</v>
      </c>
      <c r="AF804" s="199">
        <f t="shared" si="975"/>
        <v>0</v>
      </c>
      <c r="AG804" s="614">
        <f t="shared" si="972"/>
        <v>1.2592893898610063E-3</v>
      </c>
      <c r="AH804" s="199">
        <f t="shared" si="990"/>
        <v>10166.611770992793</v>
      </c>
      <c r="AI804" s="252">
        <f t="shared" si="952"/>
        <v>7.8759200997738257E-4</v>
      </c>
      <c r="AJ804" s="199">
        <f t="shared" si="956"/>
        <v>38836.456965192468</v>
      </c>
      <c r="AK804" s="199">
        <f t="shared" si="976"/>
        <v>8133.289416794235</v>
      </c>
      <c r="AL804" s="199">
        <f t="shared" si="977"/>
        <v>8133.289416794235</v>
      </c>
      <c r="AM804" s="199">
        <f t="shared" si="957"/>
        <v>16266.57883358847</v>
      </c>
      <c r="AN804" s="645">
        <f t="shared" si="958"/>
        <v>7.8759200997738257E-4</v>
      </c>
      <c r="AO804" s="199">
        <v>10</v>
      </c>
      <c r="AP804" s="250">
        <f t="shared" si="959"/>
        <v>1.1362345188046814E-3</v>
      </c>
      <c r="AQ804" s="199">
        <v>10</v>
      </c>
      <c r="AU804" s="199">
        <v>0</v>
      </c>
      <c r="AW804" s="250">
        <f t="shared" si="960"/>
        <v>0</v>
      </c>
      <c r="AX804" s="199">
        <v>1</v>
      </c>
      <c r="AY804" s="199">
        <f t="shared" si="980"/>
        <v>11160.401467094383</v>
      </c>
      <c r="AZ804" s="199">
        <f t="shared" si="961"/>
        <v>11160.401467094383</v>
      </c>
      <c r="BA804" s="252">
        <f t="shared" si="962"/>
        <v>8.7727997863588686E-4</v>
      </c>
      <c r="BB804" s="284">
        <v>0</v>
      </c>
      <c r="BC804" s="199">
        <f t="shared" si="981"/>
        <v>0</v>
      </c>
      <c r="BD804" s="270">
        <f t="shared" si="993"/>
        <v>0</v>
      </c>
      <c r="BE804" s="199">
        <f t="shared" si="982"/>
        <v>0</v>
      </c>
      <c r="BF804" s="251">
        <f t="shared" si="994"/>
        <v>0</v>
      </c>
      <c r="BG804" s="204">
        <f t="shared" si="983"/>
        <v>0</v>
      </c>
      <c r="BH804" s="636">
        <v>1</v>
      </c>
      <c r="BI804" s="199">
        <f t="shared" si="963"/>
        <v>62219.664038475894</v>
      </c>
      <c r="BJ804" s="199">
        <f t="shared" si="964"/>
        <v>124439.32807695179</v>
      </c>
      <c r="BK804" s="199">
        <f t="shared" si="971"/>
        <v>186658.99211542768</v>
      </c>
      <c r="BL804" s="251">
        <f t="shared" si="965"/>
        <v>7.8759200997738257E-4</v>
      </c>
      <c r="BM804" s="199">
        <f t="shared" si="984"/>
        <v>17534.81261575019</v>
      </c>
      <c r="BN804" s="251">
        <f t="shared" si="966"/>
        <v>7.5720774106259429E-4</v>
      </c>
      <c r="BT804" s="199">
        <f>'Detailed Budget'!$AD$12</f>
        <v>194045122715</v>
      </c>
      <c r="BU804" s="199">
        <f>'Detailed Budget'!$AD$24</f>
        <v>194045122715</v>
      </c>
      <c r="BV804" s="596">
        <f t="shared" si="985"/>
        <v>0</v>
      </c>
      <c r="BW804" s="278"/>
      <c r="BX804" s="275">
        <f t="shared" si="950"/>
        <v>0</v>
      </c>
      <c r="BY804" s="275">
        <f t="shared" si="951"/>
        <v>0</v>
      </c>
      <c r="CA804" s="199">
        <f>'Detailed Budget'!$AD$96</f>
        <v>71050111380.677719</v>
      </c>
      <c r="CB804" s="275">
        <f t="shared" si="967"/>
        <v>62330840.194118328</v>
      </c>
      <c r="CE804" s="199">
        <f>'Detailed Budget'!$AD$175</f>
        <v>4330586076.5988197</v>
      </c>
      <c r="CF804" s="275">
        <f t="shared" si="986"/>
        <v>0</v>
      </c>
      <c r="CG804" s="199">
        <f>'Detailed Budget'!$AD$176</f>
        <v>20662817754.37001</v>
      </c>
      <c r="CH804" s="275">
        <f t="shared" si="987"/>
        <v>0</v>
      </c>
      <c r="CI804" s="275">
        <f t="shared" si="992"/>
        <v>0</v>
      </c>
      <c r="CJ804" s="275">
        <f>'Detailed Budget'!$AD$178</f>
        <v>46025131033.061455</v>
      </c>
      <c r="CK804" s="275">
        <f t="shared" si="979"/>
        <v>0</v>
      </c>
      <c r="CL804" s="275">
        <f t="shared" si="991"/>
        <v>0</v>
      </c>
      <c r="CM804" s="278">
        <f>'Detailed Budget'!$AD$189</f>
        <v>77498869683.252869</v>
      </c>
      <c r="CN804" s="275">
        <f t="shared" si="968"/>
        <v>61037490.544808365</v>
      </c>
      <c r="CO804" s="140">
        <f>'Detailed Budget'!$AD$191</f>
        <v>2684962805.4134097</v>
      </c>
      <c r="CP804" s="616">
        <f t="shared" si="969"/>
        <v>2114655.2526300591</v>
      </c>
      <c r="CQ804" s="616">
        <f t="shared" si="970"/>
        <v>63152145.797438428</v>
      </c>
      <c r="CR804" s="199">
        <f>'Detailed Budget'!$AD$195</f>
        <v>18734176418</v>
      </c>
      <c r="CS804" s="275">
        <f t="shared" si="988"/>
        <v>14185663.406141905</v>
      </c>
      <c r="CW804" s="278"/>
      <c r="DH804" s="140">
        <f>'Detailed Budget'!$AD$163</f>
        <v>4928560000</v>
      </c>
      <c r="DI804" s="616">
        <f t="shared" si="989"/>
        <v>5600000</v>
      </c>
    </row>
    <row r="805" spans="1:113" outlineLevel="1">
      <c r="A805" s="214" t="s">
        <v>1647</v>
      </c>
      <c r="B805" s="215" t="s">
        <v>1648</v>
      </c>
      <c r="C805" s="216" t="s">
        <v>234</v>
      </c>
      <c r="D805" s="217"/>
      <c r="E805" s="216"/>
      <c r="F805" s="216"/>
      <c r="G805" s="216" t="s">
        <v>234</v>
      </c>
      <c r="H805" s="216" t="s">
        <v>234</v>
      </c>
      <c r="I805" s="217" t="s">
        <v>234</v>
      </c>
      <c r="J805" s="217"/>
      <c r="K805" s="216"/>
      <c r="L805" s="216"/>
      <c r="M805" s="217" t="s">
        <v>234</v>
      </c>
      <c r="N805" s="216"/>
      <c r="O805" s="217"/>
      <c r="P805" s="216"/>
      <c r="Q805" s="217"/>
      <c r="R805" s="217" t="s">
        <v>234</v>
      </c>
      <c r="S805" s="217"/>
      <c r="T805" s="217"/>
      <c r="U805" s="218">
        <f t="shared" si="924"/>
        <v>6</v>
      </c>
      <c r="V805" s="867" t="s">
        <v>235</v>
      </c>
      <c r="W805" s="219">
        <v>125657</v>
      </c>
      <c r="X805" s="220">
        <v>3.31</v>
      </c>
      <c r="Y805" s="221">
        <f t="shared" si="953"/>
        <v>1.0330999999999999</v>
      </c>
      <c r="Z805" s="199">
        <v>19</v>
      </c>
      <c r="AA805" s="221">
        <f t="shared" si="954"/>
        <v>1.8565423880120511</v>
      </c>
      <c r="AB805" s="199">
        <f t="shared" si="973"/>
        <v>233287.54685043031</v>
      </c>
      <c r="AC805">
        <v>14.1</v>
      </c>
      <c r="AD805" s="199">
        <f t="shared" si="974"/>
        <v>32893.544105910674</v>
      </c>
      <c r="AE805" s="199">
        <f t="shared" si="955"/>
        <v>31248.866900615139</v>
      </c>
      <c r="AF805" s="199">
        <f t="shared" si="975"/>
        <v>0</v>
      </c>
      <c r="AG805" s="614">
        <f t="shared" si="972"/>
        <v>1.4448104203882736E-3</v>
      </c>
      <c r="AH805" s="199">
        <f t="shared" si="990"/>
        <v>11664.377342521517</v>
      </c>
      <c r="AI805" s="252">
        <f t="shared" si="952"/>
        <v>9.0362163946721178E-4</v>
      </c>
      <c r="AJ805" s="199">
        <f t="shared" si="956"/>
        <v>44557.921448432193</v>
      </c>
      <c r="AK805" s="199">
        <f t="shared" si="976"/>
        <v>9331.5018740172127</v>
      </c>
      <c r="AL805" s="199">
        <f t="shared" si="977"/>
        <v>9331.5018740172127</v>
      </c>
      <c r="AM805" s="199">
        <f t="shared" si="957"/>
        <v>18663.003748034425</v>
      </c>
      <c r="AN805" s="645">
        <f t="shared" si="958"/>
        <v>9.0362163946721167E-4</v>
      </c>
      <c r="AO805" s="199">
        <v>15</v>
      </c>
      <c r="AP805" s="250">
        <f t="shared" si="959"/>
        <v>1.7043517782070218E-3</v>
      </c>
      <c r="AQ805" s="199">
        <v>15</v>
      </c>
      <c r="AU805" s="199">
        <v>0</v>
      </c>
      <c r="AW805" s="250">
        <f t="shared" si="960"/>
        <v>0</v>
      </c>
      <c r="AX805" s="199">
        <v>1</v>
      </c>
      <c r="AY805" s="199">
        <f t="shared" si="980"/>
        <v>12804.57412346998</v>
      </c>
      <c r="AZ805" s="199">
        <f t="shared" si="961"/>
        <v>12804.57412346998</v>
      </c>
      <c r="BA805" s="252">
        <f t="shared" si="962"/>
        <v>1.0065226189756363E-3</v>
      </c>
      <c r="BB805" s="284">
        <v>0</v>
      </c>
      <c r="BC805" s="199">
        <f t="shared" si="981"/>
        <v>0</v>
      </c>
      <c r="BD805" s="270">
        <f t="shared" si="993"/>
        <v>0</v>
      </c>
      <c r="BE805" s="199">
        <f t="shared" si="982"/>
        <v>0</v>
      </c>
      <c r="BF805" s="251">
        <f t="shared" si="994"/>
        <v>0</v>
      </c>
      <c r="BG805" s="204">
        <f t="shared" si="983"/>
        <v>0</v>
      </c>
      <c r="BH805" s="636">
        <v>1</v>
      </c>
      <c r="BI805" s="199">
        <f t="shared" si="963"/>
        <v>71385.98933623168</v>
      </c>
      <c r="BJ805" s="199">
        <f t="shared" si="964"/>
        <v>142771.97867246336</v>
      </c>
      <c r="BK805" s="199">
        <f t="shared" si="971"/>
        <v>214157.96800869505</v>
      </c>
      <c r="BL805" s="251">
        <f t="shared" si="965"/>
        <v>9.0362163946721178E-4</v>
      </c>
      <c r="BM805" s="199">
        <f t="shared" si="984"/>
        <v>20118.076266479082</v>
      </c>
      <c r="BN805" s="251">
        <f t="shared" si="966"/>
        <v>8.687610993106629E-4</v>
      </c>
      <c r="BT805" s="199">
        <f>'Detailed Budget'!$AD$12</f>
        <v>194045122715</v>
      </c>
      <c r="BU805" s="199">
        <f>'Detailed Budget'!$AD$24</f>
        <v>194045122715</v>
      </c>
      <c r="BV805" s="596">
        <f t="shared" si="985"/>
        <v>0</v>
      </c>
      <c r="BW805" s="278"/>
      <c r="BX805" s="275">
        <f t="shared" si="950"/>
        <v>0</v>
      </c>
      <c r="BY805" s="275">
        <f t="shared" si="951"/>
        <v>0</v>
      </c>
      <c r="CA805" s="199">
        <f>'Detailed Budget'!$AD$96</f>
        <v>71050111380.677719</v>
      </c>
      <c r="CB805" s="275">
        <f t="shared" si="967"/>
        <v>71513544.185390398</v>
      </c>
      <c r="CE805" s="199">
        <f>'Detailed Budget'!$AD$175</f>
        <v>4330586076.5988197</v>
      </c>
      <c r="CF805" s="275">
        <f t="shared" si="986"/>
        <v>0</v>
      </c>
      <c r="CG805" s="199">
        <f>'Detailed Budget'!$AD$176</f>
        <v>20662817754.37001</v>
      </c>
      <c r="CH805" s="275">
        <f t="shared" si="987"/>
        <v>0</v>
      </c>
      <c r="CI805" s="275">
        <f t="shared" si="992"/>
        <v>0</v>
      </c>
      <c r="CJ805" s="275">
        <f>'Detailed Budget'!$AD$178</f>
        <v>46025131033.061455</v>
      </c>
      <c r="CK805" s="275">
        <f t="shared" si="979"/>
        <v>0</v>
      </c>
      <c r="CL805" s="275">
        <f t="shared" si="991"/>
        <v>0</v>
      </c>
      <c r="CM805" s="278">
        <f>'Detailed Budget'!$AD$189</f>
        <v>77498869683.252869</v>
      </c>
      <c r="CN805" s="275">
        <f t="shared" si="968"/>
        <v>70029655.680036753</v>
      </c>
      <c r="CO805" s="140">
        <f>'Detailed Budget'!$AD$191</f>
        <v>2684962805.4134097</v>
      </c>
      <c r="CP805" s="616">
        <f t="shared" si="969"/>
        <v>2426190.4921361492</v>
      </c>
      <c r="CQ805" s="616">
        <f t="shared" si="970"/>
        <v>72455846.172172904</v>
      </c>
      <c r="CR805" s="199">
        <f>'Detailed Budget'!$AD$195</f>
        <v>18734176418</v>
      </c>
      <c r="CS805" s="275">
        <f t="shared" si="988"/>
        <v>16275523.699581577</v>
      </c>
      <c r="CW805" s="278"/>
      <c r="DH805" s="140">
        <f>'Detailed Budget'!$AD$163</f>
        <v>4928560000</v>
      </c>
      <c r="DI805" s="616">
        <f t="shared" si="989"/>
        <v>8400000</v>
      </c>
    </row>
    <row r="806" spans="1:113" outlineLevel="1">
      <c r="A806" s="214" t="s">
        <v>1649</v>
      </c>
      <c r="B806" s="215" t="s">
        <v>1650</v>
      </c>
      <c r="C806" s="216" t="s">
        <v>234</v>
      </c>
      <c r="D806" s="217"/>
      <c r="E806" s="216"/>
      <c r="F806" s="216"/>
      <c r="G806" s="216" t="s">
        <v>234</v>
      </c>
      <c r="H806" s="216" t="s">
        <v>234</v>
      </c>
      <c r="I806" s="217" t="s">
        <v>234</v>
      </c>
      <c r="J806" s="217"/>
      <c r="K806" s="216"/>
      <c r="L806" s="216"/>
      <c r="M806" s="217" t="s">
        <v>234</v>
      </c>
      <c r="N806" s="216"/>
      <c r="O806" s="217"/>
      <c r="P806" s="216"/>
      <c r="Q806" s="217"/>
      <c r="R806" s="217" t="s">
        <v>234</v>
      </c>
      <c r="S806" s="217"/>
      <c r="T806" s="217"/>
      <c r="U806" s="218">
        <f t="shared" si="924"/>
        <v>6</v>
      </c>
      <c r="V806" s="867" t="s">
        <v>235</v>
      </c>
      <c r="W806" s="219">
        <v>74222</v>
      </c>
      <c r="X806" s="220">
        <v>3.31</v>
      </c>
      <c r="Y806" s="221">
        <f t="shared" si="953"/>
        <v>1.0330999999999999</v>
      </c>
      <c r="Z806" s="199">
        <v>19</v>
      </c>
      <c r="AA806" s="221">
        <f t="shared" si="954"/>
        <v>1.8565423880120511</v>
      </c>
      <c r="AB806" s="199">
        <f t="shared" si="973"/>
        <v>137796.28912303047</v>
      </c>
      <c r="AC806">
        <v>14.1</v>
      </c>
      <c r="AD806" s="199">
        <f t="shared" si="974"/>
        <v>19429.276766347295</v>
      </c>
      <c r="AE806" s="199">
        <f t="shared" si="955"/>
        <v>18457.812928029929</v>
      </c>
      <c r="AF806" s="199">
        <f t="shared" si="975"/>
        <v>0</v>
      </c>
      <c r="AG806" s="614">
        <f t="shared" si="972"/>
        <v>8.5340823847504272E-4</v>
      </c>
      <c r="AH806" s="199">
        <f t="shared" si="990"/>
        <v>6889.8144561515237</v>
      </c>
      <c r="AI806" s="252">
        <f t="shared" si="952"/>
        <v>5.3374348682950731E-4</v>
      </c>
      <c r="AJ806" s="199">
        <f t="shared" si="956"/>
        <v>26319.091222498821</v>
      </c>
      <c r="AK806" s="199">
        <f t="shared" si="976"/>
        <v>5511.8515649212186</v>
      </c>
      <c r="AL806" s="199">
        <f t="shared" si="977"/>
        <v>5511.8515649212186</v>
      </c>
      <c r="AM806" s="199">
        <f t="shared" si="957"/>
        <v>11023.703129842437</v>
      </c>
      <c r="AN806" s="645">
        <f t="shared" si="958"/>
        <v>5.337434868295072E-4</v>
      </c>
      <c r="AO806" s="199">
        <v>10</v>
      </c>
      <c r="AP806" s="250">
        <f t="shared" si="959"/>
        <v>1.1362345188046814E-3</v>
      </c>
      <c r="AQ806" s="199">
        <v>10</v>
      </c>
      <c r="AU806" s="199">
        <v>0</v>
      </c>
      <c r="AW806" s="250">
        <f t="shared" si="960"/>
        <v>0</v>
      </c>
      <c r="AX806" s="199">
        <v>1</v>
      </c>
      <c r="AY806" s="199">
        <f t="shared" si="980"/>
        <v>7563.2961203290615</v>
      </c>
      <c r="AZ806" s="199">
        <f t="shared" si="961"/>
        <v>7563.2961203290615</v>
      </c>
      <c r="BA806" s="252">
        <f t="shared" si="962"/>
        <v>5.9452415564281887E-4</v>
      </c>
      <c r="BB806" s="284">
        <v>0</v>
      </c>
      <c r="BC806" s="199">
        <f t="shared" si="981"/>
        <v>0</v>
      </c>
      <c r="BD806" s="270">
        <f t="shared" si="993"/>
        <v>0</v>
      </c>
      <c r="BE806" s="199">
        <f t="shared" si="982"/>
        <v>0</v>
      </c>
      <c r="BF806" s="251">
        <f t="shared" si="994"/>
        <v>0</v>
      </c>
      <c r="BG806" s="204">
        <f t="shared" si="983"/>
        <v>0</v>
      </c>
      <c r="BH806" s="636">
        <v>1</v>
      </c>
      <c r="BI806" s="199">
        <f t="shared" si="963"/>
        <v>42165.664471647324</v>
      </c>
      <c r="BJ806" s="199">
        <f t="shared" si="964"/>
        <v>84331.328943294648</v>
      </c>
      <c r="BK806" s="199">
        <f t="shared" si="971"/>
        <v>126496.99341494197</v>
      </c>
      <c r="BL806" s="251">
        <f t="shared" si="965"/>
        <v>5.337434868295072E-4</v>
      </c>
      <c r="BM806" s="199">
        <f t="shared" si="984"/>
        <v>11883.172896461083</v>
      </c>
      <c r="BN806" s="251">
        <f t="shared" si="966"/>
        <v>5.1315236169123903E-4</v>
      </c>
      <c r="BT806" s="199">
        <f>'Detailed Budget'!$AD$12</f>
        <v>194045122715</v>
      </c>
      <c r="BU806" s="199">
        <f>'Detailed Budget'!$AD$24</f>
        <v>194045122715</v>
      </c>
      <c r="BV806" s="596">
        <f t="shared" si="985"/>
        <v>0</v>
      </c>
      <c r="BW806" s="278"/>
      <c r="BX806" s="275">
        <f t="shared" si="950"/>
        <v>0</v>
      </c>
      <c r="BY806" s="275">
        <f t="shared" si="951"/>
        <v>0</v>
      </c>
      <c r="CA806" s="199">
        <f>'Detailed Budget'!$AD$96</f>
        <v>71050111380.677719</v>
      </c>
      <c r="CB806" s="275">
        <f t="shared" si="967"/>
        <v>42241007.476925656</v>
      </c>
      <c r="CE806" s="199">
        <f>'Detailed Budget'!$AD$175</f>
        <v>4330586076.5988197</v>
      </c>
      <c r="CF806" s="275">
        <f t="shared" si="986"/>
        <v>0</v>
      </c>
      <c r="CG806" s="199">
        <f>'Detailed Budget'!$AD$176</f>
        <v>20662817754.37001</v>
      </c>
      <c r="CH806" s="275">
        <f t="shared" si="987"/>
        <v>0</v>
      </c>
      <c r="CI806" s="275">
        <f t="shared" si="992"/>
        <v>0</v>
      </c>
      <c r="CJ806" s="275">
        <f>'Detailed Budget'!$AD$178</f>
        <v>46025131033.061455</v>
      </c>
      <c r="CK806" s="275">
        <f t="shared" si="979"/>
        <v>0</v>
      </c>
      <c r="CL806" s="275">
        <f t="shared" si="991"/>
        <v>0</v>
      </c>
      <c r="CM806" s="278">
        <f>'Detailed Budget'!$AD$189</f>
        <v>77498869683.252869</v>
      </c>
      <c r="CN806" s="275">
        <f t="shared" si="968"/>
        <v>41364516.930084974</v>
      </c>
      <c r="CO806" s="140">
        <f>'Detailed Budget'!$AD$191</f>
        <v>2684962805.4134097</v>
      </c>
      <c r="CP806" s="616">
        <f t="shared" si="969"/>
        <v>1433081.409768889</v>
      </c>
      <c r="CQ806" s="616">
        <f t="shared" si="970"/>
        <v>42797598.33985386</v>
      </c>
      <c r="CR806" s="199">
        <f>'Detailed Budget'!$AD$195</f>
        <v>18734176418</v>
      </c>
      <c r="CS806" s="275">
        <f t="shared" si="988"/>
        <v>9613486.8732370175</v>
      </c>
      <c r="CW806" s="278"/>
      <c r="DH806" s="140">
        <f>'Detailed Budget'!$AD$163</f>
        <v>4928560000</v>
      </c>
      <c r="DI806" s="616">
        <f t="shared" si="989"/>
        <v>5600000</v>
      </c>
    </row>
    <row r="807" spans="1:113" outlineLevel="1">
      <c r="A807" s="214" t="s">
        <v>1651</v>
      </c>
      <c r="B807" s="215" t="s">
        <v>1652</v>
      </c>
      <c r="C807" s="216" t="s">
        <v>234</v>
      </c>
      <c r="D807" s="217"/>
      <c r="E807" s="216"/>
      <c r="F807" s="216"/>
      <c r="G807" s="216" t="s">
        <v>234</v>
      </c>
      <c r="H807" s="216" t="s">
        <v>234</v>
      </c>
      <c r="I807" s="217" t="s">
        <v>234</v>
      </c>
      <c r="J807" s="217"/>
      <c r="K807" s="216"/>
      <c r="L807" s="216"/>
      <c r="M807" s="217"/>
      <c r="N807" s="216" t="s">
        <v>234</v>
      </c>
      <c r="O807" s="217"/>
      <c r="P807" s="216"/>
      <c r="Q807" s="217"/>
      <c r="R807" s="217" t="s">
        <v>234</v>
      </c>
      <c r="S807" s="217"/>
      <c r="T807" s="217"/>
      <c r="U807" s="218">
        <f t="shared" si="924"/>
        <v>6</v>
      </c>
      <c r="V807" s="867" t="s">
        <v>235</v>
      </c>
      <c r="W807" s="219">
        <v>59752</v>
      </c>
      <c r="X807" s="220">
        <v>3.31</v>
      </c>
      <c r="Y807" s="221">
        <f t="shared" si="953"/>
        <v>1.0330999999999999</v>
      </c>
      <c r="Z807" s="199">
        <v>19</v>
      </c>
      <c r="AA807" s="221">
        <f t="shared" si="954"/>
        <v>1.8565423880120511</v>
      </c>
      <c r="AB807" s="199">
        <f t="shared" si="973"/>
        <v>110932.12076849608</v>
      </c>
      <c r="AC807">
        <v>14.1</v>
      </c>
      <c r="AD807" s="199">
        <f t="shared" si="974"/>
        <v>15641.429028357947</v>
      </c>
      <c r="AE807" s="199">
        <f t="shared" si="955"/>
        <v>14859.357576940049</v>
      </c>
      <c r="AF807" s="199">
        <f t="shared" si="975"/>
        <v>0</v>
      </c>
      <c r="AG807" s="614">
        <f t="shared" si="972"/>
        <v>6.8703146055564056E-4</v>
      </c>
      <c r="AH807" s="199">
        <f t="shared" si="990"/>
        <v>5546.6060384248049</v>
      </c>
      <c r="AI807" s="252">
        <f t="shared" si="952"/>
        <v>4.2968716586775778E-4</v>
      </c>
      <c r="AJ807" s="199">
        <f t="shared" si="956"/>
        <v>21188.035066782752</v>
      </c>
      <c r="AK807" s="199">
        <f t="shared" si="976"/>
        <v>4437.2848307398435</v>
      </c>
      <c r="AL807" s="199">
        <f t="shared" si="977"/>
        <v>4437.2848307398435</v>
      </c>
      <c r="AM807" s="199">
        <f t="shared" si="957"/>
        <v>8874.5696614796871</v>
      </c>
      <c r="AN807" s="645">
        <f t="shared" si="958"/>
        <v>4.2968716586775778E-4</v>
      </c>
      <c r="AO807" s="199">
        <v>10</v>
      </c>
      <c r="AP807" s="250">
        <f t="shared" si="959"/>
        <v>1.1362345188046814E-3</v>
      </c>
      <c r="AQ807" s="199">
        <v>10</v>
      </c>
      <c r="AU807" s="199">
        <v>0</v>
      </c>
      <c r="AW807" s="250">
        <f t="shared" si="960"/>
        <v>0</v>
      </c>
      <c r="AX807" s="199">
        <v>1</v>
      </c>
      <c r="AY807" s="199">
        <f t="shared" si="980"/>
        <v>6088.788631159252</v>
      </c>
      <c r="AZ807" s="199">
        <f t="shared" si="961"/>
        <v>6088.788631159252</v>
      </c>
      <c r="BA807" s="252">
        <f t="shared" si="962"/>
        <v>4.7861829845557524E-4</v>
      </c>
      <c r="BB807" s="284">
        <v>0</v>
      </c>
      <c r="BC807" s="199">
        <f t="shared" si="981"/>
        <v>0</v>
      </c>
      <c r="BD807" s="270">
        <f t="shared" si="993"/>
        <v>0</v>
      </c>
      <c r="BE807" s="199">
        <f t="shared" si="982"/>
        <v>0</v>
      </c>
      <c r="BF807" s="251">
        <f t="shared" si="994"/>
        <v>0</v>
      </c>
      <c r="BG807" s="204">
        <f t="shared" si="983"/>
        <v>0</v>
      </c>
      <c r="BH807" s="636">
        <v>1</v>
      </c>
      <c r="BI807" s="199">
        <f t="shared" si="963"/>
        <v>33945.228955159801</v>
      </c>
      <c r="BJ807" s="199">
        <f t="shared" si="964"/>
        <v>67890.457910319601</v>
      </c>
      <c r="BK807" s="199">
        <f t="shared" si="971"/>
        <v>101835.68686547939</v>
      </c>
      <c r="BL807" s="251">
        <f t="shared" si="965"/>
        <v>4.2968716586775773E-4</v>
      </c>
      <c r="BM807" s="199">
        <f t="shared" si="984"/>
        <v>9566.480920877133</v>
      </c>
      <c r="BN807" s="251">
        <f t="shared" si="966"/>
        <v>4.1311039739935475E-4</v>
      </c>
      <c r="BT807" s="199">
        <f>'Detailed Budget'!$AD$12</f>
        <v>194045122715</v>
      </c>
      <c r="BU807" s="199">
        <f>'Detailed Budget'!$AD$24</f>
        <v>194045122715</v>
      </c>
      <c r="BV807" s="596">
        <f t="shared" si="985"/>
        <v>0</v>
      </c>
      <c r="BW807" s="278"/>
      <c r="BX807" s="275">
        <f t="shared" si="950"/>
        <v>0</v>
      </c>
      <c r="BY807" s="275">
        <f t="shared" si="951"/>
        <v>0</v>
      </c>
      <c r="CA807" s="199">
        <f>'Detailed Budget'!$AD$96</f>
        <v>71050111380.677719</v>
      </c>
      <c r="CB807" s="275">
        <f t="shared" si="967"/>
        <v>34005883.414099075</v>
      </c>
      <c r="CE807" s="199">
        <f>'Detailed Budget'!$AD$175</f>
        <v>4330586076.5988197</v>
      </c>
      <c r="CF807" s="275">
        <f t="shared" si="986"/>
        <v>0</v>
      </c>
      <c r="CG807" s="199">
        <f>'Detailed Budget'!$AD$176</f>
        <v>20662817754.37001</v>
      </c>
      <c r="CH807" s="275">
        <f t="shared" si="987"/>
        <v>0</v>
      </c>
      <c r="CI807" s="275">
        <f t="shared" si="992"/>
        <v>0</v>
      </c>
      <c r="CJ807" s="275">
        <f>'Detailed Budget'!$AD$178</f>
        <v>46025131033.061455</v>
      </c>
      <c r="CK807" s="275">
        <f t="shared" si="979"/>
        <v>0</v>
      </c>
      <c r="CL807" s="275">
        <f t="shared" si="991"/>
        <v>0</v>
      </c>
      <c r="CM807" s="278">
        <f>'Detailed Budget'!$AD$189</f>
        <v>77498869683.252869</v>
      </c>
      <c r="CN807" s="275">
        <f t="shared" si="968"/>
        <v>33300269.672151618</v>
      </c>
      <c r="CO807" s="140">
        <f>'Detailed Budget'!$AD$191</f>
        <v>2684962805.4134097</v>
      </c>
      <c r="CP807" s="616">
        <f t="shared" si="969"/>
        <v>1153694.058318432</v>
      </c>
      <c r="CQ807" s="616">
        <f t="shared" si="970"/>
        <v>34453963.730470046</v>
      </c>
      <c r="CR807" s="199">
        <f>'Detailed Budget'!$AD$195</f>
        <v>18734176418</v>
      </c>
      <c r="CS807" s="275">
        <f t="shared" si="988"/>
        <v>7739283.0649896003</v>
      </c>
      <c r="CW807" s="278"/>
      <c r="DH807" s="140">
        <f>'Detailed Budget'!$AD$163</f>
        <v>4928560000</v>
      </c>
      <c r="DI807" s="616">
        <f t="shared" si="989"/>
        <v>5600000</v>
      </c>
    </row>
    <row r="808" spans="1:113" outlineLevel="1">
      <c r="A808" s="214" t="s">
        <v>1653</v>
      </c>
      <c r="B808" s="215" t="s">
        <v>1654</v>
      </c>
      <c r="C808" s="216" t="s">
        <v>234</v>
      </c>
      <c r="D808" s="217"/>
      <c r="E808" s="216"/>
      <c r="F808" s="216"/>
      <c r="G808" s="216" t="s">
        <v>234</v>
      </c>
      <c r="H808" s="216" t="s">
        <v>234</v>
      </c>
      <c r="I808" s="217" t="s">
        <v>234</v>
      </c>
      <c r="J808" s="217"/>
      <c r="K808" s="216"/>
      <c r="L808" s="216"/>
      <c r="M808" s="217"/>
      <c r="N808" s="216"/>
      <c r="O808" s="217" t="s">
        <v>234</v>
      </c>
      <c r="P808" s="216"/>
      <c r="Q808" s="217"/>
      <c r="R808" s="217" t="s">
        <v>234</v>
      </c>
      <c r="S808" s="217"/>
      <c r="T808" s="217"/>
      <c r="U808" s="218">
        <f t="shared" si="924"/>
        <v>6</v>
      </c>
      <c r="V808" s="867" t="s">
        <v>235</v>
      </c>
      <c r="W808" s="219">
        <v>255885</v>
      </c>
      <c r="X808" s="220">
        <v>3.31</v>
      </c>
      <c r="Y808" s="221">
        <f t="shared" si="953"/>
        <v>1.0330999999999999</v>
      </c>
      <c r="Z808" s="199">
        <v>19</v>
      </c>
      <c r="AA808" s="221">
        <f t="shared" si="954"/>
        <v>1.8565423880120511</v>
      </c>
      <c r="AB808" s="199">
        <f t="shared" si="973"/>
        <v>475061.34895646368</v>
      </c>
      <c r="AC808">
        <v>14.1</v>
      </c>
      <c r="AD808" s="199">
        <f t="shared" si="974"/>
        <v>66983.650202861376</v>
      </c>
      <c r="AE808" s="199">
        <f t="shared" si="955"/>
        <v>63634.467692718303</v>
      </c>
      <c r="AF808" s="199">
        <f t="shared" si="975"/>
        <v>0</v>
      </c>
      <c r="AG808" s="614">
        <f t="shared" si="972"/>
        <v>2.9421784255636643E-3</v>
      </c>
      <c r="AH808" s="199">
        <f t="shared" si="990"/>
        <v>23753.067447823185</v>
      </c>
      <c r="AI808" s="252">
        <f t="shared" si="952"/>
        <v>1.8401141457703707E-3</v>
      </c>
      <c r="AJ808" s="199">
        <f t="shared" si="956"/>
        <v>90736.717650684557</v>
      </c>
      <c r="AK808" s="199">
        <f t="shared" si="976"/>
        <v>19002.453958258549</v>
      </c>
      <c r="AL808" s="199">
        <f t="shared" si="977"/>
        <v>19002.453958258549</v>
      </c>
      <c r="AM808" s="199">
        <f t="shared" si="957"/>
        <v>38004.907916517099</v>
      </c>
      <c r="AN808" s="645">
        <f t="shared" si="958"/>
        <v>1.8401141457703707E-3</v>
      </c>
      <c r="AO808" s="199">
        <v>15</v>
      </c>
      <c r="AP808" s="250">
        <f t="shared" si="959"/>
        <v>1.7043517782070218E-3</v>
      </c>
      <c r="AQ808" s="199">
        <v>15</v>
      </c>
      <c r="AU808" s="199">
        <v>0</v>
      </c>
      <c r="AW808" s="250">
        <f t="shared" si="960"/>
        <v>0</v>
      </c>
      <c r="AX808" s="199">
        <v>1</v>
      </c>
      <c r="AY808" s="199">
        <f t="shared" si="980"/>
        <v>26074.937723995597</v>
      </c>
      <c r="AZ808" s="199">
        <f t="shared" si="961"/>
        <v>26074.937723995597</v>
      </c>
      <c r="BA808" s="252">
        <f t="shared" si="962"/>
        <v>2.0496593135008842E-3</v>
      </c>
      <c r="BB808" s="284">
        <v>0</v>
      </c>
      <c r="BC808" s="199">
        <f t="shared" si="981"/>
        <v>0</v>
      </c>
      <c r="BD808" s="270">
        <f t="shared" si="993"/>
        <v>0</v>
      </c>
      <c r="BE808" s="199">
        <f t="shared" si="982"/>
        <v>0</v>
      </c>
      <c r="BF808" s="251">
        <f t="shared" si="994"/>
        <v>0</v>
      </c>
      <c r="BG808" s="204">
        <f t="shared" si="983"/>
        <v>0</v>
      </c>
      <c r="BH808" s="636">
        <v>1</v>
      </c>
      <c r="BI808" s="199">
        <f t="shared" si="963"/>
        <v>145368.77278067789</v>
      </c>
      <c r="BJ808" s="199">
        <f t="shared" si="964"/>
        <v>290737.54556135577</v>
      </c>
      <c r="BK808" s="199">
        <f t="shared" si="971"/>
        <v>436106.31834203366</v>
      </c>
      <c r="BL808" s="251">
        <f t="shared" si="965"/>
        <v>1.8401141457703705E-3</v>
      </c>
      <c r="BM808" s="199">
        <f t="shared" si="984"/>
        <v>40967.983840518231</v>
      </c>
      <c r="BN808" s="251">
        <f t="shared" si="966"/>
        <v>1.7691249504373729E-3</v>
      </c>
      <c r="BT808" s="199">
        <f>'Detailed Budget'!$AD$12</f>
        <v>194045122715</v>
      </c>
      <c r="BU808" s="199">
        <f>'Detailed Budget'!$AD$24</f>
        <v>194045122715</v>
      </c>
      <c r="BV808" s="596">
        <f t="shared" si="985"/>
        <v>0</v>
      </c>
      <c r="BW808" s="278"/>
      <c r="BX808" s="275">
        <f t="shared" si="950"/>
        <v>0</v>
      </c>
      <c r="BY808" s="275">
        <f t="shared" si="951"/>
        <v>0</v>
      </c>
      <c r="CA808" s="199">
        <f>'Detailed Budget'!$AD$96</f>
        <v>71050111380.677719</v>
      </c>
      <c r="CB808" s="275">
        <f t="shared" si="967"/>
        <v>145628522.51668125</v>
      </c>
      <c r="CE808" s="199">
        <f>'Detailed Budget'!$AD$175</f>
        <v>4330586076.5988197</v>
      </c>
      <c r="CF808" s="275">
        <f t="shared" si="986"/>
        <v>0</v>
      </c>
      <c r="CG808" s="199">
        <f>'Detailed Budget'!$AD$176</f>
        <v>20662817754.37001</v>
      </c>
      <c r="CH808" s="275">
        <f t="shared" si="987"/>
        <v>0</v>
      </c>
      <c r="CI808" s="275">
        <f t="shared" si="992"/>
        <v>0</v>
      </c>
      <c r="CJ808" s="275">
        <f>'Detailed Budget'!$AD$178</f>
        <v>46025131033.061455</v>
      </c>
      <c r="CK808" s="275">
        <f t="shared" si="979"/>
        <v>0</v>
      </c>
      <c r="CL808" s="275">
        <f t="shared" si="991"/>
        <v>0</v>
      </c>
      <c r="CM808" s="278">
        <f>'Detailed Budget'!$AD$189</f>
        <v>77498869683.252869</v>
      </c>
      <c r="CN808" s="275">
        <f t="shared" si="968"/>
        <v>142606766.38536811</v>
      </c>
      <c r="CO808" s="140">
        <f>'Detailed Budget'!$AD$191</f>
        <v>2684962805.4134097</v>
      </c>
      <c r="CP808" s="616">
        <f t="shared" si="969"/>
        <v>4940638.0391085148</v>
      </c>
      <c r="CQ808" s="616">
        <f t="shared" si="970"/>
        <v>147547404.42447662</v>
      </c>
      <c r="CR808" s="199">
        <f>'Detailed Budget'!$AD$195</f>
        <v>18734176418</v>
      </c>
      <c r="CS808" s="275">
        <f t="shared" si="988"/>
        <v>33143098.926979251</v>
      </c>
      <c r="CW808" s="278"/>
      <c r="DH808" s="140">
        <f>'Detailed Budget'!$AD$163</f>
        <v>4928560000</v>
      </c>
      <c r="DI808" s="616">
        <f t="shared" si="989"/>
        <v>8400000</v>
      </c>
    </row>
    <row r="809" spans="1:113" outlineLevel="1">
      <c r="A809" s="214"/>
      <c r="B809" s="215"/>
      <c r="C809" s="216"/>
      <c r="D809" s="217"/>
      <c r="E809" s="216"/>
      <c r="F809" s="216"/>
      <c r="G809" s="216"/>
      <c r="H809" s="216"/>
      <c r="I809" s="217"/>
      <c r="J809" s="217"/>
      <c r="K809" s="216"/>
      <c r="L809" s="216"/>
      <c r="M809" s="217"/>
      <c r="N809" s="216"/>
      <c r="O809" s="217"/>
      <c r="P809" s="216"/>
      <c r="Q809" s="217"/>
      <c r="R809" s="217"/>
      <c r="S809" s="217"/>
      <c r="T809" s="217"/>
      <c r="U809" s="218"/>
      <c r="V809" s="867"/>
      <c r="W809" s="219"/>
      <c r="X809" s="220"/>
      <c r="Y809" s="221"/>
      <c r="Z809" s="199"/>
      <c r="AA809" s="221"/>
      <c r="AF809" s="199">
        <f t="shared" si="975"/>
        <v>0</v>
      </c>
      <c r="AG809" s="614">
        <f t="shared" si="972"/>
        <v>0</v>
      </c>
      <c r="AJ809" s="199"/>
      <c r="AK809" s="199">
        <f t="shared" si="976"/>
        <v>0</v>
      </c>
      <c r="AL809" s="199">
        <f t="shared" si="977"/>
        <v>0</v>
      </c>
      <c r="AM809" s="199">
        <f t="shared" si="957"/>
        <v>0</v>
      </c>
      <c r="AN809" s="645">
        <f t="shared" si="958"/>
        <v>0</v>
      </c>
      <c r="AP809" s="250">
        <f t="shared" si="959"/>
        <v>0</v>
      </c>
      <c r="AW809" s="250">
        <f t="shared" si="960"/>
        <v>0</v>
      </c>
      <c r="AX809" s="199"/>
      <c r="BA809" s="252">
        <f t="shared" si="962"/>
        <v>0</v>
      </c>
      <c r="BB809" s="284"/>
      <c r="BD809" s="270"/>
      <c r="BF809" s="251"/>
      <c r="BG809" s="204"/>
      <c r="BH809" s="636"/>
      <c r="BI809" s="199">
        <f t="shared" si="963"/>
        <v>0</v>
      </c>
      <c r="BJ809" s="199">
        <f t="shared" si="964"/>
        <v>0</v>
      </c>
      <c r="BK809" s="199">
        <f t="shared" si="971"/>
        <v>0</v>
      </c>
      <c r="BL809" s="251">
        <f t="shared" si="965"/>
        <v>0</v>
      </c>
      <c r="BN809" s="251">
        <f t="shared" si="966"/>
        <v>0</v>
      </c>
      <c r="BT809" s="199"/>
      <c r="BU809" s="199"/>
      <c r="BV809" s="596"/>
      <c r="BW809" s="278"/>
      <c r="BX809" s="275"/>
      <c r="BY809" s="275"/>
      <c r="CA809" s="199">
        <f>'Detailed Budget'!$AD$96</f>
        <v>71050111380.677719</v>
      </c>
      <c r="CB809" s="275">
        <f t="shared" si="967"/>
        <v>0</v>
      </c>
      <c r="CE809" s="199"/>
      <c r="CF809" s="275"/>
      <c r="CG809" s="199"/>
      <c r="CH809" s="275"/>
      <c r="CI809" s="275"/>
      <c r="CJ809" s="275"/>
      <c r="CK809" s="275"/>
      <c r="CL809" s="275"/>
      <c r="CM809" s="278">
        <f>'Detailed Budget'!$AD$189</f>
        <v>77498869683.252869</v>
      </c>
      <c r="CN809" s="275">
        <f t="shared" si="968"/>
        <v>0</v>
      </c>
      <c r="CO809" s="140">
        <f>'Detailed Budget'!$AD$191</f>
        <v>2684962805.4134097</v>
      </c>
      <c r="CP809" s="616">
        <f t="shared" si="969"/>
        <v>0</v>
      </c>
      <c r="CQ809" s="616">
        <f t="shared" si="970"/>
        <v>0</v>
      </c>
      <c r="CR809" s="199"/>
      <c r="CS809" s="275"/>
      <c r="CW809" s="278"/>
      <c r="DH809" s="140">
        <f>'Detailed Budget'!$AD$163</f>
        <v>4928560000</v>
      </c>
      <c r="DI809" s="616">
        <f t="shared" si="989"/>
        <v>0</v>
      </c>
    </row>
    <row r="810" spans="1:113" s="213" customFormat="1">
      <c r="A810" s="206">
        <v>6.4</v>
      </c>
      <c r="B810" s="207" t="s">
        <v>1655</v>
      </c>
      <c r="C810" s="208">
        <f>COUNTA(C812:C829)</f>
        <v>18</v>
      </c>
      <c r="D810" s="208">
        <f t="shared" ref="D810:T810" si="995">COUNTA(D812:D829)</f>
        <v>0</v>
      </c>
      <c r="E810" s="208">
        <f t="shared" si="995"/>
        <v>0</v>
      </c>
      <c r="F810" s="208">
        <f t="shared" si="995"/>
        <v>0</v>
      </c>
      <c r="G810" s="208">
        <f t="shared" si="995"/>
        <v>18</v>
      </c>
      <c r="H810" s="208">
        <f t="shared" si="995"/>
        <v>18</v>
      </c>
      <c r="I810" s="208">
        <f t="shared" si="995"/>
        <v>18</v>
      </c>
      <c r="J810" s="208">
        <f t="shared" si="995"/>
        <v>0</v>
      </c>
      <c r="K810" s="208">
        <f t="shared" si="995"/>
        <v>1</v>
      </c>
      <c r="L810" s="208">
        <f t="shared" si="995"/>
        <v>0</v>
      </c>
      <c r="M810" s="208">
        <f t="shared" si="995"/>
        <v>4</v>
      </c>
      <c r="N810" s="208">
        <f t="shared" si="995"/>
        <v>12</v>
      </c>
      <c r="O810" s="208">
        <f t="shared" si="995"/>
        <v>1</v>
      </c>
      <c r="P810" s="208">
        <f t="shared" si="995"/>
        <v>0</v>
      </c>
      <c r="Q810" s="208">
        <f t="shared" si="995"/>
        <v>2</v>
      </c>
      <c r="R810" s="208">
        <f t="shared" si="995"/>
        <v>16</v>
      </c>
      <c r="S810" s="208">
        <f t="shared" si="995"/>
        <v>0</v>
      </c>
      <c r="T810" s="208">
        <f t="shared" si="995"/>
        <v>0</v>
      </c>
      <c r="U810" s="209">
        <f>SUM(C810:T810)</f>
        <v>108</v>
      </c>
      <c r="V810" s="867"/>
      <c r="W810" s="210">
        <f>SUM(W812:W829)</f>
        <v>3460877</v>
      </c>
      <c r="X810" s="211">
        <v>3.01</v>
      </c>
      <c r="Y810" s="212">
        <f t="shared" si="953"/>
        <v>1.0301</v>
      </c>
      <c r="Z810" s="210">
        <v>19</v>
      </c>
      <c r="AA810" s="212">
        <f t="shared" si="954"/>
        <v>1.7567435038184733</v>
      </c>
      <c r="AB810" s="210">
        <f t="shared" si="973"/>
        <v>6079873.1872647665</v>
      </c>
      <c r="AC810" s="213">
        <v>12.7</v>
      </c>
      <c r="AD810" s="210">
        <f t="shared" si="974"/>
        <v>772143.89478262526</v>
      </c>
      <c r="AE810" s="210">
        <f t="shared" si="955"/>
        <v>733536.700043494</v>
      </c>
      <c r="AF810" s="210">
        <f>SUM(AF812:AF829)</f>
        <v>0</v>
      </c>
      <c r="AG810" s="614">
        <f t="shared" si="972"/>
        <v>3.3915516723558539E-2</v>
      </c>
      <c r="AH810" s="210">
        <f>SUM(AH812:AH829)</f>
        <v>303993.65936323837</v>
      </c>
      <c r="AI810" s="252">
        <f t="shared" si="952"/>
        <v>2.3549928195486947E-2</v>
      </c>
      <c r="AJ810" s="210">
        <f>SUM(AJ812:AJ829)</f>
        <v>1076137.5541458635</v>
      </c>
      <c r="AK810" s="199">
        <f t="shared" si="976"/>
        <v>243194.92749059066</v>
      </c>
      <c r="AL810" s="199">
        <f t="shared" si="977"/>
        <v>243194.92749059066</v>
      </c>
      <c r="AM810" s="199">
        <f t="shared" si="957"/>
        <v>486389.85498118133</v>
      </c>
      <c r="AN810" s="645">
        <f t="shared" si="958"/>
        <v>2.3549928195486944E-2</v>
      </c>
      <c r="AO810" s="210">
        <f>SUM(AO812:AO829)</f>
        <v>203</v>
      </c>
      <c r="AP810" s="250">
        <f t="shared" si="959"/>
        <v>2.3065560731735029E-2</v>
      </c>
      <c r="AQ810" s="210">
        <f>SUM(AQ812:AQ829)</f>
        <v>203</v>
      </c>
      <c r="AR810" s="210"/>
      <c r="AS810" s="210"/>
      <c r="AT810" s="210"/>
      <c r="AU810" s="199"/>
      <c r="AV810" s="199"/>
      <c r="AW810" s="250">
        <f t="shared" si="960"/>
        <v>0</v>
      </c>
      <c r="AX810" s="199"/>
      <c r="AY810" s="210">
        <v>352097</v>
      </c>
      <c r="AZ810" s="210">
        <f>SUM(AZ812:AZ829)</f>
        <v>352096.85412288777</v>
      </c>
      <c r="BA810" s="252">
        <f t="shared" si="962"/>
        <v>2.7677097600245108E-2</v>
      </c>
      <c r="BB810" s="284"/>
      <c r="BC810" s="210"/>
      <c r="BD810" s="270">
        <f t="shared" si="993"/>
        <v>0</v>
      </c>
      <c r="BE810" s="210"/>
      <c r="BF810" s="251">
        <f t="shared" si="994"/>
        <v>0</v>
      </c>
      <c r="BH810"/>
      <c r="BI810" s="199">
        <f t="shared" si="963"/>
        <v>1860441.1953030187</v>
      </c>
      <c r="BJ810" s="199">
        <f t="shared" si="964"/>
        <v>3720882.3906060373</v>
      </c>
      <c r="BK810" s="199">
        <f t="shared" si="971"/>
        <v>5581323.5859090555</v>
      </c>
      <c r="BL810" s="251">
        <f t="shared" si="965"/>
        <v>2.3549928195486944E-2</v>
      </c>
      <c r="BM810" s="210">
        <v>552409</v>
      </c>
      <c r="BN810" s="251">
        <f t="shared" si="966"/>
        <v>2.3854738581975492E-2</v>
      </c>
      <c r="BT810" s="210">
        <f>'Detailed Budget'!$AD$12</f>
        <v>194045122715</v>
      </c>
      <c r="BU810" s="210">
        <f>'Detailed Budget'!$AD$24</f>
        <v>194045122715</v>
      </c>
      <c r="BV810" s="596">
        <f>AV810/34743979</f>
        <v>0</v>
      </c>
      <c r="BW810" s="278"/>
      <c r="BX810" s="613">
        <f t="shared" si="950"/>
        <v>0</v>
      </c>
      <c r="BY810" s="613">
        <f t="shared" si="951"/>
        <v>0</v>
      </c>
      <c r="CA810" s="210">
        <f>'Detailed Budget'!$AD$96</f>
        <v>71050111380.677719</v>
      </c>
      <c r="CB810" s="613">
        <f t="shared" si="967"/>
        <v>1966460867.191303</v>
      </c>
      <c r="CE810" s="210">
        <f>'Detailed Budget'!$AD$175</f>
        <v>4330586076.5988197</v>
      </c>
      <c r="CF810" s="613">
        <f>SUM(CF812:CF829)</f>
        <v>0</v>
      </c>
      <c r="CG810" s="632">
        <f>'Detailed Budget'!$AD$176</f>
        <v>20662817754.37001</v>
      </c>
      <c r="CH810" s="613">
        <f>SUM(CH812:CH829)</f>
        <v>0</v>
      </c>
      <c r="CI810" s="613">
        <f>SUM(CI812:CI829)</f>
        <v>0</v>
      </c>
      <c r="CJ810" s="275">
        <f>'Detailed Budget'!$AD$178</f>
        <v>46025131033.061455</v>
      </c>
      <c r="CK810" s="613">
        <f>SUM(CK812:CK829)</f>
        <v>0</v>
      </c>
      <c r="CL810" s="613">
        <f>SUM(CL812:CL829)</f>
        <v>0</v>
      </c>
      <c r="CM810" s="278">
        <f>'Detailed Budget'!$AD$189</f>
        <v>77498869683.252869</v>
      </c>
      <c r="CN810" s="275">
        <f t="shared" si="968"/>
        <v>0</v>
      </c>
      <c r="CO810" s="140">
        <f>'Detailed Budget'!$AD$191</f>
        <v>2684962805.4134097</v>
      </c>
      <c r="CP810" s="616">
        <f t="shared" si="969"/>
        <v>0</v>
      </c>
      <c r="CQ810" s="616">
        <f t="shared" si="970"/>
        <v>0</v>
      </c>
      <c r="CR810" s="210">
        <f>'Detailed Budget'!$AD$195</f>
        <v>18734176418</v>
      </c>
      <c r="CS810" s="275">
        <f>BN810*CR810</f>
        <v>446898881.00000006</v>
      </c>
      <c r="CW810" s="278"/>
      <c r="DH810" s="140">
        <f>'Detailed Budget'!$AD$163</f>
        <v>4928560000</v>
      </c>
      <c r="DI810" s="616">
        <f t="shared" si="989"/>
        <v>113680000</v>
      </c>
    </row>
    <row r="811" spans="1:113" s="213" customFormat="1">
      <c r="A811" s="214" t="s">
        <v>2353</v>
      </c>
      <c r="B811" s="215" t="s">
        <v>2318</v>
      </c>
      <c r="C811" s="208"/>
      <c r="D811" s="208"/>
      <c r="E811" s="208"/>
      <c r="F811" s="208"/>
      <c r="G811" s="208"/>
      <c r="H811" s="208"/>
      <c r="I811" s="208"/>
      <c r="J811" s="208"/>
      <c r="K811" s="208"/>
      <c r="L811" s="208"/>
      <c r="M811" s="208"/>
      <c r="N811" s="208"/>
      <c r="O811" s="208"/>
      <c r="P811" s="208"/>
      <c r="Q811" s="208"/>
      <c r="R811" s="208"/>
      <c r="S811" s="208"/>
      <c r="T811" s="208"/>
      <c r="U811" s="209"/>
      <c r="V811" s="867"/>
      <c r="W811" s="210"/>
      <c r="X811" s="211"/>
      <c r="Y811" s="212"/>
      <c r="Z811" s="210"/>
      <c r="AA811" s="212"/>
      <c r="AB811" s="210"/>
      <c r="AD811" s="210"/>
      <c r="AE811" s="210"/>
      <c r="AF811" s="199"/>
      <c r="AG811" s="614">
        <f t="shared" si="972"/>
        <v>0</v>
      </c>
      <c r="AH811" s="210"/>
      <c r="AI811" s="252"/>
      <c r="AJ811" s="199"/>
      <c r="AK811" s="199">
        <f t="shared" si="976"/>
        <v>0</v>
      </c>
      <c r="AL811" s="199">
        <f t="shared" si="977"/>
        <v>0</v>
      </c>
      <c r="AM811" s="199">
        <f t="shared" si="957"/>
        <v>0</v>
      </c>
      <c r="AN811" s="645">
        <f t="shared" si="958"/>
        <v>0</v>
      </c>
      <c r="AO811" s="210"/>
      <c r="AP811" s="250"/>
      <c r="AQ811" s="210"/>
      <c r="AR811" s="210"/>
      <c r="AS811" s="210"/>
      <c r="AT811" s="210"/>
      <c r="AU811" s="199"/>
      <c r="AV811" s="199"/>
      <c r="AW811" s="250">
        <f t="shared" si="960"/>
        <v>0</v>
      </c>
      <c r="AX811" s="199"/>
      <c r="AY811" s="210"/>
      <c r="AZ811" s="199"/>
      <c r="BA811" s="252">
        <f t="shared" si="962"/>
        <v>0</v>
      </c>
      <c r="BB811" s="284"/>
      <c r="BC811" s="210"/>
      <c r="BD811" s="270">
        <f t="shared" si="993"/>
        <v>0</v>
      </c>
      <c r="BE811" s="210"/>
      <c r="BF811" s="251">
        <f t="shared" si="994"/>
        <v>0</v>
      </c>
      <c r="BH811"/>
      <c r="BI811" s="199">
        <f t="shared" si="963"/>
        <v>0</v>
      </c>
      <c r="BJ811" s="199">
        <f t="shared" si="964"/>
        <v>0</v>
      </c>
      <c r="BK811" s="199">
        <f t="shared" si="971"/>
        <v>0</v>
      </c>
      <c r="BL811" s="251">
        <f t="shared" si="965"/>
        <v>0</v>
      </c>
      <c r="BM811" s="210"/>
      <c r="BN811" s="251">
        <f t="shared" si="966"/>
        <v>0</v>
      </c>
      <c r="BT811" s="210"/>
      <c r="BU811" s="210">
        <f>'Detailed Budget'!$AD$24</f>
        <v>194045122715</v>
      </c>
      <c r="BV811" s="596"/>
      <c r="BW811" s="278"/>
      <c r="BX811" s="275"/>
      <c r="BY811" s="275"/>
      <c r="CA811" s="210">
        <f>'Detailed Budget'!$AD$96</f>
        <v>71050111380.677719</v>
      </c>
      <c r="CB811" s="275"/>
      <c r="CE811" s="210"/>
      <c r="CF811" s="275"/>
      <c r="CG811" s="240"/>
      <c r="CH811" s="275"/>
      <c r="CI811" s="275"/>
      <c r="CJ811" s="275"/>
      <c r="CK811" s="275"/>
      <c r="CL811" s="275"/>
      <c r="CM811" s="278">
        <f>'Detailed Budget'!$AD$189</f>
        <v>77498869683.252869</v>
      </c>
      <c r="CN811" s="275">
        <f t="shared" si="968"/>
        <v>0</v>
      </c>
      <c r="CO811" s="140">
        <f>'Detailed Budget'!$AD$191</f>
        <v>2684962805.4134097</v>
      </c>
      <c r="CP811" s="616">
        <f t="shared" si="969"/>
        <v>0</v>
      </c>
      <c r="CQ811" s="616">
        <f t="shared" si="970"/>
        <v>0</v>
      </c>
      <c r="CR811" s="210"/>
      <c r="CS811" s="275"/>
      <c r="CW811" s="278"/>
      <c r="DH811" s="140"/>
      <c r="DI811" s="616"/>
    </row>
    <row r="812" spans="1:113" outlineLevel="1">
      <c r="A812" s="214" t="s">
        <v>1656</v>
      </c>
      <c r="B812" s="215" t="s">
        <v>1657</v>
      </c>
      <c r="C812" s="216" t="s">
        <v>234</v>
      </c>
      <c r="D812" s="217"/>
      <c r="E812" s="216"/>
      <c r="F812" s="216"/>
      <c r="G812" s="216" t="s">
        <v>234</v>
      </c>
      <c r="H812" s="216" t="s">
        <v>234</v>
      </c>
      <c r="I812" s="217" t="s">
        <v>234</v>
      </c>
      <c r="J812" s="217"/>
      <c r="K812" s="216"/>
      <c r="L812" s="216"/>
      <c r="M812" s="217"/>
      <c r="N812" s="216" t="s">
        <v>234</v>
      </c>
      <c r="O812" s="217"/>
      <c r="P812" s="216"/>
      <c r="Q812" s="217"/>
      <c r="R812" s="217" t="s">
        <v>234</v>
      </c>
      <c r="S812" s="217"/>
      <c r="T812" s="217"/>
      <c r="U812" s="218">
        <f t="shared" si="924"/>
        <v>6</v>
      </c>
      <c r="V812" s="867" t="s">
        <v>235</v>
      </c>
      <c r="W812" s="219">
        <v>179092</v>
      </c>
      <c r="X812" s="220">
        <v>3.01</v>
      </c>
      <c r="Y812" s="221">
        <f t="shared" si="953"/>
        <v>1.0301</v>
      </c>
      <c r="Z812" s="199">
        <v>19</v>
      </c>
      <c r="AA812" s="221">
        <f t="shared" si="954"/>
        <v>1.7567435038184733</v>
      </c>
      <c r="AB812" s="199">
        <f t="shared" si="973"/>
        <v>314618.70758585801</v>
      </c>
      <c r="AC812">
        <v>12.7</v>
      </c>
      <c r="AD812" s="199">
        <f t="shared" si="974"/>
        <v>39956.575863403967</v>
      </c>
      <c r="AE812" s="199">
        <f t="shared" si="955"/>
        <v>37958.747070233767</v>
      </c>
      <c r="AF812" s="199">
        <f t="shared" si="975"/>
        <v>0</v>
      </c>
      <c r="AG812" s="614">
        <f t="shared" si="972"/>
        <v>1.7550458225055515E-3</v>
      </c>
      <c r="AH812" s="199">
        <f>AB812*0.05</f>
        <v>15730.935379292901</v>
      </c>
      <c r="AI812" s="252">
        <f t="shared" si="952"/>
        <v>1.2186517291386397E-3</v>
      </c>
      <c r="AJ812" s="199">
        <f t="shared" si="956"/>
        <v>55687.51124269687</v>
      </c>
      <c r="AK812" s="199">
        <f t="shared" si="976"/>
        <v>12584.74830343432</v>
      </c>
      <c r="AL812" s="199">
        <f t="shared" si="977"/>
        <v>12584.74830343432</v>
      </c>
      <c r="AM812" s="199">
        <f t="shared" si="957"/>
        <v>25169.496606868641</v>
      </c>
      <c r="AN812" s="645">
        <f t="shared" si="958"/>
        <v>1.2186517291386395E-3</v>
      </c>
      <c r="AO812" s="199">
        <v>13</v>
      </c>
      <c r="AP812" s="250">
        <f t="shared" si="959"/>
        <v>1.4771048744460858E-3</v>
      </c>
      <c r="AQ812" s="199">
        <v>13</v>
      </c>
      <c r="AU812" s="199">
        <v>0</v>
      </c>
      <c r="AW812" s="250">
        <f t="shared" si="960"/>
        <v>0</v>
      </c>
      <c r="AX812" s="199">
        <v>1</v>
      </c>
      <c r="AY812" s="199">
        <f t="shared" ref="AY812:AY829" si="996">AJ812/1076138*352097</f>
        <v>18220.159167337126</v>
      </c>
      <c r="AZ812" s="199">
        <f t="shared" si="961"/>
        <v>18220.159167337126</v>
      </c>
      <c r="BA812" s="252">
        <f t="shared" si="962"/>
        <v>1.4322227468422299E-3</v>
      </c>
      <c r="BB812" s="284">
        <v>0</v>
      </c>
      <c r="BC812" s="199">
        <f t="shared" ref="BC812:BC829" si="997">AD812*BB812*0.18*4</f>
        <v>0</v>
      </c>
      <c r="BD812" s="270">
        <f t="shared" si="993"/>
        <v>0</v>
      </c>
      <c r="BE812" s="199">
        <f t="shared" ref="BE812:BE829" si="998">AD812*BB812*0.77*4</f>
        <v>0</v>
      </c>
      <c r="BF812" s="251">
        <f t="shared" si="994"/>
        <v>0</v>
      </c>
      <c r="BG812" s="204">
        <f t="shared" ref="BG812:BG829" si="999">BC812+BE812</f>
        <v>0</v>
      </c>
      <c r="BH812" s="636">
        <v>1</v>
      </c>
      <c r="BI812" s="199">
        <f t="shared" si="963"/>
        <v>96273.32452127256</v>
      </c>
      <c r="BJ812" s="199">
        <f t="shared" si="964"/>
        <v>192546.64904254512</v>
      </c>
      <c r="BK812" s="199">
        <f t="shared" si="971"/>
        <v>288819.97356381768</v>
      </c>
      <c r="BL812" s="251">
        <f t="shared" si="965"/>
        <v>1.2186517291386397E-3</v>
      </c>
      <c r="BM812" s="199">
        <f t="shared" ref="BM812:BM829" si="1000">AH812/303994*552409</f>
        <v>28585.795383921435</v>
      </c>
      <c r="BN812" s="251">
        <f t="shared" si="966"/>
        <v>1.2344235449481952E-3</v>
      </c>
      <c r="BT812" s="199">
        <f>'Detailed Budget'!$AD$12</f>
        <v>194045122715</v>
      </c>
      <c r="BU812" s="199">
        <f>'Detailed Budget'!$AD$24</f>
        <v>194045122715</v>
      </c>
      <c r="BV812" s="596">
        <f t="shared" ref="BV812:BV829" si="1001">AV812/34743979</f>
        <v>0</v>
      </c>
      <c r="BW812" s="278"/>
      <c r="BX812" s="275">
        <f t="shared" si="950"/>
        <v>0</v>
      </c>
      <c r="BY812" s="275">
        <f t="shared" si="951"/>
        <v>0</v>
      </c>
      <c r="CA812" s="199">
        <f>'Detailed Budget'!$AD$96</f>
        <v>71050111380.677719</v>
      </c>
      <c r="CB812" s="275">
        <f t="shared" si="967"/>
        <v>101759585.68508062</v>
      </c>
      <c r="CE812" s="199">
        <f>'Detailed Budget'!$AD$175</f>
        <v>4330586076.5988197</v>
      </c>
      <c r="CF812" s="275">
        <f t="shared" ref="CF812:CF829" si="1002">BB812*BD812*CE812</f>
        <v>0</v>
      </c>
      <c r="CG812" s="199">
        <f>'Detailed Budget'!$AD$176</f>
        <v>20662817754.37001</v>
      </c>
      <c r="CH812" s="275">
        <f t="shared" ref="CH812:CH829" si="1003">BB812*BF812*CG812</f>
        <v>0</v>
      </c>
      <c r="CI812" s="275">
        <f t="shared" si="992"/>
        <v>0</v>
      </c>
      <c r="CJ812" s="275">
        <f>'Detailed Budget'!$AD$178</f>
        <v>46025131033.061455</v>
      </c>
      <c r="CK812" s="275">
        <f t="shared" ref="CK812:CK829" si="1004">BB812*AG812*CJ812</f>
        <v>0</v>
      </c>
      <c r="CL812" s="275">
        <f t="shared" si="991"/>
        <v>0</v>
      </c>
      <c r="CM812" s="278">
        <f>'Detailed Budget'!$AD$189</f>
        <v>77498869683.252869</v>
      </c>
      <c r="CN812" s="275">
        <f t="shared" si="968"/>
        <v>94444131.545786217</v>
      </c>
      <c r="CO812" s="140">
        <f>'Detailed Budget'!$AD$191</f>
        <v>2684962805.4134097</v>
      </c>
      <c r="CP812" s="616">
        <f t="shared" si="969"/>
        <v>3272034.5654899841</v>
      </c>
      <c r="CQ812" s="616">
        <f t="shared" si="970"/>
        <v>97716166.111276194</v>
      </c>
      <c r="CR812" s="199">
        <f>'Detailed Budget'!$AD$195</f>
        <v>18734176418</v>
      </c>
      <c r="CS812" s="275">
        <f t="shared" ref="CS812:CS829" si="1005">BN812*CR812</f>
        <v>23125908.46559244</v>
      </c>
      <c r="CW812" s="278"/>
      <c r="DH812" s="140">
        <f>'Detailed Budget'!$AD$163</f>
        <v>4928560000</v>
      </c>
      <c r="DI812" s="616">
        <f t="shared" ref="DI812:DI831" si="1006">AP812*DH812</f>
        <v>7280000.0000000009</v>
      </c>
    </row>
    <row r="813" spans="1:113" outlineLevel="1">
      <c r="A813" s="214" t="s">
        <v>1658</v>
      </c>
      <c r="B813" s="215" t="s">
        <v>1659</v>
      </c>
      <c r="C813" s="216" t="s">
        <v>234</v>
      </c>
      <c r="D813" s="217"/>
      <c r="E813" s="216"/>
      <c r="F813" s="216"/>
      <c r="G813" s="216" t="s">
        <v>234</v>
      </c>
      <c r="H813" s="216" t="s">
        <v>234</v>
      </c>
      <c r="I813" s="217" t="s">
        <v>234</v>
      </c>
      <c r="J813" s="217"/>
      <c r="K813" s="216"/>
      <c r="L813" s="216"/>
      <c r="M813" s="217"/>
      <c r="N813" s="216" t="s">
        <v>234</v>
      </c>
      <c r="O813" s="217"/>
      <c r="P813" s="216"/>
      <c r="Q813" s="217"/>
      <c r="R813" s="217" t="s">
        <v>234</v>
      </c>
      <c r="S813" s="217"/>
      <c r="T813" s="217"/>
      <c r="U813" s="218">
        <f t="shared" si="924"/>
        <v>6</v>
      </c>
      <c r="V813" s="867" t="s">
        <v>235</v>
      </c>
      <c r="W813" s="219">
        <v>211867</v>
      </c>
      <c r="X813" s="220">
        <v>3.01</v>
      </c>
      <c r="Y813" s="221">
        <f t="shared" si="953"/>
        <v>1.0301</v>
      </c>
      <c r="Z813" s="199">
        <v>19</v>
      </c>
      <c r="AA813" s="221">
        <f t="shared" si="954"/>
        <v>1.7567435038184733</v>
      </c>
      <c r="AB813" s="199">
        <f t="shared" si="973"/>
        <v>372195.97592350846</v>
      </c>
      <c r="AC813">
        <v>12.7</v>
      </c>
      <c r="AD813" s="199">
        <f t="shared" si="974"/>
        <v>47268.888942285572</v>
      </c>
      <c r="AE813" s="199">
        <f t="shared" si="955"/>
        <v>44905.444495171294</v>
      </c>
      <c r="AF813" s="199">
        <f t="shared" si="975"/>
        <v>0</v>
      </c>
      <c r="AG813" s="614">
        <f t="shared" si="972"/>
        <v>2.0762306148615441E-3</v>
      </c>
      <c r="AH813" s="199">
        <f t="shared" ref="AH813:AH829" si="1007">AB813*0.05</f>
        <v>18609.798796175422</v>
      </c>
      <c r="AI813" s="252">
        <f t="shared" si="952"/>
        <v>1.4416729161403979E-3</v>
      </c>
      <c r="AJ813" s="199">
        <f t="shared" si="956"/>
        <v>65878.687738460998</v>
      </c>
      <c r="AK813" s="199">
        <f t="shared" si="976"/>
        <v>14887.839036940339</v>
      </c>
      <c r="AL813" s="199">
        <f t="shared" si="977"/>
        <v>14887.839036940339</v>
      </c>
      <c r="AM813" s="199">
        <f t="shared" si="957"/>
        <v>29775.678073880677</v>
      </c>
      <c r="AN813" s="645">
        <f t="shared" si="958"/>
        <v>1.4416729161403979E-3</v>
      </c>
      <c r="AO813" s="199">
        <v>10</v>
      </c>
      <c r="AP813" s="250">
        <f t="shared" si="959"/>
        <v>1.1362345188046814E-3</v>
      </c>
      <c r="AQ813" s="199">
        <v>10</v>
      </c>
      <c r="AU813" s="199">
        <v>0</v>
      </c>
      <c r="AW813" s="250">
        <f t="shared" si="960"/>
        <v>0</v>
      </c>
      <c r="AX813" s="199">
        <v>1</v>
      </c>
      <c r="AY813" s="199">
        <f t="shared" si="996"/>
        <v>21554.566716024248</v>
      </c>
      <c r="AZ813" s="199">
        <f t="shared" si="961"/>
        <v>21554.566716024248</v>
      </c>
      <c r="BA813" s="252">
        <f t="shared" si="962"/>
        <v>1.6943288181784934E-3</v>
      </c>
      <c r="BB813" s="284">
        <v>0</v>
      </c>
      <c r="BC813" s="199">
        <f t="shared" si="997"/>
        <v>0</v>
      </c>
      <c r="BD813" s="270">
        <f t="shared" si="993"/>
        <v>0</v>
      </c>
      <c r="BE813" s="199">
        <f t="shared" si="998"/>
        <v>0</v>
      </c>
      <c r="BF813" s="251">
        <f t="shared" si="994"/>
        <v>0</v>
      </c>
      <c r="BG813" s="204">
        <f t="shared" si="999"/>
        <v>0</v>
      </c>
      <c r="BH813" s="636">
        <v>1</v>
      </c>
      <c r="BI813" s="199">
        <f t="shared" si="963"/>
        <v>113891.96863259361</v>
      </c>
      <c r="BJ813" s="199">
        <f t="shared" si="964"/>
        <v>227783.93726518721</v>
      </c>
      <c r="BK813" s="199">
        <f t="shared" si="971"/>
        <v>341675.90589778079</v>
      </c>
      <c r="BL813" s="251">
        <f t="shared" si="965"/>
        <v>1.4416729161403981E-3</v>
      </c>
      <c r="BM813" s="199">
        <f t="shared" si="1000"/>
        <v>33817.181731206765</v>
      </c>
      <c r="BN813" s="251">
        <f t="shared" si="966"/>
        <v>1.4603310767512744E-3</v>
      </c>
      <c r="BT813" s="199">
        <f>'Detailed Budget'!$AD$12</f>
        <v>194045122715</v>
      </c>
      <c r="BU813" s="199">
        <f>'Detailed Budget'!$AD$24</f>
        <v>194045122715</v>
      </c>
      <c r="BV813" s="596">
        <f t="shared" si="1001"/>
        <v>0</v>
      </c>
      <c r="BW813" s="278"/>
      <c r="BX813" s="275">
        <f t="shared" si="950"/>
        <v>0</v>
      </c>
      <c r="BY813" s="275">
        <f t="shared" si="951"/>
        <v>0</v>
      </c>
      <c r="CA813" s="199">
        <f>'Detailed Budget'!$AD$96</f>
        <v>71050111380.677719</v>
      </c>
      <c r="CB813" s="275">
        <f t="shared" si="967"/>
        <v>120382251.24707401</v>
      </c>
      <c r="CE813" s="199">
        <f>'Detailed Budget'!$AD$175</f>
        <v>4330586076.5988197</v>
      </c>
      <c r="CF813" s="275">
        <f t="shared" si="1002"/>
        <v>0</v>
      </c>
      <c r="CG813" s="199">
        <f>'Detailed Budget'!$AD$176</f>
        <v>20662817754.37001</v>
      </c>
      <c r="CH813" s="275">
        <f t="shared" si="1003"/>
        <v>0</v>
      </c>
      <c r="CI813" s="275">
        <f t="shared" si="992"/>
        <v>0</v>
      </c>
      <c r="CJ813" s="275">
        <f>'Detailed Budget'!$AD$178</f>
        <v>46025131033.061455</v>
      </c>
      <c r="CK813" s="275">
        <f t="shared" si="1004"/>
        <v>0</v>
      </c>
      <c r="CL813" s="275">
        <f t="shared" si="991"/>
        <v>0</v>
      </c>
      <c r="CM813" s="278">
        <f>'Detailed Budget'!$AD$189</f>
        <v>77498869683.252869</v>
      </c>
      <c r="CN813" s="275">
        <f t="shared" si="968"/>
        <v>111728021.45383985</v>
      </c>
      <c r="CO813" s="140">
        <f>'Detailed Budget'!$AD$191</f>
        <v>2684962805.4134097</v>
      </c>
      <c r="CP813" s="616">
        <f t="shared" si="969"/>
        <v>3870838.157408854</v>
      </c>
      <c r="CQ813" s="616">
        <f t="shared" si="970"/>
        <v>115598859.6112487</v>
      </c>
      <c r="CR813" s="199">
        <f>'Detailed Budget'!$AD$195</f>
        <v>18734176418</v>
      </c>
      <c r="CS813" s="275">
        <f t="shared" si="1005"/>
        <v>27358100.020546272</v>
      </c>
      <c r="CW813" s="278"/>
      <c r="DH813" s="140">
        <f>'Detailed Budget'!$AD$163</f>
        <v>4928560000</v>
      </c>
      <c r="DI813" s="616">
        <f t="shared" si="1006"/>
        <v>5600000</v>
      </c>
    </row>
    <row r="814" spans="1:113" outlineLevel="1">
      <c r="A814" s="214" t="s">
        <v>1660</v>
      </c>
      <c r="B814" s="215" t="s">
        <v>1661</v>
      </c>
      <c r="C814" s="216" t="s">
        <v>234</v>
      </c>
      <c r="D814" s="217"/>
      <c r="E814" s="216"/>
      <c r="F814" s="216"/>
      <c r="G814" s="216" t="s">
        <v>234</v>
      </c>
      <c r="H814" s="216" t="s">
        <v>234</v>
      </c>
      <c r="I814" s="217" t="s">
        <v>234</v>
      </c>
      <c r="J814" s="217"/>
      <c r="K814" s="216"/>
      <c r="L814" s="216"/>
      <c r="M814" s="217"/>
      <c r="N814" s="216" t="s">
        <v>234</v>
      </c>
      <c r="O814" s="217"/>
      <c r="P814" s="216"/>
      <c r="Q814" s="217"/>
      <c r="R814" s="217" t="s">
        <v>234</v>
      </c>
      <c r="S814" s="217"/>
      <c r="T814" s="217"/>
      <c r="U814" s="218">
        <f t="shared" si="924"/>
        <v>6</v>
      </c>
      <c r="V814" s="867" t="s">
        <v>235</v>
      </c>
      <c r="W814" s="219">
        <v>82443</v>
      </c>
      <c r="X814" s="220">
        <v>3.01</v>
      </c>
      <c r="Y814" s="221">
        <f t="shared" si="953"/>
        <v>1.0301</v>
      </c>
      <c r="Z814" s="199">
        <v>19</v>
      </c>
      <c r="AA814" s="221">
        <f t="shared" si="954"/>
        <v>1.7567435038184733</v>
      </c>
      <c r="AB814" s="199">
        <f t="shared" si="973"/>
        <v>144831.20468530641</v>
      </c>
      <c r="AC814">
        <v>12.7</v>
      </c>
      <c r="AD814" s="199">
        <f t="shared" si="974"/>
        <v>18393.562995033913</v>
      </c>
      <c r="AE814" s="199">
        <f t="shared" si="955"/>
        <v>17473.884845282217</v>
      </c>
      <c r="AF814" s="199">
        <f t="shared" si="975"/>
        <v>0</v>
      </c>
      <c r="AG814" s="614">
        <f t="shared" si="972"/>
        <v>8.0791572345400794E-4</v>
      </c>
      <c r="AH814" s="199">
        <f t="shared" si="1007"/>
        <v>7241.560234265321</v>
      </c>
      <c r="AI814" s="252">
        <f t="shared" si="952"/>
        <v>5.6099269931307312E-4</v>
      </c>
      <c r="AJ814" s="199">
        <f t="shared" si="956"/>
        <v>25635.123229299235</v>
      </c>
      <c r="AK814" s="199">
        <f t="shared" si="976"/>
        <v>5793.2481874122568</v>
      </c>
      <c r="AL814" s="199">
        <f t="shared" si="977"/>
        <v>5793.2481874122568</v>
      </c>
      <c r="AM814" s="199">
        <f t="shared" si="957"/>
        <v>11586.496374824514</v>
      </c>
      <c r="AN814" s="645">
        <f t="shared" si="958"/>
        <v>5.6099269931307312E-4</v>
      </c>
      <c r="AO814" s="199">
        <v>11</v>
      </c>
      <c r="AP814" s="250">
        <f t="shared" si="959"/>
        <v>1.2498579706851495E-3</v>
      </c>
      <c r="AQ814" s="199">
        <v>11</v>
      </c>
      <c r="AU814" s="199">
        <v>0</v>
      </c>
      <c r="AW814" s="250">
        <f t="shared" si="960"/>
        <v>0</v>
      </c>
      <c r="AX814" s="199">
        <v>1</v>
      </c>
      <c r="AY814" s="199">
        <f t="shared" si="996"/>
        <v>8387.4465762444706</v>
      </c>
      <c r="AZ814" s="199">
        <f t="shared" si="961"/>
        <v>8387.4465762444706</v>
      </c>
      <c r="BA814" s="252">
        <f t="shared" si="962"/>
        <v>6.5930772964685176E-4</v>
      </c>
      <c r="BB814" s="284">
        <v>0</v>
      </c>
      <c r="BC814" s="199">
        <f t="shared" si="997"/>
        <v>0</v>
      </c>
      <c r="BD814" s="270">
        <f t="shared" si="993"/>
        <v>0</v>
      </c>
      <c r="BE814" s="199">
        <f t="shared" si="998"/>
        <v>0</v>
      </c>
      <c r="BF814" s="251">
        <f t="shared" si="994"/>
        <v>0</v>
      </c>
      <c r="BG814" s="204">
        <f t="shared" si="999"/>
        <v>0</v>
      </c>
      <c r="BH814" s="636">
        <v>1</v>
      </c>
      <c r="BI814" s="199">
        <f t="shared" si="963"/>
        <v>44318.348633703761</v>
      </c>
      <c r="BJ814" s="199">
        <f t="shared" si="964"/>
        <v>88636.697267407522</v>
      </c>
      <c r="BK814" s="199">
        <f t="shared" si="971"/>
        <v>132955.04590111127</v>
      </c>
      <c r="BL814" s="251">
        <f t="shared" si="965"/>
        <v>5.6099269931307301E-4</v>
      </c>
      <c r="BM814" s="199">
        <f t="shared" si="1000"/>
        <v>13159.151323546754</v>
      </c>
      <c r="BN814" s="251">
        <f t="shared" si="966"/>
        <v>5.6825307839637761E-4</v>
      </c>
      <c r="BT814" s="199">
        <f>'Detailed Budget'!$AD$12</f>
        <v>194045122715</v>
      </c>
      <c r="BU814" s="199">
        <f>'Detailed Budget'!$AD$24</f>
        <v>194045122715</v>
      </c>
      <c r="BV814" s="596">
        <f t="shared" si="1001"/>
        <v>0</v>
      </c>
      <c r="BW814" s="278"/>
      <c r="BX814" s="275">
        <f t="shared" si="950"/>
        <v>0</v>
      </c>
      <c r="BY814" s="275">
        <f t="shared" si="951"/>
        <v>0</v>
      </c>
      <c r="CA814" s="199">
        <f>'Detailed Budget'!$AD$96</f>
        <v>71050111380.677719</v>
      </c>
      <c r="CB814" s="275">
        <f t="shared" si="967"/>
        <v>46843887.625550568</v>
      </c>
      <c r="CE814" s="199">
        <f>'Detailed Budget'!$AD$175</f>
        <v>4330586076.5988197</v>
      </c>
      <c r="CF814" s="275">
        <f t="shared" si="1002"/>
        <v>0</v>
      </c>
      <c r="CG814" s="199">
        <f>'Detailed Budget'!$AD$176</f>
        <v>20662817754.37001</v>
      </c>
      <c r="CH814" s="275">
        <f t="shared" si="1003"/>
        <v>0</v>
      </c>
      <c r="CI814" s="275">
        <f t="shared" si="992"/>
        <v>0</v>
      </c>
      <c r="CJ814" s="275">
        <f>'Detailed Budget'!$AD$178</f>
        <v>46025131033.061455</v>
      </c>
      <c r="CK814" s="275">
        <f t="shared" si="1004"/>
        <v>0</v>
      </c>
      <c r="CL814" s="275">
        <f t="shared" si="991"/>
        <v>0</v>
      </c>
      <c r="CM814" s="278">
        <f>'Detailed Budget'!$AD$189</f>
        <v>77498869683.252869</v>
      </c>
      <c r="CN814" s="275">
        <f t="shared" si="968"/>
        <v>43476300.09732011</v>
      </c>
      <c r="CO814" s="140">
        <f>'Detailed Budget'!$AD$191</f>
        <v>2684962805.4134097</v>
      </c>
      <c r="CP814" s="616">
        <f t="shared" si="969"/>
        <v>1506244.5317640703</v>
      </c>
      <c r="CQ814" s="616">
        <f t="shared" si="970"/>
        <v>44982544.629084177</v>
      </c>
      <c r="CR814" s="199">
        <f>'Detailed Budget'!$AD$195</f>
        <v>18734176418</v>
      </c>
      <c r="CS814" s="275">
        <f t="shared" si="1005"/>
        <v>10645753.420749323</v>
      </c>
      <c r="CW814" s="278"/>
      <c r="DH814" s="140">
        <f>'Detailed Budget'!$AD$163</f>
        <v>4928560000</v>
      </c>
      <c r="DI814" s="616">
        <f t="shared" si="1006"/>
        <v>6160000</v>
      </c>
    </row>
    <row r="815" spans="1:113" outlineLevel="1">
      <c r="A815" s="214" t="s">
        <v>1662</v>
      </c>
      <c r="B815" s="215" t="s">
        <v>1663</v>
      </c>
      <c r="C815" s="216" t="s">
        <v>234</v>
      </c>
      <c r="D815" s="217"/>
      <c r="E815" s="216"/>
      <c r="F815" s="216"/>
      <c r="G815" s="216" t="s">
        <v>234</v>
      </c>
      <c r="H815" s="216" t="s">
        <v>234</v>
      </c>
      <c r="I815" s="217" t="s">
        <v>234</v>
      </c>
      <c r="J815" s="217"/>
      <c r="K815" s="216"/>
      <c r="L815" s="216"/>
      <c r="M815" s="217"/>
      <c r="N815" s="216" t="s">
        <v>234</v>
      </c>
      <c r="O815" s="217"/>
      <c r="P815" s="216"/>
      <c r="Q815" s="217"/>
      <c r="R815" s="217" t="s">
        <v>234</v>
      </c>
      <c r="S815" s="217"/>
      <c r="T815" s="217"/>
      <c r="U815" s="218">
        <f t="shared" si="924"/>
        <v>6</v>
      </c>
      <c r="V815" s="867" t="s">
        <v>235</v>
      </c>
      <c r="W815" s="219">
        <v>228383</v>
      </c>
      <c r="X815" s="220">
        <v>3.01</v>
      </c>
      <c r="Y815" s="221">
        <f t="shared" si="953"/>
        <v>1.0301</v>
      </c>
      <c r="Z815" s="199">
        <v>19</v>
      </c>
      <c r="AA815" s="221">
        <f t="shared" si="954"/>
        <v>1.7567435038184733</v>
      </c>
      <c r="AB815" s="199">
        <f t="shared" si="973"/>
        <v>401210.3516325744</v>
      </c>
      <c r="AC815">
        <v>12.7</v>
      </c>
      <c r="AD815" s="199">
        <f t="shared" si="974"/>
        <v>50953.714657336946</v>
      </c>
      <c r="AE815" s="199">
        <f t="shared" si="955"/>
        <v>48406.028924470098</v>
      </c>
      <c r="AF815" s="199">
        <f t="shared" si="975"/>
        <v>0</v>
      </c>
      <c r="AG815" s="614">
        <f t="shared" si="972"/>
        <v>2.2380822710187246E-3</v>
      </c>
      <c r="AH815" s="199">
        <f t="shared" si="1007"/>
        <v>20060.517581628723</v>
      </c>
      <c r="AI815" s="252">
        <f t="shared" si="952"/>
        <v>1.5540579023958076E-3</v>
      </c>
      <c r="AJ815" s="199">
        <f t="shared" si="956"/>
        <v>71014.232238965662</v>
      </c>
      <c r="AK815" s="199">
        <f t="shared" si="976"/>
        <v>16048.414065302977</v>
      </c>
      <c r="AL815" s="199">
        <f t="shared" si="977"/>
        <v>16048.414065302977</v>
      </c>
      <c r="AM815" s="199">
        <f t="shared" si="957"/>
        <v>32096.828130605954</v>
      </c>
      <c r="AN815" s="645">
        <f t="shared" si="958"/>
        <v>1.5540579023958076E-3</v>
      </c>
      <c r="AO815" s="199">
        <v>15</v>
      </c>
      <c r="AP815" s="250">
        <f t="shared" si="959"/>
        <v>1.7043517782070218E-3</v>
      </c>
      <c r="AQ815" s="199">
        <v>15</v>
      </c>
      <c r="AU815" s="199">
        <v>0</v>
      </c>
      <c r="AW815" s="250">
        <f t="shared" si="960"/>
        <v>0</v>
      </c>
      <c r="AX815" s="199">
        <v>1</v>
      </c>
      <c r="AY815" s="199">
        <f t="shared" si="996"/>
        <v>23234.843606157476</v>
      </c>
      <c r="AZ815" s="199">
        <f t="shared" si="961"/>
        <v>23234.843606157476</v>
      </c>
      <c r="BA815" s="252">
        <f t="shared" si="962"/>
        <v>1.8264094855832142E-3</v>
      </c>
      <c r="BB815" s="284">
        <v>0</v>
      </c>
      <c r="BC815" s="199">
        <f t="shared" si="997"/>
        <v>0</v>
      </c>
      <c r="BD815" s="270">
        <f t="shared" si="993"/>
        <v>0</v>
      </c>
      <c r="BE815" s="199">
        <f t="shared" si="998"/>
        <v>0</v>
      </c>
      <c r="BF815" s="251">
        <f t="shared" si="994"/>
        <v>0</v>
      </c>
      <c r="BG815" s="204">
        <f t="shared" si="999"/>
        <v>0</v>
      </c>
      <c r="BH815" s="636">
        <v>1</v>
      </c>
      <c r="BI815" s="199">
        <f t="shared" si="963"/>
        <v>122770.36759956778</v>
      </c>
      <c r="BJ815" s="199">
        <f t="shared" si="964"/>
        <v>245540.73519913555</v>
      </c>
      <c r="BK815" s="199">
        <f t="shared" si="971"/>
        <v>368311.10279870336</v>
      </c>
      <c r="BL815" s="251">
        <f t="shared" si="965"/>
        <v>1.5540579023958076E-3</v>
      </c>
      <c r="BM815" s="199">
        <f t="shared" si="1000"/>
        <v>36453.385450863963</v>
      </c>
      <c r="BN815" s="251">
        <f t="shared" si="966"/>
        <v>1.5741705518164052E-3</v>
      </c>
      <c r="BT815" s="199">
        <f>'Detailed Budget'!$AD$12</f>
        <v>194045122715</v>
      </c>
      <c r="BU815" s="199">
        <f>'Detailed Budget'!$AD$24</f>
        <v>194045122715</v>
      </c>
      <c r="BV815" s="596">
        <f t="shared" si="1001"/>
        <v>0</v>
      </c>
      <c r="BW815" s="278"/>
      <c r="BX815" s="275">
        <f t="shared" si="950"/>
        <v>0</v>
      </c>
      <c r="BY815" s="275">
        <f t="shared" si="951"/>
        <v>0</v>
      </c>
      <c r="CA815" s="199">
        <f>'Detailed Budget'!$AD$96</f>
        <v>71050111380.677719</v>
      </c>
      <c r="CB815" s="275">
        <f t="shared" si="967"/>
        <v>129766597.37741368</v>
      </c>
      <c r="CE815" s="199">
        <f>'Detailed Budget'!$AD$175</f>
        <v>4330586076.5988197</v>
      </c>
      <c r="CF815" s="275">
        <f t="shared" si="1002"/>
        <v>0</v>
      </c>
      <c r="CG815" s="199">
        <f>'Detailed Budget'!$AD$176</f>
        <v>20662817754.37001</v>
      </c>
      <c r="CH815" s="275">
        <f t="shared" si="1003"/>
        <v>0</v>
      </c>
      <c r="CI815" s="275">
        <f t="shared" si="992"/>
        <v>0</v>
      </c>
      <c r="CJ815" s="275">
        <f>'Detailed Budget'!$AD$178</f>
        <v>46025131033.061455</v>
      </c>
      <c r="CK815" s="275">
        <f t="shared" si="1004"/>
        <v>0</v>
      </c>
      <c r="CL815" s="275">
        <f t="shared" si="991"/>
        <v>0</v>
      </c>
      <c r="CM815" s="278">
        <f>'Detailed Budget'!$AD$189</f>
        <v>77498869683.252869</v>
      </c>
      <c r="CN815" s="275">
        <f t="shared" si="968"/>
        <v>120437730.85800199</v>
      </c>
      <c r="CO815" s="140">
        <f>'Detailed Budget'!$AD$191</f>
        <v>2684962805.4134097</v>
      </c>
      <c r="CP815" s="616">
        <f t="shared" si="969"/>
        <v>4172587.6653915262</v>
      </c>
      <c r="CQ815" s="616">
        <f t="shared" si="970"/>
        <v>124610318.52339351</v>
      </c>
      <c r="CR815" s="199">
        <f>'Detailed Budget'!$AD$195</f>
        <v>18734176418</v>
      </c>
      <c r="CS815" s="275">
        <f t="shared" si="1005"/>
        <v>29490788.829748947</v>
      </c>
      <c r="CW815" s="278"/>
      <c r="DH815" s="140">
        <f>'Detailed Budget'!$AD$163</f>
        <v>4928560000</v>
      </c>
      <c r="DI815" s="616">
        <f t="shared" si="1006"/>
        <v>8400000</v>
      </c>
    </row>
    <row r="816" spans="1:113" outlineLevel="1">
      <c r="A816" s="214" t="s">
        <v>1664</v>
      </c>
      <c r="B816" s="215" t="s">
        <v>1665</v>
      </c>
      <c r="C816" s="216" t="s">
        <v>234</v>
      </c>
      <c r="D816" s="217"/>
      <c r="E816" s="216"/>
      <c r="F816" s="216"/>
      <c r="G816" s="216" t="s">
        <v>234</v>
      </c>
      <c r="H816" s="216" t="s">
        <v>234</v>
      </c>
      <c r="I816" s="217" t="s">
        <v>234</v>
      </c>
      <c r="J816" s="217"/>
      <c r="K816" s="216"/>
      <c r="L816" s="216"/>
      <c r="M816" s="217"/>
      <c r="N816" s="216" t="s">
        <v>234</v>
      </c>
      <c r="O816" s="217"/>
      <c r="P816" s="216"/>
      <c r="Q816" s="217" t="s">
        <v>234</v>
      </c>
      <c r="R816" s="217"/>
      <c r="S816" s="217"/>
      <c r="T816" s="217"/>
      <c r="U816" s="218">
        <f t="shared" si="924"/>
        <v>6</v>
      </c>
      <c r="V816" s="867" t="s">
        <v>235</v>
      </c>
      <c r="W816" s="219">
        <v>130765</v>
      </c>
      <c r="X816" s="220">
        <v>3.01</v>
      </c>
      <c r="Y816" s="221">
        <f t="shared" si="953"/>
        <v>1.0301</v>
      </c>
      <c r="Z816" s="199">
        <v>19</v>
      </c>
      <c r="AA816" s="221">
        <f t="shared" si="954"/>
        <v>1.7567435038184733</v>
      </c>
      <c r="AB816" s="199">
        <f t="shared" ref="AB816:AB849" si="1008">W816*AA816</f>
        <v>229720.56427682267</v>
      </c>
      <c r="AC816">
        <v>12.7</v>
      </c>
      <c r="AD816" s="199">
        <f t="shared" ref="AD816:AD849" si="1009">AB816*AC816/100</f>
        <v>29174.511663156478</v>
      </c>
      <c r="AE816" s="199">
        <f t="shared" si="955"/>
        <v>27715.786079998652</v>
      </c>
      <c r="AF816" s="199">
        <f t="shared" si="975"/>
        <v>0</v>
      </c>
      <c r="AG816" s="614">
        <f t="shared" si="972"/>
        <v>1.2814562737583949E-3</v>
      </c>
      <c r="AH816" s="199">
        <f t="shared" si="1007"/>
        <v>11486.028213841135</v>
      </c>
      <c r="AI816" s="252">
        <f t="shared" si="952"/>
        <v>8.898052026936671E-4</v>
      </c>
      <c r="AJ816" s="199">
        <f t="shared" si="956"/>
        <v>40660.539876997616</v>
      </c>
      <c r="AK816" s="199">
        <f t="shared" si="976"/>
        <v>9188.8225710729075</v>
      </c>
      <c r="AL816" s="199">
        <f t="shared" si="977"/>
        <v>9188.8225710729075</v>
      </c>
      <c r="AM816" s="199">
        <f t="shared" si="957"/>
        <v>18377.645142145815</v>
      </c>
      <c r="AN816" s="645">
        <f t="shared" si="958"/>
        <v>8.898052026936671E-4</v>
      </c>
      <c r="AO816" s="199">
        <v>12</v>
      </c>
      <c r="AP816" s="250">
        <f t="shared" si="959"/>
        <v>1.3634814225656176E-3</v>
      </c>
      <c r="AQ816" s="199">
        <v>12</v>
      </c>
      <c r="AU816" s="199">
        <v>0</v>
      </c>
      <c r="AW816" s="250">
        <f t="shared" si="960"/>
        <v>0</v>
      </c>
      <c r="AX816" s="199">
        <v>1</v>
      </c>
      <c r="AY816" s="199">
        <f t="shared" si="996"/>
        <v>13303.54853101668</v>
      </c>
      <c r="AZ816" s="199">
        <f t="shared" si="961"/>
        <v>13303.54853101668</v>
      </c>
      <c r="BA816" s="252">
        <f t="shared" si="962"/>
        <v>1.0457452454091987E-3</v>
      </c>
      <c r="BB816" s="284">
        <v>0</v>
      </c>
      <c r="BC816" s="199">
        <f t="shared" si="997"/>
        <v>0</v>
      </c>
      <c r="BD816" s="270">
        <f t="shared" si="993"/>
        <v>0</v>
      </c>
      <c r="BE816" s="199">
        <f t="shared" si="998"/>
        <v>0</v>
      </c>
      <c r="BF816" s="251">
        <f t="shared" si="994"/>
        <v>0</v>
      </c>
      <c r="BG816" s="204">
        <f t="shared" si="999"/>
        <v>0</v>
      </c>
      <c r="BH816" s="636">
        <v>1</v>
      </c>
      <c r="BI816" s="199">
        <f t="shared" si="963"/>
        <v>70294.492668707739</v>
      </c>
      <c r="BJ816" s="199">
        <f t="shared" si="964"/>
        <v>140588.98533741548</v>
      </c>
      <c r="BK816" s="199">
        <f t="shared" si="971"/>
        <v>210883.47800612322</v>
      </c>
      <c r="BL816" s="251">
        <f t="shared" si="965"/>
        <v>8.89805202693667E-4</v>
      </c>
      <c r="BM816" s="199">
        <f t="shared" si="1000"/>
        <v>20872.074315873891</v>
      </c>
      <c r="BN816" s="251">
        <f t="shared" si="966"/>
        <v>9.0132107997649685E-4</v>
      </c>
      <c r="BT816" s="199">
        <f>'Detailed Budget'!$AD$12</f>
        <v>194045122715</v>
      </c>
      <c r="BU816" s="199">
        <f>'Detailed Budget'!$AD$24</f>
        <v>194045122715</v>
      </c>
      <c r="BV816" s="596">
        <f t="shared" si="1001"/>
        <v>0</v>
      </c>
      <c r="BW816" s="278"/>
      <c r="BX816" s="275">
        <f t="shared" si="950"/>
        <v>0</v>
      </c>
      <c r="BY816" s="275">
        <f t="shared" si="951"/>
        <v>0</v>
      </c>
      <c r="CA816" s="199">
        <f>'Detailed Budget'!$AD$96</f>
        <v>71050111380.677719</v>
      </c>
      <c r="CB816" s="275">
        <f t="shared" si="967"/>
        <v>74300316.162137717</v>
      </c>
      <c r="CE816" s="199">
        <f>'Detailed Budget'!$AD$175</f>
        <v>4330586076.5988197</v>
      </c>
      <c r="CF816" s="275">
        <f t="shared" si="1002"/>
        <v>0</v>
      </c>
      <c r="CG816" s="199">
        <f>'Detailed Budget'!$AD$176</f>
        <v>20662817754.37001</v>
      </c>
      <c r="CH816" s="275">
        <f t="shared" si="1003"/>
        <v>0</v>
      </c>
      <c r="CI816" s="275">
        <f t="shared" si="992"/>
        <v>0</v>
      </c>
      <c r="CJ816" s="275">
        <f>'Detailed Budget'!$AD$178</f>
        <v>46025131033.061455</v>
      </c>
      <c r="CK816" s="275">
        <f t="shared" si="1004"/>
        <v>0</v>
      </c>
      <c r="CL816" s="275">
        <f t="shared" si="991"/>
        <v>0</v>
      </c>
      <c r="CM816" s="278">
        <f>'Detailed Budget'!$AD$189</f>
        <v>77498869683.252869</v>
      </c>
      <c r="CN816" s="275">
        <f t="shared" si="968"/>
        <v>68958897.447036907</v>
      </c>
      <c r="CO816" s="140">
        <f>'Detailed Budget'!$AD$191</f>
        <v>2684962805.4134097</v>
      </c>
      <c r="CP816" s="616">
        <f t="shared" si="969"/>
        <v>2389093.8732958362</v>
      </c>
      <c r="CQ816" s="616">
        <f t="shared" si="970"/>
        <v>71347991.320332736</v>
      </c>
      <c r="CR816" s="199">
        <f>'Detailed Budget'!$AD$195</f>
        <v>18734176418</v>
      </c>
      <c r="CS816" s="275">
        <f t="shared" si="1005"/>
        <v>16885508.121541981</v>
      </c>
      <c r="CW816" s="278"/>
      <c r="DH816" s="140">
        <f>'Detailed Budget'!$AD$163</f>
        <v>4928560000</v>
      </c>
      <c r="DI816" s="616">
        <f t="shared" si="1006"/>
        <v>6720000</v>
      </c>
    </row>
    <row r="817" spans="1:113" outlineLevel="1">
      <c r="A817" s="214" t="s">
        <v>1666</v>
      </c>
      <c r="B817" s="215" t="s">
        <v>1667</v>
      </c>
      <c r="C817" s="216" t="s">
        <v>234</v>
      </c>
      <c r="D817" s="217"/>
      <c r="E817" s="216"/>
      <c r="F817" s="216"/>
      <c r="G817" s="216" t="s">
        <v>234</v>
      </c>
      <c r="H817" s="216" t="s">
        <v>234</v>
      </c>
      <c r="I817" s="217" t="s">
        <v>234</v>
      </c>
      <c r="J817" s="217"/>
      <c r="K817" s="216"/>
      <c r="L817" s="216"/>
      <c r="M817" s="217"/>
      <c r="N817" s="216"/>
      <c r="O817" s="217" t="s">
        <v>234</v>
      </c>
      <c r="P817" s="216"/>
      <c r="Q817" s="217" t="s">
        <v>234</v>
      </c>
      <c r="R817" s="217"/>
      <c r="S817" s="217"/>
      <c r="T817" s="217"/>
      <c r="U817" s="218">
        <f t="shared" ref="U817:U884" si="1010">COUNTA(C817:T817)</f>
        <v>6</v>
      </c>
      <c r="V817" s="867" t="s">
        <v>235</v>
      </c>
      <c r="W817" s="219">
        <v>360268</v>
      </c>
      <c r="X817" s="220">
        <v>3.01</v>
      </c>
      <c r="Y817" s="221">
        <f t="shared" si="953"/>
        <v>1.0301</v>
      </c>
      <c r="Z817" s="199">
        <v>19</v>
      </c>
      <c r="AA817" s="221">
        <f t="shared" si="954"/>
        <v>1.7567435038184733</v>
      </c>
      <c r="AB817" s="199">
        <f t="shared" si="1008"/>
        <v>632898.46863367374</v>
      </c>
      <c r="AC817">
        <v>12.7</v>
      </c>
      <c r="AD817" s="199">
        <f t="shared" si="1009"/>
        <v>80378.105516476557</v>
      </c>
      <c r="AE817" s="199">
        <f t="shared" si="955"/>
        <v>76359.200240652732</v>
      </c>
      <c r="AF817" s="199">
        <f t="shared" si="975"/>
        <v>0</v>
      </c>
      <c r="AG817" s="614">
        <f t="shared" si="972"/>
        <v>3.5305141959575529E-3</v>
      </c>
      <c r="AH817" s="199">
        <f t="shared" si="1007"/>
        <v>31644.923431683688</v>
      </c>
      <c r="AI817" s="252">
        <f t="shared" si="952"/>
        <v>2.451484271510282E-3</v>
      </c>
      <c r="AJ817" s="199">
        <f t="shared" si="956"/>
        <v>112023.02894816024</v>
      </c>
      <c r="AK817" s="199">
        <f t="shared" si="976"/>
        <v>25315.93874534695</v>
      </c>
      <c r="AL817" s="199">
        <f t="shared" si="977"/>
        <v>25315.93874534695</v>
      </c>
      <c r="AM817" s="199">
        <f t="shared" si="957"/>
        <v>50631.8774906939</v>
      </c>
      <c r="AN817" s="645">
        <f t="shared" si="958"/>
        <v>2.451484271510282E-3</v>
      </c>
      <c r="AO817" s="199">
        <v>11</v>
      </c>
      <c r="AP817" s="250">
        <f t="shared" si="959"/>
        <v>1.2498579706851495E-3</v>
      </c>
      <c r="AQ817" s="199">
        <v>11</v>
      </c>
      <c r="AU817" s="199">
        <v>0</v>
      </c>
      <c r="AW817" s="250">
        <f t="shared" si="960"/>
        <v>0</v>
      </c>
      <c r="AX817" s="199">
        <v>1</v>
      </c>
      <c r="AY817" s="199">
        <f t="shared" si="996"/>
        <v>36652.336803979022</v>
      </c>
      <c r="AZ817" s="199">
        <f t="shared" si="961"/>
        <v>36652.336803979022</v>
      </c>
      <c r="BA817" s="252">
        <f t="shared" si="962"/>
        <v>2.8811115212257188E-3</v>
      </c>
      <c r="BB817" s="284">
        <v>0</v>
      </c>
      <c r="BC817" s="199">
        <f t="shared" si="997"/>
        <v>0</v>
      </c>
      <c r="BD817" s="270">
        <f t="shared" si="993"/>
        <v>0</v>
      </c>
      <c r="BE817" s="199">
        <f t="shared" si="998"/>
        <v>0</v>
      </c>
      <c r="BF817" s="251">
        <f t="shared" si="994"/>
        <v>0</v>
      </c>
      <c r="BG817" s="204">
        <f t="shared" si="999"/>
        <v>0</v>
      </c>
      <c r="BH817" s="636">
        <v>1</v>
      </c>
      <c r="BI817" s="199">
        <f t="shared" si="963"/>
        <v>193666.93140190415</v>
      </c>
      <c r="BJ817" s="199">
        <f t="shared" si="964"/>
        <v>387333.8628038083</v>
      </c>
      <c r="BK817" s="199">
        <f t="shared" si="971"/>
        <v>581000.79420571239</v>
      </c>
      <c r="BL817" s="251">
        <f t="shared" si="965"/>
        <v>2.4514842715102816E-3</v>
      </c>
      <c r="BM817" s="199">
        <f t="shared" si="1000"/>
        <v>57504.228728109614</v>
      </c>
      <c r="BN817" s="251">
        <f t="shared" si="966"/>
        <v>2.4832114315066914E-3</v>
      </c>
      <c r="BT817" s="199">
        <f>'Detailed Budget'!$AD$12</f>
        <v>194045122715</v>
      </c>
      <c r="BU817" s="199">
        <f>'Detailed Budget'!$AD$24</f>
        <v>194045122715</v>
      </c>
      <c r="BV817" s="596">
        <f t="shared" si="1001"/>
        <v>0</v>
      </c>
      <c r="BW817" s="278"/>
      <c r="BX817" s="275">
        <f t="shared" si="950"/>
        <v>0</v>
      </c>
      <c r="BY817" s="275">
        <f t="shared" si="951"/>
        <v>0</v>
      </c>
      <c r="CA817" s="199">
        <f>'Detailed Budget'!$AD$96</f>
        <v>71050111380.677719</v>
      </c>
      <c r="CB817" s="275">
        <f t="shared" si="967"/>
        <v>204703294.48324114</v>
      </c>
      <c r="CE817" s="199">
        <f>'Detailed Budget'!$AD$175</f>
        <v>4330586076.5988197</v>
      </c>
      <c r="CF817" s="275">
        <f t="shared" si="1002"/>
        <v>0</v>
      </c>
      <c r="CG817" s="199">
        <f>'Detailed Budget'!$AD$176</f>
        <v>20662817754.37001</v>
      </c>
      <c r="CH817" s="275">
        <f t="shared" si="1003"/>
        <v>0</v>
      </c>
      <c r="CI817" s="275">
        <f t="shared" si="992"/>
        <v>0</v>
      </c>
      <c r="CJ817" s="275">
        <f>'Detailed Budget'!$AD$178</f>
        <v>46025131033.061455</v>
      </c>
      <c r="CK817" s="275">
        <f t="shared" si="1004"/>
        <v>0</v>
      </c>
      <c r="CL817" s="275">
        <f t="shared" si="991"/>
        <v>0</v>
      </c>
      <c r="CM817" s="278">
        <f>'Detailed Budget'!$AD$189</f>
        <v>77498869683.252869</v>
      </c>
      <c r="CN817" s="275">
        <f t="shared" si="968"/>
        <v>189987260.08831939</v>
      </c>
      <c r="CO817" s="140">
        <f>'Detailed Budget'!$AD$191</f>
        <v>2684962805.4134097</v>
      </c>
      <c r="CP817" s="616">
        <f t="shared" si="969"/>
        <v>6582144.087061096</v>
      </c>
      <c r="CQ817" s="616">
        <f t="shared" si="970"/>
        <v>196569404.1753805</v>
      </c>
      <c r="CR817" s="199">
        <f>'Detailed Budget'!$AD$195</f>
        <v>18734176418</v>
      </c>
      <c r="CS817" s="275">
        <f t="shared" si="1005"/>
        <v>46520921.041040681</v>
      </c>
      <c r="CW817" s="278"/>
      <c r="DH817" s="140">
        <f>'Detailed Budget'!$AD$163</f>
        <v>4928560000</v>
      </c>
      <c r="DI817" s="616">
        <f t="shared" si="1006"/>
        <v>6160000</v>
      </c>
    </row>
    <row r="818" spans="1:113" outlineLevel="1">
      <c r="A818" s="214" t="s">
        <v>1668</v>
      </c>
      <c r="B818" s="215" t="s">
        <v>1669</v>
      </c>
      <c r="C818" s="216" t="s">
        <v>234</v>
      </c>
      <c r="D818" s="217"/>
      <c r="E818" s="216"/>
      <c r="F818" s="216"/>
      <c r="G818" s="216" t="s">
        <v>234</v>
      </c>
      <c r="H818" s="216" t="s">
        <v>234</v>
      </c>
      <c r="I818" s="217" t="s">
        <v>234</v>
      </c>
      <c r="J818" s="217"/>
      <c r="K818" s="216"/>
      <c r="L818" s="216"/>
      <c r="M818" s="217" t="s">
        <v>234</v>
      </c>
      <c r="N818" s="216"/>
      <c r="O818" s="217"/>
      <c r="P818" s="216"/>
      <c r="Q818" s="217"/>
      <c r="R818" s="217" t="s">
        <v>234</v>
      </c>
      <c r="S818" s="217"/>
      <c r="T818" s="217"/>
      <c r="U818" s="218">
        <f t="shared" si="1010"/>
        <v>6</v>
      </c>
      <c r="V818" s="867" t="s">
        <v>235</v>
      </c>
      <c r="W818" s="219">
        <v>158256</v>
      </c>
      <c r="X818" s="220">
        <v>3.01</v>
      </c>
      <c r="Y818" s="221">
        <f t="shared" si="953"/>
        <v>1.0301</v>
      </c>
      <c r="Z818" s="199">
        <v>19</v>
      </c>
      <c r="AA818" s="221">
        <f t="shared" si="954"/>
        <v>1.7567435038184733</v>
      </c>
      <c r="AB818" s="199">
        <f t="shared" si="1008"/>
        <v>278015.1999402963</v>
      </c>
      <c r="AC818">
        <v>12.7</v>
      </c>
      <c r="AD818" s="199">
        <f t="shared" si="1009"/>
        <v>35307.930392417627</v>
      </c>
      <c r="AE818" s="199">
        <f t="shared" si="955"/>
        <v>33542.533872796746</v>
      </c>
      <c r="AF818" s="199">
        <f t="shared" si="975"/>
        <v>0</v>
      </c>
      <c r="AG818" s="614">
        <f t="shared" si="972"/>
        <v>1.5508595117952704E-3</v>
      </c>
      <c r="AH818" s="199">
        <f t="shared" si="1007"/>
        <v>13900.759997014815</v>
      </c>
      <c r="AI818" s="252">
        <f t="shared" si="952"/>
        <v>1.0768708152601152E-3</v>
      </c>
      <c r="AJ818" s="199">
        <f t="shared" si="956"/>
        <v>49208.690389432442</v>
      </c>
      <c r="AK818" s="199">
        <f t="shared" si="976"/>
        <v>11120.607997611853</v>
      </c>
      <c r="AL818" s="199">
        <f t="shared" si="977"/>
        <v>11120.607997611853</v>
      </c>
      <c r="AM818" s="199">
        <f t="shared" si="957"/>
        <v>22241.215995223705</v>
      </c>
      <c r="AN818" s="645">
        <f t="shared" si="958"/>
        <v>1.0768708152601152E-3</v>
      </c>
      <c r="AO818" s="199">
        <v>10</v>
      </c>
      <c r="AP818" s="250">
        <f t="shared" si="959"/>
        <v>1.1362345188046814E-3</v>
      </c>
      <c r="AQ818" s="199">
        <v>10</v>
      </c>
      <c r="AU818" s="199">
        <v>0</v>
      </c>
      <c r="AW818" s="250">
        <f t="shared" si="960"/>
        <v>0</v>
      </c>
      <c r="AX818" s="199">
        <v>1</v>
      </c>
      <c r="AY818" s="199">
        <f t="shared" si="996"/>
        <v>16100.381419527976</v>
      </c>
      <c r="AZ818" s="199">
        <f t="shared" si="961"/>
        <v>16100.381419527976</v>
      </c>
      <c r="BA818" s="252">
        <f t="shared" si="962"/>
        <v>1.2655944599661848E-3</v>
      </c>
      <c r="BB818" s="284">
        <v>0</v>
      </c>
      <c r="BC818" s="199">
        <f t="shared" si="997"/>
        <v>0</v>
      </c>
      <c r="BD818" s="270">
        <f t="shared" si="993"/>
        <v>0</v>
      </c>
      <c r="BE818" s="199">
        <f t="shared" si="998"/>
        <v>0</v>
      </c>
      <c r="BF818" s="251">
        <f t="shared" si="994"/>
        <v>0</v>
      </c>
      <c r="BG818" s="204">
        <f t="shared" si="999"/>
        <v>0</v>
      </c>
      <c r="BH818" s="636">
        <v>1</v>
      </c>
      <c r="BI818" s="199">
        <f t="shared" si="963"/>
        <v>85072.651181730675</v>
      </c>
      <c r="BJ818" s="199">
        <f t="shared" si="964"/>
        <v>170145.30236346135</v>
      </c>
      <c r="BK818" s="199">
        <f t="shared" si="971"/>
        <v>255217.95354519202</v>
      </c>
      <c r="BL818" s="251">
        <f t="shared" si="965"/>
        <v>1.0768708152601152E-3</v>
      </c>
      <c r="BM818" s="199">
        <f t="shared" si="1000"/>
        <v>25260.05424183029</v>
      </c>
      <c r="BN818" s="251">
        <f t="shared" si="966"/>
        <v>1.0908076995584479E-3</v>
      </c>
      <c r="BT818" s="199">
        <f>'Detailed Budget'!$AD$12</f>
        <v>194045122715</v>
      </c>
      <c r="BU818" s="199">
        <f>'Detailed Budget'!$AD$24</f>
        <v>194045122715</v>
      </c>
      <c r="BV818" s="596">
        <f t="shared" si="1001"/>
        <v>0</v>
      </c>
      <c r="BW818" s="278"/>
      <c r="BX818" s="275">
        <f t="shared" si="950"/>
        <v>0</v>
      </c>
      <c r="BY818" s="275">
        <f t="shared" si="951"/>
        <v>0</v>
      </c>
      <c r="CA818" s="199">
        <f>'Detailed Budget'!$AD$96</f>
        <v>71050111380.677719</v>
      </c>
      <c r="CB818" s="275">
        <f t="shared" si="967"/>
        <v>89920627.343366101</v>
      </c>
      <c r="CE818" s="199">
        <f>'Detailed Budget'!$AD$175</f>
        <v>4330586076.5988197</v>
      </c>
      <c r="CF818" s="275">
        <f t="shared" si="1002"/>
        <v>0</v>
      </c>
      <c r="CG818" s="199">
        <f>'Detailed Budget'!$AD$176</f>
        <v>20662817754.37001</v>
      </c>
      <c r="CH818" s="275">
        <f t="shared" si="1003"/>
        <v>0</v>
      </c>
      <c r="CI818" s="275">
        <f t="shared" si="992"/>
        <v>0</v>
      </c>
      <c r="CJ818" s="275">
        <f>'Detailed Budget'!$AD$178</f>
        <v>46025131033.061455</v>
      </c>
      <c r="CK818" s="275">
        <f t="shared" si="1004"/>
        <v>0</v>
      </c>
      <c r="CL818" s="275">
        <f t="shared" si="991"/>
        <v>0</v>
      </c>
      <c r="CM818" s="278">
        <f>'Detailed Budget'!$AD$189</f>
        <v>77498869683.252869</v>
      </c>
      <c r="CN818" s="275">
        <f t="shared" si="968"/>
        <v>83456270.977541938</v>
      </c>
      <c r="CO818" s="140">
        <f>'Detailed Budget'!$AD$191</f>
        <v>2684962805.4134097</v>
      </c>
      <c r="CP818" s="616">
        <f t="shared" si="969"/>
        <v>2891358.0852086246</v>
      </c>
      <c r="CQ818" s="616">
        <f t="shared" si="970"/>
        <v>86347629.062750563</v>
      </c>
      <c r="CR818" s="199">
        <f>'Detailed Budget'!$AD$195</f>
        <v>18734176418</v>
      </c>
      <c r="CS818" s="275">
        <f t="shared" si="1005"/>
        <v>20435383.881640702</v>
      </c>
      <c r="CW818" s="278"/>
      <c r="DH818" s="140">
        <f>'Detailed Budget'!$AD$163</f>
        <v>4928560000</v>
      </c>
      <c r="DI818" s="616">
        <f t="shared" si="1006"/>
        <v>5600000</v>
      </c>
    </row>
    <row r="819" spans="1:113" outlineLevel="1">
      <c r="A819" s="214" t="s">
        <v>1670</v>
      </c>
      <c r="B819" s="215" t="s">
        <v>1671</v>
      </c>
      <c r="C819" s="216" t="s">
        <v>234</v>
      </c>
      <c r="D819" s="217"/>
      <c r="E819" s="216"/>
      <c r="F819" s="216"/>
      <c r="G819" s="216" t="s">
        <v>234</v>
      </c>
      <c r="H819" s="216" t="s">
        <v>234</v>
      </c>
      <c r="I819" s="217" t="s">
        <v>234</v>
      </c>
      <c r="J819" s="217"/>
      <c r="K819" s="216"/>
      <c r="L819" s="216"/>
      <c r="M819" s="217"/>
      <c r="N819" s="216" t="s">
        <v>234</v>
      </c>
      <c r="O819" s="217"/>
      <c r="P819" s="216"/>
      <c r="Q819" s="217"/>
      <c r="R819" s="217" t="s">
        <v>234</v>
      </c>
      <c r="S819" s="217"/>
      <c r="T819" s="217"/>
      <c r="U819" s="218">
        <f t="shared" si="1010"/>
        <v>6</v>
      </c>
      <c r="V819" s="867" t="s">
        <v>235</v>
      </c>
      <c r="W819" s="219">
        <v>129795</v>
      </c>
      <c r="X819" s="220">
        <v>3.01</v>
      </c>
      <c r="Y819" s="221">
        <f t="shared" si="953"/>
        <v>1.0301</v>
      </c>
      <c r="Z819" s="199">
        <v>19</v>
      </c>
      <c r="AA819" s="221">
        <f t="shared" si="954"/>
        <v>1.7567435038184733</v>
      </c>
      <c r="AB819" s="199">
        <f t="shared" si="1008"/>
        <v>228016.52307811874</v>
      </c>
      <c r="AC819">
        <v>12.7</v>
      </c>
      <c r="AD819" s="199">
        <f t="shared" si="1009"/>
        <v>28958.098430921076</v>
      </c>
      <c r="AE819" s="199">
        <f t="shared" si="955"/>
        <v>27510.193509375022</v>
      </c>
      <c r="AF819" s="199">
        <f t="shared" si="975"/>
        <v>0</v>
      </c>
      <c r="AG819" s="614">
        <f t="shared" si="972"/>
        <v>1.2719505758610548E-3</v>
      </c>
      <c r="AH819" s="199">
        <f t="shared" si="1007"/>
        <v>11400.826153905939</v>
      </c>
      <c r="AI819" s="252">
        <f t="shared" si="952"/>
        <v>8.8320472820421769E-4</v>
      </c>
      <c r="AJ819" s="199">
        <f t="shared" si="956"/>
        <v>40358.924584827015</v>
      </c>
      <c r="AK819" s="199">
        <f t="shared" si="976"/>
        <v>9120.6609231247494</v>
      </c>
      <c r="AL819" s="199">
        <f t="shared" si="977"/>
        <v>9120.6609231247494</v>
      </c>
      <c r="AM819" s="199">
        <f t="shared" si="957"/>
        <v>18241.321846249499</v>
      </c>
      <c r="AN819" s="645">
        <f t="shared" si="958"/>
        <v>8.8320472820421748E-4</v>
      </c>
      <c r="AO819" s="199">
        <v>10</v>
      </c>
      <c r="AP819" s="250">
        <f t="shared" si="959"/>
        <v>1.1362345188046814E-3</v>
      </c>
      <c r="AQ819" s="199">
        <v>10</v>
      </c>
      <c r="AU819" s="199">
        <v>0</v>
      </c>
      <c r="AW819" s="250">
        <f t="shared" si="960"/>
        <v>0</v>
      </c>
      <c r="AX819" s="199">
        <v>1</v>
      </c>
      <c r="AY819" s="199">
        <f t="shared" si="996"/>
        <v>13204.864310658892</v>
      </c>
      <c r="AZ819" s="199">
        <f t="shared" si="961"/>
        <v>13204.864310658892</v>
      </c>
      <c r="BA819" s="252">
        <f t="shared" si="962"/>
        <v>1.0379880252964243E-3</v>
      </c>
      <c r="BB819" s="284">
        <v>0</v>
      </c>
      <c r="BC819" s="199">
        <f t="shared" si="997"/>
        <v>0</v>
      </c>
      <c r="BD819" s="270">
        <f t="shared" si="993"/>
        <v>0</v>
      </c>
      <c r="BE819" s="199">
        <f t="shared" si="998"/>
        <v>0</v>
      </c>
      <c r="BF819" s="251">
        <f t="shared" si="994"/>
        <v>0</v>
      </c>
      <c r="BG819" s="204">
        <f t="shared" si="999"/>
        <v>0</v>
      </c>
      <c r="BH819" s="636">
        <v>1</v>
      </c>
      <c r="BI819" s="199">
        <f t="shared" si="963"/>
        <v>69773.056061904324</v>
      </c>
      <c r="BJ819" s="199">
        <f t="shared" si="964"/>
        <v>139546.11212380865</v>
      </c>
      <c r="BK819" s="199">
        <f t="shared" si="971"/>
        <v>209319.16818571297</v>
      </c>
      <c r="BL819" s="251">
        <f t="shared" si="965"/>
        <v>8.8320472820421737E-4</v>
      </c>
      <c r="BM819" s="199">
        <f t="shared" si="1000"/>
        <v>20717.247626114415</v>
      </c>
      <c r="BN819" s="251">
        <f t="shared" si="966"/>
        <v>8.946351820100898E-4</v>
      </c>
      <c r="BT819" s="199">
        <f>'Detailed Budget'!$AD$12</f>
        <v>194045122715</v>
      </c>
      <c r="BU819" s="199">
        <f>'Detailed Budget'!$AD$24</f>
        <v>194045122715</v>
      </c>
      <c r="BV819" s="596">
        <f t="shared" si="1001"/>
        <v>0</v>
      </c>
      <c r="BW819" s="278"/>
      <c r="BX819" s="275">
        <f t="shared" si="950"/>
        <v>0</v>
      </c>
      <c r="BY819" s="275">
        <f t="shared" si="951"/>
        <v>0</v>
      </c>
      <c r="CA819" s="199">
        <f>'Detailed Budget'!$AD$96</f>
        <v>71050111380.677719</v>
      </c>
      <c r="CB819" s="275">
        <f t="shared" si="967"/>
        <v>73749164.80912067</v>
      </c>
      <c r="CE819" s="199">
        <f>'Detailed Budget'!$AD$175</f>
        <v>4330586076.5988197</v>
      </c>
      <c r="CF819" s="275">
        <f t="shared" si="1002"/>
        <v>0</v>
      </c>
      <c r="CG819" s="199">
        <f>'Detailed Budget'!$AD$176</f>
        <v>20662817754.37001</v>
      </c>
      <c r="CH819" s="275">
        <f t="shared" si="1003"/>
        <v>0</v>
      </c>
      <c r="CI819" s="275">
        <f t="shared" si="992"/>
        <v>0</v>
      </c>
      <c r="CJ819" s="275">
        <f>'Detailed Budget'!$AD$178</f>
        <v>46025131033.061455</v>
      </c>
      <c r="CK819" s="275">
        <f t="shared" si="1004"/>
        <v>0</v>
      </c>
      <c r="CL819" s="275">
        <f t="shared" si="991"/>
        <v>0</v>
      </c>
      <c r="CM819" s="278">
        <f>'Detailed Budget'!$AD$189</f>
        <v>77498869683.252869</v>
      </c>
      <c r="CN819" s="275">
        <f t="shared" si="968"/>
        <v>68447368.134731412</v>
      </c>
      <c r="CO819" s="140">
        <f>'Detailed Budget'!$AD$191</f>
        <v>2684962805.4134097</v>
      </c>
      <c r="CP819" s="616">
        <f t="shared" si="969"/>
        <v>2371371.8447935837</v>
      </c>
      <c r="CQ819" s="616">
        <f t="shared" si="970"/>
        <v>70818739.979525</v>
      </c>
      <c r="CR819" s="199">
        <f>'Detailed Budget'!$AD$195</f>
        <v>18734176418</v>
      </c>
      <c r="CS819" s="275">
        <f t="shared" si="1005"/>
        <v>16760253.329526562</v>
      </c>
      <c r="CW819" s="278"/>
      <c r="DH819" s="140">
        <f>'Detailed Budget'!$AD$163</f>
        <v>4928560000</v>
      </c>
      <c r="DI819" s="616">
        <f t="shared" si="1006"/>
        <v>5600000</v>
      </c>
    </row>
    <row r="820" spans="1:113" outlineLevel="1">
      <c r="A820" s="214" t="s">
        <v>1672</v>
      </c>
      <c r="B820" s="215" t="s">
        <v>1673</v>
      </c>
      <c r="C820" s="216" t="s">
        <v>234</v>
      </c>
      <c r="D820" s="217"/>
      <c r="E820" s="216"/>
      <c r="F820" s="216"/>
      <c r="G820" s="216" t="s">
        <v>234</v>
      </c>
      <c r="H820" s="216" t="s">
        <v>234</v>
      </c>
      <c r="I820" s="217" t="s">
        <v>234</v>
      </c>
      <c r="J820" s="217"/>
      <c r="K820" s="216"/>
      <c r="L820" s="216"/>
      <c r="M820" s="217"/>
      <c r="N820" s="216" t="s">
        <v>234</v>
      </c>
      <c r="O820" s="217"/>
      <c r="P820" s="216"/>
      <c r="Q820" s="217"/>
      <c r="R820" s="217" t="s">
        <v>234</v>
      </c>
      <c r="S820" s="217"/>
      <c r="T820" s="217"/>
      <c r="U820" s="218">
        <f t="shared" si="1010"/>
        <v>6</v>
      </c>
      <c r="V820" s="867" t="s">
        <v>235</v>
      </c>
      <c r="W820" s="219">
        <v>176372</v>
      </c>
      <c r="X820" s="220">
        <v>3.01</v>
      </c>
      <c r="Y820" s="221">
        <f t="shared" si="953"/>
        <v>1.0301</v>
      </c>
      <c r="Z820" s="199">
        <v>19</v>
      </c>
      <c r="AA820" s="221">
        <f t="shared" si="954"/>
        <v>1.7567435038184733</v>
      </c>
      <c r="AB820" s="199">
        <f t="shared" si="1008"/>
        <v>309840.36525547178</v>
      </c>
      <c r="AC820">
        <v>12.7</v>
      </c>
      <c r="AD820" s="199">
        <f t="shared" si="1009"/>
        <v>39349.726387444913</v>
      </c>
      <c r="AE820" s="199">
        <f t="shared" si="955"/>
        <v>37382.240068072664</v>
      </c>
      <c r="AF820" s="199">
        <f t="shared" si="975"/>
        <v>0</v>
      </c>
      <c r="AG820" s="614">
        <f t="shared" si="972"/>
        <v>1.7283906696387841E-3</v>
      </c>
      <c r="AH820" s="199">
        <f t="shared" si="1007"/>
        <v>15492.01826277359</v>
      </c>
      <c r="AI820" s="252">
        <f t="shared" si="952"/>
        <v>1.2001431821166784E-3</v>
      </c>
      <c r="AJ820" s="199">
        <f t="shared" si="956"/>
        <v>54841.744650218505</v>
      </c>
      <c r="AK820" s="199">
        <f t="shared" si="976"/>
        <v>12393.614610218872</v>
      </c>
      <c r="AL820" s="199">
        <f t="shared" si="977"/>
        <v>12393.614610218872</v>
      </c>
      <c r="AM820" s="199">
        <f t="shared" si="957"/>
        <v>24787.229220437745</v>
      </c>
      <c r="AN820" s="645">
        <f t="shared" si="958"/>
        <v>1.2001431821166784E-3</v>
      </c>
      <c r="AO820" s="199">
        <v>10</v>
      </c>
      <c r="AP820" s="250">
        <f t="shared" si="959"/>
        <v>1.1362345188046814E-3</v>
      </c>
      <c r="AQ820" s="199">
        <v>10</v>
      </c>
      <c r="AU820" s="199">
        <v>0</v>
      </c>
      <c r="AW820" s="250">
        <f t="shared" si="960"/>
        <v>0</v>
      </c>
      <c r="AX820" s="199">
        <v>1</v>
      </c>
      <c r="AY820" s="199">
        <f t="shared" si="996"/>
        <v>17943.436405096731</v>
      </c>
      <c r="AZ820" s="199">
        <f t="shared" si="961"/>
        <v>17943.436405096731</v>
      </c>
      <c r="BA820" s="252">
        <f t="shared" si="962"/>
        <v>1.4104705419899146E-3</v>
      </c>
      <c r="BB820" s="284">
        <v>0</v>
      </c>
      <c r="BC820" s="199">
        <f t="shared" si="997"/>
        <v>0</v>
      </c>
      <c r="BD820" s="270">
        <f t="shared" si="993"/>
        <v>0</v>
      </c>
      <c r="BE820" s="199">
        <f t="shared" si="998"/>
        <v>0</v>
      </c>
      <c r="BF820" s="251">
        <f t="shared" si="994"/>
        <v>0</v>
      </c>
      <c r="BG820" s="204">
        <f t="shared" si="999"/>
        <v>0</v>
      </c>
      <c r="BH820" s="636">
        <v>1</v>
      </c>
      <c r="BI820" s="199">
        <f t="shared" si="963"/>
        <v>94811.151768174372</v>
      </c>
      <c r="BJ820" s="199">
        <f t="shared" si="964"/>
        <v>189622.30353634874</v>
      </c>
      <c r="BK820" s="199">
        <f t="shared" si="971"/>
        <v>284433.45530452312</v>
      </c>
      <c r="BL820" s="251">
        <f t="shared" si="965"/>
        <v>1.2001431821166784E-3</v>
      </c>
      <c r="BM820" s="199">
        <f t="shared" si="1000"/>
        <v>28151.642192018582</v>
      </c>
      <c r="BN820" s="251">
        <f t="shared" si="966"/>
        <v>1.2156754599289923E-3</v>
      </c>
      <c r="BT820" s="199">
        <f>'Detailed Budget'!$AD$12</f>
        <v>194045122715</v>
      </c>
      <c r="BU820" s="199">
        <f>'Detailed Budget'!$AD$24</f>
        <v>194045122715</v>
      </c>
      <c r="BV820" s="596">
        <f t="shared" si="1001"/>
        <v>0</v>
      </c>
      <c r="BW820" s="278"/>
      <c r="BX820" s="275">
        <f t="shared" si="950"/>
        <v>0</v>
      </c>
      <c r="BY820" s="275">
        <f t="shared" si="951"/>
        <v>0</v>
      </c>
      <c r="CA820" s="199">
        <f>'Detailed Budget'!$AD$96</f>
        <v>71050111380.677719</v>
      </c>
      <c r="CB820" s="275">
        <f t="shared" si="967"/>
        <v>100214089.1075483</v>
      </c>
      <c r="CE820" s="199">
        <f>'Detailed Budget'!$AD$175</f>
        <v>4330586076.5988197</v>
      </c>
      <c r="CF820" s="275">
        <f t="shared" si="1002"/>
        <v>0</v>
      </c>
      <c r="CG820" s="199">
        <f>'Detailed Budget'!$AD$176</f>
        <v>20662817754.37001</v>
      </c>
      <c r="CH820" s="275">
        <f t="shared" si="1003"/>
        <v>0</v>
      </c>
      <c r="CI820" s="275">
        <f t="shared" si="992"/>
        <v>0</v>
      </c>
      <c r="CJ820" s="275">
        <f>'Detailed Budget'!$AD$178</f>
        <v>46025131033.061455</v>
      </c>
      <c r="CK820" s="275">
        <f t="shared" si="1004"/>
        <v>0</v>
      </c>
      <c r="CL820" s="275">
        <f t="shared" si="991"/>
        <v>0</v>
      </c>
      <c r="CM820" s="278">
        <f>'Detailed Budget'!$AD$189</f>
        <v>77498869683.252869</v>
      </c>
      <c r="CN820" s="275">
        <f t="shared" si="968"/>
        <v>93009740.072104871</v>
      </c>
      <c r="CO820" s="140">
        <f>'Detailed Budget'!$AD$191</f>
        <v>2684962805.4134097</v>
      </c>
      <c r="CP820" s="616">
        <f t="shared" si="969"/>
        <v>3222339.8051537736</v>
      </c>
      <c r="CQ820" s="616">
        <f t="shared" si="970"/>
        <v>96232079.877258644</v>
      </c>
      <c r="CR820" s="199">
        <f>'Detailed Budget'!$AD$195</f>
        <v>18734176418</v>
      </c>
      <c r="CS820" s="275">
        <f t="shared" si="1005"/>
        <v>22774678.533343032</v>
      </c>
      <c r="CW820" s="278"/>
      <c r="DH820" s="140">
        <f>'Detailed Budget'!$AD$163</f>
        <v>4928560000</v>
      </c>
      <c r="DI820" s="616">
        <f t="shared" si="1006"/>
        <v>5600000</v>
      </c>
    </row>
    <row r="821" spans="1:113" outlineLevel="1">
      <c r="A821" s="214" t="s">
        <v>1674</v>
      </c>
      <c r="B821" s="215" t="s">
        <v>1675</v>
      </c>
      <c r="C821" s="216" t="s">
        <v>234</v>
      </c>
      <c r="D821" s="217"/>
      <c r="E821" s="216"/>
      <c r="F821" s="216"/>
      <c r="G821" s="216" t="s">
        <v>234</v>
      </c>
      <c r="H821" s="216" t="s">
        <v>234</v>
      </c>
      <c r="I821" s="217" t="s">
        <v>234</v>
      </c>
      <c r="J821" s="217"/>
      <c r="K821" s="216" t="s">
        <v>234</v>
      </c>
      <c r="L821" s="216"/>
      <c r="M821" s="217"/>
      <c r="N821" s="216"/>
      <c r="O821" s="217"/>
      <c r="P821" s="216"/>
      <c r="Q821" s="217"/>
      <c r="R821" s="217" t="s">
        <v>234</v>
      </c>
      <c r="S821" s="217"/>
      <c r="T821" s="217"/>
      <c r="U821" s="218">
        <f t="shared" si="1010"/>
        <v>6</v>
      </c>
      <c r="V821" s="867" t="s">
        <v>235</v>
      </c>
      <c r="W821" s="219">
        <v>289838</v>
      </c>
      <c r="X821" s="220">
        <v>3.01</v>
      </c>
      <c r="Y821" s="221">
        <f t="shared" si="953"/>
        <v>1.0301</v>
      </c>
      <c r="Z821" s="199">
        <v>19</v>
      </c>
      <c r="AA821" s="221">
        <f t="shared" si="954"/>
        <v>1.7567435038184733</v>
      </c>
      <c r="AB821" s="199">
        <f t="shared" si="1008"/>
        <v>509171.02365973865</v>
      </c>
      <c r="AC821">
        <v>12.7</v>
      </c>
      <c r="AD821" s="199">
        <f t="shared" si="1009"/>
        <v>64664.720004786803</v>
      </c>
      <c r="AE821" s="199">
        <f t="shared" si="955"/>
        <v>61431.484004547463</v>
      </c>
      <c r="AF821" s="199">
        <f t="shared" si="975"/>
        <v>0</v>
      </c>
      <c r="AG821" s="614">
        <f t="shared" si="972"/>
        <v>2.840322131102249E-3</v>
      </c>
      <c r="AH821" s="199">
        <f t="shared" si="1007"/>
        <v>25458.551182986936</v>
      </c>
      <c r="AI821" s="252">
        <f t="shared" si="952"/>
        <v>1.9722353866732465E-3</v>
      </c>
      <c r="AJ821" s="199">
        <f t="shared" si="956"/>
        <v>90123.271187773731</v>
      </c>
      <c r="AK821" s="199">
        <f t="shared" si="976"/>
        <v>20366.840946389548</v>
      </c>
      <c r="AL821" s="199">
        <f t="shared" si="977"/>
        <v>20366.840946389548</v>
      </c>
      <c r="AM821" s="199">
        <f t="shared" si="957"/>
        <v>40733.681892779096</v>
      </c>
      <c r="AN821" s="645">
        <f t="shared" si="958"/>
        <v>1.9722353866732465E-3</v>
      </c>
      <c r="AO821" s="199">
        <v>12</v>
      </c>
      <c r="AP821" s="250">
        <f t="shared" si="959"/>
        <v>1.3634814225656176E-3</v>
      </c>
      <c r="AQ821" s="199">
        <v>12</v>
      </c>
      <c r="AU821" s="199">
        <v>0</v>
      </c>
      <c r="AW821" s="250">
        <f t="shared" si="960"/>
        <v>0</v>
      </c>
      <c r="AX821" s="199">
        <v>1</v>
      </c>
      <c r="AY821" s="199">
        <f t="shared" si="996"/>
        <v>29487.048515526418</v>
      </c>
      <c r="AZ821" s="199">
        <f t="shared" si="961"/>
        <v>29487.048515526418</v>
      </c>
      <c r="BA821" s="252">
        <f t="shared" si="962"/>
        <v>2.3178733639652145E-3</v>
      </c>
      <c r="BB821" s="284">
        <v>0</v>
      </c>
      <c r="BC821" s="199">
        <f t="shared" si="997"/>
        <v>0</v>
      </c>
      <c r="BD821" s="270">
        <f t="shared" si="993"/>
        <v>0</v>
      </c>
      <c r="BE821" s="199">
        <f t="shared" si="998"/>
        <v>0</v>
      </c>
      <c r="BF821" s="251">
        <f t="shared" si="994"/>
        <v>0</v>
      </c>
      <c r="BG821" s="204">
        <f t="shared" si="999"/>
        <v>0</v>
      </c>
      <c r="BH821" s="636">
        <v>1</v>
      </c>
      <c r="BI821" s="199">
        <f t="shared" si="963"/>
        <v>155806.33323988004</v>
      </c>
      <c r="BJ821" s="199">
        <f t="shared" si="964"/>
        <v>311612.66647976008</v>
      </c>
      <c r="BK821" s="199">
        <f t="shared" si="971"/>
        <v>467418.99971964012</v>
      </c>
      <c r="BL821" s="251">
        <f t="shared" si="965"/>
        <v>1.9722353866732465E-3</v>
      </c>
      <c r="BM821" s="199">
        <f t="shared" si="1000"/>
        <v>46262.534130419117</v>
      </c>
      <c r="BN821" s="251">
        <f t="shared" si="966"/>
        <v>1.9977600977190216E-3</v>
      </c>
      <c r="BT821" s="199">
        <f>'Detailed Budget'!$AD$12</f>
        <v>194045122715</v>
      </c>
      <c r="BU821" s="199">
        <f>'Detailed Budget'!$AD$24</f>
        <v>194045122715</v>
      </c>
      <c r="BV821" s="596">
        <f t="shared" si="1001"/>
        <v>0</v>
      </c>
      <c r="BW821" s="278"/>
      <c r="BX821" s="275">
        <f t="shared" si="950"/>
        <v>0</v>
      </c>
      <c r="BY821" s="275">
        <f t="shared" si="951"/>
        <v>0</v>
      </c>
      <c r="CA821" s="199">
        <f>'Detailed Budget'!$AD$96</f>
        <v>71050111380.677719</v>
      </c>
      <c r="CB821" s="275">
        <f t="shared" si="967"/>
        <v>164685160.67603463</v>
      </c>
      <c r="CE821" s="199">
        <f>'Detailed Budget'!$AD$175</f>
        <v>4330586076.5988197</v>
      </c>
      <c r="CF821" s="275">
        <f t="shared" si="1002"/>
        <v>0</v>
      </c>
      <c r="CG821" s="199">
        <f>'Detailed Budget'!$AD$176</f>
        <v>20662817754.37001</v>
      </c>
      <c r="CH821" s="275">
        <f t="shared" si="1003"/>
        <v>0</v>
      </c>
      <c r="CI821" s="275">
        <f t="shared" si="992"/>
        <v>0</v>
      </c>
      <c r="CJ821" s="275">
        <f>'Detailed Budget'!$AD$178</f>
        <v>46025131033.061455</v>
      </c>
      <c r="CK821" s="275">
        <f t="shared" si="1004"/>
        <v>0</v>
      </c>
      <c r="CL821" s="275">
        <f t="shared" si="991"/>
        <v>0</v>
      </c>
      <c r="CM821" s="278">
        <f>'Detailed Budget'!$AD$189</f>
        <v>77498869683.252869</v>
      </c>
      <c r="CN821" s="275">
        <f t="shared" si="968"/>
        <v>152846013.21648976</v>
      </c>
      <c r="CO821" s="140">
        <f>'Detailed Budget'!$AD$191</f>
        <v>2684962805.4134097</v>
      </c>
      <c r="CP821" s="616">
        <f t="shared" si="969"/>
        <v>5295378.6567378007</v>
      </c>
      <c r="CQ821" s="616">
        <f t="shared" si="970"/>
        <v>158141391.87322757</v>
      </c>
      <c r="CR821" s="199">
        <f>'Detailed Budget'!$AD$195</f>
        <v>18734176418</v>
      </c>
      <c r="CS821" s="275">
        <f t="shared" si="1005"/>
        <v>37426390.11150907</v>
      </c>
      <c r="CW821" s="278"/>
      <c r="DH821" s="140">
        <f>'Detailed Budget'!$AD$163</f>
        <v>4928560000</v>
      </c>
      <c r="DI821" s="616">
        <f t="shared" si="1006"/>
        <v>6720000</v>
      </c>
    </row>
    <row r="822" spans="1:113" outlineLevel="1">
      <c r="A822" s="214" t="s">
        <v>1676</v>
      </c>
      <c r="B822" s="215" t="s">
        <v>1677</v>
      </c>
      <c r="C822" s="216" t="s">
        <v>234</v>
      </c>
      <c r="D822" s="217"/>
      <c r="E822" s="216"/>
      <c r="F822" s="216"/>
      <c r="G822" s="216" t="s">
        <v>234</v>
      </c>
      <c r="H822" s="216" t="s">
        <v>234</v>
      </c>
      <c r="I822" s="217" t="s">
        <v>234</v>
      </c>
      <c r="J822" s="217"/>
      <c r="K822" s="216"/>
      <c r="L822" s="216"/>
      <c r="M822" s="217"/>
      <c r="N822" s="216" t="s">
        <v>234</v>
      </c>
      <c r="O822" s="217"/>
      <c r="P822" s="216"/>
      <c r="Q822" s="217"/>
      <c r="R822" s="217" t="s">
        <v>234</v>
      </c>
      <c r="S822" s="217"/>
      <c r="T822" s="217"/>
      <c r="U822" s="218">
        <f t="shared" si="1010"/>
        <v>6</v>
      </c>
      <c r="V822" s="867" t="s">
        <v>235</v>
      </c>
      <c r="W822" s="219">
        <v>171876</v>
      </c>
      <c r="X822" s="220">
        <v>3.01</v>
      </c>
      <c r="Y822" s="221">
        <f t="shared" si="953"/>
        <v>1.0301</v>
      </c>
      <c r="Z822" s="199">
        <v>19</v>
      </c>
      <c r="AA822" s="221">
        <f t="shared" si="954"/>
        <v>1.7567435038184733</v>
      </c>
      <c r="AB822" s="199">
        <f t="shared" si="1008"/>
        <v>301942.0464623039</v>
      </c>
      <c r="AC822">
        <v>12.7</v>
      </c>
      <c r="AD822" s="199">
        <f t="shared" si="1009"/>
        <v>38346.639900712595</v>
      </c>
      <c r="AE822" s="199">
        <f t="shared" si="955"/>
        <v>36429.307905676964</v>
      </c>
      <c r="AF822" s="199">
        <f t="shared" si="975"/>
        <v>0</v>
      </c>
      <c r="AG822" s="614">
        <f t="shared" si="972"/>
        <v>1.6843312699001863E-3</v>
      </c>
      <c r="AH822" s="199">
        <f t="shared" si="1007"/>
        <v>15097.102323115196</v>
      </c>
      <c r="AI822" s="252">
        <f t="shared" si="952"/>
        <v>1.1695496426274363E-3</v>
      </c>
      <c r="AJ822" s="199">
        <f t="shared" si="956"/>
        <v>53443.742223827794</v>
      </c>
      <c r="AK822" s="199">
        <f t="shared" si="976"/>
        <v>12077.681858492157</v>
      </c>
      <c r="AL822" s="199">
        <f t="shared" si="977"/>
        <v>12077.681858492157</v>
      </c>
      <c r="AM822" s="199">
        <f t="shared" si="957"/>
        <v>24155.363716984313</v>
      </c>
      <c r="AN822" s="645">
        <f t="shared" si="958"/>
        <v>1.1695496426274363E-3</v>
      </c>
      <c r="AO822" s="199">
        <v>10</v>
      </c>
      <c r="AP822" s="250">
        <f t="shared" si="959"/>
        <v>1.1362345188046814E-3</v>
      </c>
      <c r="AQ822" s="199">
        <v>10</v>
      </c>
      <c r="AU822" s="199">
        <v>0</v>
      </c>
      <c r="AW822" s="250">
        <f t="shared" si="960"/>
        <v>0</v>
      </c>
      <c r="AX822" s="199">
        <v>1</v>
      </c>
      <c r="AY822" s="199">
        <f t="shared" si="996"/>
        <v>17486.029956922899</v>
      </c>
      <c r="AZ822" s="199">
        <f t="shared" si="961"/>
        <v>17486.029956922899</v>
      </c>
      <c r="BA822" s="252">
        <f t="shared" si="962"/>
        <v>1.3745154269104991E-3</v>
      </c>
      <c r="BB822" s="284">
        <v>0</v>
      </c>
      <c r="BC822" s="199">
        <f t="shared" si="997"/>
        <v>0</v>
      </c>
      <c r="BD822" s="270">
        <f t="shared" si="993"/>
        <v>0</v>
      </c>
      <c r="BE822" s="199">
        <f t="shared" si="998"/>
        <v>0</v>
      </c>
      <c r="BF822" s="251">
        <f t="shared" si="994"/>
        <v>0</v>
      </c>
      <c r="BG822" s="204">
        <f t="shared" si="999"/>
        <v>0</v>
      </c>
      <c r="BH822" s="636">
        <v>1</v>
      </c>
      <c r="BI822" s="199">
        <f t="shared" si="963"/>
        <v>92394.266217464989</v>
      </c>
      <c r="BJ822" s="199">
        <f t="shared" si="964"/>
        <v>184788.53243492998</v>
      </c>
      <c r="BK822" s="199">
        <f t="shared" si="971"/>
        <v>277182.79865239497</v>
      </c>
      <c r="BL822" s="251">
        <f t="shared" si="965"/>
        <v>1.1695496426274363E-3</v>
      </c>
      <c r="BM822" s="199">
        <f t="shared" si="1000"/>
        <v>27434.012504226208</v>
      </c>
      <c r="BN822" s="251">
        <f t="shared" si="966"/>
        <v>1.1846859782207802E-3</v>
      </c>
      <c r="BT822" s="199">
        <f>'Detailed Budget'!$AD$12</f>
        <v>194045122715</v>
      </c>
      <c r="BU822" s="199">
        <f>'Detailed Budget'!$AD$24</f>
        <v>194045122715</v>
      </c>
      <c r="BV822" s="596">
        <f t="shared" si="1001"/>
        <v>0</v>
      </c>
      <c r="BW822" s="278"/>
      <c r="BX822" s="275">
        <f t="shared" si="950"/>
        <v>0</v>
      </c>
      <c r="BY822" s="275">
        <f t="shared" si="951"/>
        <v>0</v>
      </c>
      <c r="CA822" s="199">
        <f>'Detailed Budget'!$AD$96</f>
        <v>71050111380.677719</v>
      </c>
      <c r="CB822" s="275">
        <f t="shared" si="967"/>
        <v>97659474.176450744</v>
      </c>
      <c r="CE822" s="199">
        <f>'Detailed Budget'!$AD$175</f>
        <v>4330586076.5988197</v>
      </c>
      <c r="CF822" s="275">
        <f t="shared" si="1002"/>
        <v>0</v>
      </c>
      <c r="CG822" s="199">
        <f>'Detailed Budget'!$AD$176</f>
        <v>20662817754.37001</v>
      </c>
      <c r="CH822" s="275">
        <f t="shared" si="1003"/>
        <v>0</v>
      </c>
      <c r="CI822" s="275">
        <f t="shared" si="992"/>
        <v>0</v>
      </c>
      <c r="CJ822" s="275">
        <f>'Detailed Budget'!$AD$178</f>
        <v>46025131033.061455</v>
      </c>
      <c r="CK822" s="275">
        <f t="shared" si="1004"/>
        <v>0</v>
      </c>
      <c r="CL822" s="275">
        <f t="shared" si="991"/>
        <v>0</v>
      </c>
      <c r="CM822" s="278">
        <f>'Detailed Budget'!$AD$189</f>
        <v>77498869683.252869</v>
      </c>
      <c r="CN822" s="275">
        <f t="shared" si="968"/>
        <v>90638775.342078641</v>
      </c>
      <c r="CO822" s="140">
        <f>'Detailed Budget'!$AD$191</f>
        <v>2684962805.4134097</v>
      </c>
      <c r="CP822" s="616">
        <f t="shared" si="969"/>
        <v>3140197.2895392119</v>
      </c>
      <c r="CQ822" s="616">
        <f t="shared" si="970"/>
        <v>93778972.631617859</v>
      </c>
      <c r="CR822" s="199">
        <f>'Detailed Budget'!$AD$195</f>
        <v>18734176418</v>
      </c>
      <c r="CS822" s="275">
        <f t="shared" si="1005"/>
        <v>22194116.115919001</v>
      </c>
      <c r="CW822" s="278"/>
      <c r="DH822" s="140">
        <f>'Detailed Budget'!$AD$163</f>
        <v>4928560000</v>
      </c>
      <c r="DI822" s="616">
        <f t="shared" si="1006"/>
        <v>5600000</v>
      </c>
    </row>
    <row r="823" spans="1:113" outlineLevel="1">
      <c r="A823" s="214" t="s">
        <v>1678</v>
      </c>
      <c r="B823" s="215" t="s">
        <v>1679</v>
      </c>
      <c r="C823" s="216" t="s">
        <v>234</v>
      </c>
      <c r="D823" s="217"/>
      <c r="E823" s="216"/>
      <c r="F823" s="216"/>
      <c r="G823" s="216" t="s">
        <v>234</v>
      </c>
      <c r="H823" s="216" t="s">
        <v>234</v>
      </c>
      <c r="I823" s="217" t="s">
        <v>234</v>
      </c>
      <c r="J823" s="217"/>
      <c r="K823" s="216"/>
      <c r="L823" s="216"/>
      <c r="M823" s="217" t="s">
        <v>234</v>
      </c>
      <c r="N823" s="216"/>
      <c r="O823" s="217"/>
      <c r="P823" s="216"/>
      <c r="Q823" s="217"/>
      <c r="R823" s="217" t="s">
        <v>234</v>
      </c>
      <c r="S823" s="217"/>
      <c r="T823" s="217"/>
      <c r="U823" s="218">
        <f t="shared" si="1010"/>
        <v>6</v>
      </c>
      <c r="V823" s="867" t="s">
        <v>235</v>
      </c>
      <c r="W823" s="219">
        <v>144136</v>
      </c>
      <c r="X823" s="220">
        <v>3.01</v>
      </c>
      <c r="Y823" s="221">
        <f t="shared" si="953"/>
        <v>1.0301</v>
      </c>
      <c r="Z823" s="199">
        <v>19</v>
      </c>
      <c r="AA823" s="221">
        <f t="shared" si="954"/>
        <v>1.7567435038184733</v>
      </c>
      <c r="AB823" s="199">
        <f t="shared" si="1008"/>
        <v>253209.98166637946</v>
      </c>
      <c r="AC823">
        <v>12.7</v>
      </c>
      <c r="AD823" s="199">
        <f t="shared" si="1009"/>
        <v>32157.667671630192</v>
      </c>
      <c r="AE823" s="199">
        <f t="shared" si="955"/>
        <v>30549.784288048682</v>
      </c>
      <c r="AF823" s="199">
        <f t="shared" si="975"/>
        <v>0</v>
      </c>
      <c r="AG823" s="614">
        <f t="shared" si="972"/>
        <v>1.4124879094133751E-3</v>
      </c>
      <c r="AH823" s="199">
        <f t="shared" si="1007"/>
        <v>12660.499083318973</v>
      </c>
      <c r="AI823" s="252">
        <f t="shared" si="952"/>
        <v>9.8078968145493364E-4</v>
      </c>
      <c r="AJ823" s="199">
        <f t="shared" si="956"/>
        <v>44818.166754949169</v>
      </c>
      <c r="AK823" s="199">
        <f t="shared" si="976"/>
        <v>10128.399266655179</v>
      </c>
      <c r="AL823" s="199">
        <f t="shared" si="977"/>
        <v>10128.399266655179</v>
      </c>
      <c r="AM823" s="199">
        <f t="shared" si="957"/>
        <v>20256.798533310357</v>
      </c>
      <c r="AN823" s="645">
        <f t="shared" si="958"/>
        <v>9.8078968145493364E-4</v>
      </c>
      <c r="AO823" s="199">
        <v>10</v>
      </c>
      <c r="AP823" s="250">
        <f t="shared" si="959"/>
        <v>1.1362345188046814E-3</v>
      </c>
      <c r="AQ823" s="199">
        <v>10</v>
      </c>
      <c r="AU823" s="199">
        <v>0</v>
      </c>
      <c r="AW823" s="250">
        <f t="shared" si="960"/>
        <v>0</v>
      </c>
      <c r="AX823" s="199">
        <v>1</v>
      </c>
      <c r="AY823" s="199">
        <f t="shared" si="996"/>
        <v>14663.86472730945</v>
      </c>
      <c r="AZ823" s="199">
        <f t="shared" si="961"/>
        <v>14663.86472730945</v>
      </c>
      <c r="BA823" s="252">
        <f t="shared" si="962"/>
        <v>1.1526749259534298E-3</v>
      </c>
      <c r="BB823" s="284">
        <v>0</v>
      </c>
      <c r="BC823" s="199">
        <f t="shared" si="997"/>
        <v>0</v>
      </c>
      <c r="BD823" s="270">
        <f t="shared" si="993"/>
        <v>0</v>
      </c>
      <c r="BE823" s="199">
        <f t="shared" si="998"/>
        <v>0</v>
      </c>
      <c r="BF823" s="251">
        <f t="shared" si="994"/>
        <v>0</v>
      </c>
      <c r="BG823" s="204">
        <f t="shared" si="999"/>
        <v>0</v>
      </c>
      <c r="BH823" s="636">
        <v>1</v>
      </c>
      <c r="BI823" s="199">
        <f t="shared" si="963"/>
        <v>77482.254389912123</v>
      </c>
      <c r="BJ823" s="199">
        <f t="shared" si="964"/>
        <v>154964.50877982425</v>
      </c>
      <c r="BK823" s="199">
        <f t="shared" si="971"/>
        <v>232446.76316973637</v>
      </c>
      <c r="BL823" s="251">
        <f t="shared" si="965"/>
        <v>9.8078968145493364E-4</v>
      </c>
      <c r="BM823" s="199">
        <f t="shared" si="1000"/>
        <v>23006.288407393404</v>
      </c>
      <c r="BN823" s="251">
        <f t="shared" si="966"/>
        <v>9.9348308173817382E-4</v>
      </c>
      <c r="BT823" s="199">
        <f>'Detailed Budget'!$AD$12</f>
        <v>194045122715</v>
      </c>
      <c r="BU823" s="199">
        <f>'Detailed Budget'!$AD$24</f>
        <v>194045122715</v>
      </c>
      <c r="BV823" s="596">
        <f t="shared" si="1001"/>
        <v>0</v>
      </c>
      <c r="BW823" s="278"/>
      <c r="BX823" s="275">
        <f t="shared" si="950"/>
        <v>0</v>
      </c>
      <c r="BY823" s="275">
        <f t="shared" si="951"/>
        <v>0</v>
      </c>
      <c r="CA823" s="199">
        <f>'Detailed Budget'!$AD$96</f>
        <v>71050111380.677719</v>
      </c>
      <c r="CB823" s="275">
        <f t="shared" si="967"/>
        <v>81897681.874705628</v>
      </c>
      <c r="CE823" s="199">
        <f>'Detailed Budget'!$AD$175</f>
        <v>4330586076.5988197</v>
      </c>
      <c r="CF823" s="275">
        <f t="shared" si="1002"/>
        <v>0</v>
      </c>
      <c r="CG823" s="199">
        <f>'Detailed Budget'!$AD$176</f>
        <v>20662817754.37001</v>
      </c>
      <c r="CH823" s="275">
        <f t="shared" si="1003"/>
        <v>0</v>
      </c>
      <c r="CI823" s="275">
        <f t="shared" si="992"/>
        <v>0</v>
      </c>
      <c r="CJ823" s="275">
        <f>'Detailed Budget'!$AD$178</f>
        <v>46025131033.061455</v>
      </c>
      <c r="CK823" s="275">
        <f t="shared" si="1004"/>
        <v>0</v>
      </c>
      <c r="CL823" s="275">
        <f t="shared" si="991"/>
        <v>0</v>
      </c>
      <c r="CM823" s="278">
        <f>'Detailed Budget'!$AD$189</f>
        <v>77498869683.252869</v>
      </c>
      <c r="CN823" s="275">
        <f t="shared" si="968"/>
        <v>76010091.709754989</v>
      </c>
      <c r="CO823" s="140">
        <f>'Detailed Budget'!$AD$191</f>
        <v>2684962805.4134097</v>
      </c>
      <c r="CP823" s="616">
        <f t="shared" si="969"/>
        <v>2633383.814639763</v>
      </c>
      <c r="CQ823" s="616">
        <f t="shared" si="970"/>
        <v>78643475.524394751</v>
      </c>
      <c r="CR823" s="199">
        <f>'Detailed Budget'!$AD$195</f>
        <v>18734176418</v>
      </c>
      <c r="CS823" s="275">
        <f t="shared" si="1005"/>
        <v>18612087.321581263</v>
      </c>
      <c r="CW823" s="278"/>
      <c r="DH823" s="140">
        <f>'Detailed Budget'!$AD$163</f>
        <v>4928560000</v>
      </c>
      <c r="DI823" s="616">
        <f t="shared" si="1006"/>
        <v>5600000</v>
      </c>
    </row>
    <row r="824" spans="1:113" outlineLevel="1">
      <c r="A824" s="214" t="s">
        <v>1680</v>
      </c>
      <c r="B824" s="215" t="s">
        <v>1681</v>
      </c>
      <c r="C824" s="216" t="s">
        <v>234</v>
      </c>
      <c r="D824" s="217"/>
      <c r="E824" s="216"/>
      <c r="F824" s="216"/>
      <c r="G824" s="216" t="s">
        <v>234</v>
      </c>
      <c r="H824" s="216" t="s">
        <v>234</v>
      </c>
      <c r="I824" s="217" t="s">
        <v>234</v>
      </c>
      <c r="J824" s="217"/>
      <c r="K824" s="216"/>
      <c r="L824" s="216"/>
      <c r="M824" s="217" t="s">
        <v>234</v>
      </c>
      <c r="N824" s="216"/>
      <c r="O824" s="217"/>
      <c r="P824" s="216"/>
      <c r="Q824" s="217"/>
      <c r="R824" s="217" t="s">
        <v>234</v>
      </c>
      <c r="S824" s="217"/>
      <c r="T824" s="217"/>
      <c r="U824" s="218">
        <f t="shared" si="1010"/>
        <v>6</v>
      </c>
      <c r="V824" s="867" t="s">
        <v>235</v>
      </c>
      <c r="W824" s="219">
        <v>232287</v>
      </c>
      <c r="X824" s="220">
        <v>3.01</v>
      </c>
      <c r="Y824" s="221">
        <f t="shared" si="953"/>
        <v>1.0301</v>
      </c>
      <c r="Z824" s="199">
        <v>19</v>
      </c>
      <c r="AA824" s="221">
        <f t="shared" si="954"/>
        <v>1.7567435038184733</v>
      </c>
      <c r="AB824" s="199">
        <f t="shared" si="1008"/>
        <v>408068.67827148171</v>
      </c>
      <c r="AC824">
        <v>12.7</v>
      </c>
      <c r="AD824" s="199">
        <f t="shared" si="1009"/>
        <v>51824.722140478174</v>
      </c>
      <c r="AE824" s="199">
        <f t="shared" si="955"/>
        <v>49233.486033454261</v>
      </c>
      <c r="AF824" s="199">
        <f t="shared" si="975"/>
        <v>0</v>
      </c>
      <c r="AG824" s="614">
        <f t="shared" si="972"/>
        <v>2.2763402551333784E-3</v>
      </c>
      <c r="AH824" s="199">
        <f t="shared" si="1007"/>
        <v>20403.433913574088</v>
      </c>
      <c r="AI824" s="252">
        <f t="shared" si="952"/>
        <v>1.5806231110626226E-3</v>
      </c>
      <c r="AJ824" s="199">
        <f t="shared" si="956"/>
        <v>72228.156054052262</v>
      </c>
      <c r="AK824" s="199">
        <f t="shared" si="976"/>
        <v>16322.747130859269</v>
      </c>
      <c r="AL824" s="199">
        <f t="shared" si="977"/>
        <v>16322.747130859269</v>
      </c>
      <c r="AM824" s="199">
        <f t="shared" si="957"/>
        <v>32645.494261718537</v>
      </c>
      <c r="AN824" s="645">
        <f t="shared" si="958"/>
        <v>1.5806231110626224E-3</v>
      </c>
      <c r="AO824" s="199">
        <v>11</v>
      </c>
      <c r="AP824" s="250">
        <f t="shared" si="959"/>
        <v>1.2498579706851495E-3</v>
      </c>
      <c r="AQ824" s="199">
        <v>11</v>
      </c>
      <c r="AU824" s="199">
        <v>0</v>
      </c>
      <c r="AW824" s="250">
        <f t="shared" si="960"/>
        <v>0</v>
      </c>
      <c r="AX824" s="199">
        <v>1</v>
      </c>
      <c r="AY824" s="199">
        <f t="shared" si="996"/>
        <v>23632.022159020162</v>
      </c>
      <c r="AZ824" s="199">
        <f t="shared" si="961"/>
        <v>23632.022159020162</v>
      </c>
      <c r="BA824" s="252">
        <f t="shared" si="962"/>
        <v>1.8576302972535964E-3</v>
      </c>
      <c r="BB824" s="284">
        <v>0</v>
      </c>
      <c r="BC824" s="199">
        <f t="shared" si="997"/>
        <v>0</v>
      </c>
      <c r="BD824" s="270">
        <f t="shared" si="993"/>
        <v>0</v>
      </c>
      <c r="BE824" s="199">
        <f t="shared" si="998"/>
        <v>0</v>
      </c>
      <c r="BF824" s="251">
        <f t="shared" si="994"/>
        <v>0</v>
      </c>
      <c r="BG824" s="204">
        <f t="shared" si="999"/>
        <v>0</v>
      </c>
      <c r="BH824" s="636">
        <v>1</v>
      </c>
      <c r="BI824" s="199">
        <f t="shared" si="963"/>
        <v>124869.01555107342</v>
      </c>
      <c r="BJ824" s="199">
        <f t="shared" si="964"/>
        <v>249738.03110214684</v>
      </c>
      <c r="BK824" s="199">
        <f t="shared" si="971"/>
        <v>374607.04665322026</v>
      </c>
      <c r="BL824" s="251">
        <f t="shared" si="965"/>
        <v>1.5806231110626226E-3</v>
      </c>
      <c r="BM824" s="199">
        <f t="shared" si="1000"/>
        <v>37076.522973359832</v>
      </c>
      <c r="BN824" s="251">
        <f t="shared" si="966"/>
        <v>1.6010795679616144E-3</v>
      </c>
      <c r="BT824" s="199">
        <f>'Detailed Budget'!$AD$12</f>
        <v>194045122715</v>
      </c>
      <c r="BU824" s="199">
        <f>'Detailed Budget'!$AD$24</f>
        <v>194045122715</v>
      </c>
      <c r="BV824" s="596">
        <f t="shared" si="1001"/>
        <v>0</v>
      </c>
      <c r="BW824" s="278"/>
      <c r="BX824" s="275">
        <f t="shared" si="950"/>
        <v>0</v>
      </c>
      <c r="BY824" s="275">
        <f t="shared" si="951"/>
        <v>0</v>
      </c>
      <c r="CA824" s="199">
        <f>'Detailed Budget'!$AD$96</f>
        <v>71050111380.677719</v>
      </c>
      <c r="CB824" s="275">
        <f t="shared" si="967"/>
        <v>131984839.52398948</v>
      </c>
      <c r="CE824" s="199">
        <f>'Detailed Budget'!$AD$175</f>
        <v>4330586076.5988197</v>
      </c>
      <c r="CF824" s="275">
        <f t="shared" si="1002"/>
        <v>0</v>
      </c>
      <c r="CG824" s="199">
        <f>'Detailed Budget'!$AD$176</f>
        <v>20662817754.37001</v>
      </c>
      <c r="CH824" s="275">
        <f t="shared" si="1003"/>
        <v>0</v>
      </c>
      <c r="CI824" s="275">
        <f t="shared" si="992"/>
        <v>0</v>
      </c>
      <c r="CJ824" s="275">
        <f>'Detailed Budget'!$AD$178</f>
        <v>46025131033.061455</v>
      </c>
      <c r="CK824" s="275">
        <f t="shared" si="1004"/>
        <v>0</v>
      </c>
      <c r="CL824" s="275">
        <f t="shared" si="991"/>
        <v>0</v>
      </c>
      <c r="CM824" s="278">
        <f>'Detailed Budget'!$AD$189</f>
        <v>77498869683.252869</v>
      </c>
      <c r="CN824" s="275">
        <f t="shared" si="968"/>
        <v>122496504.50257991</v>
      </c>
      <c r="CO824" s="140">
        <f>'Detailed Budget'!$AD$191</f>
        <v>2684962805.4134097</v>
      </c>
      <c r="CP824" s="616">
        <f t="shared" si="969"/>
        <v>4243914.2625799701</v>
      </c>
      <c r="CQ824" s="616">
        <f t="shared" si="970"/>
        <v>126740418.76515988</v>
      </c>
      <c r="CR824" s="199">
        <f>'Detailed Budget'!$AD$195</f>
        <v>18734176418</v>
      </c>
      <c r="CS824" s="275">
        <f t="shared" si="1005"/>
        <v>29994907.085448105</v>
      </c>
      <c r="CW824" s="278"/>
      <c r="DH824" s="140">
        <f>'Detailed Budget'!$AD$163</f>
        <v>4928560000</v>
      </c>
      <c r="DI824" s="616">
        <f t="shared" si="1006"/>
        <v>6160000</v>
      </c>
    </row>
    <row r="825" spans="1:113" outlineLevel="1">
      <c r="A825" s="214" t="s">
        <v>1682</v>
      </c>
      <c r="B825" s="215" t="s">
        <v>1683</v>
      </c>
      <c r="C825" s="216" t="s">
        <v>234</v>
      </c>
      <c r="D825" s="217"/>
      <c r="E825" s="216"/>
      <c r="F825" s="216"/>
      <c r="G825" s="216" t="s">
        <v>234</v>
      </c>
      <c r="H825" s="216" t="s">
        <v>234</v>
      </c>
      <c r="I825" s="217" t="s">
        <v>234</v>
      </c>
      <c r="J825" s="217"/>
      <c r="K825" s="216"/>
      <c r="L825" s="216"/>
      <c r="M825" s="217" t="s">
        <v>234</v>
      </c>
      <c r="N825" s="216"/>
      <c r="O825" s="217"/>
      <c r="P825" s="216"/>
      <c r="Q825" s="217"/>
      <c r="R825" s="217" t="s">
        <v>234</v>
      </c>
      <c r="S825" s="217"/>
      <c r="T825" s="217"/>
      <c r="U825" s="218">
        <f t="shared" si="1010"/>
        <v>6</v>
      </c>
      <c r="V825" s="867" t="s">
        <v>235</v>
      </c>
      <c r="W825" s="219">
        <v>234138</v>
      </c>
      <c r="X825" s="220">
        <v>3.01</v>
      </c>
      <c r="Y825" s="221">
        <f t="shared" si="953"/>
        <v>1.0301</v>
      </c>
      <c r="Z825" s="199">
        <v>19</v>
      </c>
      <c r="AA825" s="221">
        <f t="shared" si="954"/>
        <v>1.7567435038184733</v>
      </c>
      <c r="AB825" s="199">
        <f t="shared" si="1008"/>
        <v>411320.41049704968</v>
      </c>
      <c r="AC825">
        <v>12.7</v>
      </c>
      <c r="AD825" s="199">
        <f t="shared" si="1009"/>
        <v>52237.692133125311</v>
      </c>
      <c r="AE825" s="199">
        <f t="shared" si="955"/>
        <v>49625.807526469041</v>
      </c>
      <c r="AF825" s="199">
        <f t="shared" si="975"/>
        <v>0</v>
      </c>
      <c r="AG825" s="614">
        <f t="shared" si="972"/>
        <v>2.2944794786467558E-3</v>
      </c>
      <c r="AH825" s="199">
        <f t="shared" si="1007"/>
        <v>20566.020524852487</v>
      </c>
      <c r="AI825" s="252">
        <f t="shared" si="952"/>
        <v>1.5932184494955822E-3</v>
      </c>
      <c r="AJ825" s="199">
        <f t="shared" si="956"/>
        <v>72803.712657977798</v>
      </c>
      <c r="AK825" s="199">
        <f t="shared" si="976"/>
        <v>16452.816419881987</v>
      </c>
      <c r="AL825" s="199">
        <f t="shared" si="977"/>
        <v>16452.816419881987</v>
      </c>
      <c r="AM825" s="199">
        <f t="shared" si="957"/>
        <v>32905.632839763974</v>
      </c>
      <c r="AN825" s="645">
        <f t="shared" si="958"/>
        <v>1.593218449495582E-3</v>
      </c>
      <c r="AO825" s="199">
        <v>13</v>
      </c>
      <c r="AP825" s="250">
        <f t="shared" si="959"/>
        <v>1.4771048744460858E-3</v>
      </c>
      <c r="AQ825" s="199">
        <v>13</v>
      </c>
      <c r="AU825" s="199">
        <v>0</v>
      </c>
      <c r="AW825" s="250">
        <f t="shared" si="960"/>
        <v>0</v>
      </c>
      <c r="AX825" s="199">
        <v>1</v>
      </c>
      <c r="AY825" s="199">
        <f t="shared" si="996"/>
        <v>23820.336068177137</v>
      </c>
      <c r="AZ825" s="199">
        <f t="shared" si="961"/>
        <v>23820.336068177137</v>
      </c>
      <c r="BA825" s="252">
        <f t="shared" si="962"/>
        <v>1.8724329925409624E-3</v>
      </c>
      <c r="BB825" s="284">
        <v>0</v>
      </c>
      <c r="BC825" s="199">
        <f t="shared" si="997"/>
        <v>0</v>
      </c>
      <c r="BD825" s="270">
        <f t="shared" si="993"/>
        <v>0</v>
      </c>
      <c r="BE825" s="199">
        <f t="shared" si="998"/>
        <v>0</v>
      </c>
      <c r="BF825" s="251">
        <f t="shared" si="994"/>
        <v>0</v>
      </c>
      <c r="BG825" s="204">
        <f t="shared" si="999"/>
        <v>0</v>
      </c>
      <c r="BH825" s="636">
        <v>1</v>
      </c>
      <c r="BI825" s="199">
        <f t="shared" si="963"/>
        <v>125864.04561209719</v>
      </c>
      <c r="BJ825" s="199">
        <f t="shared" si="964"/>
        <v>251728.09122419439</v>
      </c>
      <c r="BK825" s="199">
        <f t="shared" si="971"/>
        <v>377592.13683629158</v>
      </c>
      <c r="BL825" s="251">
        <f t="shared" si="965"/>
        <v>1.593218449495582E-3</v>
      </c>
      <c r="BM825" s="199">
        <f t="shared" si="1000"/>
        <v>37371.970605055481</v>
      </c>
      <c r="BN825" s="251">
        <f t="shared" si="966"/>
        <v>1.6138379155243143E-3</v>
      </c>
      <c r="BT825" s="199">
        <f>'Detailed Budget'!$AD$12</f>
        <v>194045122715</v>
      </c>
      <c r="BU825" s="199">
        <f>'Detailed Budget'!$AD$24</f>
        <v>194045122715</v>
      </c>
      <c r="BV825" s="596">
        <f t="shared" si="1001"/>
        <v>0</v>
      </c>
      <c r="BW825" s="278"/>
      <c r="BX825" s="275">
        <f t="shared" si="950"/>
        <v>0</v>
      </c>
      <c r="BY825" s="275">
        <f t="shared" si="951"/>
        <v>0</v>
      </c>
      <c r="CA825" s="199">
        <f>'Detailed Budget'!$AD$96</f>
        <v>71050111380.677719</v>
      </c>
      <c r="CB825" s="275">
        <f t="shared" si="967"/>
        <v>133036572.67289108</v>
      </c>
      <c r="CE825" s="199">
        <f>'Detailed Budget'!$AD$175</f>
        <v>4330586076.5988197</v>
      </c>
      <c r="CF825" s="275">
        <f t="shared" si="1002"/>
        <v>0</v>
      </c>
      <c r="CG825" s="199">
        <f>'Detailed Budget'!$AD$176</f>
        <v>20662817754.37001</v>
      </c>
      <c r="CH825" s="275">
        <f t="shared" si="1003"/>
        <v>0</v>
      </c>
      <c r="CI825" s="275">
        <f t="shared" si="992"/>
        <v>0</v>
      </c>
      <c r="CJ825" s="275">
        <f>'Detailed Budget'!$AD$178</f>
        <v>46025131033.061455</v>
      </c>
      <c r="CK825" s="275">
        <f t="shared" si="1004"/>
        <v>0</v>
      </c>
      <c r="CL825" s="275">
        <f t="shared" si="991"/>
        <v>0</v>
      </c>
      <c r="CM825" s="278">
        <f>'Detailed Budget'!$AD$189</f>
        <v>77498869683.252869</v>
      </c>
      <c r="CN825" s="275">
        <f t="shared" si="968"/>
        <v>123472628.9944123</v>
      </c>
      <c r="CO825" s="140">
        <f>'Detailed Budget'!$AD$191</f>
        <v>2684962805.4134097</v>
      </c>
      <c r="CP825" s="616">
        <f t="shared" si="969"/>
        <v>4277732.2777940603</v>
      </c>
      <c r="CQ825" s="616">
        <f t="shared" si="970"/>
        <v>127750361.27220637</v>
      </c>
      <c r="CR825" s="199">
        <f>'Detailed Budget'!$AD$195</f>
        <v>18734176418</v>
      </c>
      <c r="CS825" s="275">
        <f t="shared" si="1005"/>
        <v>30233924.219489884</v>
      </c>
      <c r="CW825" s="278"/>
      <c r="DH825" s="140">
        <f>'Detailed Budget'!$AD$163</f>
        <v>4928560000</v>
      </c>
      <c r="DI825" s="616">
        <f t="shared" si="1006"/>
        <v>7280000.0000000009</v>
      </c>
    </row>
    <row r="826" spans="1:113" outlineLevel="1">
      <c r="A826" s="214" t="s">
        <v>1684</v>
      </c>
      <c r="B826" s="215" t="s">
        <v>1685</v>
      </c>
      <c r="C826" s="216" t="s">
        <v>234</v>
      </c>
      <c r="D826" s="217"/>
      <c r="E826" s="216"/>
      <c r="F826" s="216"/>
      <c r="G826" s="216" t="s">
        <v>234</v>
      </c>
      <c r="H826" s="216" t="s">
        <v>234</v>
      </c>
      <c r="I826" s="217" t="s">
        <v>234</v>
      </c>
      <c r="J826" s="217"/>
      <c r="K826" s="216"/>
      <c r="L826" s="216"/>
      <c r="M826" s="217"/>
      <c r="N826" s="216" t="s">
        <v>234</v>
      </c>
      <c r="O826" s="217"/>
      <c r="P826" s="216"/>
      <c r="Q826" s="217"/>
      <c r="R826" s="217" t="s">
        <v>234</v>
      </c>
      <c r="S826" s="217"/>
      <c r="T826" s="217"/>
      <c r="U826" s="218">
        <f t="shared" si="1010"/>
        <v>6</v>
      </c>
      <c r="V826" s="867" t="s">
        <v>235</v>
      </c>
      <c r="W826" s="219">
        <v>76092</v>
      </c>
      <c r="X826" s="220">
        <v>3.01</v>
      </c>
      <c r="Y826" s="221">
        <f t="shared" si="953"/>
        <v>1.0301</v>
      </c>
      <c r="Z826" s="199">
        <v>19</v>
      </c>
      <c r="AA826" s="221">
        <f t="shared" si="954"/>
        <v>1.7567435038184733</v>
      </c>
      <c r="AB826" s="199">
        <f t="shared" si="1008"/>
        <v>133674.12669255526</v>
      </c>
      <c r="AC826">
        <v>12.7</v>
      </c>
      <c r="AD826" s="199">
        <f t="shared" si="1009"/>
        <v>16976.614089954517</v>
      </c>
      <c r="AE826" s="199">
        <f t="shared" si="955"/>
        <v>16127.783385456791</v>
      </c>
      <c r="AF826" s="199">
        <f t="shared" si="975"/>
        <v>0</v>
      </c>
      <c r="AG826" s="614">
        <f t="shared" si="972"/>
        <v>7.4567790144781682E-4</v>
      </c>
      <c r="AH826" s="199">
        <f t="shared" si="1007"/>
        <v>6683.7063346277637</v>
      </c>
      <c r="AI826" s="252">
        <f t="shared" si="952"/>
        <v>5.1777660293936842E-4</v>
      </c>
      <c r="AJ826" s="199">
        <f t="shared" si="956"/>
        <v>23660.320424582282</v>
      </c>
      <c r="AK826" s="199">
        <f t="shared" si="976"/>
        <v>5346.9650677022109</v>
      </c>
      <c r="AL826" s="199">
        <f t="shared" si="977"/>
        <v>5346.9650677022109</v>
      </c>
      <c r="AM826" s="199">
        <f t="shared" si="957"/>
        <v>10693.930135404422</v>
      </c>
      <c r="AN826" s="645">
        <f t="shared" si="958"/>
        <v>5.1777660293936842E-4</v>
      </c>
      <c r="AO826" s="199">
        <v>10</v>
      </c>
      <c r="AP826" s="250">
        <f t="shared" si="959"/>
        <v>1.1362345188046814E-3</v>
      </c>
      <c r="AQ826" s="199">
        <v>10</v>
      </c>
      <c r="AU826" s="199">
        <v>0</v>
      </c>
      <c r="AW826" s="250">
        <f t="shared" si="960"/>
        <v>0</v>
      </c>
      <c r="AX826" s="199">
        <v>1</v>
      </c>
      <c r="AY826" s="199">
        <f t="shared" si="996"/>
        <v>7741.3192736750743</v>
      </c>
      <c r="AZ826" s="199">
        <f t="shared" si="961"/>
        <v>7741.3192736750743</v>
      </c>
      <c r="BA826" s="252">
        <f t="shared" si="962"/>
        <v>6.0851793074352266E-4</v>
      </c>
      <c r="BB826" s="284">
        <v>0</v>
      </c>
      <c r="BC826" s="199">
        <f t="shared" si="997"/>
        <v>0</v>
      </c>
      <c r="BD826" s="270">
        <f t="shared" si="993"/>
        <v>0</v>
      </c>
      <c r="BE826" s="199">
        <f t="shared" si="998"/>
        <v>0</v>
      </c>
      <c r="BF826" s="251">
        <f t="shared" si="994"/>
        <v>0</v>
      </c>
      <c r="BG826" s="204">
        <f t="shared" si="999"/>
        <v>0</v>
      </c>
      <c r="BH826" s="636">
        <v>1</v>
      </c>
      <c r="BI826" s="199">
        <f t="shared" si="963"/>
        <v>40904.282767921919</v>
      </c>
      <c r="BJ826" s="199">
        <f t="shared" si="964"/>
        <v>81808.565535843838</v>
      </c>
      <c r="BK826" s="199">
        <f t="shared" si="971"/>
        <v>122712.84830376576</v>
      </c>
      <c r="BL826" s="251">
        <f t="shared" si="965"/>
        <v>5.1777660293936853E-4</v>
      </c>
      <c r="BM826" s="199">
        <f t="shared" si="1000"/>
        <v>12145.435543482399</v>
      </c>
      <c r="BN826" s="251">
        <f t="shared" si="966"/>
        <v>5.2447767841220193E-4</v>
      </c>
      <c r="BT826" s="199">
        <f>'Detailed Budget'!$AD$12</f>
        <v>194045122715</v>
      </c>
      <c r="BU826" s="199">
        <f>'Detailed Budget'!$AD$24</f>
        <v>194045122715</v>
      </c>
      <c r="BV826" s="596">
        <f t="shared" si="1001"/>
        <v>0</v>
      </c>
      <c r="BW826" s="278"/>
      <c r="BX826" s="275">
        <f t="shared" si="950"/>
        <v>0</v>
      </c>
      <c r="BY826" s="275">
        <f t="shared" si="951"/>
        <v>0</v>
      </c>
      <c r="CA826" s="199">
        <f>'Detailed Budget'!$AD$96</f>
        <v>71050111380.677719</v>
      </c>
      <c r="CB826" s="275">
        <f t="shared" si="967"/>
        <v>43235266.756466813</v>
      </c>
      <c r="CE826" s="199">
        <f>'Detailed Budget'!$AD$175</f>
        <v>4330586076.5988197</v>
      </c>
      <c r="CF826" s="275">
        <f t="shared" si="1002"/>
        <v>0</v>
      </c>
      <c r="CG826" s="199">
        <f>'Detailed Budget'!$AD$176</f>
        <v>20662817754.37001</v>
      </c>
      <c r="CH826" s="275">
        <f t="shared" si="1003"/>
        <v>0</v>
      </c>
      <c r="CI826" s="275">
        <f t="shared" si="992"/>
        <v>0</v>
      </c>
      <c r="CJ826" s="275">
        <f>'Detailed Budget'!$AD$178</f>
        <v>46025131033.061455</v>
      </c>
      <c r="CK826" s="275">
        <f t="shared" si="1004"/>
        <v>0</v>
      </c>
      <c r="CL826" s="275">
        <f t="shared" si="991"/>
        <v>0</v>
      </c>
      <c r="CM826" s="278">
        <f>'Detailed Budget'!$AD$189</f>
        <v>77498869683.252869</v>
      </c>
      <c r="CN826" s="275">
        <f t="shared" si="968"/>
        <v>40127101.476235487</v>
      </c>
      <c r="CO826" s="140">
        <f>'Detailed Budget'!$AD$191</f>
        <v>2684962805.4134097</v>
      </c>
      <c r="CP826" s="616">
        <f t="shared" si="969"/>
        <v>1390210.9204055117</v>
      </c>
      <c r="CQ826" s="616">
        <f t="shared" si="970"/>
        <v>41517312.396641001</v>
      </c>
      <c r="CR826" s="199">
        <f>'Detailed Budget'!$AD$195</f>
        <v>18734176418</v>
      </c>
      <c r="CS826" s="275">
        <f t="shared" si="1005"/>
        <v>9825657.3546772618</v>
      </c>
      <c r="CW826" s="278"/>
      <c r="DH826" s="140">
        <f>'Detailed Budget'!$AD$163</f>
        <v>4928560000</v>
      </c>
      <c r="DI826" s="616">
        <f t="shared" si="1006"/>
        <v>5600000</v>
      </c>
    </row>
    <row r="827" spans="1:113" outlineLevel="1">
      <c r="A827" s="214" t="s">
        <v>1686</v>
      </c>
      <c r="B827" s="215" t="s">
        <v>1687</v>
      </c>
      <c r="C827" s="216" t="s">
        <v>234</v>
      </c>
      <c r="D827" s="217"/>
      <c r="E827" s="216"/>
      <c r="F827" s="216"/>
      <c r="G827" s="216" t="s">
        <v>234</v>
      </c>
      <c r="H827" s="216" t="s">
        <v>234</v>
      </c>
      <c r="I827" s="217" t="s">
        <v>234</v>
      </c>
      <c r="J827" s="217"/>
      <c r="K827" s="216"/>
      <c r="L827" s="216"/>
      <c r="M827" s="217"/>
      <c r="N827" s="216" t="s">
        <v>234</v>
      </c>
      <c r="O827" s="217"/>
      <c r="P827" s="216"/>
      <c r="Q827" s="217"/>
      <c r="R827" s="217" t="s">
        <v>234</v>
      </c>
      <c r="S827" s="217"/>
      <c r="T827" s="217"/>
      <c r="U827" s="218">
        <f t="shared" si="1010"/>
        <v>6</v>
      </c>
      <c r="V827" s="867" t="s">
        <v>235</v>
      </c>
      <c r="W827" s="219">
        <v>288868</v>
      </c>
      <c r="X827" s="220">
        <v>3.01</v>
      </c>
      <c r="Y827" s="221">
        <f t="shared" si="953"/>
        <v>1.0301</v>
      </c>
      <c r="Z827" s="199">
        <v>19</v>
      </c>
      <c r="AA827" s="221">
        <f t="shared" si="954"/>
        <v>1.7567435038184733</v>
      </c>
      <c r="AB827" s="199">
        <f t="shared" si="1008"/>
        <v>507466.98246103473</v>
      </c>
      <c r="AC827">
        <v>12.7</v>
      </c>
      <c r="AD827" s="199">
        <f t="shared" si="1009"/>
        <v>64448.306772551405</v>
      </c>
      <c r="AE827" s="199">
        <f t="shared" si="955"/>
        <v>61225.891433923833</v>
      </c>
      <c r="AF827" s="199">
        <f t="shared" si="975"/>
        <v>0</v>
      </c>
      <c r="AG827" s="614">
        <f t="shared" si="972"/>
        <v>2.8308164332049093E-3</v>
      </c>
      <c r="AH827" s="199">
        <f t="shared" si="1007"/>
        <v>25373.349123051739</v>
      </c>
      <c r="AI827" s="252">
        <f t="shared" si="952"/>
        <v>1.9656349121837972E-3</v>
      </c>
      <c r="AJ827" s="199">
        <f t="shared" si="956"/>
        <v>89821.655895603151</v>
      </c>
      <c r="AK827" s="199">
        <f t="shared" si="976"/>
        <v>20298.679298441388</v>
      </c>
      <c r="AL827" s="199">
        <f t="shared" si="977"/>
        <v>20298.679298441388</v>
      </c>
      <c r="AM827" s="199">
        <f t="shared" si="957"/>
        <v>40597.358596882776</v>
      </c>
      <c r="AN827" s="645">
        <f t="shared" si="958"/>
        <v>1.9656349121837968E-3</v>
      </c>
      <c r="AO827" s="199">
        <v>12</v>
      </c>
      <c r="AP827" s="250">
        <f t="shared" si="959"/>
        <v>1.3634814225656176E-3</v>
      </c>
      <c r="AQ827" s="199">
        <v>12</v>
      </c>
      <c r="AU827" s="199">
        <v>0</v>
      </c>
      <c r="AW827" s="250">
        <f t="shared" si="960"/>
        <v>0</v>
      </c>
      <c r="AX827" s="199">
        <v>1</v>
      </c>
      <c r="AY827" s="199">
        <f t="shared" si="996"/>
        <v>29388.364295168634</v>
      </c>
      <c r="AZ827" s="199">
        <f t="shared" si="961"/>
        <v>29388.364295168634</v>
      </c>
      <c r="BA827" s="252">
        <f t="shared" si="962"/>
        <v>2.3101161438524409E-3</v>
      </c>
      <c r="BB827" s="284">
        <v>0</v>
      </c>
      <c r="BC827" s="199">
        <f t="shared" si="997"/>
        <v>0</v>
      </c>
      <c r="BD827" s="270">
        <f t="shared" si="993"/>
        <v>0</v>
      </c>
      <c r="BE827" s="199">
        <f t="shared" si="998"/>
        <v>0</v>
      </c>
      <c r="BF827" s="251">
        <f t="shared" si="994"/>
        <v>0</v>
      </c>
      <c r="BG827" s="204">
        <f t="shared" si="999"/>
        <v>0</v>
      </c>
      <c r="BH827" s="636">
        <v>1</v>
      </c>
      <c r="BI827" s="199">
        <f t="shared" si="963"/>
        <v>155284.8966330766</v>
      </c>
      <c r="BJ827" s="199">
        <f t="shared" si="964"/>
        <v>310569.7932661532</v>
      </c>
      <c r="BK827" s="199">
        <f t="shared" si="971"/>
        <v>465854.68989922979</v>
      </c>
      <c r="BL827" s="251">
        <f t="shared" si="965"/>
        <v>1.9656349121837963E-3</v>
      </c>
      <c r="BM827" s="199">
        <f t="shared" si="1000"/>
        <v>46107.707440659644</v>
      </c>
      <c r="BN827" s="251">
        <f t="shared" si="966"/>
        <v>1.9910741997526144E-3</v>
      </c>
      <c r="BT827" s="199">
        <f>'Detailed Budget'!$AD$12</f>
        <v>194045122715</v>
      </c>
      <c r="BU827" s="199">
        <f>'Detailed Budget'!$AD$24</f>
        <v>194045122715</v>
      </c>
      <c r="BV827" s="596">
        <f t="shared" si="1001"/>
        <v>0</v>
      </c>
      <c r="BW827" s="278"/>
      <c r="BX827" s="275">
        <f t="shared" si="950"/>
        <v>0</v>
      </c>
      <c r="BY827" s="275">
        <f t="shared" si="951"/>
        <v>0</v>
      </c>
      <c r="CA827" s="199">
        <f>'Detailed Budget'!$AD$96</f>
        <v>71050111380.677719</v>
      </c>
      <c r="CB827" s="275">
        <f t="shared" si="967"/>
        <v>164134009.32301763</v>
      </c>
      <c r="CE827" s="199">
        <f>'Detailed Budget'!$AD$175</f>
        <v>4330586076.5988197</v>
      </c>
      <c r="CF827" s="275">
        <f t="shared" si="1002"/>
        <v>0</v>
      </c>
      <c r="CG827" s="199">
        <f>'Detailed Budget'!$AD$176</f>
        <v>20662817754.37001</v>
      </c>
      <c r="CH827" s="275">
        <f t="shared" si="1003"/>
        <v>0</v>
      </c>
      <c r="CI827" s="275">
        <f t="shared" si="992"/>
        <v>0</v>
      </c>
      <c r="CJ827" s="275">
        <f>'Detailed Budget'!$AD$178</f>
        <v>46025131033.061455</v>
      </c>
      <c r="CK827" s="275">
        <f t="shared" si="1004"/>
        <v>0</v>
      </c>
      <c r="CL827" s="275">
        <f t="shared" si="991"/>
        <v>0</v>
      </c>
      <c r="CM827" s="278">
        <f>'Detailed Budget'!$AD$189</f>
        <v>77498869683.252869</v>
      </c>
      <c r="CN827" s="275">
        <f t="shared" si="968"/>
        <v>152334483.90418422</v>
      </c>
      <c r="CO827" s="140">
        <f>'Detailed Budget'!$AD$191</f>
        <v>2684962805.4134097</v>
      </c>
      <c r="CP827" s="616">
        <f t="shared" si="969"/>
        <v>5277656.6282355478</v>
      </c>
      <c r="CQ827" s="616">
        <f t="shared" si="970"/>
        <v>157612140.53241977</v>
      </c>
      <c r="CR827" s="199">
        <f>'Detailed Budget'!$AD$195</f>
        <v>18734176418</v>
      </c>
      <c r="CS827" s="275">
        <f t="shared" si="1005"/>
        <v>37301135.319493651</v>
      </c>
      <c r="CW827" s="278"/>
      <c r="DH827" s="140">
        <f>'Detailed Budget'!$AD$163</f>
        <v>4928560000</v>
      </c>
      <c r="DI827" s="616">
        <f t="shared" si="1006"/>
        <v>6720000</v>
      </c>
    </row>
    <row r="828" spans="1:113" outlineLevel="1">
      <c r="A828" s="214" t="s">
        <v>1688</v>
      </c>
      <c r="B828" s="215" t="s">
        <v>1689</v>
      </c>
      <c r="C828" s="216" t="s">
        <v>234</v>
      </c>
      <c r="D828" s="217"/>
      <c r="E828" s="216"/>
      <c r="F828" s="216"/>
      <c r="G828" s="216" t="s">
        <v>234</v>
      </c>
      <c r="H828" s="216" t="s">
        <v>234</v>
      </c>
      <c r="I828" s="217" t="s">
        <v>234</v>
      </c>
      <c r="J828" s="217"/>
      <c r="K828" s="216"/>
      <c r="L828" s="216"/>
      <c r="M828" s="217"/>
      <c r="N828" s="216" t="s">
        <v>234</v>
      </c>
      <c r="O828" s="217"/>
      <c r="P828" s="216"/>
      <c r="Q828" s="217"/>
      <c r="R828" s="217" t="s">
        <v>234</v>
      </c>
      <c r="S828" s="217"/>
      <c r="T828" s="217"/>
      <c r="U828" s="218">
        <f t="shared" si="1010"/>
        <v>6</v>
      </c>
      <c r="V828" s="867" t="s">
        <v>235</v>
      </c>
      <c r="W828" s="219">
        <v>144139</v>
      </c>
      <c r="X828" s="220">
        <v>3.01</v>
      </c>
      <c r="Y828" s="221">
        <f t="shared" si="953"/>
        <v>1.0301</v>
      </c>
      <c r="Z828" s="199">
        <v>19</v>
      </c>
      <c r="AA828" s="221">
        <f t="shared" si="954"/>
        <v>1.7567435038184733</v>
      </c>
      <c r="AB828" s="199">
        <f t="shared" si="1008"/>
        <v>253215.25189689093</v>
      </c>
      <c r="AC828">
        <v>12.7</v>
      </c>
      <c r="AD828" s="199">
        <f t="shared" si="1009"/>
        <v>32158.336990905147</v>
      </c>
      <c r="AE828" s="199">
        <f t="shared" si="955"/>
        <v>30550.420141359889</v>
      </c>
      <c r="AF828" s="199">
        <f t="shared" si="975"/>
        <v>0</v>
      </c>
      <c r="AG828" s="614">
        <f t="shared" si="972"/>
        <v>1.4125173084790371E-3</v>
      </c>
      <c r="AH828" s="199">
        <f t="shared" si="1007"/>
        <v>12660.762594844547</v>
      </c>
      <c r="AI828" s="252">
        <f t="shared" si="952"/>
        <v>9.8081009529356073E-4</v>
      </c>
      <c r="AJ828" s="199">
        <f t="shared" si="956"/>
        <v>44819.099585749696</v>
      </c>
      <c r="AK828" s="199">
        <f t="shared" si="976"/>
        <v>10128.610075875637</v>
      </c>
      <c r="AL828" s="199">
        <f t="shared" si="977"/>
        <v>10128.610075875637</v>
      </c>
      <c r="AM828" s="199">
        <f t="shared" si="957"/>
        <v>20257.220151751273</v>
      </c>
      <c r="AN828" s="645">
        <f t="shared" si="958"/>
        <v>9.8081009529356073E-4</v>
      </c>
      <c r="AO828" s="199">
        <v>12</v>
      </c>
      <c r="AP828" s="250">
        <f t="shared" si="959"/>
        <v>1.3634814225656176E-3</v>
      </c>
      <c r="AQ828" s="199">
        <v>12</v>
      </c>
      <c r="AU828" s="199">
        <v>0</v>
      </c>
      <c r="AW828" s="250">
        <f t="shared" si="960"/>
        <v>0</v>
      </c>
      <c r="AX828" s="199">
        <v>1</v>
      </c>
      <c r="AY828" s="199">
        <f t="shared" si="996"/>
        <v>14664.169936238392</v>
      </c>
      <c r="AZ828" s="199">
        <f t="shared" si="961"/>
        <v>14664.169936238392</v>
      </c>
      <c r="BA828" s="252">
        <f t="shared" si="962"/>
        <v>1.1526989173558406E-3</v>
      </c>
      <c r="BB828" s="284">
        <v>0</v>
      </c>
      <c r="BC828" s="199">
        <f t="shared" si="997"/>
        <v>0</v>
      </c>
      <c r="BD828" s="270">
        <f t="shared" si="993"/>
        <v>0</v>
      </c>
      <c r="BE828" s="199">
        <f t="shared" si="998"/>
        <v>0</v>
      </c>
      <c r="BF828" s="251">
        <f t="shared" si="994"/>
        <v>0</v>
      </c>
      <c r="BG828" s="204">
        <f t="shared" si="999"/>
        <v>0</v>
      </c>
      <c r="BH828" s="636">
        <v>1</v>
      </c>
      <c r="BI828" s="199">
        <f t="shared" si="963"/>
        <v>77483.867080448617</v>
      </c>
      <c r="BJ828" s="199">
        <f t="shared" si="964"/>
        <v>154967.73416089723</v>
      </c>
      <c r="BK828" s="199">
        <f t="shared" si="971"/>
        <v>232451.60124134587</v>
      </c>
      <c r="BL828" s="251">
        <f t="shared" si="965"/>
        <v>9.8081009529356073E-4</v>
      </c>
      <c r="BM828" s="199">
        <f t="shared" si="1000"/>
        <v>23006.767252825652</v>
      </c>
      <c r="BN828" s="251">
        <f t="shared" si="966"/>
        <v>9.9350375977312155E-4</v>
      </c>
      <c r="BT828" s="199">
        <f>'Detailed Budget'!$AD$12</f>
        <v>194045122715</v>
      </c>
      <c r="BU828" s="199">
        <f>'Detailed Budget'!$AD$24</f>
        <v>194045122715</v>
      </c>
      <c r="BV828" s="596">
        <f t="shared" si="1001"/>
        <v>0</v>
      </c>
      <c r="BW828" s="278"/>
      <c r="BX828" s="275">
        <f t="shared" si="950"/>
        <v>0</v>
      </c>
      <c r="BY828" s="275">
        <f t="shared" si="951"/>
        <v>0</v>
      </c>
      <c r="CA828" s="199">
        <f>'Detailed Budget'!$AD$96</f>
        <v>71050111380.677719</v>
      </c>
      <c r="CB828" s="275">
        <f t="shared" si="967"/>
        <v>81899386.466519088</v>
      </c>
      <c r="CE828" s="199">
        <f>'Detailed Budget'!$AD$175</f>
        <v>4330586076.5988197</v>
      </c>
      <c r="CF828" s="275">
        <f t="shared" si="1002"/>
        <v>0</v>
      </c>
      <c r="CG828" s="199">
        <f>'Detailed Budget'!$AD$176</f>
        <v>20662817754.37001</v>
      </c>
      <c r="CH828" s="275">
        <f t="shared" si="1003"/>
        <v>0</v>
      </c>
      <c r="CI828" s="275">
        <f t="shared" si="992"/>
        <v>0</v>
      </c>
      <c r="CJ828" s="275">
        <f>'Detailed Budget'!$AD$178</f>
        <v>46025131033.061455</v>
      </c>
      <c r="CK828" s="275">
        <f t="shared" si="1004"/>
        <v>0</v>
      </c>
      <c r="CL828" s="275">
        <f t="shared" si="991"/>
        <v>0</v>
      </c>
      <c r="CM828" s="278">
        <f>'Detailed Budget'!$AD$189</f>
        <v>77498869683.252869</v>
      </c>
      <c r="CN828" s="275">
        <f t="shared" si="968"/>
        <v>76011673.759174496</v>
      </c>
      <c r="CO828" s="140">
        <f>'Detailed Budget'!$AD$191</f>
        <v>2684962805.4134097</v>
      </c>
      <c r="CP828" s="616">
        <f t="shared" si="969"/>
        <v>2633438.6250371924</v>
      </c>
      <c r="CQ828" s="616">
        <f t="shared" si="970"/>
        <v>78645112.384211689</v>
      </c>
      <c r="CR828" s="199">
        <f>'Detailed Budget'!$AD$195</f>
        <v>18734176418</v>
      </c>
      <c r="CS828" s="275">
        <f t="shared" si="1005"/>
        <v>18612474.707535952</v>
      </c>
      <c r="CW828" s="278"/>
      <c r="DH828" s="140">
        <f>'Detailed Budget'!$AD$163</f>
        <v>4928560000</v>
      </c>
      <c r="DI828" s="616">
        <f t="shared" si="1006"/>
        <v>6720000</v>
      </c>
    </row>
    <row r="829" spans="1:113" outlineLevel="1">
      <c r="A829" s="214" t="s">
        <v>1690</v>
      </c>
      <c r="B829" s="215" t="s">
        <v>1691</v>
      </c>
      <c r="C829" s="216" t="s">
        <v>234</v>
      </c>
      <c r="D829" s="217"/>
      <c r="E829" s="216"/>
      <c r="F829" s="216"/>
      <c r="G829" s="216" t="s">
        <v>234</v>
      </c>
      <c r="H829" s="216" t="s">
        <v>234</v>
      </c>
      <c r="I829" s="217" t="s">
        <v>234</v>
      </c>
      <c r="J829" s="217"/>
      <c r="K829" s="216"/>
      <c r="L829" s="216"/>
      <c r="M829" s="217"/>
      <c r="N829" s="216" t="s">
        <v>234</v>
      </c>
      <c r="O829" s="217"/>
      <c r="P829" s="216"/>
      <c r="Q829" s="217"/>
      <c r="R829" s="217" t="s">
        <v>234</v>
      </c>
      <c r="S829" s="217"/>
      <c r="T829" s="217"/>
      <c r="U829" s="218">
        <f t="shared" si="1010"/>
        <v>6</v>
      </c>
      <c r="V829" s="867" t="s">
        <v>235</v>
      </c>
      <c r="W829" s="219">
        <v>222262</v>
      </c>
      <c r="X829" s="220">
        <v>3.01</v>
      </c>
      <c r="Y829" s="221">
        <f t="shared" si="953"/>
        <v>1.0301</v>
      </c>
      <c r="Z829" s="199">
        <v>19</v>
      </c>
      <c r="AA829" s="221">
        <f t="shared" si="954"/>
        <v>1.7567435038184733</v>
      </c>
      <c r="AB829" s="199">
        <f t="shared" si="1008"/>
        <v>390457.3246457015</v>
      </c>
      <c r="AC829">
        <v>12.7</v>
      </c>
      <c r="AD829" s="199">
        <f t="shared" si="1009"/>
        <v>49588.080230004089</v>
      </c>
      <c r="AE829" s="199">
        <f t="shared" si="955"/>
        <v>47108.676218503882</v>
      </c>
      <c r="AF829" s="199">
        <f t="shared" si="975"/>
        <v>0</v>
      </c>
      <c r="AG829" s="614">
        <f t="shared" si="972"/>
        <v>2.1780983773799435E-3</v>
      </c>
      <c r="AH829" s="199">
        <f t="shared" si="1007"/>
        <v>19522.866232285076</v>
      </c>
      <c r="AI829" s="252">
        <f t="shared" si="952"/>
        <v>1.5124068669835186E-3</v>
      </c>
      <c r="AJ829" s="199">
        <f t="shared" si="956"/>
        <v>69110.946462289168</v>
      </c>
      <c r="AK829" s="199">
        <f t="shared" si="976"/>
        <v>15618.29298582806</v>
      </c>
      <c r="AL829" s="199">
        <f t="shared" si="977"/>
        <v>15618.29298582806</v>
      </c>
      <c r="AM829" s="199">
        <f t="shared" si="957"/>
        <v>31236.585971656121</v>
      </c>
      <c r="AN829" s="645">
        <f t="shared" si="958"/>
        <v>1.5124068669835186E-3</v>
      </c>
      <c r="AO829" s="199">
        <v>11</v>
      </c>
      <c r="AP829" s="250">
        <f t="shared" si="959"/>
        <v>1.2498579706851495E-3</v>
      </c>
      <c r="AQ829" s="199">
        <v>11</v>
      </c>
      <c r="AU829" s="199">
        <v>0</v>
      </c>
      <c r="AW829" s="250">
        <f t="shared" si="960"/>
        <v>0</v>
      </c>
      <c r="AX829" s="199">
        <v>1</v>
      </c>
      <c r="AY829" s="199">
        <f t="shared" si="996"/>
        <v>22612.115654806941</v>
      </c>
      <c r="AZ829" s="199">
        <f t="shared" si="961"/>
        <v>22612.115654806941</v>
      </c>
      <c r="BA829" s="252">
        <f t="shared" si="962"/>
        <v>1.7774590275313679E-3</v>
      </c>
      <c r="BB829" s="284">
        <v>0</v>
      </c>
      <c r="BC829" s="199">
        <f t="shared" si="997"/>
        <v>0</v>
      </c>
      <c r="BD829" s="270">
        <f t="shared" si="993"/>
        <v>0</v>
      </c>
      <c r="BE829" s="199">
        <f t="shared" si="998"/>
        <v>0</v>
      </c>
      <c r="BF829" s="251">
        <f t="shared" si="994"/>
        <v>0</v>
      </c>
      <c r="BG829" s="204">
        <f t="shared" si="999"/>
        <v>0</v>
      </c>
      <c r="BH829" s="636">
        <v>1</v>
      </c>
      <c r="BI829" s="199">
        <f t="shared" si="963"/>
        <v>119479.94134158466</v>
      </c>
      <c r="BJ829" s="199">
        <f t="shared" si="964"/>
        <v>238959.88268316933</v>
      </c>
      <c r="BK829" s="199">
        <f t="shared" si="971"/>
        <v>358439.82402475399</v>
      </c>
      <c r="BL829" s="251">
        <f t="shared" si="965"/>
        <v>1.5124068669835186E-3</v>
      </c>
      <c r="BM829" s="199">
        <f t="shared" si="1000"/>
        <v>35476.381153938455</v>
      </c>
      <c r="BN829" s="251">
        <f t="shared" si="966"/>
        <v>1.5319804678448827E-3</v>
      </c>
      <c r="BT829" s="199">
        <f>'Detailed Budget'!$AD$12</f>
        <v>194045122715</v>
      </c>
      <c r="BU829" s="199">
        <f>'Detailed Budget'!$AD$24</f>
        <v>194045122715</v>
      </c>
      <c r="BV829" s="596">
        <f t="shared" si="1001"/>
        <v>0</v>
      </c>
      <c r="BW829" s="278"/>
      <c r="BX829" s="275">
        <f t="shared" si="950"/>
        <v>0</v>
      </c>
      <c r="BY829" s="275">
        <f t="shared" si="951"/>
        <v>0</v>
      </c>
      <c r="CA829" s="199">
        <f>'Detailed Budget'!$AD$96</f>
        <v>71050111380.677719</v>
      </c>
      <c r="CB829" s="275">
        <f t="shared" si="967"/>
        <v>126288661.88069479</v>
      </c>
      <c r="CE829" s="199">
        <f>'Detailed Budget'!$AD$175</f>
        <v>4330586076.5988197</v>
      </c>
      <c r="CF829" s="275">
        <f t="shared" si="1002"/>
        <v>0</v>
      </c>
      <c r="CG829" s="199">
        <f>'Detailed Budget'!$AD$176</f>
        <v>20662817754.37001</v>
      </c>
      <c r="CH829" s="275">
        <f t="shared" si="1003"/>
        <v>0</v>
      </c>
      <c r="CI829" s="275">
        <f t="shared" si="992"/>
        <v>0</v>
      </c>
      <c r="CJ829" s="275">
        <f>'Detailed Budget'!$AD$178</f>
        <v>46025131033.061455</v>
      </c>
      <c r="CK829" s="275">
        <f t="shared" si="1004"/>
        <v>0</v>
      </c>
      <c r="CL829" s="275">
        <f t="shared" si="991"/>
        <v>0</v>
      </c>
      <c r="CM829" s="278">
        <f>'Detailed Budget'!$AD$189</f>
        <v>77498869683.252869</v>
      </c>
      <c r="CN829" s="275">
        <f t="shared" si="968"/>
        <v>117209822.69241247</v>
      </c>
      <c r="CO829" s="140">
        <f>'Detailed Budget'!$AD$191</f>
        <v>2684962805.4134097</v>
      </c>
      <c r="CP829" s="616">
        <f t="shared" si="969"/>
        <v>4060756.1845025737</v>
      </c>
      <c r="CQ829" s="616">
        <f t="shared" si="970"/>
        <v>121270578.87691504</v>
      </c>
      <c r="CR829" s="199">
        <f>'Detailed Budget'!$AD$195</f>
        <v>18734176418</v>
      </c>
      <c r="CS829" s="275">
        <f t="shared" si="1005"/>
        <v>28700392.353536207</v>
      </c>
      <c r="CW829" s="278"/>
      <c r="DH829" s="140">
        <f>'Detailed Budget'!$AD$163</f>
        <v>4928560000</v>
      </c>
      <c r="DI829" s="616">
        <f t="shared" si="1006"/>
        <v>6160000</v>
      </c>
    </row>
    <row r="830" spans="1:113" outlineLevel="1">
      <c r="A830" s="214"/>
      <c r="B830" s="215"/>
      <c r="C830" s="216"/>
      <c r="D830" s="217"/>
      <c r="E830" s="216"/>
      <c r="F830" s="216"/>
      <c r="G830" s="216"/>
      <c r="H830" s="216"/>
      <c r="I830" s="217"/>
      <c r="J830" s="217"/>
      <c r="K830" s="216"/>
      <c r="L830" s="216"/>
      <c r="M830" s="217"/>
      <c r="N830" s="216"/>
      <c r="O830" s="217"/>
      <c r="P830" s="216"/>
      <c r="Q830" s="217"/>
      <c r="R830" s="217"/>
      <c r="S830" s="217"/>
      <c r="T830" s="217"/>
      <c r="U830" s="218"/>
      <c r="V830" s="867"/>
      <c r="W830" s="219"/>
      <c r="X830" s="220"/>
      <c r="Y830" s="221"/>
      <c r="Z830" s="199"/>
      <c r="AA830" s="221"/>
      <c r="AF830" s="199">
        <f t="shared" si="975"/>
        <v>0</v>
      </c>
      <c r="AG830" s="614">
        <f t="shared" si="972"/>
        <v>0</v>
      </c>
      <c r="AJ830" s="199"/>
      <c r="AK830" s="199">
        <f t="shared" si="976"/>
        <v>0</v>
      </c>
      <c r="AL830" s="199">
        <f t="shared" si="977"/>
        <v>0</v>
      </c>
      <c r="AM830" s="199">
        <f t="shared" si="957"/>
        <v>0</v>
      </c>
      <c r="AN830" s="645">
        <f t="shared" si="958"/>
        <v>0</v>
      </c>
      <c r="AP830" s="250">
        <f t="shared" si="959"/>
        <v>0</v>
      </c>
      <c r="AW830" s="250">
        <f t="shared" si="960"/>
        <v>0</v>
      </c>
      <c r="AX830" s="199"/>
      <c r="BA830" s="252">
        <f t="shared" si="962"/>
        <v>0</v>
      </c>
      <c r="BB830" s="284"/>
      <c r="BD830" s="270"/>
      <c r="BF830" s="251"/>
      <c r="BG830" s="204"/>
      <c r="BH830" s="636"/>
      <c r="BI830" s="199">
        <f t="shared" si="963"/>
        <v>0</v>
      </c>
      <c r="BJ830" s="199">
        <f t="shared" si="964"/>
        <v>0</v>
      </c>
      <c r="BK830" s="199">
        <f t="shared" si="971"/>
        <v>0</v>
      </c>
      <c r="BL830" s="251">
        <f t="shared" si="965"/>
        <v>0</v>
      </c>
      <c r="BN830" s="251">
        <f t="shared" si="966"/>
        <v>0</v>
      </c>
      <c r="BT830" s="199"/>
      <c r="BU830" s="199"/>
      <c r="BV830" s="596"/>
      <c r="BW830" s="278"/>
      <c r="BX830" s="275"/>
      <c r="BY830" s="275"/>
      <c r="CA830" s="199">
        <f>'Detailed Budget'!$AD$96</f>
        <v>71050111380.677719</v>
      </c>
      <c r="CB830" s="275">
        <f t="shared" si="967"/>
        <v>0</v>
      </c>
      <c r="CE830" s="199"/>
      <c r="CF830" s="275"/>
      <c r="CG830" s="199"/>
      <c r="CH830" s="275"/>
      <c r="CI830" s="275"/>
      <c r="CJ830" s="275"/>
      <c r="CK830" s="275"/>
      <c r="CL830" s="275"/>
      <c r="CM830" s="278">
        <f>'Detailed Budget'!$AD$189</f>
        <v>77498869683.252869</v>
      </c>
      <c r="CN830" s="275">
        <f t="shared" si="968"/>
        <v>0</v>
      </c>
      <c r="CO830" s="140">
        <f>'Detailed Budget'!$AD$191</f>
        <v>2684962805.4134097</v>
      </c>
      <c r="CP830" s="616">
        <f t="shared" si="969"/>
        <v>0</v>
      </c>
      <c r="CQ830" s="616">
        <f t="shared" si="970"/>
        <v>0</v>
      </c>
      <c r="CR830" s="199"/>
      <c r="CS830" s="275"/>
      <c r="CW830" s="278"/>
      <c r="DH830" s="140">
        <f>'Detailed Budget'!$AD$163</f>
        <v>4928560000</v>
      </c>
      <c r="DI830" s="616">
        <f t="shared" si="1006"/>
        <v>0</v>
      </c>
    </row>
    <row r="831" spans="1:113" s="213" customFormat="1">
      <c r="A831" s="206">
        <v>6.5</v>
      </c>
      <c r="B831" s="207" t="s">
        <v>1692</v>
      </c>
      <c r="C831" s="208">
        <f>COUNTA(C833:C862)</f>
        <v>30</v>
      </c>
      <c r="D831" s="208">
        <f t="shared" ref="D831:T831" si="1011">COUNTA(D833:D862)</f>
        <v>0</v>
      </c>
      <c r="E831" s="208">
        <f t="shared" si="1011"/>
        <v>0</v>
      </c>
      <c r="F831" s="208">
        <f t="shared" si="1011"/>
        <v>0</v>
      </c>
      <c r="G831" s="208">
        <f t="shared" si="1011"/>
        <v>30</v>
      </c>
      <c r="H831" s="208">
        <f t="shared" si="1011"/>
        <v>30</v>
      </c>
      <c r="I831" s="208">
        <f t="shared" si="1011"/>
        <v>30</v>
      </c>
      <c r="J831" s="208">
        <f t="shared" si="1011"/>
        <v>0</v>
      </c>
      <c r="K831" s="208">
        <f t="shared" si="1011"/>
        <v>0</v>
      </c>
      <c r="L831" s="208">
        <f t="shared" si="1011"/>
        <v>0</v>
      </c>
      <c r="M831" s="208">
        <f t="shared" si="1011"/>
        <v>0</v>
      </c>
      <c r="N831" s="208">
        <f t="shared" si="1011"/>
        <v>9</v>
      </c>
      <c r="O831" s="208">
        <f t="shared" si="1011"/>
        <v>12</v>
      </c>
      <c r="P831" s="208">
        <f t="shared" si="1011"/>
        <v>9</v>
      </c>
      <c r="Q831" s="208">
        <f t="shared" si="1011"/>
        <v>9</v>
      </c>
      <c r="R831" s="208">
        <f t="shared" si="1011"/>
        <v>21</v>
      </c>
      <c r="S831" s="208">
        <f t="shared" si="1011"/>
        <v>0</v>
      </c>
      <c r="T831" s="208">
        <f t="shared" si="1011"/>
        <v>0</v>
      </c>
      <c r="U831" s="209">
        <f>SUM(C831:T831)</f>
        <v>180</v>
      </c>
      <c r="V831" s="866"/>
      <c r="W831" s="210">
        <f>SUM(W833:W862)</f>
        <v>3416959</v>
      </c>
      <c r="X831" s="211">
        <v>3.21</v>
      </c>
      <c r="Y831" s="212">
        <f t="shared" si="953"/>
        <v>1.0321</v>
      </c>
      <c r="Z831" s="210">
        <v>19</v>
      </c>
      <c r="AA831" s="212">
        <f t="shared" si="954"/>
        <v>1.8226940798007465</v>
      </c>
      <c r="AB831" s="210">
        <f t="shared" si="1008"/>
        <v>6228070.9402218787</v>
      </c>
      <c r="AC831" s="213">
        <v>11.9</v>
      </c>
      <c r="AD831" s="210">
        <f t="shared" si="1009"/>
        <v>741140.4418864036</v>
      </c>
      <c r="AE831" s="210">
        <f t="shared" si="955"/>
        <v>704083.41979208344</v>
      </c>
      <c r="AF831" s="210">
        <f>SUM(AF833:AF862)</f>
        <v>0</v>
      </c>
      <c r="AG831" s="614">
        <f t="shared" si="972"/>
        <v>3.2553726347056389E-2</v>
      </c>
      <c r="AH831" s="210">
        <f>SUM(AH833:AH862)</f>
        <v>311403.54701109393</v>
      </c>
      <c r="AI831" s="252">
        <f t="shared" si="952"/>
        <v>2.4123960964489915E-2</v>
      </c>
      <c r="AJ831" s="210">
        <f>SUM(AJ833:AJ862)</f>
        <v>1052543.9888974978</v>
      </c>
      <c r="AK831" s="199">
        <f t="shared" si="976"/>
        <v>249122.83760887515</v>
      </c>
      <c r="AL831" s="199">
        <f t="shared" si="977"/>
        <v>249122.83760887515</v>
      </c>
      <c r="AM831" s="199">
        <f t="shared" si="957"/>
        <v>498245.67521775031</v>
      </c>
      <c r="AN831" s="645">
        <f t="shared" si="958"/>
        <v>2.4123960964489915E-2</v>
      </c>
      <c r="AO831" s="210">
        <f>SUM(AO833:AO862)</f>
        <v>332</v>
      </c>
      <c r="AP831" s="250">
        <f t="shared" si="959"/>
        <v>3.7722986024315418E-2</v>
      </c>
      <c r="AQ831" s="210">
        <f>SUM(AQ833:AQ862)</f>
        <v>332</v>
      </c>
      <c r="AR831" s="210"/>
      <c r="AS831" s="210"/>
      <c r="AT831" s="210"/>
      <c r="AU831" s="199"/>
      <c r="AV831" s="199"/>
      <c r="AW831" s="250">
        <f t="shared" si="960"/>
        <v>0</v>
      </c>
      <c r="AX831" s="199"/>
      <c r="AY831" s="210">
        <v>334059</v>
      </c>
      <c r="AZ831" s="210">
        <f>SUM(AZ833:AZ862)</f>
        <v>334058.99647626048</v>
      </c>
      <c r="BA831" s="252">
        <f t="shared" si="962"/>
        <v>2.6259204935942037E-2</v>
      </c>
      <c r="BB831" s="284"/>
      <c r="BC831" s="210"/>
      <c r="BD831" s="270">
        <f t="shared" si="993"/>
        <v>0</v>
      </c>
      <c r="BE831" s="210"/>
      <c r="BF831" s="251">
        <f t="shared" si="994"/>
        <v>0</v>
      </c>
      <c r="BH831"/>
      <c r="BI831" s="199">
        <f t="shared" si="963"/>
        <v>1905789.707707895</v>
      </c>
      <c r="BJ831" s="199">
        <f t="shared" si="964"/>
        <v>3811579.4154157899</v>
      </c>
      <c r="BK831" s="199">
        <f t="shared" si="971"/>
        <v>5717369.1231236849</v>
      </c>
      <c r="BL831" s="251">
        <f t="shared" si="965"/>
        <v>2.4123960964489915E-2</v>
      </c>
      <c r="BM831" s="210">
        <v>549448</v>
      </c>
      <c r="BN831" s="251">
        <f t="shared" si="966"/>
        <v>2.3726873393426374E-2</v>
      </c>
      <c r="BT831" s="210">
        <f>'Detailed Budget'!$AD$12</f>
        <v>194045122715</v>
      </c>
      <c r="BU831" s="210">
        <f>'Detailed Budget'!$AD$24</f>
        <v>194045122715</v>
      </c>
      <c r="BV831" s="596">
        <f>AV831/34743979</f>
        <v>0</v>
      </c>
      <c r="BW831" s="278"/>
      <c r="BX831" s="613">
        <f t="shared" si="950"/>
        <v>0</v>
      </c>
      <c r="BY831" s="613">
        <f t="shared" si="951"/>
        <v>0</v>
      </c>
      <c r="CA831" s="210">
        <f>'Detailed Budget'!$AD$96</f>
        <v>71050111380.677719</v>
      </c>
      <c r="CB831" s="613">
        <f t="shared" si="967"/>
        <v>1865719435.4667239</v>
      </c>
      <c r="CE831" s="210">
        <f>'Detailed Budget'!$AD$175</f>
        <v>4330586076.5988197</v>
      </c>
      <c r="CF831" s="613">
        <f>SUM(CF833:CF862)</f>
        <v>0</v>
      </c>
      <c r="CG831" s="632">
        <f>'Detailed Budget'!$AD$176</f>
        <v>20662817754.37001</v>
      </c>
      <c r="CH831" s="613">
        <f>SUM(CH833:CH862)</f>
        <v>0</v>
      </c>
      <c r="CI831" s="613">
        <f>SUM(CI833:CI862)</f>
        <v>0</v>
      </c>
      <c r="CJ831" s="275">
        <f>'Detailed Budget'!$AD$178</f>
        <v>46025131033.061455</v>
      </c>
      <c r="CK831" s="613">
        <f>SUM(CK833:CK862)</f>
        <v>0</v>
      </c>
      <c r="CL831" s="613">
        <f>SUM(CL833:CL862)</f>
        <v>0</v>
      </c>
      <c r="CM831" s="278">
        <f>'Detailed Budget'!$AD$189</f>
        <v>77498869683.252869</v>
      </c>
      <c r="CN831" s="275">
        <f t="shared" si="968"/>
        <v>0</v>
      </c>
      <c r="CO831" s="140">
        <f>'Detailed Budget'!$AD$191</f>
        <v>2684962805.4134097</v>
      </c>
      <c r="CP831" s="616">
        <f t="shared" si="969"/>
        <v>0</v>
      </c>
      <c r="CQ831" s="616">
        <f t="shared" si="970"/>
        <v>0</v>
      </c>
      <c r="CR831" s="210">
        <f>'Detailed Budget'!$AD$195</f>
        <v>18734176418</v>
      </c>
      <c r="CS831" s="275">
        <f>BN831*CR831</f>
        <v>444503432</v>
      </c>
      <c r="CW831" s="278"/>
      <c r="DH831" s="140">
        <f>'Detailed Budget'!$AD$163</f>
        <v>4928560000</v>
      </c>
      <c r="DI831" s="616">
        <f t="shared" si="1006"/>
        <v>185920000</v>
      </c>
    </row>
    <row r="832" spans="1:113" s="213" customFormat="1">
      <c r="A832" s="214" t="s">
        <v>2354</v>
      </c>
      <c r="B832" s="215" t="s">
        <v>2318</v>
      </c>
      <c r="C832" s="208"/>
      <c r="D832" s="208"/>
      <c r="E832" s="208"/>
      <c r="F832" s="208"/>
      <c r="G832" s="208"/>
      <c r="H832" s="208"/>
      <c r="I832" s="208"/>
      <c r="J832" s="208"/>
      <c r="K832" s="208"/>
      <c r="L832" s="208"/>
      <c r="M832" s="208"/>
      <c r="N832" s="208"/>
      <c r="O832" s="208"/>
      <c r="P832" s="208"/>
      <c r="Q832" s="208"/>
      <c r="R832" s="208"/>
      <c r="S832" s="208"/>
      <c r="T832" s="208"/>
      <c r="U832" s="209"/>
      <c r="V832" s="866"/>
      <c r="W832" s="210"/>
      <c r="X832" s="211"/>
      <c r="Y832" s="212"/>
      <c r="Z832" s="210"/>
      <c r="AA832" s="212"/>
      <c r="AB832" s="210"/>
      <c r="AD832" s="210"/>
      <c r="AE832" s="210"/>
      <c r="AF832" s="199"/>
      <c r="AG832" s="614">
        <f t="shared" si="972"/>
        <v>0</v>
      </c>
      <c r="AH832" s="210"/>
      <c r="AI832" s="252"/>
      <c r="AJ832" s="199"/>
      <c r="AK832" s="199">
        <f t="shared" si="976"/>
        <v>0</v>
      </c>
      <c r="AL832" s="199">
        <f t="shared" si="977"/>
        <v>0</v>
      </c>
      <c r="AM832" s="199">
        <f t="shared" si="957"/>
        <v>0</v>
      </c>
      <c r="AN832" s="645">
        <f t="shared" si="958"/>
        <v>0</v>
      </c>
      <c r="AO832" s="210"/>
      <c r="AP832" s="250"/>
      <c r="AQ832" s="210"/>
      <c r="AR832" s="210"/>
      <c r="AS832" s="210"/>
      <c r="AT832" s="210"/>
      <c r="AU832" s="199"/>
      <c r="AV832" s="199"/>
      <c r="AW832" s="250">
        <f t="shared" si="960"/>
        <v>0</v>
      </c>
      <c r="AX832" s="199"/>
      <c r="AY832" s="210"/>
      <c r="AZ832" s="199"/>
      <c r="BA832" s="252">
        <f t="shared" si="962"/>
        <v>0</v>
      </c>
      <c r="BB832" s="284"/>
      <c r="BC832" s="210"/>
      <c r="BD832" s="270">
        <f t="shared" si="993"/>
        <v>0</v>
      </c>
      <c r="BE832" s="210"/>
      <c r="BF832" s="251">
        <f t="shared" si="994"/>
        <v>0</v>
      </c>
      <c r="BH832"/>
      <c r="BI832" s="199">
        <f t="shared" si="963"/>
        <v>0</v>
      </c>
      <c r="BJ832" s="199">
        <f t="shared" si="964"/>
        <v>0</v>
      </c>
      <c r="BK832" s="199">
        <f t="shared" si="971"/>
        <v>0</v>
      </c>
      <c r="BL832" s="251">
        <f t="shared" si="965"/>
        <v>0</v>
      </c>
      <c r="BM832" s="210"/>
      <c r="BN832" s="251">
        <f t="shared" si="966"/>
        <v>0</v>
      </c>
      <c r="BT832" s="210"/>
      <c r="BU832" s="210"/>
      <c r="BV832" s="596"/>
      <c r="BW832" s="278"/>
      <c r="BX832" s="275"/>
      <c r="BY832" s="275"/>
      <c r="CA832" s="210">
        <f>'Detailed Budget'!$AD$96</f>
        <v>71050111380.677719</v>
      </c>
      <c r="CB832" s="275"/>
      <c r="CE832" s="210"/>
      <c r="CF832" s="275"/>
      <c r="CG832" s="240"/>
      <c r="CH832" s="275"/>
      <c r="CI832" s="275"/>
      <c r="CJ832" s="275"/>
      <c r="CK832" s="275">
        <f t="shared" ref="CK832:CK862" si="1012">BB832*AG832*CJ832</f>
        <v>0</v>
      </c>
      <c r="CL832" s="275">
        <f t="shared" si="991"/>
        <v>0</v>
      </c>
      <c r="CM832" s="278">
        <f>'Detailed Budget'!$AD$189</f>
        <v>77498869683.252869</v>
      </c>
      <c r="CN832" s="275">
        <f t="shared" si="968"/>
        <v>0</v>
      </c>
      <c r="CO832" s="140">
        <f>'Detailed Budget'!$AD$191</f>
        <v>2684962805.4134097</v>
      </c>
      <c r="CP832" s="616">
        <f t="shared" si="969"/>
        <v>0</v>
      </c>
      <c r="CQ832" s="616">
        <f t="shared" si="970"/>
        <v>0</v>
      </c>
      <c r="CR832" s="210"/>
      <c r="CS832" s="275"/>
      <c r="CW832" s="278"/>
      <c r="DH832" s="140"/>
      <c r="DI832" s="616"/>
    </row>
    <row r="833" spans="1:113" outlineLevel="1">
      <c r="A833" s="214" t="s">
        <v>1693</v>
      </c>
      <c r="B833" s="215" t="s">
        <v>1694</v>
      </c>
      <c r="C833" s="216" t="s">
        <v>234</v>
      </c>
      <c r="D833" s="217"/>
      <c r="E833" s="216"/>
      <c r="F833" s="216"/>
      <c r="G833" s="216" t="s">
        <v>234</v>
      </c>
      <c r="H833" s="216" t="s">
        <v>234</v>
      </c>
      <c r="I833" s="217" t="s">
        <v>234</v>
      </c>
      <c r="J833" s="217"/>
      <c r="K833" s="216"/>
      <c r="L833" s="216"/>
      <c r="M833" s="217"/>
      <c r="N833" s="216" t="s">
        <v>234</v>
      </c>
      <c r="O833" s="217"/>
      <c r="P833" s="216"/>
      <c r="Q833" s="217"/>
      <c r="R833" s="217" t="s">
        <v>234</v>
      </c>
      <c r="S833" s="217"/>
      <c r="T833" s="217"/>
      <c r="U833" s="218">
        <f t="shared" si="1010"/>
        <v>6</v>
      </c>
      <c r="V833" s="867" t="s">
        <v>235</v>
      </c>
      <c r="W833" s="219">
        <v>149569</v>
      </c>
      <c r="X833" s="220">
        <v>3.21</v>
      </c>
      <c r="Y833" s="221">
        <f t="shared" si="953"/>
        <v>1.0321</v>
      </c>
      <c r="Z833" s="199">
        <v>19</v>
      </c>
      <c r="AA833" s="221">
        <f t="shared" si="954"/>
        <v>1.8226940798007465</v>
      </c>
      <c r="AB833" s="199">
        <f t="shared" si="1008"/>
        <v>272618.53082171787</v>
      </c>
      <c r="AC833">
        <v>11.9</v>
      </c>
      <c r="AD833" s="199">
        <f t="shared" si="1009"/>
        <v>32441.605167784426</v>
      </c>
      <c r="AE833" s="199">
        <f t="shared" si="955"/>
        <v>30819.524909395204</v>
      </c>
      <c r="AF833" s="199">
        <f t="shared" si="975"/>
        <v>0</v>
      </c>
      <c r="AG833" s="614">
        <f t="shared" si="972"/>
        <v>1.4249595315609222E-3</v>
      </c>
      <c r="AH833" s="199">
        <f>AB833*0.05</f>
        <v>13630.926541085893</v>
      </c>
      <c r="AI833" s="252">
        <f t="shared" si="952"/>
        <v>1.0559672262669211E-3</v>
      </c>
      <c r="AJ833" s="199">
        <f t="shared" si="956"/>
        <v>46072.531708870316</v>
      </c>
      <c r="AK833" s="199">
        <f t="shared" si="976"/>
        <v>10904.741232868715</v>
      </c>
      <c r="AL833" s="199">
        <f t="shared" si="977"/>
        <v>10904.741232868715</v>
      </c>
      <c r="AM833" s="199">
        <f t="shared" si="957"/>
        <v>21809.48246573743</v>
      </c>
      <c r="AN833" s="645">
        <f t="shared" si="958"/>
        <v>1.0559672262669211E-3</v>
      </c>
      <c r="AO833" s="199">
        <v>11</v>
      </c>
      <c r="AP833" s="250">
        <f t="shared" si="959"/>
        <v>1.2498579706851495E-3</v>
      </c>
      <c r="AQ833" s="199">
        <v>11</v>
      </c>
      <c r="AU833" s="199">
        <v>0</v>
      </c>
      <c r="AW833" s="250">
        <f t="shared" si="960"/>
        <v>0</v>
      </c>
      <c r="AX833" s="199">
        <v>1</v>
      </c>
      <c r="AY833" s="199">
        <f t="shared" ref="AY833:AY862" si="1013">AJ833/1052544*334059</f>
        <v>14622.613278051567</v>
      </c>
      <c r="AZ833" s="199">
        <f t="shared" si="961"/>
        <v>14622.613278051567</v>
      </c>
      <c r="BA833" s="252">
        <f t="shared" si="962"/>
        <v>1.1494322943482538E-3</v>
      </c>
      <c r="BB833" s="284">
        <v>0</v>
      </c>
      <c r="BC833" s="199">
        <f t="shared" ref="BC833:BC862" si="1014">AD833*BB833*0.18*4</f>
        <v>0</v>
      </c>
      <c r="BD833" s="270">
        <f t="shared" si="993"/>
        <v>0</v>
      </c>
      <c r="BE833" s="199">
        <f t="shared" ref="BE833:BE862" si="1015">AD833*BB833*0.77*4</f>
        <v>0</v>
      </c>
      <c r="BF833" s="251">
        <f t="shared" si="994"/>
        <v>0</v>
      </c>
      <c r="BG833" s="204">
        <f t="shared" ref="BG833:BG862" si="1016">BC833+BE833</f>
        <v>0</v>
      </c>
      <c r="BH833" s="636">
        <v>1</v>
      </c>
      <c r="BI833" s="199">
        <f t="shared" si="963"/>
        <v>83421.270431445664</v>
      </c>
      <c r="BJ833" s="199">
        <f t="shared" si="964"/>
        <v>166842.54086289133</v>
      </c>
      <c r="BK833" s="199">
        <f t="shared" si="971"/>
        <v>250263.81129433698</v>
      </c>
      <c r="BL833" s="251">
        <f t="shared" si="965"/>
        <v>1.0559672262669209E-3</v>
      </c>
      <c r="BM833" s="199">
        <f t="shared" ref="BM833:BM862" si="1017">AH833/311404*549448</f>
        <v>24050.703671585987</v>
      </c>
      <c r="BN833" s="251">
        <f t="shared" si="966"/>
        <v>1.0385841809207341E-3</v>
      </c>
      <c r="BT833" s="199">
        <f>'Detailed Budget'!$AD$12</f>
        <v>194045122715</v>
      </c>
      <c r="BU833" s="199">
        <f>'Detailed Budget'!$AD$24</f>
        <v>194045122715</v>
      </c>
      <c r="BV833" s="596">
        <f t="shared" ref="BV833:BV862" si="1018">AV833/34743979</f>
        <v>0</v>
      </c>
      <c r="BW833" s="278"/>
      <c r="BX833" s="275">
        <f t="shared" si="950"/>
        <v>0</v>
      </c>
      <c r="BY833" s="275">
        <f t="shared" si="951"/>
        <v>0</v>
      </c>
      <c r="CA833" s="199">
        <f>'Detailed Budget'!$AD$96</f>
        <v>71050111380.677719</v>
      </c>
      <c r="CB833" s="275">
        <f t="shared" si="967"/>
        <v>81667292.537991375</v>
      </c>
      <c r="CE833" s="199">
        <f>'Detailed Budget'!$AD$175</f>
        <v>4330586076.5988197</v>
      </c>
      <c r="CF833" s="275">
        <f t="shared" ref="CF833:CF862" si="1019">BB833*BD833*CE833</f>
        <v>0</v>
      </c>
      <c r="CG833" s="199">
        <f>'Detailed Budget'!$AD$176</f>
        <v>20662817754.37001</v>
      </c>
      <c r="CH833" s="275">
        <f t="shared" ref="CH833:CH862" si="1020">BB833*BF833*CG833</f>
        <v>0</v>
      </c>
      <c r="CI833" s="275">
        <f t="shared" si="992"/>
        <v>0</v>
      </c>
      <c r="CJ833" s="275">
        <f>'Detailed Budget'!$AD$178</f>
        <v>46025131033.061455</v>
      </c>
      <c r="CK833" s="275">
        <f t="shared" si="1012"/>
        <v>0</v>
      </c>
      <c r="CL833" s="275">
        <f t="shared" si="991"/>
        <v>0</v>
      </c>
      <c r="CM833" s="278">
        <f>'Detailed Budget'!$AD$189</f>
        <v>77498869683.252869</v>
      </c>
      <c r="CN833" s="275">
        <f t="shared" si="968"/>
        <v>81836266.458246097</v>
      </c>
      <c r="CO833" s="140">
        <f>'Detailed Budget'!$AD$191</f>
        <v>2684962805.4134097</v>
      </c>
      <c r="CP833" s="616">
        <f t="shared" si="969"/>
        <v>2835232.7262622491</v>
      </c>
      <c r="CQ833" s="616">
        <f t="shared" si="970"/>
        <v>84671499.184508353</v>
      </c>
      <c r="CR833" s="199">
        <f>'Detailed Budget'!$AD$195</f>
        <v>18734176418</v>
      </c>
      <c r="CS833" s="275">
        <f t="shared" ref="CS833:CS862" si="1021">BN833*CR833</f>
        <v>19457019.270313062</v>
      </c>
      <c r="CW833" s="278"/>
      <c r="DH833" s="140">
        <f>'Detailed Budget'!$AD$163</f>
        <v>4928560000</v>
      </c>
      <c r="DI833" s="616">
        <f t="shared" ref="DI833:DI864" si="1022">AP833*DH833</f>
        <v>6160000</v>
      </c>
    </row>
    <row r="834" spans="1:113" outlineLevel="1">
      <c r="A834" s="214" t="s">
        <v>1695</v>
      </c>
      <c r="B834" s="215" t="s">
        <v>1696</v>
      </c>
      <c r="C834" s="216" t="s">
        <v>234</v>
      </c>
      <c r="D834" s="217"/>
      <c r="E834" s="216"/>
      <c r="F834" s="216"/>
      <c r="G834" s="216" t="s">
        <v>234</v>
      </c>
      <c r="H834" s="216" t="s">
        <v>234</v>
      </c>
      <c r="I834" s="217" t="s">
        <v>234</v>
      </c>
      <c r="J834" s="217"/>
      <c r="K834" s="216"/>
      <c r="L834" s="216"/>
      <c r="M834" s="217"/>
      <c r="N834" s="216" t="s">
        <v>234</v>
      </c>
      <c r="O834" s="217"/>
      <c r="P834" s="216"/>
      <c r="Q834" s="217"/>
      <c r="R834" s="217" t="s">
        <v>234</v>
      </c>
      <c r="S834" s="217"/>
      <c r="T834" s="217"/>
      <c r="U834" s="218">
        <f t="shared" si="1010"/>
        <v>6</v>
      </c>
      <c r="V834" s="867" t="s">
        <v>235</v>
      </c>
      <c r="W834" s="219">
        <v>76309</v>
      </c>
      <c r="X834" s="220">
        <v>3.21</v>
      </c>
      <c r="Y834" s="221">
        <f t="shared" si="953"/>
        <v>1.0321</v>
      </c>
      <c r="Z834" s="199">
        <v>19</v>
      </c>
      <c r="AA834" s="221">
        <f t="shared" si="954"/>
        <v>1.8226940798007465</v>
      </c>
      <c r="AB834" s="199">
        <f t="shared" si="1008"/>
        <v>139087.96253551517</v>
      </c>
      <c r="AC834">
        <v>11.9</v>
      </c>
      <c r="AD834" s="199">
        <f t="shared" si="1009"/>
        <v>16551.467541726306</v>
      </c>
      <c r="AE834" s="199">
        <f t="shared" si="955"/>
        <v>15723.894164639991</v>
      </c>
      <c r="AF834" s="199">
        <f t="shared" si="975"/>
        <v>0</v>
      </c>
      <c r="AG834" s="614">
        <f t="shared" si="972"/>
        <v>7.2700383698415065E-4</v>
      </c>
      <c r="AH834" s="199">
        <f t="shared" ref="AH834:AH862" si="1023">AB834*0.05</f>
        <v>6954.398126775759</v>
      </c>
      <c r="AI834" s="252">
        <f t="shared" si="952"/>
        <v>5.3874668593894778E-4</v>
      </c>
      <c r="AJ834" s="199">
        <f t="shared" si="956"/>
        <v>23505.865668502065</v>
      </c>
      <c r="AK834" s="199">
        <f t="shared" si="976"/>
        <v>5563.5185014206063</v>
      </c>
      <c r="AL834" s="199">
        <f t="shared" si="977"/>
        <v>5563.5185014206063</v>
      </c>
      <c r="AM834" s="199">
        <f t="shared" si="957"/>
        <v>11127.037002841213</v>
      </c>
      <c r="AN834" s="645">
        <f t="shared" si="958"/>
        <v>5.3874668593894767E-4</v>
      </c>
      <c r="AO834" s="199">
        <v>10</v>
      </c>
      <c r="AP834" s="250">
        <f t="shared" si="959"/>
        <v>1.1362345188046814E-3</v>
      </c>
      <c r="AQ834" s="199">
        <v>10</v>
      </c>
      <c r="AU834" s="199">
        <v>0</v>
      </c>
      <c r="AW834" s="250">
        <f t="shared" si="960"/>
        <v>0</v>
      </c>
      <c r="AX834" s="199">
        <v>1</v>
      </c>
      <c r="AY834" s="199">
        <f t="shared" si="1013"/>
        <v>7460.349381454962</v>
      </c>
      <c r="AZ834" s="199">
        <f t="shared" si="961"/>
        <v>7460.349381454962</v>
      </c>
      <c r="BA834" s="252">
        <f t="shared" si="962"/>
        <v>5.8643187391385187E-4</v>
      </c>
      <c r="BB834" s="284">
        <v>0</v>
      </c>
      <c r="BC834" s="199">
        <f t="shared" si="1014"/>
        <v>0</v>
      </c>
      <c r="BD834" s="270">
        <f t="shared" si="993"/>
        <v>0</v>
      </c>
      <c r="BE834" s="199">
        <f t="shared" si="1015"/>
        <v>0</v>
      </c>
      <c r="BF834" s="251">
        <f t="shared" si="994"/>
        <v>0</v>
      </c>
      <c r="BG834" s="204">
        <f t="shared" si="1016"/>
        <v>0</v>
      </c>
      <c r="BH834" s="636">
        <v>1</v>
      </c>
      <c r="BI834" s="199">
        <f t="shared" si="963"/>
        <v>42560.91653586764</v>
      </c>
      <c r="BJ834" s="199">
        <f t="shared" si="964"/>
        <v>85121.83307173528</v>
      </c>
      <c r="BK834" s="199">
        <f t="shared" si="971"/>
        <v>127682.74960760292</v>
      </c>
      <c r="BL834" s="251">
        <f t="shared" si="965"/>
        <v>5.3874668593894767E-4</v>
      </c>
      <c r="BM834" s="199">
        <f t="shared" si="1017"/>
        <v>12270.49152214065</v>
      </c>
      <c r="BN834" s="251">
        <f t="shared" si="966"/>
        <v>5.2987798448796402E-4</v>
      </c>
      <c r="BT834" s="199">
        <f>'Detailed Budget'!$AD$12</f>
        <v>194045122715</v>
      </c>
      <c r="BU834" s="199">
        <f>'Detailed Budget'!$AD$24</f>
        <v>194045122715</v>
      </c>
      <c r="BV834" s="596">
        <f t="shared" si="1018"/>
        <v>0</v>
      </c>
      <c r="BW834" s="278"/>
      <c r="BX834" s="275">
        <f t="shared" si="950"/>
        <v>0</v>
      </c>
      <c r="BY834" s="275">
        <f t="shared" si="951"/>
        <v>0</v>
      </c>
      <c r="CA834" s="199">
        <f>'Detailed Budget'!$AD$96</f>
        <v>71050111380.677719</v>
      </c>
      <c r="CB834" s="275">
        <f t="shared" si="967"/>
        <v>41666049.958758727</v>
      </c>
      <c r="CE834" s="199">
        <f>'Detailed Budget'!$AD$175</f>
        <v>4330586076.5988197</v>
      </c>
      <c r="CF834" s="275">
        <f t="shared" si="1019"/>
        <v>0</v>
      </c>
      <c r="CG834" s="199">
        <f>'Detailed Budget'!$AD$176</f>
        <v>20662817754.37001</v>
      </c>
      <c r="CH834" s="275">
        <f t="shared" si="1020"/>
        <v>0</v>
      </c>
      <c r="CI834" s="275">
        <f t="shared" si="992"/>
        <v>0</v>
      </c>
      <c r="CJ834" s="275">
        <f>'Detailed Budget'!$AD$178</f>
        <v>46025131033.061455</v>
      </c>
      <c r="CK834" s="275">
        <f t="shared" si="1012"/>
        <v>0</v>
      </c>
      <c r="CL834" s="275">
        <f t="shared" si="991"/>
        <v>0</v>
      </c>
      <c r="CM834" s="278">
        <f>'Detailed Budget'!$AD$189</f>
        <v>77498869683.252869</v>
      </c>
      <c r="CN834" s="275">
        <f t="shared" si="968"/>
        <v>41752259.205866866</v>
      </c>
      <c r="CO834" s="140">
        <f>'Detailed Budget'!$AD$191</f>
        <v>2684962805.4134097</v>
      </c>
      <c r="CP834" s="616">
        <f t="shared" si="969"/>
        <v>1446514.8132858141</v>
      </c>
      <c r="CQ834" s="616">
        <f t="shared" si="970"/>
        <v>43198774.019152679</v>
      </c>
      <c r="CR834" s="199">
        <f>'Detailed Budget'!$AD$195</f>
        <v>18734176418</v>
      </c>
      <c r="CS834" s="275">
        <f t="shared" si="1021"/>
        <v>9926827.641411785</v>
      </c>
      <c r="CW834" s="278"/>
      <c r="DH834" s="140">
        <f>'Detailed Budget'!$AD$163</f>
        <v>4928560000</v>
      </c>
      <c r="DI834" s="616">
        <f t="shared" si="1022"/>
        <v>5600000</v>
      </c>
    </row>
    <row r="835" spans="1:113" outlineLevel="1">
      <c r="A835" s="214" t="s">
        <v>1697</v>
      </c>
      <c r="B835" s="215" t="s">
        <v>1698</v>
      </c>
      <c r="C835" s="216" t="s">
        <v>234</v>
      </c>
      <c r="D835" s="217"/>
      <c r="E835" s="216"/>
      <c r="F835" s="216"/>
      <c r="G835" s="216" t="s">
        <v>234</v>
      </c>
      <c r="H835" s="216" t="s">
        <v>234</v>
      </c>
      <c r="I835" s="217" t="s">
        <v>234</v>
      </c>
      <c r="J835" s="217"/>
      <c r="K835" s="216"/>
      <c r="L835" s="216"/>
      <c r="M835" s="217"/>
      <c r="N835" s="216" t="s">
        <v>234</v>
      </c>
      <c r="O835" s="217"/>
      <c r="P835" s="216"/>
      <c r="Q835" s="217"/>
      <c r="R835" s="217" t="s">
        <v>234</v>
      </c>
      <c r="S835" s="217"/>
      <c r="T835" s="217"/>
      <c r="U835" s="218">
        <f t="shared" si="1010"/>
        <v>6</v>
      </c>
      <c r="V835" s="867" t="s">
        <v>235</v>
      </c>
      <c r="W835" s="219">
        <v>76105</v>
      </c>
      <c r="X835" s="220">
        <v>3.21</v>
      </c>
      <c r="Y835" s="221">
        <f t="shared" si="953"/>
        <v>1.0321</v>
      </c>
      <c r="Z835" s="199">
        <v>19</v>
      </c>
      <c r="AA835" s="221">
        <f t="shared" si="954"/>
        <v>1.8226940798007465</v>
      </c>
      <c r="AB835" s="199">
        <f t="shared" si="1008"/>
        <v>138716.1329432358</v>
      </c>
      <c r="AC835">
        <v>11.9</v>
      </c>
      <c r="AD835" s="199">
        <f t="shared" si="1009"/>
        <v>16507.219820245064</v>
      </c>
      <c r="AE835" s="199">
        <f t="shared" si="955"/>
        <v>15681.85882923281</v>
      </c>
      <c r="AF835" s="199">
        <f t="shared" si="975"/>
        <v>0</v>
      </c>
      <c r="AG835" s="614">
        <f t="shared" si="972"/>
        <v>7.2506030761350273E-4</v>
      </c>
      <c r="AH835" s="199">
        <f t="shared" si="1023"/>
        <v>6935.8066471617904</v>
      </c>
      <c r="AI835" s="252">
        <f t="shared" si="952"/>
        <v>5.3730643218209662E-4</v>
      </c>
      <c r="AJ835" s="199">
        <f t="shared" si="956"/>
        <v>23443.026467406853</v>
      </c>
      <c r="AK835" s="199">
        <f t="shared" si="976"/>
        <v>5548.6453177294325</v>
      </c>
      <c r="AL835" s="199">
        <f t="shared" si="977"/>
        <v>5548.6453177294325</v>
      </c>
      <c r="AM835" s="199">
        <f t="shared" si="957"/>
        <v>11097.290635458865</v>
      </c>
      <c r="AN835" s="645">
        <f t="shared" si="958"/>
        <v>5.3730643218209673E-4</v>
      </c>
      <c r="AO835" s="199">
        <v>10</v>
      </c>
      <c r="AP835" s="250">
        <f t="shared" si="959"/>
        <v>1.1362345188046814E-3</v>
      </c>
      <c r="AQ835" s="199">
        <v>10</v>
      </c>
      <c r="AU835" s="199">
        <v>0</v>
      </c>
      <c r="AW835" s="250">
        <f t="shared" si="960"/>
        <v>0</v>
      </c>
      <c r="AX835" s="199">
        <v>1</v>
      </c>
      <c r="AY835" s="199">
        <f t="shared" si="1013"/>
        <v>7440.4053214644382</v>
      </c>
      <c r="AZ835" s="199">
        <f t="shared" si="961"/>
        <v>7440.4053214644382</v>
      </c>
      <c r="BA835" s="252">
        <f t="shared" si="962"/>
        <v>5.8486414137537759E-4</v>
      </c>
      <c r="BB835" s="284">
        <v>0</v>
      </c>
      <c r="BC835" s="199">
        <f t="shared" si="1014"/>
        <v>0</v>
      </c>
      <c r="BD835" s="270">
        <f t="shared" si="993"/>
        <v>0</v>
      </c>
      <c r="BE835" s="199">
        <f t="shared" si="1015"/>
        <v>0</v>
      </c>
      <c r="BF835" s="251">
        <f t="shared" si="994"/>
        <v>0</v>
      </c>
      <c r="BG835" s="204">
        <f t="shared" si="1016"/>
        <v>0</v>
      </c>
      <c r="BH835" s="636">
        <v>1</v>
      </c>
      <c r="BI835" s="199">
        <f t="shared" si="963"/>
        <v>42447.136680630159</v>
      </c>
      <c r="BJ835" s="199">
        <f t="shared" si="964"/>
        <v>84894.273361260319</v>
      </c>
      <c r="BK835" s="199">
        <f t="shared" si="971"/>
        <v>127341.41004189049</v>
      </c>
      <c r="BL835" s="251">
        <f t="shared" si="965"/>
        <v>5.3730643218209673E-4</v>
      </c>
      <c r="BM835" s="199">
        <f t="shared" si="1017"/>
        <v>12237.688310586092</v>
      </c>
      <c r="BN835" s="251">
        <f t="shared" si="966"/>
        <v>5.2846143979683267E-4</v>
      </c>
      <c r="BT835" s="199">
        <f>'Detailed Budget'!$AD$12</f>
        <v>194045122715</v>
      </c>
      <c r="BU835" s="199">
        <f>'Detailed Budget'!$AD$24</f>
        <v>194045122715</v>
      </c>
      <c r="BV835" s="596">
        <f t="shared" si="1018"/>
        <v>0</v>
      </c>
      <c r="BW835" s="278"/>
      <c r="BX835" s="275">
        <f t="shared" si="950"/>
        <v>0</v>
      </c>
      <c r="BY835" s="275">
        <f t="shared" si="951"/>
        <v>0</v>
      </c>
      <c r="CA835" s="199">
        <f>'Detailed Budget'!$AD$96</f>
        <v>71050111380.677719</v>
      </c>
      <c r="CB835" s="275">
        <f t="shared" si="967"/>
        <v>41554662.387285016</v>
      </c>
      <c r="CE835" s="199">
        <f>'Detailed Budget'!$AD$175</f>
        <v>4330586076.5988197</v>
      </c>
      <c r="CF835" s="275">
        <f t="shared" si="1019"/>
        <v>0</v>
      </c>
      <c r="CG835" s="199">
        <f>'Detailed Budget'!$AD$176</f>
        <v>20662817754.37001</v>
      </c>
      <c r="CH835" s="275">
        <f t="shared" si="1020"/>
        <v>0</v>
      </c>
      <c r="CI835" s="275">
        <f t="shared" si="992"/>
        <v>0</v>
      </c>
      <c r="CJ835" s="275">
        <f>'Detailed Budget'!$AD$178</f>
        <v>46025131033.061455</v>
      </c>
      <c r="CK835" s="275">
        <f t="shared" si="1012"/>
        <v>0</v>
      </c>
      <c r="CL835" s="275">
        <f t="shared" si="991"/>
        <v>0</v>
      </c>
      <c r="CM835" s="278">
        <f>'Detailed Budget'!$AD$189</f>
        <v>77498869683.252869</v>
      </c>
      <c r="CN835" s="275">
        <f t="shared" si="968"/>
        <v>41640641.167653859</v>
      </c>
      <c r="CO835" s="140">
        <f>'Detailed Budget'!$AD$191</f>
        <v>2684962805.4134097</v>
      </c>
      <c r="CP835" s="616">
        <f t="shared" si="969"/>
        <v>1442647.7855183124</v>
      </c>
      <c r="CQ835" s="616">
        <f t="shared" si="970"/>
        <v>43083288.95317217</v>
      </c>
      <c r="CR835" s="199">
        <f>'Detailed Budget'!$AD$195</f>
        <v>18734176418</v>
      </c>
      <c r="CS835" s="275">
        <f t="shared" si="1021"/>
        <v>9900289.8432641495</v>
      </c>
      <c r="CW835" s="278"/>
      <c r="DH835" s="140">
        <f>'Detailed Budget'!$AD$163</f>
        <v>4928560000</v>
      </c>
      <c r="DI835" s="616">
        <f t="shared" si="1022"/>
        <v>5600000</v>
      </c>
    </row>
    <row r="836" spans="1:113" outlineLevel="1">
      <c r="A836" s="214" t="s">
        <v>1699</v>
      </c>
      <c r="B836" s="215" t="s">
        <v>1700</v>
      </c>
      <c r="C836" s="216" t="s">
        <v>234</v>
      </c>
      <c r="D836" s="217"/>
      <c r="E836" s="216"/>
      <c r="F836" s="216"/>
      <c r="G836" s="216" t="s">
        <v>234</v>
      </c>
      <c r="H836" s="216" t="s">
        <v>234</v>
      </c>
      <c r="I836" s="217" t="s">
        <v>234</v>
      </c>
      <c r="J836" s="217"/>
      <c r="K836" s="216"/>
      <c r="L836" s="216"/>
      <c r="M836" s="217"/>
      <c r="N836" s="216" t="s">
        <v>234</v>
      </c>
      <c r="O836" s="217"/>
      <c r="P836" s="216"/>
      <c r="Q836" s="217"/>
      <c r="R836" s="217" t="s">
        <v>234</v>
      </c>
      <c r="S836" s="217"/>
      <c r="T836" s="217"/>
      <c r="U836" s="218">
        <f t="shared" si="1010"/>
        <v>6</v>
      </c>
      <c r="V836" s="867" t="s">
        <v>235</v>
      </c>
      <c r="W836" s="219">
        <v>68350</v>
      </c>
      <c r="X836" s="220">
        <v>3.21</v>
      </c>
      <c r="Y836" s="221">
        <f t="shared" si="953"/>
        <v>1.0321</v>
      </c>
      <c r="Z836" s="199">
        <v>19</v>
      </c>
      <c r="AA836" s="221">
        <f t="shared" si="954"/>
        <v>1.8226940798007465</v>
      </c>
      <c r="AB836" s="199">
        <f t="shared" si="1008"/>
        <v>124581.14035438102</v>
      </c>
      <c r="AC836">
        <v>11.9</v>
      </c>
      <c r="AD836" s="199">
        <f t="shared" si="1009"/>
        <v>14825.155702171342</v>
      </c>
      <c r="AE836" s="199">
        <f t="shared" si="955"/>
        <v>14083.897917062774</v>
      </c>
      <c r="AF836" s="199">
        <f t="shared" si="975"/>
        <v>0</v>
      </c>
      <c r="AG836" s="614">
        <f t="shared" si="972"/>
        <v>6.5117761021461014E-4</v>
      </c>
      <c r="AH836" s="199">
        <f t="shared" si="1023"/>
        <v>6229.0570177190511</v>
      </c>
      <c r="AI836" s="252">
        <f t="shared" si="952"/>
        <v>4.8255560921945089E-4</v>
      </c>
      <c r="AJ836" s="199">
        <f t="shared" si="956"/>
        <v>21054.212719890391</v>
      </c>
      <c r="AK836" s="199">
        <f t="shared" si="976"/>
        <v>4983.2456141752409</v>
      </c>
      <c r="AL836" s="199">
        <f t="shared" si="977"/>
        <v>4983.2456141752409</v>
      </c>
      <c r="AM836" s="199">
        <f t="shared" si="957"/>
        <v>9966.4912283504818</v>
      </c>
      <c r="AN836" s="645">
        <f t="shared" si="958"/>
        <v>4.8255560921945089E-4</v>
      </c>
      <c r="AO836" s="199">
        <v>11</v>
      </c>
      <c r="AP836" s="250">
        <f t="shared" si="959"/>
        <v>1.2498579706851495E-3</v>
      </c>
      <c r="AQ836" s="199">
        <v>11</v>
      </c>
      <c r="AU836" s="199">
        <v>0</v>
      </c>
      <c r="AW836" s="250">
        <f t="shared" si="960"/>
        <v>0</v>
      </c>
      <c r="AX836" s="199">
        <v>1</v>
      </c>
      <c r="AY836" s="199">
        <f t="shared" si="1013"/>
        <v>6682.2377468247059</v>
      </c>
      <c r="AZ836" s="199">
        <f t="shared" si="961"/>
        <v>6682.2377468247059</v>
      </c>
      <c r="BA836" s="252">
        <f t="shared" si="962"/>
        <v>5.2526725002308725E-4</v>
      </c>
      <c r="BB836" s="284">
        <v>0</v>
      </c>
      <c r="BC836" s="199">
        <f t="shared" si="1014"/>
        <v>0</v>
      </c>
      <c r="BD836" s="270">
        <f t="shared" si="993"/>
        <v>0</v>
      </c>
      <c r="BE836" s="199">
        <f t="shared" si="1015"/>
        <v>0</v>
      </c>
      <c r="BF836" s="251">
        <f t="shared" si="994"/>
        <v>0</v>
      </c>
      <c r="BG836" s="204">
        <f t="shared" si="1016"/>
        <v>0</v>
      </c>
      <c r="BH836" s="636">
        <v>1</v>
      </c>
      <c r="BI836" s="199">
        <f t="shared" si="963"/>
        <v>38121.828948440598</v>
      </c>
      <c r="BJ836" s="199">
        <f t="shared" si="964"/>
        <v>76243.657896881195</v>
      </c>
      <c r="BK836" s="199">
        <f t="shared" si="971"/>
        <v>114365.48684532179</v>
      </c>
      <c r="BL836" s="251">
        <f t="shared" si="965"/>
        <v>4.8255560921945095E-4</v>
      </c>
      <c r="BM836" s="199">
        <f t="shared" si="1017"/>
        <v>10990.683871343004</v>
      </c>
      <c r="BN836" s="251">
        <f t="shared" si="966"/>
        <v>4.7461190999426462E-4</v>
      </c>
      <c r="BT836" s="199">
        <f>'Detailed Budget'!$AD$12</f>
        <v>194045122715</v>
      </c>
      <c r="BU836" s="199">
        <f>'Detailed Budget'!$AD$24</f>
        <v>194045122715</v>
      </c>
      <c r="BV836" s="596">
        <f t="shared" si="1018"/>
        <v>0</v>
      </c>
      <c r="BW836" s="278"/>
      <c r="BX836" s="275">
        <f t="shared" si="950"/>
        <v>0</v>
      </c>
      <c r="BY836" s="275">
        <f t="shared" si="951"/>
        <v>0</v>
      </c>
      <c r="CA836" s="199">
        <f>'Detailed Budget'!$AD$96</f>
        <v>71050111380.677719</v>
      </c>
      <c r="CB836" s="275">
        <f t="shared" si="967"/>
        <v>37320296.618762642</v>
      </c>
      <c r="CE836" s="199">
        <f>'Detailed Budget'!$AD$175</f>
        <v>4330586076.5988197</v>
      </c>
      <c r="CF836" s="275">
        <f t="shared" si="1019"/>
        <v>0</v>
      </c>
      <c r="CG836" s="199">
        <f>'Detailed Budget'!$AD$176</f>
        <v>20662817754.37001</v>
      </c>
      <c r="CH836" s="275">
        <f t="shared" si="1020"/>
        <v>0</v>
      </c>
      <c r="CI836" s="275">
        <f t="shared" si="992"/>
        <v>0</v>
      </c>
      <c r="CJ836" s="275">
        <f>'Detailed Budget'!$AD$178</f>
        <v>46025131033.061455</v>
      </c>
      <c r="CK836" s="275">
        <f t="shared" si="1012"/>
        <v>0</v>
      </c>
      <c r="CL836" s="275">
        <f t="shared" si="991"/>
        <v>0</v>
      </c>
      <c r="CM836" s="278">
        <f>'Detailed Budget'!$AD$189</f>
        <v>77498869683.252869</v>
      </c>
      <c r="CN836" s="275">
        <f t="shared" si="968"/>
        <v>37397514.273820922</v>
      </c>
      <c r="CO836" s="140">
        <f>'Detailed Budget'!$AD$191</f>
        <v>2684962805.4134097</v>
      </c>
      <c r="CP836" s="616">
        <f t="shared" si="969"/>
        <v>1295643.8622978339</v>
      </c>
      <c r="CQ836" s="616">
        <f t="shared" si="970"/>
        <v>38693158.136118755</v>
      </c>
      <c r="CR836" s="199">
        <f>'Detailed Budget'!$AD$195</f>
        <v>18734176418</v>
      </c>
      <c r="CS836" s="275">
        <f t="shared" si="1021"/>
        <v>8891463.2519164905</v>
      </c>
      <c r="CW836" s="278"/>
      <c r="DH836" s="140">
        <f>'Detailed Budget'!$AD$163</f>
        <v>4928560000</v>
      </c>
      <c r="DI836" s="616">
        <f t="shared" si="1022"/>
        <v>6160000</v>
      </c>
    </row>
    <row r="837" spans="1:113" outlineLevel="1">
      <c r="A837" s="214" t="s">
        <v>1701</v>
      </c>
      <c r="B837" s="215" t="s">
        <v>1702</v>
      </c>
      <c r="C837" s="216" t="s">
        <v>234</v>
      </c>
      <c r="D837" s="217"/>
      <c r="E837" s="216"/>
      <c r="F837" s="216"/>
      <c r="G837" s="216" t="s">
        <v>234</v>
      </c>
      <c r="H837" s="216" t="s">
        <v>234</v>
      </c>
      <c r="I837" s="217" t="s">
        <v>234</v>
      </c>
      <c r="J837" s="217"/>
      <c r="K837" s="216"/>
      <c r="L837" s="216"/>
      <c r="M837" s="217"/>
      <c r="N837" s="216"/>
      <c r="O837" s="217" t="s">
        <v>234</v>
      </c>
      <c r="P837" s="216"/>
      <c r="Q837" s="217"/>
      <c r="R837" s="217" t="s">
        <v>234</v>
      </c>
      <c r="S837" s="217"/>
      <c r="T837" s="217"/>
      <c r="U837" s="218">
        <f t="shared" si="1010"/>
        <v>6</v>
      </c>
      <c r="V837" s="867" t="s">
        <v>235</v>
      </c>
      <c r="W837" s="219">
        <v>70954</v>
      </c>
      <c r="X837" s="220">
        <v>3.21</v>
      </c>
      <c r="Y837" s="221">
        <f t="shared" si="953"/>
        <v>1.0321</v>
      </c>
      <c r="Z837" s="199">
        <v>19</v>
      </c>
      <c r="AA837" s="221">
        <f t="shared" si="954"/>
        <v>1.8226940798007465</v>
      </c>
      <c r="AB837" s="199">
        <f t="shared" si="1008"/>
        <v>129327.43573818216</v>
      </c>
      <c r="AC837">
        <v>11.9</v>
      </c>
      <c r="AD837" s="199">
        <f t="shared" si="1009"/>
        <v>15389.964852843677</v>
      </c>
      <c r="AE837" s="199">
        <f t="shared" si="955"/>
        <v>14620.466610201493</v>
      </c>
      <c r="AF837" s="199">
        <f t="shared" si="975"/>
        <v>0</v>
      </c>
      <c r="AG837" s="614">
        <f t="shared" si="972"/>
        <v>6.7598619100464445E-4</v>
      </c>
      <c r="AH837" s="199">
        <f t="shared" si="1023"/>
        <v>6466.3717869091088</v>
      </c>
      <c r="AI837" s="252">
        <f t="shared" si="952"/>
        <v>5.0094002482160816E-4</v>
      </c>
      <c r="AJ837" s="199">
        <f t="shared" si="956"/>
        <v>21856.336639752786</v>
      </c>
      <c r="AK837" s="199">
        <f t="shared" si="976"/>
        <v>5173.0974295272863</v>
      </c>
      <c r="AL837" s="199">
        <f t="shared" si="977"/>
        <v>5173.0974295272863</v>
      </c>
      <c r="AM837" s="199">
        <f t="shared" si="957"/>
        <v>10346.194859054573</v>
      </c>
      <c r="AN837" s="645">
        <f t="shared" si="958"/>
        <v>5.0094002482160816E-4</v>
      </c>
      <c r="AO837" s="199">
        <v>10</v>
      </c>
      <c r="AP837" s="250">
        <f t="shared" si="959"/>
        <v>1.1362345188046814E-3</v>
      </c>
      <c r="AQ837" s="199">
        <v>10</v>
      </c>
      <c r="AU837" s="199">
        <v>0</v>
      </c>
      <c r="AW837" s="250">
        <f t="shared" si="960"/>
        <v>0</v>
      </c>
      <c r="AX837" s="199">
        <v>1</v>
      </c>
      <c r="AY837" s="199">
        <f t="shared" si="1013"/>
        <v>6936.8178067037343</v>
      </c>
      <c r="AZ837" s="199">
        <f t="shared" si="961"/>
        <v>6936.8178067037343</v>
      </c>
      <c r="BA837" s="252">
        <f t="shared" si="962"/>
        <v>5.4527889477890468E-4</v>
      </c>
      <c r="BB837" s="284">
        <v>0</v>
      </c>
      <c r="BC837" s="199">
        <f t="shared" si="1014"/>
        <v>0</v>
      </c>
      <c r="BD837" s="270">
        <f t="shared" si="993"/>
        <v>0</v>
      </c>
      <c r="BE837" s="199">
        <f t="shared" si="1015"/>
        <v>0</v>
      </c>
      <c r="BF837" s="251">
        <f t="shared" si="994"/>
        <v>0</v>
      </c>
      <c r="BG837" s="204">
        <f t="shared" si="1016"/>
        <v>0</v>
      </c>
      <c r="BH837" s="636">
        <v>1</v>
      </c>
      <c r="BI837" s="199">
        <f t="shared" si="963"/>
        <v>39574.195335883742</v>
      </c>
      <c r="BJ837" s="199">
        <f t="shared" si="964"/>
        <v>79148.390671767484</v>
      </c>
      <c r="BK837" s="199">
        <f t="shared" si="971"/>
        <v>118722.58600765123</v>
      </c>
      <c r="BL837" s="251">
        <f t="shared" si="965"/>
        <v>5.0094002482160816E-4</v>
      </c>
      <c r="BM837" s="199">
        <f t="shared" si="1017"/>
        <v>11409.407218833529</v>
      </c>
      <c r="BN837" s="251">
        <f t="shared" si="966"/>
        <v>4.9269368634576526E-4</v>
      </c>
      <c r="BT837" s="199">
        <f>'Detailed Budget'!$AD$12</f>
        <v>194045122715</v>
      </c>
      <c r="BU837" s="199">
        <f>'Detailed Budget'!$AD$24</f>
        <v>194045122715</v>
      </c>
      <c r="BV837" s="596">
        <f t="shared" si="1018"/>
        <v>0</v>
      </c>
      <c r="BW837" s="278"/>
      <c r="BX837" s="275">
        <f t="shared" si="950"/>
        <v>0</v>
      </c>
      <c r="BY837" s="275">
        <f t="shared" si="951"/>
        <v>0</v>
      </c>
      <c r="CA837" s="199">
        <f>'Detailed Budget'!$AD$96</f>
        <v>71050111380.677719</v>
      </c>
      <c r="CB837" s="275">
        <f t="shared" si="967"/>
        <v>38742126.207574025</v>
      </c>
      <c r="CE837" s="199">
        <f>'Detailed Budget'!$AD$175</f>
        <v>4330586076.5988197</v>
      </c>
      <c r="CF837" s="275">
        <f t="shared" si="1019"/>
        <v>0</v>
      </c>
      <c r="CG837" s="199">
        <f>'Detailed Budget'!$AD$176</f>
        <v>20662817754.37001</v>
      </c>
      <c r="CH837" s="275">
        <f t="shared" si="1020"/>
        <v>0</v>
      </c>
      <c r="CI837" s="275">
        <f t="shared" si="992"/>
        <v>0</v>
      </c>
      <c r="CJ837" s="275">
        <f>'Detailed Budget'!$AD$178</f>
        <v>46025131033.061455</v>
      </c>
      <c r="CK837" s="275">
        <f t="shared" si="1012"/>
        <v>0</v>
      </c>
      <c r="CL837" s="275">
        <f t="shared" si="991"/>
        <v>0</v>
      </c>
      <c r="CM837" s="278">
        <f>'Detailed Budget'!$AD$189</f>
        <v>77498869683.252869</v>
      </c>
      <c r="CN837" s="275">
        <f t="shared" si="968"/>
        <v>38822285.70277527</v>
      </c>
      <c r="CO837" s="140">
        <f>'Detailed Budget'!$AD$191</f>
        <v>2684962805.4134097</v>
      </c>
      <c r="CP837" s="616">
        <f t="shared" si="969"/>
        <v>1345005.3343888882</v>
      </c>
      <c r="CQ837" s="616">
        <f t="shared" si="970"/>
        <v>40167291.037164159</v>
      </c>
      <c r="CR837" s="199">
        <f>'Detailed Budget'!$AD$195</f>
        <v>18734176418</v>
      </c>
      <c r="CS837" s="275">
        <f t="shared" si="1021"/>
        <v>9230210.4400363248</v>
      </c>
      <c r="CW837" s="278"/>
      <c r="DH837" s="140">
        <f>'Detailed Budget'!$AD$163</f>
        <v>4928560000</v>
      </c>
      <c r="DI837" s="616">
        <f t="shared" si="1022"/>
        <v>5600000</v>
      </c>
    </row>
    <row r="838" spans="1:113" outlineLevel="1">
      <c r="A838" s="214" t="s">
        <v>1703</v>
      </c>
      <c r="B838" s="215" t="s">
        <v>1704</v>
      </c>
      <c r="C838" s="216" t="s">
        <v>234</v>
      </c>
      <c r="D838" s="217"/>
      <c r="E838" s="216"/>
      <c r="F838" s="216"/>
      <c r="G838" s="216" t="s">
        <v>234</v>
      </c>
      <c r="H838" s="216" t="s">
        <v>234</v>
      </c>
      <c r="I838" s="217" t="s">
        <v>234</v>
      </c>
      <c r="J838" s="217"/>
      <c r="K838" s="216"/>
      <c r="L838" s="216"/>
      <c r="M838" s="217"/>
      <c r="N838" s="216"/>
      <c r="O838" s="217" t="s">
        <v>234</v>
      </c>
      <c r="P838" s="216"/>
      <c r="Q838" s="217"/>
      <c r="R838" s="217" t="s">
        <v>234</v>
      </c>
      <c r="S838" s="217"/>
      <c r="T838" s="217"/>
      <c r="U838" s="218">
        <f t="shared" si="1010"/>
        <v>6</v>
      </c>
      <c r="V838" s="867" t="s">
        <v>235</v>
      </c>
      <c r="W838" s="219">
        <v>138742</v>
      </c>
      <c r="X838" s="220">
        <v>3.21</v>
      </c>
      <c r="Y838" s="221">
        <f t="shared" si="953"/>
        <v>1.0321</v>
      </c>
      <c r="Z838" s="199">
        <v>19</v>
      </c>
      <c r="AA838" s="221">
        <f t="shared" si="954"/>
        <v>1.8226940798007465</v>
      </c>
      <c r="AB838" s="199">
        <f t="shared" si="1008"/>
        <v>252884.22201971518</v>
      </c>
      <c r="AC838">
        <v>11.9</v>
      </c>
      <c r="AD838" s="199">
        <f t="shared" si="1009"/>
        <v>30093.222420346108</v>
      </c>
      <c r="AE838" s="199">
        <f t="shared" si="955"/>
        <v>28588.561299328801</v>
      </c>
      <c r="AF838" s="199">
        <f t="shared" si="975"/>
        <v>0</v>
      </c>
      <c r="AG838" s="614">
        <f t="shared" si="972"/>
        <v>1.321809568345215E-3</v>
      </c>
      <c r="AH838" s="199">
        <f t="shared" si="1023"/>
        <v>12644.21110098576</v>
      </c>
      <c r="AI838" s="252">
        <f t="shared" ref="AI838:AI898" si="1024">AH838/12908475</f>
        <v>9.7952787614228329E-4</v>
      </c>
      <c r="AJ838" s="199">
        <f t="shared" si="956"/>
        <v>42737.43352133187</v>
      </c>
      <c r="AK838" s="199">
        <f t="shared" si="976"/>
        <v>10115.368880788606</v>
      </c>
      <c r="AL838" s="199">
        <f t="shared" si="977"/>
        <v>10115.368880788606</v>
      </c>
      <c r="AM838" s="199">
        <f t="shared" si="957"/>
        <v>20230.737761577213</v>
      </c>
      <c r="AN838" s="645">
        <f t="shared" si="958"/>
        <v>9.7952787614228307E-4</v>
      </c>
      <c r="AO838" s="199">
        <v>11</v>
      </c>
      <c r="AP838" s="250">
        <f t="shared" si="959"/>
        <v>1.2498579706851495E-3</v>
      </c>
      <c r="AQ838" s="199">
        <v>11</v>
      </c>
      <c r="AU838" s="199">
        <v>0</v>
      </c>
      <c r="AW838" s="250">
        <f t="shared" si="960"/>
        <v>0</v>
      </c>
      <c r="AX838" s="199">
        <v>1</v>
      </c>
      <c r="AY838" s="199">
        <f t="shared" si="1013"/>
        <v>13564.111623554552</v>
      </c>
      <c r="AZ838" s="199">
        <f t="shared" si="961"/>
        <v>13564.111623554552</v>
      </c>
      <c r="BA838" s="252">
        <f t="shared" si="962"/>
        <v>1.0662271953577644E-3</v>
      </c>
      <c r="BB838" s="284">
        <v>0</v>
      </c>
      <c r="BC838" s="199">
        <f t="shared" si="1014"/>
        <v>0</v>
      </c>
      <c r="BD838" s="270">
        <f t="shared" si="993"/>
        <v>0</v>
      </c>
      <c r="BE838" s="199">
        <f t="shared" si="1015"/>
        <v>0</v>
      </c>
      <c r="BF838" s="251">
        <f t="shared" si="994"/>
        <v>0</v>
      </c>
      <c r="BG838" s="204">
        <f t="shared" si="1016"/>
        <v>0</v>
      </c>
      <c r="BH838" s="636">
        <v>1</v>
      </c>
      <c r="BI838" s="199">
        <f t="shared" si="963"/>
        <v>77382.571938032837</v>
      </c>
      <c r="BJ838" s="199">
        <f t="shared" si="964"/>
        <v>154765.14387606567</v>
      </c>
      <c r="BK838" s="199">
        <f t="shared" si="971"/>
        <v>232147.71581409851</v>
      </c>
      <c r="BL838" s="251">
        <f t="shared" si="965"/>
        <v>9.7952787614228307E-4</v>
      </c>
      <c r="BM838" s="199">
        <f t="shared" si="1017"/>
        <v>22309.721458344862</v>
      </c>
      <c r="BN838" s="251">
        <f t="shared" si="966"/>
        <v>9.6340315459289344E-4</v>
      </c>
      <c r="BT838" s="199">
        <f>'Detailed Budget'!$AD$12</f>
        <v>194045122715</v>
      </c>
      <c r="BU838" s="199">
        <f>'Detailed Budget'!$AD$24</f>
        <v>194045122715</v>
      </c>
      <c r="BV838" s="596">
        <f t="shared" si="1018"/>
        <v>0</v>
      </c>
      <c r="BW838" s="278"/>
      <c r="BX838" s="275">
        <f t="shared" si="950"/>
        <v>0</v>
      </c>
      <c r="BY838" s="275">
        <f t="shared" si="951"/>
        <v>0</v>
      </c>
      <c r="CA838" s="199">
        <f>'Detailed Budget'!$AD$96</f>
        <v>71050111380.677719</v>
      </c>
      <c r="CB838" s="275">
        <f t="shared" si="967"/>
        <v>75755560.987276778</v>
      </c>
      <c r="CE838" s="199">
        <f>'Detailed Budget'!$AD$175</f>
        <v>4330586076.5988197</v>
      </c>
      <c r="CF838" s="275">
        <f t="shared" si="1019"/>
        <v>0</v>
      </c>
      <c r="CG838" s="199">
        <f>'Detailed Budget'!$AD$176</f>
        <v>20662817754.37001</v>
      </c>
      <c r="CH838" s="275">
        <f t="shared" si="1020"/>
        <v>0</v>
      </c>
      <c r="CI838" s="275">
        <f t="shared" si="992"/>
        <v>0</v>
      </c>
      <c r="CJ838" s="275">
        <f>'Detailed Budget'!$AD$178</f>
        <v>46025131033.061455</v>
      </c>
      <c r="CK838" s="275">
        <f t="shared" si="1012"/>
        <v>0</v>
      </c>
      <c r="CL838" s="275">
        <f t="shared" si="991"/>
        <v>0</v>
      </c>
      <c r="CM838" s="278">
        <f>'Detailed Budget'!$AD$189</f>
        <v>77498869683.252869</v>
      </c>
      <c r="CN838" s="275">
        <f t="shared" si="968"/>
        <v>75912303.224264249</v>
      </c>
      <c r="CO838" s="140">
        <f>'Detailed Budget'!$AD$191</f>
        <v>2684962805.4134097</v>
      </c>
      <c r="CP838" s="616">
        <f t="shared" si="969"/>
        <v>2629995.9143076232</v>
      </c>
      <c r="CQ838" s="616">
        <f t="shared" si="970"/>
        <v>78542299.138571873</v>
      </c>
      <c r="CR838" s="199">
        <f>'Detailed Budget'!$AD$195</f>
        <v>18734176418</v>
      </c>
      <c r="CS838" s="275">
        <f t="shared" si="1021"/>
        <v>18048564.659800991</v>
      </c>
      <c r="CW838" s="278"/>
      <c r="DH838" s="140">
        <f>'Detailed Budget'!$AD$163</f>
        <v>4928560000</v>
      </c>
      <c r="DI838" s="616">
        <f t="shared" si="1022"/>
        <v>6160000</v>
      </c>
    </row>
    <row r="839" spans="1:113" outlineLevel="1">
      <c r="A839" s="214" t="s">
        <v>1705</v>
      </c>
      <c r="B839" s="215" t="s">
        <v>1706</v>
      </c>
      <c r="C839" s="216" t="s">
        <v>234</v>
      </c>
      <c r="D839" s="217"/>
      <c r="E839" s="216"/>
      <c r="F839" s="216"/>
      <c r="G839" s="216" t="s">
        <v>234</v>
      </c>
      <c r="H839" s="216" t="s">
        <v>234</v>
      </c>
      <c r="I839" s="217" t="s">
        <v>234</v>
      </c>
      <c r="J839" s="217"/>
      <c r="K839" s="216"/>
      <c r="L839" s="216"/>
      <c r="M839" s="217"/>
      <c r="N839" s="216"/>
      <c r="O839" s="217"/>
      <c r="P839" s="216" t="s">
        <v>234</v>
      </c>
      <c r="Q839" s="217" t="s">
        <v>234</v>
      </c>
      <c r="R839" s="217"/>
      <c r="S839" s="217"/>
      <c r="T839" s="217"/>
      <c r="U839" s="218">
        <f t="shared" si="1010"/>
        <v>6</v>
      </c>
      <c r="V839" s="867" t="s">
        <v>1096</v>
      </c>
      <c r="W839" s="219">
        <v>83818</v>
      </c>
      <c r="X839" s="220">
        <v>3.21</v>
      </c>
      <c r="Y839" s="221">
        <f t="shared" si="953"/>
        <v>1.0321</v>
      </c>
      <c r="Z839" s="199">
        <v>19</v>
      </c>
      <c r="AA839" s="221">
        <f t="shared" si="954"/>
        <v>1.8226940798007465</v>
      </c>
      <c r="AB839" s="199">
        <f t="shared" si="1008"/>
        <v>152774.57238073897</v>
      </c>
      <c r="AC839">
        <v>11.9</v>
      </c>
      <c r="AD839" s="199">
        <f t="shared" si="1009"/>
        <v>18180.174113307938</v>
      </c>
      <c r="AE839" s="199">
        <f t="shared" si="955"/>
        <v>17271.16540764254</v>
      </c>
      <c r="AF839" s="199">
        <f t="shared" si="975"/>
        <v>0</v>
      </c>
      <c r="AG839" s="614">
        <f t="shared" si="972"/>
        <v>7.9854286661255587E-4</v>
      </c>
      <c r="AH839" s="199">
        <f t="shared" si="1023"/>
        <v>7638.7286190369487</v>
      </c>
      <c r="AI839" s="252">
        <f t="shared" si="1024"/>
        <v>5.9176073231244971E-4</v>
      </c>
      <c r="AJ839" s="199">
        <f t="shared" ref="AJ839:AJ898" si="1025">AD839+AH839</f>
        <v>25818.902732344886</v>
      </c>
      <c r="AK839" s="199">
        <f t="shared" si="976"/>
        <v>6110.9828952295593</v>
      </c>
      <c r="AL839" s="199">
        <f t="shared" si="977"/>
        <v>6110.9828952295593</v>
      </c>
      <c r="AM839" s="199">
        <f t="shared" ref="AM839:AM898" si="1026">AK839+AL839</f>
        <v>12221.965790459119</v>
      </c>
      <c r="AN839" s="645">
        <f t="shared" ref="AN839:AN898" si="1027">AM839/20653560</f>
        <v>5.9176073231244971E-4</v>
      </c>
      <c r="AO839" s="199">
        <v>11</v>
      </c>
      <c r="AP839" s="250">
        <f t="shared" ref="AP839:AP898" si="1028">AO839/8801</f>
        <v>1.2498579706851495E-3</v>
      </c>
      <c r="AQ839" s="199">
        <v>11</v>
      </c>
      <c r="AU839" s="199">
        <v>0</v>
      </c>
      <c r="AW839" s="250">
        <f t="shared" ref="AW839:AW898" si="1029">AV839/34743979</f>
        <v>0</v>
      </c>
      <c r="AX839" s="199">
        <v>1</v>
      </c>
      <c r="AY839" s="199">
        <f t="shared" si="1013"/>
        <v>8194.4667661061194</v>
      </c>
      <c r="AZ839" s="199">
        <f t="shared" ref="AZ839:AZ898" si="1030">AX839*AY839</f>
        <v>8194.4667661061194</v>
      </c>
      <c r="BA839" s="252">
        <f t="shared" ref="BA839:BA898" si="1031">AZ839/12721596</f>
        <v>6.4413826426386431E-4</v>
      </c>
      <c r="BB839" s="284">
        <v>0</v>
      </c>
      <c r="BC839" s="199">
        <f t="shared" si="1014"/>
        <v>0</v>
      </c>
      <c r="BD839" s="270">
        <f t="shared" si="993"/>
        <v>0</v>
      </c>
      <c r="BE839" s="199">
        <f t="shared" si="1015"/>
        <v>0</v>
      </c>
      <c r="BF839" s="251">
        <f t="shared" si="994"/>
        <v>0</v>
      </c>
      <c r="BG839" s="204">
        <f t="shared" si="1016"/>
        <v>0</v>
      </c>
      <c r="BH839" s="636">
        <v>1</v>
      </c>
      <c r="BI839" s="199">
        <f t="shared" ref="BI839:BI898" si="1032">AK839*0.85*0.75*12</f>
        <v>46749.01914850613</v>
      </c>
      <c r="BJ839" s="199">
        <f t="shared" ref="BJ839:BJ898" si="1033">AL839*0.85*0.75*2*12</f>
        <v>93498.038297012259</v>
      </c>
      <c r="BK839" s="199">
        <f t="shared" si="971"/>
        <v>140247.05744551838</v>
      </c>
      <c r="BL839" s="251">
        <f t="shared" ref="BL839:BL898" si="1034">BK839/236999601</f>
        <v>5.9176073231244971E-4</v>
      </c>
      <c r="BM839" s="199">
        <f t="shared" si="1017"/>
        <v>13477.939147450301</v>
      </c>
      <c r="BN839" s="251">
        <f t="shared" ref="BN839:BN898" si="1035">BM839/23157202</f>
        <v>5.8201932804534417E-4</v>
      </c>
      <c r="BT839" s="199">
        <f>'Detailed Budget'!$AD$12</f>
        <v>194045122715</v>
      </c>
      <c r="BU839" s="199">
        <f>'Detailed Budget'!$AD$24</f>
        <v>194045122715</v>
      </c>
      <c r="BV839" s="596">
        <f t="shared" si="1018"/>
        <v>0</v>
      </c>
      <c r="BW839" s="278"/>
      <c r="BX839" s="275">
        <f t="shared" si="950"/>
        <v>0</v>
      </c>
      <c r="BY839" s="275">
        <f t="shared" si="951"/>
        <v>0</v>
      </c>
      <c r="CA839" s="199">
        <f>'Detailed Budget'!$AD$96</f>
        <v>71050111380.677719</v>
      </c>
      <c r="CB839" s="275">
        <f t="shared" ref="CB839:CB898" si="1036">BA839*CA839</f>
        <v>45766095.420503981</v>
      </c>
      <c r="CE839" s="199">
        <f>'Detailed Budget'!$AD$175</f>
        <v>4330586076.5988197</v>
      </c>
      <c r="CF839" s="275">
        <f t="shared" si="1019"/>
        <v>0</v>
      </c>
      <c r="CG839" s="199">
        <f>'Detailed Budget'!$AD$176</f>
        <v>20662817754.37001</v>
      </c>
      <c r="CH839" s="275">
        <f t="shared" si="1020"/>
        <v>0</v>
      </c>
      <c r="CI839" s="275">
        <f t="shared" si="992"/>
        <v>0</v>
      </c>
      <c r="CJ839" s="275">
        <f>'Detailed Budget'!$AD$178</f>
        <v>46025131033.061455</v>
      </c>
      <c r="CK839" s="275">
        <f t="shared" si="1012"/>
        <v>0</v>
      </c>
      <c r="CL839" s="275">
        <f t="shared" si="991"/>
        <v>0</v>
      </c>
      <c r="CM839" s="278">
        <f>'Detailed Budget'!$AD$189</f>
        <v>77498869683.252869</v>
      </c>
      <c r="CN839" s="275">
        <f t="shared" ref="CN839:CN898" si="1037">BH839*BL839*CM839</f>
        <v>45860787.877148822</v>
      </c>
      <c r="CO839" s="140">
        <f>'Detailed Budget'!$AD$191</f>
        <v>2684962805.4134097</v>
      </c>
      <c r="CP839" s="616">
        <f t="shared" ref="CP839:CP898" si="1038">BH839*AN839*CO839</f>
        <v>1588855.5559631288</v>
      </c>
      <c r="CQ839" s="616">
        <f t="shared" ref="CQ839:CQ898" si="1039">CN839+CP839</f>
        <v>47449643.433111951</v>
      </c>
      <c r="CR839" s="199">
        <f>'Detailed Budget'!$AD$195</f>
        <v>18734176418</v>
      </c>
      <c r="CS839" s="275">
        <f t="shared" si="1021"/>
        <v>10903652.770287292</v>
      </c>
      <c r="CW839" s="278"/>
      <c r="DH839" s="140">
        <f>'Detailed Budget'!$AD$163</f>
        <v>4928560000</v>
      </c>
      <c r="DI839" s="616">
        <f t="shared" si="1022"/>
        <v>6160000</v>
      </c>
    </row>
    <row r="840" spans="1:113" outlineLevel="1">
      <c r="A840" s="214" t="s">
        <v>1707</v>
      </c>
      <c r="B840" s="215" t="s">
        <v>1708</v>
      </c>
      <c r="C840" s="216" t="s">
        <v>234</v>
      </c>
      <c r="D840" s="217"/>
      <c r="E840" s="216"/>
      <c r="F840" s="216"/>
      <c r="G840" s="216" t="s">
        <v>234</v>
      </c>
      <c r="H840" s="216" t="s">
        <v>234</v>
      </c>
      <c r="I840" s="217" t="s">
        <v>234</v>
      </c>
      <c r="J840" s="217"/>
      <c r="K840" s="216"/>
      <c r="L840" s="216"/>
      <c r="M840" s="217"/>
      <c r="N840" s="216"/>
      <c r="O840" s="217" t="s">
        <v>234</v>
      </c>
      <c r="P840" s="216"/>
      <c r="Q840" s="217" t="s">
        <v>234</v>
      </c>
      <c r="R840" s="217"/>
      <c r="S840" s="217"/>
      <c r="T840" s="217"/>
      <c r="U840" s="218">
        <f t="shared" si="1010"/>
        <v>6</v>
      </c>
      <c r="V840" s="867" t="s">
        <v>1096</v>
      </c>
      <c r="W840" s="219">
        <v>75489</v>
      </c>
      <c r="X840" s="220">
        <v>3.21</v>
      </c>
      <c r="Y840" s="221">
        <f t="shared" si="953"/>
        <v>1.0321</v>
      </c>
      <c r="Z840" s="199">
        <v>19</v>
      </c>
      <c r="AA840" s="221">
        <f t="shared" si="954"/>
        <v>1.8226940798007465</v>
      </c>
      <c r="AB840" s="199">
        <f t="shared" si="1008"/>
        <v>137593.35339007856</v>
      </c>
      <c r="AC840">
        <v>11.9</v>
      </c>
      <c r="AD840" s="199">
        <f t="shared" si="1009"/>
        <v>16373.609053419348</v>
      </c>
      <c r="AE840" s="199">
        <f t="shared" si="955"/>
        <v>15554.928600748381</v>
      </c>
      <c r="AF840" s="199">
        <f t="shared" si="975"/>
        <v>0</v>
      </c>
      <c r="AG840" s="614">
        <f t="shared" si="972"/>
        <v>7.191916110825268E-4</v>
      </c>
      <c r="AH840" s="199">
        <f t="shared" si="1023"/>
        <v>6879.6676695039278</v>
      </c>
      <c r="AI840" s="252">
        <f t="shared" si="1024"/>
        <v>5.3295743064180143E-4</v>
      </c>
      <c r="AJ840" s="199">
        <f t="shared" si="1025"/>
        <v>23253.276722923278</v>
      </c>
      <c r="AK840" s="199">
        <f t="shared" si="976"/>
        <v>5503.734135603142</v>
      </c>
      <c r="AL840" s="199">
        <f t="shared" si="977"/>
        <v>5503.734135603142</v>
      </c>
      <c r="AM840" s="199">
        <f t="shared" si="1026"/>
        <v>11007.468271206284</v>
      </c>
      <c r="AN840" s="645">
        <f t="shared" si="1027"/>
        <v>5.3295743064180143E-4</v>
      </c>
      <c r="AO840" s="199">
        <v>10</v>
      </c>
      <c r="AP840" s="250">
        <f t="shared" si="1028"/>
        <v>1.1362345188046814E-3</v>
      </c>
      <c r="AQ840" s="199">
        <v>10</v>
      </c>
      <c r="AU840" s="199">
        <v>0</v>
      </c>
      <c r="AW840" s="250">
        <f t="shared" si="1029"/>
        <v>0</v>
      </c>
      <c r="AX840" s="199">
        <v>1</v>
      </c>
      <c r="AY840" s="199">
        <f t="shared" si="1013"/>
        <v>7380.1820814930561</v>
      </c>
      <c r="AZ840" s="199">
        <f t="shared" si="1030"/>
        <v>7380.1820814930561</v>
      </c>
      <c r="BA840" s="252">
        <f t="shared" si="1031"/>
        <v>5.801302039062596E-4</v>
      </c>
      <c r="BB840" s="284">
        <v>0</v>
      </c>
      <c r="BC840" s="199">
        <f t="shared" si="1014"/>
        <v>0</v>
      </c>
      <c r="BD840" s="270">
        <f t="shared" si="993"/>
        <v>0</v>
      </c>
      <c r="BE840" s="199">
        <f t="shared" si="1015"/>
        <v>0</v>
      </c>
      <c r="BF840" s="251">
        <f t="shared" si="994"/>
        <v>0</v>
      </c>
      <c r="BG840" s="204">
        <f t="shared" si="1016"/>
        <v>0</v>
      </c>
      <c r="BH840" s="636">
        <v>1</v>
      </c>
      <c r="BI840" s="199">
        <f t="shared" si="1032"/>
        <v>42103.56613736404</v>
      </c>
      <c r="BJ840" s="199">
        <f t="shared" si="1033"/>
        <v>84207.132274728079</v>
      </c>
      <c r="BK840" s="199">
        <f t="shared" ref="BK840:BK898" si="1040">BI840+BJ840</f>
        <v>126310.69841209211</v>
      </c>
      <c r="BL840" s="251">
        <f t="shared" si="1034"/>
        <v>5.3295743064180143E-4</v>
      </c>
      <c r="BM840" s="199">
        <f t="shared" si="1017"/>
        <v>12138.635475695861</v>
      </c>
      <c r="BN840" s="251">
        <f t="shared" si="1035"/>
        <v>5.2418403033733781E-4</v>
      </c>
      <c r="BT840" s="199">
        <f>'Detailed Budget'!$AD$12</f>
        <v>194045122715</v>
      </c>
      <c r="BU840" s="199">
        <f>'Detailed Budget'!$AD$24</f>
        <v>194045122715</v>
      </c>
      <c r="BV840" s="596">
        <f t="shared" si="1018"/>
        <v>0</v>
      </c>
      <c r="BW840" s="278"/>
      <c r="BX840" s="275">
        <f t="shared" si="950"/>
        <v>0</v>
      </c>
      <c r="BY840" s="275">
        <f t="shared" si="951"/>
        <v>0</v>
      </c>
      <c r="CA840" s="199">
        <f>'Detailed Budget'!$AD$96</f>
        <v>71050111380.677719</v>
      </c>
      <c r="CB840" s="275">
        <f t="shared" si="1036"/>
        <v>41218315.602835022</v>
      </c>
      <c r="CE840" s="199">
        <f>'Detailed Budget'!$AD$175</f>
        <v>4330586076.5988197</v>
      </c>
      <c r="CF840" s="275">
        <f t="shared" si="1019"/>
        <v>0</v>
      </c>
      <c r="CG840" s="199">
        <f>'Detailed Budget'!$AD$176</f>
        <v>20662817754.37001</v>
      </c>
      <c r="CH840" s="275">
        <f t="shared" si="1020"/>
        <v>0</v>
      </c>
      <c r="CI840" s="275">
        <f t="shared" si="992"/>
        <v>0</v>
      </c>
      <c r="CJ840" s="275">
        <f>'Detailed Budget'!$AD$178</f>
        <v>46025131033.061455</v>
      </c>
      <c r="CK840" s="275">
        <f t="shared" si="1012"/>
        <v>0</v>
      </c>
      <c r="CL840" s="275">
        <f t="shared" si="991"/>
        <v>0</v>
      </c>
      <c r="CM840" s="278">
        <f>'Detailed Budget'!$AD$189</f>
        <v>77498869683.252869</v>
      </c>
      <c r="CN840" s="275">
        <f t="shared" si="1037"/>
        <v>41303598.464030251</v>
      </c>
      <c r="CO840" s="140">
        <f>'Detailed Budget'!$AD$191</f>
        <v>2684962805.4134097</v>
      </c>
      <c r="CP840" s="616">
        <f t="shared" si="1038"/>
        <v>1430970.8781419338</v>
      </c>
      <c r="CQ840" s="616">
        <f t="shared" si="1039"/>
        <v>42734569.342172183</v>
      </c>
      <c r="CR840" s="199">
        <f>'Detailed Budget'!$AD$195</f>
        <v>18734176418</v>
      </c>
      <c r="CS840" s="275">
        <f t="shared" si="1021"/>
        <v>9820156.0998379514</v>
      </c>
      <c r="CW840" s="278"/>
      <c r="DH840" s="140">
        <f>'Detailed Budget'!$AD$163</f>
        <v>4928560000</v>
      </c>
      <c r="DI840" s="616">
        <f t="shared" si="1022"/>
        <v>5600000</v>
      </c>
    </row>
    <row r="841" spans="1:113" outlineLevel="1">
      <c r="A841" s="214" t="s">
        <v>1709</v>
      </c>
      <c r="B841" s="215" t="s">
        <v>1710</v>
      </c>
      <c r="C841" s="216" t="s">
        <v>234</v>
      </c>
      <c r="D841" s="217"/>
      <c r="E841" s="216"/>
      <c r="F841" s="216"/>
      <c r="G841" s="216" t="s">
        <v>234</v>
      </c>
      <c r="H841" s="216" t="s">
        <v>234</v>
      </c>
      <c r="I841" s="217" t="s">
        <v>234</v>
      </c>
      <c r="J841" s="217"/>
      <c r="K841" s="216"/>
      <c r="L841" s="216"/>
      <c r="M841" s="217"/>
      <c r="N841" s="216"/>
      <c r="O841" s="217" t="s">
        <v>234</v>
      </c>
      <c r="P841" s="216"/>
      <c r="Q841" s="217" t="s">
        <v>234</v>
      </c>
      <c r="R841" s="217"/>
      <c r="S841" s="217"/>
      <c r="T841" s="217"/>
      <c r="U841" s="218">
        <f t="shared" si="1010"/>
        <v>6</v>
      </c>
      <c r="V841" s="867" t="s">
        <v>1096</v>
      </c>
      <c r="W841" s="219">
        <v>73969</v>
      </c>
      <c r="X841" s="220">
        <v>3.21</v>
      </c>
      <c r="Y841" s="221">
        <f t="shared" si="953"/>
        <v>1.0321</v>
      </c>
      <c r="Z841" s="199">
        <v>19</v>
      </c>
      <c r="AA841" s="221">
        <f t="shared" si="954"/>
        <v>1.8226940798007465</v>
      </c>
      <c r="AB841" s="199">
        <f t="shared" si="1008"/>
        <v>134822.85838878143</v>
      </c>
      <c r="AC841">
        <v>11.9</v>
      </c>
      <c r="AD841" s="199">
        <f t="shared" si="1009"/>
        <v>16043.920148264991</v>
      </c>
      <c r="AE841" s="199">
        <f t="shared" si="955"/>
        <v>15241.724140851742</v>
      </c>
      <c r="AF841" s="199">
        <f t="shared" si="975"/>
        <v>0</v>
      </c>
      <c r="AG841" s="614">
        <f t="shared" ref="AG841:AG864" si="1041">AE841/21628351</f>
        <v>7.0471041185024889E-4</v>
      </c>
      <c r="AH841" s="199">
        <f t="shared" si="1023"/>
        <v>6741.1429194390721</v>
      </c>
      <c r="AI841" s="252">
        <f t="shared" si="1024"/>
        <v>5.2222612813977427E-4</v>
      </c>
      <c r="AJ841" s="199">
        <f t="shared" si="1025"/>
        <v>22785.063067704064</v>
      </c>
      <c r="AK841" s="199">
        <f t="shared" si="976"/>
        <v>5392.914335551257</v>
      </c>
      <c r="AL841" s="199">
        <f t="shared" si="977"/>
        <v>5392.914335551257</v>
      </c>
      <c r="AM841" s="199">
        <f t="shared" si="1026"/>
        <v>10785.828671102514</v>
      </c>
      <c r="AN841" s="645">
        <f t="shared" si="1027"/>
        <v>5.2222612813977417E-4</v>
      </c>
      <c r="AO841" s="199">
        <v>10</v>
      </c>
      <c r="AP841" s="250">
        <f t="shared" si="1028"/>
        <v>1.1362345188046814E-3</v>
      </c>
      <c r="AQ841" s="199">
        <v>10</v>
      </c>
      <c r="AU841" s="199">
        <v>0</v>
      </c>
      <c r="AW841" s="250">
        <f t="shared" si="1029"/>
        <v>0</v>
      </c>
      <c r="AX841" s="199">
        <v>1</v>
      </c>
      <c r="AY841" s="199">
        <f t="shared" si="1013"/>
        <v>7231.5792815636714</v>
      </c>
      <c r="AZ841" s="199">
        <f t="shared" si="1030"/>
        <v>7231.5792815636714</v>
      </c>
      <c r="BA841" s="252">
        <f t="shared" si="1031"/>
        <v>5.6844905950194228E-4</v>
      </c>
      <c r="BB841" s="284">
        <v>0</v>
      </c>
      <c r="BC841" s="199">
        <f t="shared" si="1014"/>
        <v>0</v>
      </c>
      <c r="BD841" s="270">
        <f t="shared" si="993"/>
        <v>0</v>
      </c>
      <c r="BE841" s="199">
        <f t="shared" si="1015"/>
        <v>0</v>
      </c>
      <c r="BF841" s="251">
        <f t="shared" si="994"/>
        <v>0</v>
      </c>
      <c r="BG841" s="204">
        <f t="shared" si="1016"/>
        <v>0</v>
      </c>
      <c r="BH841" s="636">
        <v>1</v>
      </c>
      <c r="BI841" s="199">
        <f t="shared" si="1032"/>
        <v>41255.794666967115</v>
      </c>
      <c r="BJ841" s="199">
        <f t="shared" si="1033"/>
        <v>82511.589333934229</v>
      </c>
      <c r="BK841" s="199">
        <f t="shared" si="1040"/>
        <v>123767.38400090134</v>
      </c>
      <c r="BL841" s="251">
        <f t="shared" si="1034"/>
        <v>5.2222612813977406E-4</v>
      </c>
      <c r="BM841" s="199">
        <f t="shared" si="1017"/>
        <v>11894.219389603086</v>
      </c>
      <c r="BN841" s="251">
        <f t="shared" si="1035"/>
        <v>5.1362938361910419E-4</v>
      </c>
      <c r="BT841" s="199">
        <f>'Detailed Budget'!$AD$12</f>
        <v>194045122715</v>
      </c>
      <c r="BU841" s="199">
        <f>'Detailed Budget'!$AD$24</f>
        <v>194045122715</v>
      </c>
      <c r="BV841" s="596">
        <f t="shared" si="1018"/>
        <v>0</v>
      </c>
      <c r="BW841" s="278"/>
      <c r="BX841" s="275">
        <f t="shared" si="950"/>
        <v>0</v>
      </c>
      <c r="BY841" s="275">
        <f t="shared" si="951"/>
        <v>0</v>
      </c>
      <c r="CA841" s="199">
        <f>'Detailed Budget'!$AD$96</f>
        <v>71050111380.677719</v>
      </c>
      <c r="CB841" s="275">
        <f t="shared" si="1036"/>
        <v>40388368.991854496</v>
      </c>
      <c r="CE841" s="199">
        <f>'Detailed Budget'!$AD$175</f>
        <v>4330586076.5988197</v>
      </c>
      <c r="CF841" s="275">
        <f t="shared" si="1019"/>
        <v>0</v>
      </c>
      <c r="CG841" s="199">
        <f>'Detailed Budget'!$AD$176</f>
        <v>20662817754.37001</v>
      </c>
      <c r="CH841" s="275">
        <f t="shared" si="1020"/>
        <v>0</v>
      </c>
      <c r="CI841" s="275">
        <f t="shared" si="992"/>
        <v>0</v>
      </c>
      <c r="CJ841" s="275">
        <f>'Detailed Budget'!$AD$178</f>
        <v>46025131033.061455</v>
      </c>
      <c r="CK841" s="275">
        <f t="shared" si="1012"/>
        <v>0</v>
      </c>
      <c r="CL841" s="275">
        <f t="shared" si="991"/>
        <v>0</v>
      </c>
      <c r="CM841" s="278">
        <f>'Detailed Budget'!$AD$189</f>
        <v>77498869683.252869</v>
      </c>
      <c r="CN841" s="275">
        <f t="shared" si="1037"/>
        <v>40471934.649894066</v>
      </c>
      <c r="CO841" s="140">
        <f>'Detailed Budget'!$AD$191</f>
        <v>2684962805.4134097</v>
      </c>
      <c r="CP841" s="616">
        <f t="shared" si="1038"/>
        <v>1402157.7300703509</v>
      </c>
      <c r="CQ841" s="616">
        <f t="shared" si="1039"/>
        <v>41874092.379964419</v>
      </c>
      <c r="CR841" s="199">
        <f>'Detailed Budget'!$AD$195</f>
        <v>18734176418</v>
      </c>
      <c r="CS841" s="275">
        <f t="shared" si="1021"/>
        <v>9622423.4861888979</v>
      </c>
      <c r="CW841" s="278"/>
      <c r="DH841" s="140">
        <f>'Detailed Budget'!$AD$163</f>
        <v>4928560000</v>
      </c>
      <c r="DI841" s="616">
        <f t="shared" si="1022"/>
        <v>5600000</v>
      </c>
    </row>
    <row r="842" spans="1:113" outlineLevel="1">
      <c r="A842" s="214" t="s">
        <v>1711</v>
      </c>
      <c r="B842" s="215" t="s">
        <v>1712</v>
      </c>
      <c r="C842" s="216" t="s">
        <v>234</v>
      </c>
      <c r="D842" s="217"/>
      <c r="E842" s="216"/>
      <c r="F842" s="216"/>
      <c r="G842" s="216" t="s">
        <v>234</v>
      </c>
      <c r="H842" s="216" t="s">
        <v>234</v>
      </c>
      <c r="I842" s="217" t="s">
        <v>234</v>
      </c>
      <c r="J842" s="217"/>
      <c r="K842" s="216"/>
      <c r="L842" s="216"/>
      <c r="M842" s="217"/>
      <c r="N842" s="216" t="s">
        <v>234</v>
      </c>
      <c r="O842" s="217"/>
      <c r="P842" s="216"/>
      <c r="Q842" s="217"/>
      <c r="R842" s="217" t="s">
        <v>234</v>
      </c>
      <c r="S842" s="217"/>
      <c r="T842" s="217"/>
      <c r="U842" s="218">
        <f t="shared" si="1010"/>
        <v>6</v>
      </c>
      <c r="V842" s="867" t="s">
        <v>235</v>
      </c>
      <c r="W842" s="219">
        <v>132515</v>
      </c>
      <c r="X842" s="220">
        <v>3.21</v>
      </c>
      <c r="Y842" s="221">
        <f t="shared" si="953"/>
        <v>1.0321</v>
      </c>
      <c r="Z842" s="199">
        <v>19</v>
      </c>
      <c r="AA842" s="221">
        <f t="shared" si="954"/>
        <v>1.8226940798007465</v>
      </c>
      <c r="AB842" s="199">
        <f t="shared" si="1008"/>
        <v>241534.30598479591</v>
      </c>
      <c r="AC842">
        <v>11.9</v>
      </c>
      <c r="AD842" s="199">
        <f t="shared" si="1009"/>
        <v>28742.582412190714</v>
      </c>
      <c r="AE842" s="199">
        <f t="shared" si="955"/>
        <v>27305.453291581176</v>
      </c>
      <c r="AF842" s="199">
        <f t="shared" si="975"/>
        <v>0</v>
      </c>
      <c r="AG842" s="614">
        <f t="shared" si="1041"/>
        <v>1.2624842870166651E-3</v>
      </c>
      <c r="AH842" s="199">
        <f t="shared" si="1023"/>
        <v>12076.715299239797</v>
      </c>
      <c r="AI842" s="252">
        <f t="shared" si="1024"/>
        <v>9.3556483622114902E-4</v>
      </c>
      <c r="AJ842" s="199">
        <f t="shared" si="1025"/>
        <v>40819.29771143051</v>
      </c>
      <c r="AK842" s="199">
        <f t="shared" si="976"/>
        <v>9661.372239391836</v>
      </c>
      <c r="AL842" s="199">
        <f t="shared" si="977"/>
        <v>9661.372239391836</v>
      </c>
      <c r="AM842" s="199">
        <f t="shared" si="1026"/>
        <v>19322.744478783672</v>
      </c>
      <c r="AN842" s="645">
        <f t="shared" si="1027"/>
        <v>9.3556483622114891E-4</v>
      </c>
      <c r="AO842" s="199">
        <v>11</v>
      </c>
      <c r="AP842" s="250">
        <f t="shared" si="1028"/>
        <v>1.2498579706851495E-3</v>
      </c>
      <c r="AQ842" s="199">
        <v>11</v>
      </c>
      <c r="AU842" s="199">
        <v>0</v>
      </c>
      <c r="AW842" s="250">
        <f t="shared" si="1029"/>
        <v>0</v>
      </c>
      <c r="AX842" s="199">
        <v>1</v>
      </c>
      <c r="AY842" s="199">
        <f t="shared" si="1013"/>
        <v>12955.328968843834</v>
      </c>
      <c r="AZ842" s="199">
        <f t="shared" si="1030"/>
        <v>12955.328968843834</v>
      </c>
      <c r="BA842" s="252">
        <f t="shared" si="1031"/>
        <v>1.0183729281171823E-3</v>
      </c>
      <c r="BB842" s="284">
        <v>0</v>
      </c>
      <c r="BC842" s="199">
        <f t="shared" si="1014"/>
        <v>0</v>
      </c>
      <c r="BD842" s="270">
        <f t="shared" si="993"/>
        <v>0</v>
      </c>
      <c r="BE842" s="199">
        <f t="shared" si="1015"/>
        <v>0</v>
      </c>
      <c r="BF842" s="251">
        <f t="shared" si="994"/>
        <v>0</v>
      </c>
      <c r="BG842" s="204">
        <f t="shared" si="1016"/>
        <v>0</v>
      </c>
      <c r="BH842" s="636">
        <v>1</v>
      </c>
      <c r="BI842" s="199">
        <f t="shared" si="1032"/>
        <v>73909.497631347549</v>
      </c>
      <c r="BJ842" s="199">
        <f t="shared" si="1033"/>
        <v>147818.9952626951</v>
      </c>
      <c r="BK842" s="199">
        <f t="shared" si="1040"/>
        <v>221728.49289404263</v>
      </c>
      <c r="BL842" s="251">
        <f t="shared" si="1034"/>
        <v>9.3556483622114891E-4</v>
      </c>
      <c r="BM842" s="199">
        <f t="shared" si="1017"/>
        <v>21308.419505647675</v>
      </c>
      <c r="BN842" s="251">
        <f t="shared" si="1035"/>
        <v>9.2016382228076062E-4</v>
      </c>
      <c r="BT842" s="199">
        <f>'Detailed Budget'!$AD$12</f>
        <v>194045122715</v>
      </c>
      <c r="BU842" s="199">
        <f>'Detailed Budget'!$AD$24</f>
        <v>194045122715</v>
      </c>
      <c r="BV842" s="596">
        <f t="shared" si="1018"/>
        <v>0</v>
      </c>
      <c r="BW842" s="278"/>
      <c r="BX842" s="275">
        <f t="shared" si="950"/>
        <v>0</v>
      </c>
      <c r="BY842" s="275">
        <f t="shared" si="951"/>
        <v>0</v>
      </c>
      <c r="CA842" s="199">
        <f>'Detailed Budget'!$AD$96</f>
        <v>71050111380.677719</v>
      </c>
      <c r="CB842" s="275">
        <f t="shared" si="1036"/>
        <v>72355509.969792709</v>
      </c>
      <c r="CE842" s="199">
        <f>'Detailed Budget'!$AD$175</f>
        <v>4330586076.5988197</v>
      </c>
      <c r="CF842" s="275">
        <f t="shared" si="1019"/>
        <v>0</v>
      </c>
      <c r="CG842" s="199">
        <f>'Detailed Budget'!$AD$176</f>
        <v>20662817754.37001</v>
      </c>
      <c r="CH842" s="275">
        <f t="shared" si="1020"/>
        <v>0</v>
      </c>
      <c r="CI842" s="275">
        <f t="shared" si="992"/>
        <v>0</v>
      </c>
      <c r="CJ842" s="275">
        <f>'Detailed Budget'!$AD$178</f>
        <v>46025131033.061455</v>
      </c>
      <c r="CK842" s="275">
        <f t="shared" si="1012"/>
        <v>0</v>
      </c>
      <c r="CL842" s="275">
        <f t="shared" si="991"/>
        <v>0</v>
      </c>
      <c r="CM842" s="278">
        <f>'Detailed Budget'!$AD$189</f>
        <v>77498869683.252869</v>
      </c>
      <c r="CN842" s="275">
        <f t="shared" si="1037"/>
        <v>72505217.322536632</v>
      </c>
      <c r="CO842" s="140">
        <f>'Detailed Budget'!$AD$191</f>
        <v>2684962805.4134097</v>
      </c>
      <c r="CP842" s="616">
        <f t="shared" si="1038"/>
        <v>2511956.7873064731</v>
      </c>
      <c r="CQ842" s="616">
        <f t="shared" si="1039"/>
        <v>75017174.109843105</v>
      </c>
      <c r="CR842" s="199">
        <f>'Detailed Budget'!$AD$195</f>
        <v>18734176418</v>
      </c>
      <c r="CS842" s="275">
        <f t="shared" si="1021"/>
        <v>17238511.380068969</v>
      </c>
      <c r="CW842" s="278"/>
      <c r="DH842" s="140">
        <f>'Detailed Budget'!$AD$163</f>
        <v>4928560000</v>
      </c>
      <c r="DI842" s="616">
        <f t="shared" si="1022"/>
        <v>6160000</v>
      </c>
    </row>
    <row r="843" spans="1:113" outlineLevel="1">
      <c r="A843" s="214" t="s">
        <v>1713</v>
      </c>
      <c r="B843" s="215" t="s">
        <v>1714</v>
      </c>
      <c r="C843" s="216" t="s">
        <v>234</v>
      </c>
      <c r="D843" s="217"/>
      <c r="E843" s="216"/>
      <c r="F843" s="216"/>
      <c r="G843" s="216" t="s">
        <v>234</v>
      </c>
      <c r="H843" s="216" t="s">
        <v>234</v>
      </c>
      <c r="I843" s="217" t="s">
        <v>234</v>
      </c>
      <c r="J843" s="217"/>
      <c r="K843" s="216"/>
      <c r="L843" s="216"/>
      <c r="M843" s="217"/>
      <c r="N843" s="216"/>
      <c r="O843" s="217"/>
      <c r="P843" s="216" t="s">
        <v>234</v>
      </c>
      <c r="Q843" s="217"/>
      <c r="R843" s="217" t="s">
        <v>234</v>
      </c>
      <c r="S843" s="217"/>
      <c r="T843" s="217"/>
      <c r="U843" s="218">
        <f t="shared" si="1010"/>
        <v>6</v>
      </c>
      <c r="V843" s="867" t="s">
        <v>235</v>
      </c>
      <c r="W843" s="219">
        <v>167204</v>
      </c>
      <c r="X843" s="220">
        <v>3.21</v>
      </c>
      <c r="Y843" s="221">
        <f t="shared" si="953"/>
        <v>1.0321</v>
      </c>
      <c r="Z843" s="199">
        <v>19</v>
      </c>
      <c r="AA843" s="221">
        <f t="shared" si="954"/>
        <v>1.8226940798007465</v>
      </c>
      <c r="AB843" s="199">
        <f t="shared" si="1008"/>
        <v>304761.74091900402</v>
      </c>
      <c r="AC843">
        <v>11.9</v>
      </c>
      <c r="AD843" s="199">
        <f t="shared" si="1009"/>
        <v>36266.64716936148</v>
      </c>
      <c r="AE843" s="199">
        <f t="shared" si="955"/>
        <v>34453.314810893404</v>
      </c>
      <c r="AF843" s="199">
        <f t="shared" si="975"/>
        <v>0</v>
      </c>
      <c r="AG843" s="614">
        <f t="shared" si="1041"/>
        <v>1.5929700239696223E-3</v>
      </c>
      <c r="AH843" s="199">
        <f t="shared" si="1023"/>
        <v>15238.087045950202</v>
      </c>
      <c r="AI843" s="252">
        <f t="shared" si="1024"/>
        <v>1.1804715154927442E-3</v>
      </c>
      <c r="AJ843" s="199">
        <f t="shared" si="1025"/>
        <v>51504.734215311684</v>
      </c>
      <c r="AK843" s="199">
        <f t="shared" si="976"/>
        <v>12190.469636760161</v>
      </c>
      <c r="AL843" s="199">
        <f t="shared" si="977"/>
        <v>12190.469636760161</v>
      </c>
      <c r="AM843" s="199">
        <f t="shared" si="1026"/>
        <v>24380.939273520322</v>
      </c>
      <c r="AN843" s="645">
        <f t="shared" si="1027"/>
        <v>1.1804715154927442E-3</v>
      </c>
      <c r="AO843" s="199">
        <v>11</v>
      </c>
      <c r="AP843" s="250">
        <f t="shared" si="1028"/>
        <v>1.2498579706851495E-3</v>
      </c>
      <c r="AQ843" s="199">
        <v>11</v>
      </c>
      <c r="AU843" s="199">
        <v>0</v>
      </c>
      <c r="AW843" s="250">
        <f t="shared" si="1029"/>
        <v>0</v>
      </c>
      <c r="AX843" s="199">
        <v>1</v>
      </c>
      <c r="AY843" s="199">
        <f t="shared" si="1013"/>
        <v>16346.69905223231</v>
      </c>
      <c r="AZ843" s="199">
        <f t="shared" si="1030"/>
        <v>16346.69905223231</v>
      </c>
      <c r="BA843" s="252">
        <f t="shared" si="1031"/>
        <v>1.2849566243286071E-3</v>
      </c>
      <c r="BB843" s="284">
        <v>0</v>
      </c>
      <c r="BC843" s="199">
        <f t="shared" si="1014"/>
        <v>0</v>
      </c>
      <c r="BD843" s="270">
        <f t="shared" si="993"/>
        <v>0</v>
      </c>
      <c r="BE843" s="199">
        <f t="shared" si="1015"/>
        <v>0</v>
      </c>
      <c r="BF843" s="251">
        <f t="shared" si="994"/>
        <v>0</v>
      </c>
      <c r="BG843" s="204">
        <f t="shared" si="1016"/>
        <v>0</v>
      </c>
      <c r="BH843" s="636">
        <v>1</v>
      </c>
      <c r="BI843" s="199">
        <f t="shared" si="1032"/>
        <v>93257.092721215246</v>
      </c>
      <c r="BJ843" s="199">
        <f t="shared" si="1033"/>
        <v>186514.18544243049</v>
      </c>
      <c r="BK843" s="199">
        <f t="shared" si="1040"/>
        <v>279771.27816364577</v>
      </c>
      <c r="BL843" s="251">
        <f t="shared" si="1034"/>
        <v>1.1804715154927444E-3</v>
      </c>
      <c r="BM843" s="199">
        <f t="shared" si="1017"/>
        <v>26886.412670432128</v>
      </c>
      <c r="BN843" s="251">
        <f t="shared" si="1035"/>
        <v>1.1610389143918219E-3</v>
      </c>
      <c r="BT843" s="199">
        <f>'Detailed Budget'!$AD$12</f>
        <v>194045122715</v>
      </c>
      <c r="BU843" s="199">
        <f>'Detailed Budget'!$AD$24</f>
        <v>194045122715</v>
      </c>
      <c r="BV843" s="596">
        <f t="shared" si="1018"/>
        <v>0</v>
      </c>
      <c r="BW843" s="278"/>
      <c r="BX843" s="275">
        <f t="shared" ref="BX843:BX898" si="1042">BT843*BV843</f>
        <v>0</v>
      </c>
      <c r="BY843" s="275">
        <f t="shared" ref="BY843:BY898" si="1043">BU843*BV843</f>
        <v>0</v>
      </c>
      <c r="CA843" s="199">
        <f>'Detailed Budget'!$AD$96</f>
        <v>71050111380.677719</v>
      </c>
      <c r="CB843" s="275">
        <f t="shared" si="1036"/>
        <v>91296311.277887195</v>
      </c>
      <c r="CE843" s="199">
        <f>'Detailed Budget'!$AD$175</f>
        <v>4330586076.5988197</v>
      </c>
      <c r="CF843" s="275">
        <f t="shared" si="1019"/>
        <v>0</v>
      </c>
      <c r="CG843" s="199">
        <f>'Detailed Budget'!$AD$176</f>
        <v>20662817754.37001</v>
      </c>
      <c r="CH843" s="275">
        <f t="shared" si="1020"/>
        <v>0</v>
      </c>
      <c r="CI843" s="275">
        <f t="shared" si="992"/>
        <v>0</v>
      </c>
      <c r="CJ843" s="275">
        <f>'Detailed Budget'!$AD$178</f>
        <v>46025131033.061455</v>
      </c>
      <c r="CK843" s="275">
        <f t="shared" si="1012"/>
        <v>0</v>
      </c>
      <c r="CL843" s="275">
        <f t="shared" si="991"/>
        <v>0</v>
      </c>
      <c r="CM843" s="278">
        <f>'Detailed Budget'!$AD$189</f>
        <v>77498869683.252869</v>
      </c>
      <c r="CN843" s="275">
        <f t="shared" si="1037"/>
        <v>91485208.143964216</v>
      </c>
      <c r="CO843" s="140">
        <f>'Detailed Budget'!$AD$191</f>
        <v>2684962805.4134097</v>
      </c>
      <c r="CP843" s="616">
        <f t="shared" si="1038"/>
        <v>3169522.111948018</v>
      </c>
      <c r="CQ843" s="616">
        <f t="shared" si="1039"/>
        <v>94654730.255912229</v>
      </c>
      <c r="CR843" s="199">
        <f>'Detailed Budget'!$AD$195</f>
        <v>18734176418</v>
      </c>
      <c r="CS843" s="275">
        <f t="shared" si="1021"/>
        <v>21751107.85037959</v>
      </c>
      <c r="CW843" s="278"/>
      <c r="DH843" s="140">
        <f>'Detailed Budget'!$AD$163</f>
        <v>4928560000</v>
      </c>
      <c r="DI843" s="616">
        <f t="shared" si="1022"/>
        <v>6160000</v>
      </c>
    </row>
    <row r="844" spans="1:113" outlineLevel="1">
      <c r="A844" s="214" t="s">
        <v>1715</v>
      </c>
      <c r="B844" s="215" t="s">
        <v>1716</v>
      </c>
      <c r="C844" s="216" t="s">
        <v>234</v>
      </c>
      <c r="D844" s="217"/>
      <c r="E844" s="216"/>
      <c r="F844" s="216"/>
      <c r="G844" s="216" t="s">
        <v>234</v>
      </c>
      <c r="H844" s="216" t="s">
        <v>234</v>
      </c>
      <c r="I844" s="217" t="s">
        <v>234</v>
      </c>
      <c r="J844" s="217"/>
      <c r="K844" s="216"/>
      <c r="L844" s="216"/>
      <c r="M844" s="217"/>
      <c r="N844" s="216"/>
      <c r="O844" s="217" t="s">
        <v>234</v>
      </c>
      <c r="P844" s="216"/>
      <c r="Q844" s="217"/>
      <c r="R844" s="217" t="s">
        <v>234</v>
      </c>
      <c r="S844" s="217"/>
      <c r="T844" s="217"/>
      <c r="U844" s="218">
        <f t="shared" si="1010"/>
        <v>6</v>
      </c>
      <c r="V844" s="867" t="s">
        <v>235</v>
      </c>
      <c r="W844" s="219">
        <v>188614</v>
      </c>
      <c r="X844" s="220">
        <v>3.21</v>
      </c>
      <c r="Y844" s="221">
        <f t="shared" si="953"/>
        <v>1.0321</v>
      </c>
      <c r="Z844" s="199">
        <v>19</v>
      </c>
      <c r="AA844" s="221">
        <f t="shared" si="954"/>
        <v>1.8226940798007465</v>
      </c>
      <c r="AB844" s="199">
        <f t="shared" si="1008"/>
        <v>343785.62116753799</v>
      </c>
      <c r="AC844">
        <v>11.9</v>
      </c>
      <c r="AD844" s="199">
        <f t="shared" si="1009"/>
        <v>40910.488918937022</v>
      </c>
      <c r="AE844" s="199">
        <f t="shared" si="955"/>
        <v>38864.96447299017</v>
      </c>
      <c r="AF844" s="199">
        <f t="shared" ref="AF844:AF898" si="1044">AE844*BB844</f>
        <v>0</v>
      </c>
      <c r="AG844" s="614">
        <f t="shared" si="1041"/>
        <v>1.7969453368400657E-3</v>
      </c>
      <c r="AH844" s="199">
        <f t="shared" si="1023"/>
        <v>17189.281058376899</v>
      </c>
      <c r="AI844" s="252">
        <f t="shared" si="1024"/>
        <v>1.3316275592877469E-3</v>
      </c>
      <c r="AJ844" s="199">
        <f t="shared" si="1025"/>
        <v>58099.769977313917</v>
      </c>
      <c r="AK844" s="199">
        <f t="shared" si="976"/>
        <v>13751.42484670152</v>
      </c>
      <c r="AL844" s="199">
        <f t="shared" si="977"/>
        <v>13751.42484670152</v>
      </c>
      <c r="AM844" s="199">
        <f t="shared" si="1026"/>
        <v>27502.849693403041</v>
      </c>
      <c r="AN844" s="645">
        <f t="shared" si="1027"/>
        <v>1.3316275592877471E-3</v>
      </c>
      <c r="AO844" s="199">
        <v>10</v>
      </c>
      <c r="AP844" s="250">
        <f t="shared" si="1028"/>
        <v>1.1362345188046814E-3</v>
      </c>
      <c r="AQ844" s="199">
        <v>10</v>
      </c>
      <c r="AU844" s="199">
        <v>0</v>
      </c>
      <c r="AW844" s="250">
        <f t="shared" si="1029"/>
        <v>0</v>
      </c>
      <c r="AX844" s="199">
        <v>1</v>
      </c>
      <c r="AY844" s="199">
        <f t="shared" si="1013"/>
        <v>18439.847701237679</v>
      </c>
      <c r="AZ844" s="199">
        <f t="shared" si="1030"/>
        <v>18439.847701237679</v>
      </c>
      <c r="BA844" s="252">
        <f t="shared" si="1031"/>
        <v>1.4494916912341563E-3</v>
      </c>
      <c r="BB844" s="284">
        <v>0</v>
      </c>
      <c r="BC844" s="199">
        <f t="shared" si="1014"/>
        <v>0</v>
      </c>
      <c r="BD844" s="270">
        <f t="shared" si="993"/>
        <v>0</v>
      </c>
      <c r="BE844" s="199">
        <f t="shared" si="1015"/>
        <v>0</v>
      </c>
      <c r="BF844" s="251">
        <f t="shared" si="994"/>
        <v>0</v>
      </c>
      <c r="BG844" s="204">
        <f t="shared" si="1016"/>
        <v>0</v>
      </c>
      <c r="BH844" s="636">
        <v>1</v>
      </c>
      <c r="BI844" s="199">
        <f t="shared" si="1032"/>
        <v>105198.40007726662</v>
      </c>
      <c r="BJ844" s="199">
        <f t="shared" si="1033"/>
        <v>210396.80015453324</v>
      </c>
      <c r="BK844" s="199">
        <f t="shared" si="1040"/>
        <v>315595.20023179986</v>
      </c>
      <c r="BL844" s="251">
        <f t="shared" si="1034"/>
        <v>1.3316275592877469E-3</v>
      </c>
      <c r="BM844" s="199">
        <f t="shared" si="1017"/>
        <v>30329.141883094213</v>
      </c>
      <c r="BN844" s="251">
        <f t="shared" si="1035"/>
        <v>1.3097066684953655E-3</v>
      </c>
      <c r="BT844" s="199">
        <f>'Detailed Budget'!$AD$12</f>
        <v>194045122715</v>
      </c>
      <c r="BU844" s="199">
        <f>'Detailed Budget'!$AD$24</f>
        <v>194045122715</v>
      </c>
      <c r="BV844" s="596">
        <f t="shared" si="1018"/>
        <v>0</v>
      </c>
      <c r="BW844" s="278"/>
      <c r="BX844" s="275">
        <f t="shared" si="1042"/>
        <v>0</v>
      </c>
      <c r="BY844" s="275">
        <f t="shared" si="1043"/>
        <v>0</v>
      </c>
      <c r="CA844" s="199">
        <f>'Detailed Budget'!$AD$96</f>
        <v>71050111380.677719</v>
      </c>
      <c r="CB844" s="275">
        <f t="shared" si="1036"/>
        <v>102986546.10755372</v>
      </c>
      <c r="CE844" s="199">
        <f>'Detailed Budget'!$AD$175</f>
        <v>4330586076.5988197</v>
      </c>
      <c r="CF844" s="275">
        <f t="shared" si="1019"/>
        <v>0</v>
      </c>
      <c r="CG844" s="199">
        <f>'Detailed Budget'!$AD$176</f>
        <v>20662817754.37001</v>
      </c>
      <c r="CH844" s="275">
        <f t="shared" si="1020"/>
        <v>0</v>
      </c>
      <c r="CI844" s="275">
        <f t="shared" si="992"/>
        <v>0</v>
      </c>
      <c r="CJ844" s="275">
        <f>'Detailed Budget'!$AD$178</f>
        <v>46025131033.061455</v>
      </c>
      <c r="CK844" s="275">
        <f t="shared" si="1012"/>
        <v>0</v>
      </c>
      <c r="CL844" s="275">
        <f t="shared" si="991"/>
        <v>0</v>
      </c>
      <c r="CM844" s="278">
        <f>'Detailed Budget'!$AD$189</f>
        <v>77498869683.252869</v>
      </c>
      <c r="CN844" s="275">
        <f t="shared" si="1037"/>
        <v>103199630.68386918</v>
      </c>
      <c r="CO844" s="140">
        <f>'Detailed Budget'!$AD$191</f>
        <v>2684962805.4134097</v>
      </c>
      <c r="CP844" s="616">
        <f t="shared" si="1038"/>
        <v>3575370.4673510413</v>
      </c>
      <c r="CQ844" s="616">
        <f t="shared" si="1039"/>
        <v>106775001.15122022</v>
      </c>
      <c r="CR844" s="199">
        <f>'Detailed Budget'!$AD$195</f>
        <v>18734176418</v>
      </c>
      <c r="CS844" s="275">
        <f t="shared" si="1021"/>
        <v>24536275.783423219</v>
      </c>
      <c r="CW844" s="278"/>
      <c r="DH844" s="140">
        <f>'Detailed Budget'!$AD$163</f>
        <v>4928560000</v>
      </c>
      <c r="DI844" s="616">
        <f t="shared" si="1022"/>
        <v>5600000</v>
      </c>
    </row>
    <row r="845" spans="1:113" outlineLevel="1">
      <c r="A845" s="214" t="s">
        <v>1717</v>
      </c>
      <c r="B845" s="215" t="s">
        <v>1718</v>
      </c>
      <c r="C845" s="216" t="s">
        <v>234</v>
      </c>
      <c r="D845" s="217"/>
      <c r="E845" s="216"/>
      <c r="F845" s="216"/>
      <c r="G845" s="216" t="s">
        <v>234</v>
      </c>
      <c r="H845" s="216" t="s">
        <v>234</v>
      </c>
      <c r="I845" s="217" t="s">
        <v>234</v>
      </c>
      <c r="J845" s="217"/>
      <c r="K845" s="216"/>
      <c r="L845" s="216"/>
      <c r="M845" s="217"/>
      <c r="N845" s="216" t="s">
        <v>234</v>
      </c>
      <c r="O845" s="217"/>
      <c r="P845" s="216"/>
      <c r="Q845" s="217" t="s">
        <v>234</v>
      </c>
      <c r="R845" s="217"/>
      <c r="S845" s="217"/>
      <c r="T845" s="217"/>
      <c r="U845" s="218">
        <f t="shared" si="1010"/>
        <v>6</v>
      </c>
      <c r="V845" s="867" t="s">
        <v>1096</v>
      </c>
      <c r="W845" s="219">
        <v>153274</v>
      </c>
      <c r="X845" s="220">
        <v>3.21</v>
      </c>
      <c r="Y845" s="221">
        <f t="shared" ref="Y845:Y898" si="1045">1+X845/100</f>
        <v>1.0321</v>
      </c>
      <c r="Z845" s="199">
        <v>19</v>
      </c>
      <c r="AA845" s="221">
        <f t="shared" ref="AA845:AA898" si="1046">POWER(Y845,Z845)</f>
        <v>1.8226940798007465</v>
      </c>
      <c r="AB845" s="199">
        <f t="shared" si="1008"/>
        <v>279371.61238737963</v>
      </c>
      <c r="AC845">
        <v>11.9</v>
      </c>
      <c r="AD845" s="199">
        <f t="shared" si="1009"/>
        <v>33245.221874098177</v>
      </c>
      <c r="AE845" s="199">
        <f t="shared" ref="AE845:AE898" si="1047">AD845*0.95</f>
        <v>31582.960780393267</v>
      </c>
      <c r="AF845" s="199">
        <f t="shared" si="1044"/>
        <v>0</v>
      </c>
      <c r="AG845" s="614">
        <f t="shared" si="1041"/>
        <v>1.4602574546896002E-3</v>
      </c>
      <c r="AH845" s="199">
        <f t="shared" si="1023"/>
        <v>13968.580619368982</v>
      </c>
      <c r="AI845" s="252">
        <f t="shared" si="1024"/>
        <v>1.0821247761156126E-3</v>
      </c>
      <c r="AJ845" s="199">
        <f t="shared" si="1025"/>
        <v>47213.802493467156</v>
      </c>
      <c r="AK845" s="199">
        <f t="shared" si="976"/>
        <v>11174.864495495185</v>
      </c>
      <c r="AL845" s="199">
        <f t="shared" si="977"/>
        <v>11174.864495495185</v>
      </c>
      <c r="AM845" s="199">
        <f t="shared" si="1026"/>
        <v>22349.72899099037</v>
      </c>
      <c r="AN845" s="645">
        <f t="shared" si="1027"/>
        <v>1.0821247761156126E-3</v>
      </c>
      <c r="AO845" s="199">
        <v>10</v>
      </c>
      <c r="AP845" s="250">
        <f t="shared" si="1028"/>
        <v>1.1362345188046814E-3</v>
      </c>
      <c r="AQ845" s="199">
        <v>10</v>
      </c>
      <c r="AU845" s="199">
        <v>0</v>
      </c>
      <c r="AW845" s="250">
        <f t="shared" si="1029"/>
        <v>0</v>
      </c>
      <c r="AX845" s="199">
        <v>1</v>
      </c>
      <c r="AY845" s="199">
        <f t="shared" si="1013"/>
        <v>14984.832602879447</v>
      </c>
      <c r="AZ845" s="199">
        <f t="shared" si="1030"/>
        <v>14984.832602879447</v>
      </c>
      <c r="BA845" s="252">
        <f t="shared" si="1031"/>
        <v>1.1779050838337773E-3</v>
      </c>
      <c r="BB845" s="284">
        <v>0</v>
      </c>
      <c r="BC845" s="199">
        <f t="shared" si="1014"/>
        <v>0</v>
      </c>
      <c r="BD845" s="270">
        <f t="shared" si="993"/>
        <v>0</v>
      </c>
      <c r="BE845" s="199">
        <f t="shared" si="1015"/>
        <v>0</v>
      </c>
      <c r="BF845" s="251">
        <f t="shared" si="994"/>
        <v>0</v>
      </c>
      <c r="BG845" s="204">
        <f t="shared" si="1016"/>
        <v>0</v>
      </c>
      <c r="BH845" s="636">
        <v>1</v>
      </c>
      <c r="BI845" s="199">
        <f t="shared" si="1032"/>
        <v>85487.713390538163</v>
      </c>
      <c r="BJ845" s="199">
        <f t="shared" si="1033"/>
        <v>170975.42678107633</v>
      </c>
      <c r="BK845" s="199">
        <f t="shared" si="1040"/>
        <v>256463.14017161448</v>
      </c>
      <c r="BL845" s="251">
        <f t="shared" si="1034"/>
        <v>1.0821247761156124E-3</v>
      </c>
      <c r="BM845" s="199">
        <f t="shared" si="1017"/>
        <v>24646.467881437133</v>
      </c>
      <c r="BN845" s="251">
        <f t="shared" si="1035"/>
        <v>1.0643111322964291E-3</v>
      </c>
      <c r="BT845" s="199">
        <f>'Detailed Budget'!$AD$12</f>
        <v>194045122715</v>
      </c>
      <c r="BU845" s="199">
        <f>'Detailed Budget'!$AD$24</f>
        <v>194045122715</v>
      </c>
      <c r="BV845" s="596">
        <f t="shared" si="1018"/>
        <v>0</v>
      </c>
      <c r="BW845" s="278"/>
      <c r="BX845" s="275">
        <f t="shared" si="1042"/>
        <v>0</v>
      </c>
      <c r="BY845" s="275">
        <f t="shared" si="1043"/>
        <v>0</v>
      </c>
      <c r="CA845" s="199">
        <f>'Detailed Budget'!$AD$96</f>
        <v>71050111380.677719</v>
      </c>
      <c r="CB845" s="275">
        <f t="shared" si="1036"/>
        <v>83690287.402256399</v>
      </c>
      <c r="CE845" s="199">
        <f>'Detailed Budget'!$AD$175</f>
        <v>4330586076.5988197</v>
      </c>
      <c r="CF845" s="275">
        <f t="shared" si="1019"/>
        <v>0</v>
      </c>
      <c r="CG845" s="199">
        <f>'Detailed Budget'!$AD$176</f>
        <v>20662817754.37001</v>
      </c>
      <c r="CH845" s="275">
        <f t="shared" si="1020"/>
        <v>0</v>
      </c>
      <c r="CI845" s="275">
        <f t="shared" si="992"/>
        <v>0</v>
      </c>
      <c r="CJ845" s="275">
        <f>'Detailed Budget'!$AD$178</f>
        <v>46025131033.061455</v>
      </c>
      <c r="CK845" s="275">
        <f t="shared" si="1012"/>
        <v>0</v>
      </c>
      <c r="CL845" s="275">
        <f t="shared" si="991"/>
        <v>0</v>
      </c>
      <c r="CM845" s="278">
        <f>'Detailed Budget'!$AD$189</f>
        <v>77498869683.252869</v>
      </c>
      <c r="CN845" s="275">
        <f t="shared" si="1037"/>
        <v>83863447.005203024</v>
      </c>
      <c r="CO845" s="140">
        <f>'Detailed Budget'!$AD$191</f>
        <v>2684962805.4134097</v>
      </c>
      <c r="CP845" s="616">
        <f t="shared" si="1038"/>
        <v>2905464.7746867333</v>
      </c>
      <c r="CQ845" s="616">
        <f t="shared" si="1039"/>
        <v>86768911.779889762</v>
      </c>
      <c r="CR845" s="199">
        <f>'Detailed Budget'!$AD$195</f>
        <v>18734176418</v>
      </c>
      <c r="CS845" s="275">
        <f t="shared" si="1021"/>
        <v>19938992.516082641</v>
      </c>
      <c r="CW845" s="278"/>
      <c r="DH845" s="140">
        <f>'Detailed Budget'!$AD$163</f>
        <v>4928560000</v>
      </c>
      <c r="DI845" s="616">
        <f t="shared" si="1022"/>
        <v>5600000</v>
      </c>
    </row>
    <row r="846" spans="1:113" outlineLevel="1">
      <c r="A846" s="214" t="s">
        <v>1719</v>
      </c>
      <c r="B846" s="215" t="s">
        <v>1720</v>
      </c>
      <c r="C846" s="216" t="s">
        <v>234</v>
      </c>
      <c r="D846" s="217"/>
      <c r="E846" s="216"/>
      <c r="F846" s="216"/>
      <c r="G846" s="216" t="s">
        <v>234</v>
      </c>
      <c r="H846" s="216" t="s">
        <v>234</v>
      </c>
      <c r="I846" s="217" t="s">
        <v>234</v>
      </c>
      <c r="J846" s="217"/>
      <c r="K846" s="216"/>
      <c r="L846" s="216"/>
      <c r="M846" s="217"/>
      <c r="N846" s="216" t="s">
        <v>234</v>
      </c>
      <c r="O846" s="217"/>
      <c r="P846" s="216"/>
      <c r="Q846" s="217"/>
      <c r="R846" s="217" t="s">
        <v>234</v>
      </c>
      <c r="S846" s="217"/>
      <c r="T846" s="217"/>
      <c r="U846" s="218">
        <f t="shared" si="1010"/>
        <v>6</v>
      </c>
      <c r="V846" s="867" t="s">
        <v>235</v>
      </c>
      <c r="W846" s="219">
        <v>134490</v>
      </c>
      <c r="X846" s="220">
        <v>3.21</v>
      </c>
      <c r="Y846" s="221">
        <f t="shared" si="1045"/>
        <v>1.0321</v>
      </c>
      <c r="Z846" s="199">
        <v>19</v>
      </c>
      <c r="AA846" s="221">
        <f t="shared" si="1046"/>
        <v>1.8226940798007465</v>
      </c>
      <c r="AB846" s="199">
        <f t="shared" si="1008"/>
        <v>245134.12679240239</v>
      </c>
      <c r="AC846">
        <v>11.9</v>
      </c>
      <c r="AD846" s="199">
        <f t="shared" si="1009"/>
        <v>29170.961088295888</v>
      </c>
      <c r="AE846" s="199">
        <f t="shared" si="1047"/>
        <v>27712.413033881094</v>
      </c>
      <c r="AF846" s="199">
        <f t="shared" si="1044"/>
        <v>0</v>
      </c>
      <c r="AG846" s="614">
        <f t="shared" si="1041"/>
        <v>1.2813003189138688E-3</v>
      </c>
      <c r="AH846" s="199">
        <f t="shared" si="1023"/>
        <v>12256.706339620119</v>
      </c>
      <c r="AI846" s="252">
        <f t="shared" si="1024"/>
        <v>9.4950846940634892E-4</v>
      </c>
      <c r="AJ846" s="199">
        <f t="shared" si="1025"/>
        <v>41427.667427916007</v>
      </c>
      <c r="AK846" s="199">
        <f t="shared" si="976"/>
        <v>9805.3650716960965</v>
      </c>
      <c r="AL846" s="199">
        <f t="shared" si="977"/>
        <v>9805.3650716960965</v>
      </c>
      <c r="AM846" s="199">
        <f t="shared" si="1026"/>
        <v>19610.730143392193</v>
      </c>
      <c r="AN846" s="645">
        <f t="shared" si="1027"/>
        <v>9.4950846940634903E-4</v>
      </c>
      <c r="AO846" s="199">
        <v>11</v>
      </c>
      <c r="AP846" s="250">
        <f t="shared" si="1028"/>
        <v>1.2498579706851495E-3</v>
      </c>
      <c r="AQ846" s="199">
        <v>11</v>
      </c>
      <c r="AU846" s="199">
        <v>0</v>
      </c>
      <c r="AW846" s="250">
        <f t="shared" si="1029"/>
        <v>0</v>
      </c>
      <c r="AX846" s="199">
        <v>1</v>
      </c>
      <c r="AY846" s="199">
        <f t="shared" si="1013"/>
        <v>13148.414843752083</v>
      </c>
      <c r="AZ846" s="199">
        <f t="shared" si="1030"/>
        <v>13148.414843752083</v>
      </c>
      <c r="BA846" s="252">
        <f t="shared" si="1031"/>
        <v>1.033550730879371E-3</v>
      </c>
      <c r="BB846" s="284">
        <v>0</v>
      </c>
      <c r="BC846" s="199">
        <f t="shared" si="1014"/>
        <v>0</v>
      </c>
      <c r="BD846" s="270">
        <f t="shared" si="993"/>
        <v>0</v>
      </c>
      <c r="BE846" s="199">
        <f t="shared" si="1015"/>
        <v>0</v>
      </c>
      <c r="BF846" s="251">
        <f t="shared" si="994"/>
        <v>0</v>
      </c>
      <c r="BG846" s="204">
        <f t="shared" si="1016"/>
        <v>0</v>
      </c>
      <c r="BH846" s="636">
        <v>1</v>
      </c>
      <c r="BI846" s="199">
        <f t="shared" si="1032"/>
        <v>75011.04279847513</v>
      </c>
      <c r="BJ846" s="199">
        <f t="shared" si="1033"/>
        <v>150022.08559695026</v>
      </c>
      <c r="BK846" s="199">
        <f t="shared" si="1040"/>
        <v>225033.12839542539</v>
      </c>
      <c r="BL846" s="251">
        <f t="shared" si="1034"/>
        <v>9.4950846940634892E-4</v>
      </c>
      <c r="BM846" s="199">
        <f t="shared" si="1017"/>
        <v>21625.999617511643</v>
      </c>
      <c r="BN846" s="251">
        <f t="shared" si="1035"/>
        <v>9.338779191679393E-4</v>
      </c>
      <c r="BT846" s="199">
        <f>'Detailed Budget'!$AD$12</f>
        <v>194045122715</v>
      </c>
      <c r="BU846" s="199">
        <f>'Detailed Budget'!$AD$24</f>
        <v>194045122715</v>
      </c>
      <c r="BV846" s="596">
        <f t="shared" si="1018"/>
        <v>0</v>
      </c>
      <c r="BW846" s="278"/>
      <c r="BX846" s="275">
        <f t="shared" si="1042"/>
        <v>0</v>
      </c>
      <c r="BY846" s="275">
        <f t="shared" si="1043"/>
        <v>0</v>
      </c>
      <c r="CA846" s="199">
        <f>'Detailed Budget'!$AD$96</f>
        <v>71050111380.677719</v>
      </c>
      <c r="CB846" s="275">
        <f t="shared" si="1036"/>
        <v>73433894.546560168</v>
      </c>
      <c r="CE846" s="199">
        <f>'Detailed Budget'!$AD$175</f>
        <v>4330586076.5988197</v>
      </c>
      <c r="CF846" s="275">
        <f t="shared" si="1019"/>
        <v>0</v>
      </c>
      <c r="CG846" s="199">
        <f>'Detailed Budget'!$AD$176</f>
        <v>20662817754.37001</v>
      </c>
      <c r="CH846" s="275">
        <f t="shared" si="1020"/>
        <v>0</v>
      </c>
      <c r="CI846" s="275">
        <f t="shared" si="992"/>
        <v>0</v>
      </c>
      <c r="CJ846" s="275">
        <f>'Detailed Budget'!$AD$178</f>
        <v>46025131033.061455</v>
      </c>
      <c r="CK846" s="275">
        <f t="shared" si="1012"/>
        <v>0</v>
      </c>
      <c r="CL846" s="275">
        <f t="shared" si="991"/>
        <v>0</v>
      </c>
      <c r="CM846" s="278">
        <f>'Detailed Budget'!$AD$189</f>
        <v>77498869683.252869</v>
      </c>
      <c r="CN846" s="275">
        <f t="shared" si="1037"/>
        <v>73585833.133667529</v>
      </c>
      <c r="CO846" s="140">
        <f>'Detailed Budget'!$AD$191</f>
        <v>2684962805.4134097</v>
      </c>
      <c r="CP846" s="616">
        <f t="shared" si="1038"/>
        <v>2549394.9237810634</v>
      </c>
      <c r="CQ846" s="616">
        <f t="shared" si="1039"/>
        <v>76135228.057448596</v>
      </c>
      <c r="CR846" s="199">
        <f>'Detailed Budget'!$AD$195</f>
        <v>18734176418</v>
      </c>
      <c r="CS846" s="275">
        <f t="shared" si="1021"/>
        <v>17495433.69056692</v>
      </c>
      <c r="CW846" s="278"/>
      <c r="DH846" s="140">
        <f>'Detailed Budget'!$AD$163</f>
        <v>4928560000</v>
      </c>
      <c r="DI846" s="616">
        <f t="shared" si="1022"/>
        <v>6160000</v>
      </c>
    </row>
    <row r="847" spans="1:113" outlineLevel="1">
      <c r="A847" s="214" t="s">
        <v>1721</v>
      </c>
      <c r="B847" s="215" t="s">
        <v>1722</v>
      </c>
      <c r="C847" s="216" t="s">
        <v>234</v>
      </c>
      <c r="D847" s="217"/>
      <c r="E847" s="216"/>
      <c r="F847" s="216"/>
      <c r="G847" s="216" t="s">
        <v>234</v>
      </c>
      <c r="H847" s="216" t="s">
        <v>234</v>
      </c>
      <c r="I847" s="217" t="s">
        <v>234</v>
      </c>
      <c r="J847" s="217"/>
      <c r="K847" s="216"/>
      <c r="L847" s="216"/>
      <c r="M847" s="217"/>
      <c r="N847" s="216"/>
      <c r="O847" s="217" t="s">
        <v>234</v>
      </c>
      <c r="P847" s="216"/>
      <c r="Q847" s="217"/>
      <c r="R847" s="217" t="s">
        <v>234</v>
      </c>
      <c r="S847" s="217"/>
      <c r="T847" s="217"/>
      <c r="U847" s="218">
        <f t="shared" si="1010"/>
        <v>6</v>
      </c>
      <c r="V847" s="867" t="s">
        <v>235</v>
      </c>
      <c r="W847" s="219">
        <v>37508</v>
      </c>
      <c r="X847" s="220">
        <v>3.21</v>
      </c>
      <c r="Y847" s="221">
        <f t="shared" si="1045"/>
        <v>1.0321</v>
      </c>
      <c r="Z847" s="199">
        <v>19</v>
      </c>
      <c r="AA847" s="221">
        <f t="shared" si="1046"/>
        <v>1.8226940798007465</v>
      </c>
      <c r="AB847" s="199">
        <f t="shared" si="1008"/>
        <v>68365.6095451664</v>
      </c>
      <c r="AC847">
        <v>11.9</v>
      </c>
      <c r="AD847" s="199">
        <f t="shared" si="1009"/>
        <v>8135.5075358748018</v>
      </c>
      <c r="AE847" s="199">
        <f t="shared" si="1047"/>
        <v>7728.7321590810616</v>
      </c>
      <c r="AF847" s="199">
        <f t="shared" si="1044"/>
        <v>0</v>
      </c>
      <c r="AG847" s="614">
        <f t="shared" si="1041"/>
        <v>3.5734264526597804E-4</v>
      </c>
      <c r="AH847" s="199">
        <f t="shared" si="1023"/>
        <v>3418.2804772583204</v>
      </c>
      <c r="AI847" s="252">
        <f t="shared" si="1024"/>
        <v>2.6480900937239454E-4</v>
      </c>
      <c r="AJ847" s="199">
        <f t="shared" si="1025"/>
        <v>11553.788013133122</v>
      </c>
      <c r="AK847" s="199">
        <f t="shared" si="976"/>
        <v>2734.6243818066559</v>
      </c>
      <c r="AL847" s="199">
        <f t="shared" si="977"/>
        <v>2734.6243818066559</v>
      </c>
      <c r="AM847" s="199">
        <f t="shared" si="1026"/>
        <v>5469.2487636133119</v>
      </c>
      <c r="AN847" s="645">
        <f t="shared" si="1027"/>
        <v>2.6480900937239448E-4</v>
      </c>
      <c r="AO847" s="199">
        <v>10</v>
      </c>
      <c r="AP847" s="250">
        <f t="shared" si="1028"/>
        <v>1.1362345188046814E-3</v>
      </c>
      <c r="AQ847" s="199">
        <v>10</v>
      </c>
      <c r="AU847" s="199">
        <v>0</v>
      </c>
      <c r="AW847" s="250">
        <f t="shared" si="1029"/>
        <v>0</v>
      </c>
      <c r="AX847" s="199">
        <v>1</v>
      </c>
      <c r="AY847" s="199">
        <f t="shared" si="1013"/>
        <v>3666.9696182575149</v>
      </c>
      <c r="AZ847" s="199">
        <f t="shared" si="1030"/>
        <v>3666.9696182575149</v>
      </c>
      <c r="BA847" s="252">
        <f t="shared" si="1031"/>
        <v>2.8824760810337906E-4</v>
      </c>
      <c r="BB847" s="284">
        <v>0</v>
      </c>
      <c r="BC847" s="199">
        <f t="shared" si="1014"/>
        <v>0</v>
      </c>
      <c r="BD847" s="270">
        <f t="shared" si="993"/>
        <v>0</v>
      </c>
      <c r="BE847" s="199">
        <f t="shared" si="1015"/>
        <v>0</v>
      </c>
      <c r="BF847" s="251">
        <f t="shared" si="994"/>
        <v>0</v>
      </c>
      <c r="BG847" s="204">
        <f t="shared" si="1016"/>
        <v>0</v>
      </c>
      <c r="BH847" s="636">
        <v>1</v>
      </c>
      <c r="BI847" s="199">
        <f t="shared" si="1032"/>
        <v>20919.876520820919</v>
      </c>
      <c r="BJ847" s="199">
        <f t="shared" si="1033"/>
        <v>41839.753041641838</v>
      </c>
      <c r="BK847" s="199">
        <f t="shared" si="1040"/>
        <v>62759.629562462753</v>
      </c>
      <c r="BL847" s="251">
        <f t="shared" si="1034"/>
        <v>2.6480900937239448E-4</v>
      </c>
      <c r="BM847" s="199">
        <f t="shared" si="1017"/>
        <v>6031.2885244525751</v>
      </c>
      <c r="BN847" s="251">
        <f t="shared" si="1035"/>
        <v>2.6044979546547008E-4</v>
      </c>
      <c r="BT847" s="199">
        <f>'Detailed Budget'!$AD$12</f>
        <v>194045122715</v>
      </c>
      <c r="BU847" s="199">
        <f>'Detailed Budget'!$AD$24</f>
        <v>194045122715</v>
      </c>
      <c r="BV847" s="596">
        <f t="shared" si="1018"/>
        <v>0</v>
      </c>
      <c r="BW847" s="278"/>
      <c r="BX847" s="275">
        <f t="shared" si="1042"/>
        <v>0</v>
      </c>
      <c r="BY847" s="275">
        <f t="shared" si="1043"/>
        <v>0</v>
      </c>
      <c r="CA847" s="199">
        <f>'Detailed Budget'!$AD$96</f>
        <v>71050111380.677719</v>
      </c>
      <c r="CB847" s="275">
        <f t="shared" si="1036"/>
        <v>20480024.660959024</v>
      </c>
      <c r="CE847" s="199">
        <f>'Detailed Budget'!$AD$175</f>
        <v>4330586076.5988197</v>
      </c>
      <c r="CF847" s="275">
        <f t="shared" si="1019"/>
        <v>0</v>
      </c>
      <c r="CG847" s="199">
        <f>'Detailed Budget'!$AD$176</f>
        <v>20662817754.37001</v>
      </c>
      <c r="CH847" s="275">
        <f t="shared" si="1020"/>
        <v>0</v>
      </c>
      <c r="CI847" s="275">
        <f t="shared" si="992"/>
        <v>0</v>
      </c>
      <c r="CJ847" s="275">
        <f>'Detailed Budget'!$AD$178</f>
        <v>46025131033.061455</v>
      </c>
      <c r="CK847" s="275">
        <f t="shared" si="1012"/>
        <v>0</v>
      </c>
      <c r="CL847" s="275">
        <f t="shared" si="991"/>
        <v>0</v>
      </c>
      <c r="CM847" s="278">
        <f>'Detailed Budget'!$AD$189</f>
        <v>77498869683.252869</v>
      </c>
      <c r="CN847" s="275">
        <f t="shared" si="1037"/>
        <v>20522398.908302486</v>
      </c>
      <c r="CO847" s="140">
        <f>'Detailed Budget'!$AD$191</f>
        <v>2684962805.4134097</v>
      </c>
      <c r="CP847" s="616">
        <f t="shared" si="1038"/>
        <v>711002.34070325014</v>
      </c>
      <c r="CQ847" s="616">
        <f t="shared" si="1039"/>
        <v>21233401.249005735</v>
      </c>
      <c r="CR847" s="199">
        <f>'Detailed Budget'!$AD$195</f>
        <v>18734176418</v>
      </c>
      <c r="CS847" s="275">
        <f t="shared" si="1021"/>
        <v>4879312.4162821332</v>
      </c>
      <c r="CW847" s="278"/>
      <c r="DH847" s="140">
        <f>'Detailed Budget'!$AD$163</f>
        <v>4928560000</v>
      </c>
      <c r="DI847" s="616">
        <f t="shared" si="1022"/>
        <v>5600000</v>
      </c>
    </row>
    <row r="848" spans="1:113" outlineLevel="1">
      <c r="A848" s="214" t="s">
        <v>1723</v>
      </c>
      <c r="B848" s="215" t="s">
        <v>1724</v>
      </c>
      <c r="C848" s="216" t="s">
        <v>234</v>
      </c>
      <c r="D848" s="217"/>
      <c r="E848" s="216"/>
      <c r="F848" s="216"/>
      <c r="G848" s="216" t="s">
        <v>234</v>
      </c>
      <c r="H848" s="216" t="s">
        <v>234</v>
      </c>
      <c r="I848" s="217" t="s">
        <v>234</v>
      </c>
      <c r="J848" s="217"/>
      <c r="K848" s="216"/>
      <c r="L848" s="216"/>
      <c r="M848" s="217"/>
      <c r="N848" s="216"/>
      <c r="O848" s="217"/>
      <c r="P848" s="216" t="s">
        <v>234</v>
      </c>
      <c r="Q848" s="217" t="s">
        <v>234</v>
      </c>
      <c r="R848" s="217"/>
      <c r="S848" s="217"/>
      <c r="T848" s="217"/>
      <c r="U848" s="218">
        <f t="shared" si="1010"/>
        <v>6</v>
      </c>
      <c r="V848" s="867" t="s">
        <v>1096</v>
      </c>
      <c r="W848" s="219">
        <v>96444</v>
      </c>
      <c r="X848" s="220">
        <v>3.21</v>
      </c>
      <c r="Y848" s="221">
        <f t="shared" si="1045"/>
        <v>1.0321</v>
      </c>
      <c r="Z848" s="199">
        <v>19</v>
      </c>
      <c r="AA848" s="221">
        <f t="shared" si="1046"/>
        <v>1.8226940798007465</v>
      </c>
      <c r="AB848" s="199">
        <f t="shared" si="1008"/>
        <v>175787.9078323032</v>
      </c>
      <c r="AC848">
        <v>11.9</v>
      </c>
      <c r="AD848" s="199">
        <f t="shared" si="1009"/>
        <v>20918.761032044084</v>
      </c>
      <c r="AE848" s="199">
        <f t="shared" si="1047"/>
        <v>19872.822980441877</v>
      </c>
      <c r="AF848" s="199">
        <f t="shared" si="1044"/>
        <v>0</v>
      </c>
      <c r="AG848" s="614">
        <f t="shared" si="1041"/>
        <v>9.188320912880449E-4</v>
      </c>
      <c r="AH848" s="199">
        <f t="shared" si="1023"/>
        <v>8789.3953916151604</v>
      </c>
      <c r="AI848" s="252">
        <f t="shared" si="1024"/>
        <v>6.8090114375363164E-4</v>
      </c>
      <c r="AJ848" s="199">
        <f t="shared" si="1025"/>
        <v>29708.156423659246</v>
      </c>
      <c r="AK848" s="199">
        <f t="shared" si="976"/>
        <v>7031.516313292128</v>
      </c>
      <c r="AL848" s="199">
        <f t="shared" si="977"/>
        <v>7031.516313292128</v>
      </c>
      <c r="AM848" s="199">
        <f t="shared" si="1026"/>
        <v>14063.032626584256</v>
      </c>
      <c r="AN848" s="645">
        <f t="shared" si="1027"/>
        <v>6.8090114375363164E-4</v>
      </c>
      <c r="AO848" s="199">
        <v>12</v>
      </c>
      <c r="AP848" s="250">
        <f t="shared" si="1028"/>
        <v>1.3634814225656176E-3</v>
      </c>
      <c r="AQ848" s="199">
        <v>12</v>
      </c>
      <c r="AU848" s="199">
        <v>0</v>
      </c>
      <c r="AW848" s="250">
        <f t="shared" si="1029"/>
        <v>0</v>
      </c>
      <c r="AX848" s="199">
        <v>1</v>
      </c>
      <c r="AY848" s="199">
        <f t="shared" si="1013"/>
        <v>9428.847655519563</v>
      </c>
      <c r="AZ848" s="199">
        <f t="shared" si="1030"/>
        <v>9428.847655519563</v>
      </c>
      <c r="BA848" s="252">
        <f t="shared" si="1031"/>
        <v>7.4116861245393767E-4</v>
      </c>
      <c r="BB848" s="284">
        <v>0</v>
      </c>
      <c r="BC848" s="199">
        <f t="shared" si="1014"/>
        <v>0</v>
      </c>
      <c r="BD848" s="270">
        <f t="shared" si="993"/>
        <v>0</v>
      </c>
      <c r="BE848" s="199">
        <f t="shared" si="1015"/>
        <v>0</v>
      </c>
      <c r="BF848" s="251">
        <f t="shared" si="994"/>
        <v>0</v>
      </c>
      <c r="BG848" s="204">
        <f t="shared" si="1016"/>
        <v>0</v>
      </c>
      <c r="BH848" s="636">
        <v>1</v>
      </c>
      <c r="BI848" s="199">
        <f t="shared" si="1032"/>
        <v>53791.099796684779</v>
      </c>
      <c r="BJ848" s="199">
        <f t="shared" si="1033"/>
        <v>107582.19959336956</v>
      </c>
      <c r="BK848" s="199">
        <f t="shared" si="1040"/>
        <v>161373.29939005434</v>
      </c>
      <c r="BL848" s="251">
        <f t="shared" si="1034"/>
        <v>6.8090114375363164E-4</v>
      </c>
      <c r="BM848" s="199">
        <f t="shared" si="1017"/>
        <v>15508.200662586756</v>
      </c>
      <c r="BN848" s="251">
        <f t="shared" si="1035"/>
        <v>6.6969233427193646E-4</v>
      </c>
      <c r="BT848" s="199">
        <f>'Detailed Budget'!$AD$12</f>
        <v>194045122715</v>
      </c>
      <c r="BU848" s="199">
        <f>'Detailed Budget'!$AD$24</f>
        <v>194045122715</v>
      </c>
      <c r="BV848" s="596">
        <f t="shared" si="1018"/>
        <v>0</v>
      </c>
      <c r="BW848" s="278"/>
      <c r="BX848" s="275">
        <f t="shared" si="1042"/>
        <v>0</v>
      </c>
      <c r="BY848" s="275">
        <f t="shared" si="1043"/>
        <v>0</v>
      </c>
      <c r="CA848" s="199">
        <f>'Detailed Budget'!$AD$96</f>
        <v>71050111380.677719</v>
      </c>
      <c r="CB848" s="275">
        <f t="shared" si="1036"/>
        <v>52660112.466714628</v>
      </c>
      <c r="CE848" s="199">
        <f>'Detailed Budget'!$AD$175</f>
        <v>4330586076.5988197</v>
      </c>
      <c r="CF848" s="275">
        <f t="shared" si="1019"/>
        <v>0</v>
      </c>
      <c r="CG848" s="199">
        <f>'Detailed Budget'!$AD$176</f>
        <v>20662817754.37001</v>
      </c>
      <c r="CH848" s="275">
        <f t="shared" si="1020"/>
        <v>0</v>
      </c>
      <c r="CI848" s="275">
        <f t="shared" si="992"/>
        <v>0</v>
      </c>
      <c r="CJ848" s="275">
        <f>'Detailed Budget'!$AD$178</f>
        <v>46025131033.061455</v>
      </c>
      <c r="CK848" s="275">
        <f t="shared" si="1012"/>
        <v>0</v>
      </c>
      <c r="CL848" s="275">
        <f t="shared" si="991"/>
        <v>0</v>
      </c>
      <c r="CM848" s="278">
        <f>'Detailed Budget'!$AD$189</f>
        <v>77498869683.252869</v>
      </c>
      <c r="CN848" s="275">
        <f t="shared" si="1037"/>
        <v>52769069.006940529</v>
      </c>
      <c r="CO848" s="140">
        <f>'Detailed Budget'!$AD$191</f>
        <v>2684962805.4134097</v>
      </c>
      <c r="CP848" s="616">
        <f t="shared" si="1038"/>
        <v>1828194.2451419502</v>
      </c>
      <c r="CQ848" s="616">
        <f t="shared" si="1039"/>
        <v>54597263.252082482</v>
      </c>
      <c r="CR848" s="199">
        <f>'Detailed Budget'!$AD$195</f>
        <v>18734176418</v>
      </c>
      <c r="CS848" s="275">
        <f t="shared" si="1021"/>
        <v>12546134.336032685</v>
      </c>
      <c r="CW848" s="278"/>
      <c r="DH848" s="140">
        <f>'Detailed Budget'!$AD$163</f>
        <v>4928560000</v>
      </c>
      <c r="DI848" s="616">
        <f t="shared" si="1022"/>
        <v>6720000</v>
      </c>
    </row>
    <row r="849" spans="1:113" outlineLevel="1">
      <c r="A849" s="214" t="s">
        <v>1725</v>
      </c>
      <c r="B849" s="215" t="s">
        <v>1726</v>
      </c>
      <c r="C849" s="216" t="s">
        <v>234</v>
      </c>
      <c r="D849" s="217"/>
      <c r="E849" s="216"/>
      <c r="F849" s="216"/>
      <c r="G849" s="216" t="s">
        <v>234</v>
      </c>
      <c r="H849" s="216" t="s">
        <v>234</v>
      </c>
      <c r="I849" s="217" t="s">
        <v>234</v>
      </c>
      <c r="J849" s="217"/>
      <c r="K849" s="216"/>
      <c r="L849" s="216"/>
      <c r="M849" s="217"/>
      <c r="N849" s="216"/>
      <c r="O849" s="217" t="s">
        <v>234</v>
      </c>
      <c r="P849" s="216"/>
      <c r="Q849" s="217"/>
      <c r="R849" s="217" t="s">
        <v>234</v>
      </c>
      <c r="S849" s="217"/>
      <c r="T849" s="217"/>
      <c r="U849" s="218">
        <f t="shared" si="1010"/>
        <v>6</v>
      </c>
      <c r="V849" s="867" t="s">
        <v>235</v>
      </c>
      <c r="W849" s="219">
        <v>62054</v>
      </c>
      <c r="X849" s="220">
        <v>3.21</v>
      </c>
      <c r="Y849" s="221">
        <f t="shared" si="1045"/>
        <v>1.0321</v>
      </c>
      <c r="Z849" s="199">
        <v>19</v>
      </c>
      <c r="AA849" s="221">
        <f t="shared" si="1046"/>
        <v>1.8226940798007465</v>
      </c>
      <c r="AB849" s="199">
        <f t="shared" si="1008"/>
        <v>113105.45842795553</v>
      </c>
      <c r="AC849">
        <v>11.9</v>
      </c>
      <c r="AD849" s="199">
        <f t="shared" si="1009"/>
        <v>13459.549552926708</v>
      </c>
      <c r="AE849" s="199">
        <f t="shared" si="1047"/>
        <v>12786.572075280372</v>
      </c>
      <c r="AF849" s="199">
        <f t="shared" si="1044"/>
        <v>0</v>
      </c>
      <c r="AG849" s="614">
        <f t="shared" si="1041"/>
        <v>5.9119495865775308E-4</v>
      </c>
      <c r="AH849" s="199">
        <f t="shared" si="1023"/>
        <v>5655.2729213977764</v>
      </c>
      <c r="AI849" s="252">
        <f t="shared" si="1024"/>
        <v>4.3810542464526415E-4</v>
      </c>
      <c r="AJ849" s="199">
        <f t="shared" si="1025"/>
        <v>19114.822474324486</v>
      </c>
      <c r="AK849" s="199">
        <f t="shared" ref="AK849:AK898" si="1048">AB849*0.04</f>
        <v>4524.2183371182209</v>
      </c>
      <c r="AL849" s="199">
        <f t="shared" ref="AL849:AL898" si="1049">AB849*0.04</f>
        <v>4524.2183371182209</v>
      </c>
      <c r="AM849" s="199">
        <f t="shared" si="1026"/>
        <v>9048.4366742364418</v>
      </c>
      <c r="AN849" s="645">
        <f t="shared" si="1027"/>
        <v>4.3810542464526415E-4</v>
      </c>
      <c r="AO849" s="199">
        <v>11</v>
      </c>
      <c r="AP849" s="250">
        <f t="shared" si="1028"/>
        <v>1.2498579706851495E-3</v>
      </c>
      <c r="AQ849" s="199">
        <v>11</v>
      </c>
      <c r="AU849" s="199">
        <v>0</v>
      </c>
      <c r="AW849" s="250">
        <f t="shared" si="1029"/>
        <v>0</v>
      </c>
      <c r="AX849" s="199">
        <v>1</v>
      </c>
      <c r="AY849" s="199">
        <f t="shared" si="1013"/>
        <v>6066.7093071171976</v>
      </c>
      <c r="AZ849" s="199">
        <f t="shared" si="1030"/>
        <v>6066.7093071171976</v>
      </c>
      <c r="BA849" s="252">
        <f t="shared" si="1031"/>
        <v>4.76882720306257E-4</v>
      </c>
      <c r="BB849" s="284">
        <v>0</v>
      </c>
      <c r="BC849" s="199">
        <f t="shared" si="1014"/>
        <v>0</v>
      </c>
      <c r="BD849" s="270">
        <f t="shared" si="993"/>
        <v>0</v>
      </c>
      <c r="BE849" s="199">
        <f t="shared" si="1015"/>
        <v>0</v>
      </c>
      <c r="BF849" s="251">
        <f t="shared" si="994"/>
        <v>0</v>
      </c>
      <c r="BG849" s="204">
        <f t="shared" si="1016"/>
        <v>0</v>
      </c>
      <c r="BH849" s="636">
        <v>1</v>
      </c>
      <c r="BI849" s="199">
        <f t="shared" si="1032"/>
        <v>34610.270278954391</v>
      </c>
      <c r="BJ849" s="199">
        <f t="shared" si="1033"/>
        <v>69220.540557908782</v>
      </c>
      <c r="BK849" s="199">
        <f t="shared" si="1040"/>
        <v>103830.81083686318</v>
      </c>
      <c r="BL849" s="251">
        <f t="shared" si="1034"/>
        <v>4.381054246452642E-4</v>
      </c>
      <c r="BM849" s="199">
        <f t="shared" si="1017"/>
        <v>9978.2867147376564</v>
      </c>
      <c r="BN849" s="251">
        <f t="shared" si="1035"/>
        <v>4.308934522718961E-4</v>
      </c>
      <c r="BT849" s="199">
        <f>'Detailed Budget'!$AD$12</f>
        <v>194045122715</v>
      </c>
      <c r="BU849" s="199">
        <f>'Detailed Budget'!$AD$24</f>
        <v>194045122715</v>
      </c>
      <c r="BV849" s="596">
        <f t="shared" si="1018"/>
        <v>0</v>
      </c>
      <c r="BW849" s="278"/>
      <c r="BX849" s="275">
        <f t="shared" si="1042"/>
        <v>0</v>
      </c>
      <c r="BY849" s="275">
        <f t="shared" si="1043"/>
        <v>0</v>
      </c>
      <c r="CA849" s="199">
        <f>'Detailed Budget'!$AD$96</f>
        <v>71050111380.677719</v>
      </c>
      <c r="CB849" s="275">
        <f t="shared" si="1036"/>
        <v>33882570.393280141</v>
      </c>
      <c r="CE849" s="199">
        <f>'Detailed Budget'!$AD$175</f>
        <v>4330586076.5988197</v>
      </c>
      <c r="CF849" s="275">
        <f t="shared" si="1019"/>
        <v>0</v>
      </c>
      <c r="CG849" s="199">
        <f>'Detailed Budget'!$AD$176</f>
        <v>20662817754.37001</v>
      </c>
      <c r="CH849" s="275">
        <f t="shared" si="1020"/>
        <v>0</v>
      </c>
      <c r="CI849" s="275">
        <f t="shared" si="992"/>
        <v>0</v>
      </c>
      <c r="CJ849" s="275">
        <f>'Detailed Budget'!$AD$178</f>
        <v>46025131033.061455</v>
      </c>
      <c r="CK849" s="275">
        <f t="shared" si="1012"/>
        <v>0</v>
      </c>
      <c r="CL849" s="275">
        <f t="shared" si="991"/>
        <v>0</v>
      </c>
      <c r="CM849" s="278">
        <f>'Detailed Budget'!$AD$189</f>
        <v>77498869683.252869</v>
      </c>
      <c r="CN849" s="275">
        <f t="shared" si="1037"/>
        <v>33952675.212109491</v>
      </c>
      <c r="CO849" s="140">
        <f>'Detailed Budget'!$AD$191</f>
        <v>2684962805.4134097</v>
      </c>
      <c r="CP849" s="616">
        <f t="shared" si="1038"/>
        <v>1176296.7700223816</v>
      </c>
      <c r="CQ849" s="616">
        <f t="shared" si="1039"/>
        <v>35128971.982131876</v>
      </c>
      <c r="CR849" s="199">
        <f>'Detailed Budget'!$AD$195</f>
        <v>18734176418</v>
      </c>
      <c r="CS849" s="275">
        <f t="shared" si="1021"/>
        <v>8072433.9522227645</v>
      </c>
      <c r="CW849" s="278"/>
      <c r="DH849" s="140">
        <f>'Detailed Budget'!$AD$163</f>
        <v>4928560000</v>
      </c>
      <c r="DI849" s="616">
        <f t="shared" si="1022"/>
        <v>6160000</v>
      </c>
    </row>
    <row r="850" spans="1:113" outlineLevel="1">
      <c r="A850" s="214" t="s">
        <v>1727</v>
      </c>
      <c r="B850" s="215" t="s">
        <v>1728</v>
      </c>
      <c r="C850" s="216" t="s">
        <v>234</v>
      </c>
      <c r="D850" s="217"/>
      <c r="E850" s="216"/>
      <c r="F850" s="216"/>
      <c r="G850" s="216" t="s">
        <v>234</v>
      </c>
      <c r="H850" s="216" t="s">
        <v>234</v>
      </c>
      <c r="I850" s="217" t="s">
        <v>234</v>
      </c>
      <c r="J850" s="217"/>
      <c r="K850" s="216"/>
      <c r="L850" s="216"/>
      <c r="M850" s="217"/>
      <c r="N850" s="216"/>
      <c r="O850" s="217"/>
      <c r="P850" s="216" t="s">
        <v>234</v>
      </c>
      <c r="Q850" s="217"/>
      <c r="R850" s="217" t="s">
        <v>234</v>
      </c>
      <c r="S850" s="217"/>
      <c r="T850" s="217"/>
      <c r="U850" s="218">
        <f t="shared" si="1010"/>
        <v>6</v>
      </c>
      <c r="V850" s="867" t="s">
        <v>235</v>
      </c>
      <c r="W850" s="219">
        <v>105416</v>
      </c>
      <c r="X850" s="220">
        <v>3.21</v>
      </c>
      <c r="Y850" s="221">
        <f t="shared" si="1045"/>
        <v>1.0321</v>
      </c>
      <c r="Z850" s="199">
        <v>19</v>
      </c>
      <c r="AA850" s="221">
        <f t="shared" si="1046"/>
        <v>1.8226940798007465</v>
      </c>
      <c r="AB850" s="199">
        <f t="shared" ref="AB850:AB883" si="1050">W850*AA850</f>
        <v>192141.11911627548</v>
      </c>
      <c r="AC850">
        <v>11.9</v>
      </c>
      <c r="AD850" s="199">
        <f t="shared" ref="AD850:AD883" si="1051">AB850*AC850/100</f>
        <v>22864.793174836785</v>
      </c>
      <c r="AE850" s="199">
        <f t="shared" si="1047"/>
        <v>21721.553516094944</v>
      </c>
      <c r="AF850" s="199">
        <f t="shared" si="1044"/>
        <v>0</v>
      </c>
      <c r="AG850" s="614">
        <f t="shared" si="1041"/>
        <v>1.0043092751775178E-3</v>
      </c>
      <c r="AH850" s="199">
        <f t="shared" si="1023"/>
        <v>9607.0559558137738</v>
      </c>
      <c r="AI850" s="252">
        <f t="shared" si="1024"/>
        <v>7.4424406878533477E-4</v>
      </c>
      <c r="AJ850" s="199">
        <f t="shared" si="1025"/>
        <v>32471.84913065056</v>
      </c>
      <c r="AK850" s="199">
        <f t="shared" si="1048"/>
        <v>7685.6447646510196</v>
      </c>
      <c r="AL850" s="199">
        <f t="shared" si="1049"/>
        <v>7685.6447646510196</v>
      </c>
      <c r="AM850" s="199">
        <f t="shared" si="1026"/>
        <v>15371.289529302039</v>
      </c>
      <c r="AN850" s="645">
        <f t="shared" si="1027"/>
        <v>7.4424406878533477E-4</v>
      </c>
      <c r="AO850" s="199">
        <v>11</v>
      </c>
      <c r="AP850" s="250">
        <f t="shared" si="1028"/>
        <v>1.2498579706851495E-3</v>
      </c>
      <c r="AQ850" s="199">
        <v>11</v>
      </c>
      <c r="AU850" s="199">
        <v>0</v>
      </c>
      <c r="AW850" s="250">
        <f t="shared" si="1029"/>
        <v>0</v>
      </c>
      <c r="AX850" s="199">
        <v>1</v>
      </c>
      <c r="AY850" s="199">
        <f t="shared" si="1013"/>
        <v>10305.995235102757</v>
      </c>
      <c r="AZ850" s="199">
        <f t="shared" si="1030"/>
        <v>10305.995235102757</v>
      </c>
      <c r="BA850" s="252">
        <f t="shared" si="1031"/>
        <v>8.101181042931057E-4</v>
      </c>
      <c r="BB850" s="284">
        <v>0</v>
      </c>
      <c r="BC850" s="199">
        <f t="shared" si="1014"/>
        <v>0</v>
      </c>
      <c r="BD850" s="270">
        <f t="shared" si="993"/>
        <v>0</v>
      </c>
      <c r="BE850" s="199">
        <f t="shared" si="1015"/>
        <v>0</v>
      </c>
      <c r="BF850" s="251">
        <f t="shared" si="994"/>
        <v>0</v>
      </c>
      <c r="BG850" s="204">
        <f t="shared" si="1016"/>
        <v>0</v>
      </c>
      <c r="BH850" s="636">
        <v>1</v>
      </c>
      <c r="BI850" s="199">
        <f t="shared" si="1032"/>
        <v>58795.182449580301</v>
      </c>
      <c r="BJ850" s="199">
        <f t="shared" si="1033"/>
        <v>117590.3648991606</v>
      </c>
      <c r="BK850" s="199">
        <f t="shared" si="1040"/>
        <v>176385.54734874092</v>
      </c>
      <c r="BL850" s="251">
        <f t="shared" si="1034"/>
        <v>7.4424406878533488E-4</v>
      </c>
      <c r="BM850" s="199">
        <f t="shared" si="1017"/>
        <v>16950.898770760705</v>
      </c>
      <c r="BN850" s="251">
        <f t="shared" si="1035"/>
        <v>7.3199252529561668E-4</v>
      </c>
      <c r="BT850" s="199">
        <f>'Detailed Budget'!$AD$12</f>
        <v>194045122715</v>
      </c>
      <c r="BU850" s="199">
        <f>'Detailed Budget'!$AD$24</f>
        <v>194045122715</v>
      </c>
      <c r="BV850" s="596">
        <f t="shared" si="1018"/>
        <v>0</v>
      </c>
      <c r="BW850" s="278"/>
      <c r="BX850" s="275">
        <f t="shared" si="1042"/>
        <v>0</v>
      </c>
      <c r="BY850" s="275">
        <f t="shared" si="1043"/>
        <v>0</v>
      </c>
      <c r="CA850" s="199">
        <f>'Detailed Budget'!$AD$96</f>
        <v>71050111380.677719</v>
      </c>
      <c r="CB850" s="275">
        <f t="shared" si="1036"/>
        <v>57558981.54152865</v>
      </c>
      <c r="CE850" s="199">
        <f>'Detailed Budget'!$AD$175</f>
        <v>4330586076.5988197</v>
      </c>
      <c r="CF850" s="275">
        <f t="shared" si="1019"/>
        <v>0</v>
      </c>
      <c r="CG850" s="199">
        <f>'Detailed Budget'!$AD$176</f>
        <v>20662817754.37001</v>
      </c>
      <c r="CH850" s="275">
        <f t="shared" si="1020"/>
        <v>0</v>
      </c>
      <c r="CI850" s="275">
        <f t="shared" si="992"/>
        <v>0</v>
      </c>
      <c r="CJ850" s="275">
        <f>'Detailed Budget'!$AD$178</f>
        <v>46025131033.061455</v>
      </c>
      <c r="CK850" s="275">
        <f t="shared" si="1012"/>
        <v>0</v>
      </c>
      <c r="CL850" s="275">
        <f t="shared" si="991"/>
        <v>0</v>
      </c>
      <c r="CM850" s="278">
        <f>'Detailed Budget'!$AD$189</f>
        <v>77498869683.252869</v>
      </c>
      <c r="CN850" s="275">
        <f t="shared" si="1037"/>
        <v>57678074.099328555</v>
      </c>
      <c r="CO850" s="140">
        <f>'Detailed Budget'!$AD$191</f>
        <v>2684962805.4134097</v>
      </c>
      <c r="CP850" s="616">
        <f t="shared" si="1038"/>
        <v>1998267.6428381631</v>
      </c>
      <c r="CQ850" s="616">
        <f t="shared" si="1039"/>
        <v>59676341.74216672</v>
      </c>
      <c r="CR850" s="199">
        <f>'Detailed Budget'!$AD$195</f>
        <v>18734176418</v>
      </c>
      <c r="CS850" s="275">
        <f t="shared" si="1021"/>
        <v>13713277.105545411</v>
      </c>
      <c r="CW850" s="278"/>
      <c r="DH850" s="140">
        <f>'Detailed Budget'!$AD$163</f>
        <v>4928560000</v>
      </c>
      <c r="DI850" s="616">
        <f t="shared" si="1022"/>
        <v>6160000</v>
      </c>
    </row>
    <row r="851" spans="1:113" outlineLevel="1">
      <c r="A851" s="214" t="s">
        <v>1729</v>
      </c>
      <c r="B851" s="215" t="s">
        <v>1730</v>
      </c>
      <c r="C851" s="216" t="s">
        <v>234</v>
      </c>
      <c r="D851" s="217"/>
      <c r="E851" s="216"/>
      <c r="F851" s="216"/>
      <c r="G851" s="216" t="s">
        <v>234</v>
      </c>
      <c r="H851" s="216" t="s">
        <v>234</v>
      </c>
      <c r="I851" s="217" t="s">
        <v>234</v>
      </c>
      <c r="J851" s="217"/>
      <c r="K851" s="216"/>
      <c r="L851" s="216"/>
      <c r="M851" s="217"/>
      <c r="N851" s="216"/>
      <c r="O851" s="217"/>
      <c r="P851" s="216" t="s">
        <v>234</v>
      </c>
      <c r="Q851" s="217"/>
      <c r="R851" s="217" t="s">
        <v>234</v>
      </c>
      <c r="S851" s="217"/>
      <c r="T851" s="217"/>
      <c r="U851" s="218">
        <f t="shared" si="1010"/>
        <v>6</v>
      </c>
      <c r="V851" s="867" t="s">
        <v>235</v>
      </c>
      <c r="W851" s="219">
        <v>106809</v>
      </c>
      <c r="X851" s="220">
        <v>3.21</v>
      </c>
      <c r="Y851" s="221">
        <f t="shared" si="1045"/>
        <v>1.0321</v>
      </c>
      <c r="Z851" s="199">
        <v>19</v>
      </c>
      <c r="AA851" s="221">
        <f t="shared" si="1046"/>
        <v>1.8226940798007465</v>
      </c>
      <c r="AB851" s="199">
        <f t="shared" si="1050"/>
        <v>194680.13196943793</v>
      </c>
      <c r="AC851">
        <v>11.9</v>
      </c>
      <c r="AD851" s="199">
        <f t="shared" si="1051"/>
        <v>23166.935704363113</v>
      </c>
      <c r="AE851" s="199">
        <f t="shared" si="1047"/>
        <v>22008.588919144957</v>
      </c>
      <c r="AF851" s="199">
        <f t="shared" si="1044"/>
        <v>0</v>
      </c>
      <c r="AG851" s="614">
        <f t="shared" si="1041"/>
        <v>1.0175805321055202E-3</v>
      </c>
      <c r="AH851" s="199">
        <f t="shared" si="1023"/>
        <v>9734.0065984718967</v>
      </c>
      <c r="AI851" s="252">
        <f t="shared" si="1024"/>
        <v>7.5407874272304793E-4</v>
      </c>
      <c r="AJ851" s="199">
        <f t="shared" si="1025"/>
        <v>32900.942302835014</v>
      </c>
      <c r="AK851" s="199">
        <f t="shared" si="1048"/>
        <v>7787.2052787775174</v>
      </c>
      <c r="AL851" s="199">
        <f t="shared" si="1049"/>
        <v>7787.2052787775174</v>
      </c>
      <c r="AM851" s="199">
        <f t="shared" si="1026"/>
        <v>15574.410557555035</v>
      </c>
      <c r="AN851" s="645">
        <f t="shared" si="1027"/>
        <v>7.5407874272304793E-4</v>
      </c>
      <c r="AO851" s="199">
        <v>10</v>
      </c>
      <c r="AP851" s="250">
        <f t="shared" si="1028"/>
        <v>1.1362345188046814E-3</v>
      </c>
      <c r="AQ851" s="199">
        <v>10</v>
      </c>
      <c r="AU851" s="199">
        <v>0</v>
      </c>
      <c r="AW851" s="250">
        <f t="shared" si="1029"/>
        <v>0</v>
      </c>
      <c r="AX851" s="199">
        <v>1</v>
      </c>
      <c r="AY851" s="199">
        <f t="shared" si="1013"/>
        <v>10442.181880038042</v>
      </c>
      <c r="AZ851" s="199">
        <f t="shared" si="1030"/>
        <v>10442.181880038042</v>
      </c>
      <c r="BA851" s="252">
        <f t="shared" si="1031"/>
        <v>8.2082325834258868E-4</v>
      </c>
      <c r="BB851" s="284">
        <v>0</v>
      </c>
      <c r="BC851" s="199">
        <f t="shared" si="1014"/>
        <v>0</v>
      </c>
      <c r="BD851" s="270">
        <f t="shared" si="993"/>
        <v>0</v>
      </c>
      <c r="BE851" s="199">
        <f t="shared" si="1015"/>
        <v>0</v>
      </c>
      <c r="BF851" s="251">
        <f t="shared" si="994"/>
        <v>0</v>
      </c>
      <c r="BG851" s="204">
        <f t="shared" si="1016"/>
        <v>0</v>
      </c>
      <c r="BH851" s="636">
        <v>1</v>
      </c>
      <c r="BI851" s="199">
        <f t="shared" si="1032"/>
        <v>59572.120382648012</v>
      </c>
      <c r="BJ851" s="199">
        <f t="shared" si="1033"/>
        <v>119144.24076529602</v>
      </c>
      <c r="BK851" s="199">
        <f t="shared" si="1040"/>
        <v>178716.36114794403</v>
      </c>
      <c r="BL851" s="251">
        <f t="shared" si="1034"/>
        <v>7.5407874272304803E-4</v>
      </c>
      <c r="BM851" s="199">
        <f t="shared" si="1017"/>
        <v>17174.893249660206</v>
      </c>
      <c r="BN851" s="251">
        <f t="shared" si="1035"/>
        <v>7.4166530350515609E-4</v>
      </c>
      <c r="BT851" s="199">
        <f>'Detailed Budget'!$AD$12</f>
        <v>194045122715</v>
      </c>
      <c r="BU851" s="199">
        <f>'Detailed Budget'!$AD$24</f>
        <v>194045122715</v>
      </c>
      <c r="BV851" s="596">
        <f t="shared" si="1018"/>
        <v>0</v>
      </c>
      <c r="BW851" s="278"/>
      <c r="BX851" s="275">
        <f t="shared" si="1042"/>
        <v>0</v>
      </c>
      <c r="BY851" s="275">
        <f t="shared" si="1043"/>
        <v>0</v>
      </c>
      <c r="CA851" s="199">
        <f>'Detailed Budget'!$AD$96</f>
        <v>71050111380.677719</v>
      </c>
      <c r="CB851" s="275">
        <f t="shared" si="1036"/>
        <v>58319583.929091729</v>
      </c>
      <c r="CE851" s="199">
        <f>'Detailed Budget'!$AD$175</f>
        <v>4330586076.5988197</v>
      </c>
      <c r="CF851" s="275">
        <f t="shared" si="1019"/>
        <v>0</v>
      </c>
      <c r="CG851" s="199">
        <f>'Detailed Budget'!$AD$176</f>
        <v>20662817754.37001</v>
      </c>
      <c r="CH851" s="275">
        <f t="shared" si="1020"/>
        <v>0</v>
      </c>
      <c r="CI851" s="275">
        <f t="shared" si="992"/>
        <v>0</v>
      </c>
      <c r="CJ851" s="275">
        <f>'Detailed Budget'!$AD$178</f>
        <v>46025131033.061455</v>
      </c>
      <c r="CK851" s="275">
        <f t="shared" si="1012"/>
        <v>0</v>
      </c>
      <c r="CL851" s="275">
        <f t="shared" si="991"/>
        <v>0</v>
      </c>
      <c r="CM851" s="278">
        <f>'Detailed Budget'!$AD$189</f>
        <v>77498869683.252869</v>
      </c>
      <c r="CN851" s="275">
        <f t="shared" si="1037"/>
        <v>58440250.213204667</v>
      </c>
      <c r="CO851" s="140">
        <f>'Detailed Budget'!$AD$191</f>
        <v>2684962805.4134097</v>
      </c>
      <c r="CP851" s="616">
        <f t="shared" si="1038"/>
        <v>2024673.3765642915</v>
      </c>
      <c r="CQ851" s="616">
        <f t="shared" si="1039"/>
        <v>60464923.589768961</v>
      </c>
      <c r="CR851" s="199">
        <f>'Detailed Budget'!$AD$195</f>
        <v>18734176418</v>
      </c>
      <c r="CS851" s="275">
        <f t="shared" si="1021"/>
        <v>13894488.638975108</v>
      </c>
      <c r="CW851" s="278"/>
      <c r="DH851" s="140">
        <f>'Detailed Budget'!$AD$163</f>
        <v>4928560000</v>
      </c>
      <c r="DI851" s="616">
        <f t="shared" si="1022"/>
        <v>5600000</v>
      </c>
    </row>
    <row r="852" spans="1:113" outlineLevel="1">
      <c r="A852" s="214" t="s">
        <v>1731</v>
      </c>
      <c r="B852" s="215" t="s">
        <v>1732</v>
      </c>
      <c r="C852" s="216" t="s">
        <v>234</v>
      </c>
      <c r="D852" s="217"/>
      <c r="E852" s="216"/>
      <c r="F852" s="216"/>
      <c r="G852" s="216" t="s">
        <v>234</v>
      </c>
      <c r="H852" s="216" t="s">
        <v>234</v>
      </c>
      <c r="I852" s="217" t="s">
        <v>234</v>
      </c>
      <c r="J852" s="217"/>
      <c r="K852" s="216"/>
      <c r="L852" s="216"/>
      <c r="M852" s="217"/>
      <c r="N852" s="216"/>
      <c r="O852" s="217"/>
      <c r="P852" s="216" t="s">
        <v>234</v>
      </c>
      <c r="Q852" s="217" t="s">
        <v>234</v>
      </c>
      <c r="R852" s="217"/>
      <c r="S852" s="217"/>
      <c r="T852" s="217"/>
      <c r="U852" s="218">
        <f t="shared" si="1010"/>
        <v>6</v>
      </c>
      <c r="V852" s="867" t="s">
        <v>1096</v>
      </c>
      <c r="W852" s="219">
        <v>119590</v>
      </c>
      <c r="X852" s="220">
        <v>3.21</v>
      </c>
      <c r="Y852" s="221">
        <f t="shared" si="1045"/>
        <v>1.0321</v>
      </c>
      <c r="Z852" s="199">
        <v>19</v>
      </c>
      <c r="AA852" s="221">
        <f t="shared" si="1046"/>
        <v>1.8226940798007465</v>
      </c>
      <c r="AB852" s="199">
        <f t="shared" si="1050"/>
        <v>217975.98500337129</v>
      </c>
      <c r="AC852">
        <v>11.9</v>
      </c>
      <c r="AD852" s="199">
        <f t="shared" si="1051"/>
        <v>25939.142215401185</v>
      </c>
      <c r="AE852" s="199">
        <f t="shared" si="1047"/>
        <v>24642.185104631124</v>
      </c>
      <c r="AF852" s="199">
        <f t="shared" si="1044"/>
        <v>0</v>
      </c>
      <c r="AG852" s="614">
        <f t="shared" si="1041"/>
        <v>1.1393464580185112E-3</v>
      </c>
      <c r="AH852" s="199">
        <f t="shared" si="1023"/>
        <v>10898.799250168566</v>
      </c>
      <c r="AI852" s="252">
        <f t="shared" si="1024"/>
        <v>8.4431346461673947E-4</v>
      </c>
      <c r="AJ852" s="199">
        <f t="shared" si="1025"/>
        <v>36837.941465569747</v>
      </c>
      <c r="AK852" s="199">
        <f t="shared" si="1048"/>
        <v>8719.0394001348523</v>
      </c>
      <c r="AL852" s="199">
        <f t="shared" si="1049"/>
        <v>8719.0394001348523</v>
      </c>
      <c r="AM852" s="199">
        <f t="shared" si="1026"/>
        <v>17438.078800269705</v>
      </c>
      <c r="AN852" s="645">
        <f t="shared" si="1027"/>
        <v>8.4431346461673947E-4</v>
      </c>
      <c r="AO852" s="199">
        <v>11</v>
      </c>
      <c r="AP852" s="250">
        <f t="shared" si="1028"/>
        <v>1.2498579706851495E-3</v>
      </c>
      <c r="AQ852" s="199">
        <v>11</v>
      </c>
      <c r="AU852" s="199">
        <v>0</v>
      </c>
      <c r="AW852" s="250">
        <f t="shared" si="1029"/>
        <v>0</v>
      </c>
      <c r="AX852" s="199">
        <v>1</v>
      </c>
      <c r="AY852" s="199">
        <f t="shared" si="1013"/>
        <v>11691.716344444283</v>
      </c>
      <c r="AZ852" s="199">
        <f t="shared" si="1030"/>
        <v>11691.716344444283</v>
      </c>
      <c r="BA852" s="252">
        <f t="shared" si="1031"/>
        <v>9.1904477586336514E-4</v>
      </c>
      <c r="BB852" s="284">
        <v>0</v>
      </c>
      <c r="BC852" s="199">
        <f t="shared" si="1014"/>
        <v>0</v>
      </c>
      <c r="BD852" s="270">
        <f t="shared" si="993"/>
        <v>0</v>
      </c>
      <c r="BE852" s="199">
        <f t="shared" si="1015"/>
        <v>0</v>
      </c>
      <c r="BF852" s="251">
        <f t="shared" si="994"/>
        <v>0</v>
      </c>
      <c r="BG852" s="204">
        <f t="shared" si="1016"/>
        <v>0</v>
      </c>
      <c r="BH852" s="636">
        <v>1</v>
      </c>
      <c r="BI852" s="199">
        <f t="shared" si="1032"/>
        <v>66700.651411031606</v>
      </c>
      <c r="BJ852" s="199">
        <f t="shared" si="1033"/>
        <v>133401.30282206321</v>
      </c>
      <c r="BK852" s="199">
        <f t="shared" si="1040"/>
        <v>200101.95423309482</v>
      </c>
      <c r="BL852" s="251">
        <f t="shared" si="1034"/>
        <v>8.4431346461673925E-4</v>
      </c>
      <c r="BM852" s="199">
        <f t="shared" si="1017"/>
        <v>19230.078773575864</v>
      </c>
      <c r="BN852" s="251">
        <f t="shared" si="1035"/>
        <v>8.3041460594314735E-4</v>
      </c>
      <c r="BT852" s="199">
        <f>'Detailed Budget'!$AD$12</f>
        <v>194045122715</v>
      </c>
      <c r="BU852" s="199">
        <f>'Detailed Budget'!$AD$24</f>
        <v>194045122715</v>
      </c>
      <c r="BV852" s="596">
        <f t="shared" si="1018"/>
        <v>0</v>
      </c>
      <c r="BW852" s="278"/>
      <c r="BX852" s="275">
        <f t="shared" si="1042"/>
        <v>0</v>
      </c>
      <c r="BY852" s="275">
        <f t="shared" si="1043"/>
        <v>0</v>
      </c>
      <c r="CA852" s="199">
        <f>'Detailed Budget'!$AD$96</f>
        <v>71050111380.677719</v>
      </c>
      <c r="CB852" s="275">
        <f t="shared" si="1036"/>
        <v>65298233.688922085</v>
      </c>
      <c r="CE852" s="199">
        <f>'Detailed Budget'!$AD$175</f>
        <v>4330586076.5988197</v>
      </c>
      <c r="CF852" s="275">
        <f t="shared" si="1019"/>
        <v>0</v>
      </c>
      <c r="CG852" s="199">
        <f>'Detailed Budget'!$AD$176</f>
        <v>20662817754.37001</v>
      </c>
      <c r="CH852" s="275">
        <f t="shared" si="1020"/>
        <v>0</v>
      </c>
      <c r="CI852" s="275">
        <f t="shared" si="992"/>
        <v>0</v>
      </c>
      <c r="CJ852" s="275">
        <f>'Detailed Budget'!$AD$178</f>
        <v>46025131033.061455</v>
      </c>
      <c r="CK852" s="275">
        <f t="shared" si="1012"/>
        <v>0</v>
      </c>
      <c r="CL852" s="275">
        <f t="shared" si="991"/>
        <v>0</v>
      </c>
      <c r="CM852" s="278">
        <f>'Detailed Budget'!$AD$189</f>
        <v>77498869683.252869</v>
      </c>
      <c r="CN852" s="275">
        <f t="shared" si="1037"/>
        <v>65433339.166148409</v>
      </c>
      <c r="CO852" s="140">
        <f>'Detailed Budget'!$AD$191</f>
        <v>2684962805.4134097</v>
      </c>
      <c r="CP852" s="616">
        <f t="shared" si="1038"/>
        <v>2266950.2486056765</v>
      </c>
      <c r="CQ852" s="616">
        <f t="shared" si="1039"/>
        <v>67700289.414754093</v>
      </c>
      <c r="CR852" s="199">
        <f>'Detailed Budget'!$AD$195</f>
        <v>18734176418</v>
      </c>
      <c r="CS852" s="275">
        <f t="shared" si="1021"/>
        <v>15557133.727822874</v>
      </c>
      <c r="CW852" s="278"/>
      <c r="DH852" s="140">
        <f>'Detailed Budget'!$AD$163</f>
        <v>4928560000</v>
      </c>
      <c r="DI852" s="616">
        <f t="shared" si="1022"/>
        <v>6160000</v>
      </c>
    </row>
    <row r="853" spans="1:113" outlineLevel="1">
      <c r="A853" s="214" t="s">
        <v>1733</v>
      </c>
      <c r="B853" s="215" t="s">
        <v>1734</v>
      </c>
      <c r="C853" s="216" t="s">
        <v>234</v>
      </c>
      <c r="D853" s="217"/>
      <c r="E853" s="216"/>
      <c r="F853" s="216"/>
      <c r="G853" s="216" t="s">
        <v>234</v>
      </c>
      <c r="H853" s="216" t="s">
        <v>234</v>
      </c>
      <c r="I853" s="217" t="s">
        <v>234</v>
      </c>
      <c r="J853" s="217"/>
      <c r="K853" s="216"/>
      <c r="L853" s="216"/>
      <c r="M853" s="217"/>
      <c r="N853" s="216"/>
      <c r="O853" s="217" t="s">
        <v>234</v>
      </c>
      <c r="P853" s="216"/>
      <c r="Q853" s="217"/>
      <c r="R853" s="217" t="s">
        <v>234</v>
      </c>
      <c r="S853" s="217"/>
      <c r="T853" s="217"/>
      <c r="U853" s="218">
        <f t="shared" si="1010"/>
        <v>6</v>
      </c>
      <c r="V853" s="867" t="s">
        <v>235</v>
      </c>
      <c r="W853" s="219">
        <v>142806</v>
      </c>
      <c r="X853" s="220">
        <v>3.21</v>
      </c>
      <c r="Y853" s="221">
        <f t="shared" si="1045"/>
        <v>1.0321</v>
      </c>
      <c r="Z853" s="199">
        <v>19</v>
      </c>
      <c r="AA853" s="221">
        <f t="shared" si="1046"/>
        <v>1.8226940798007465</v>
      </c>
      <c r="AB853" s="199">
        <f t="shared" si="1050"/>
        <v>260291.6507600254</v>
      </c>
      <c r="AC853">
        <v>11.9</v>
      </c>
      <c r="AD853" s="199">
        <f t="shared" si="1051"/>
        <v>30974.706440443024</v>
      </c>
      <c r="AE853" s="199">
        <f t="shared" si="1047"/>
        <v>29425.971118420872</v>
      </c>
      <c r="AF853" s="199">
        <f t="shared" si="1044"/>
        <v>0</v>
      </c>
      <c r="AG853" s="614">
        <f t="shared" si="1041"/>
        <v>1.3605277220820429E-3</v>
      </c>
      <c r="AH853" s="199">
        <f t="shared" si="1023"/>
        <v>13014.58253800127</v>
      </c>
      <c r="AI853" s="252">
        <f t="shared" si="1024"/>
        <v>1.008219990200335E-3</v>
      </c>
      <c r="AJ853" s="199">
        <f t="shared" si="1025"/>
        <v>43989.288978444296</v>
      </c>
      <c r="AK853" s="199">
        <f t="shared" si="1048"/>
        <v>10411.666030401017</v>
      </c>
      <c r="AL853" s="199">
        <f t="shared" si="1049"/>
        <v>10411.666030401017</v>
      </c>
      <c r="AM853" s="199">
        <f t="shared" si="1026"/>
        <v>20823.332060802033</v>
      </c>
      <c r="AN853" s="645">
        <f t="shared" si="1027"/>
        <v>1.008219990200335E-3</v>
      </c>
      <c r="AO853" s="199">
        <v>11</v>
      </c>
      <c r="AP853" s="250">
        <f t="shared" si="1028"/>
        <v>1.2498579706851495E-3</v>
      </c>
      <c r="AQ853" s="199">
        <v>11</v>
      </c>
      <c r="AU853" s="199">
        <v>0</v>
      </c>
      <c r="AW853" s="250">
        <f t="shared" si="1029"/>
        <v>0</v>
      </c>
      <c r="AX853" s="199">
        <v>1</v>
      </c>
      <c r="AY853" s="199">
        <f t="shared" si="1013"/>
        <v>13961.428583365752</v>
      </c>
      <c r="AZ853" s="199">
        <f t="shared" si="1030"/>
        <v>13961.428583365752</v>
      </c>
      <c r="BA853" s="252">
        <f t="shared" si="1031"/>
        <v>1.0974588867124653E-3</v>
      </c>
      <c r="BB853" s="284">
        <v>0</v>
      </c>
      <c r="BC853" s="199">
        <f t="shared" si="1014"/>
        <v>0</v>
      </c>
      <c r="BD853" s="270">
        <f t="shared" si="993"/>
        <v>0</v>
      </c>
      <c r="BE853" s="199">
        <f t="shared" si="1015"/>
        <v>0</v>
      </c>
      <c r="BF853" s="251">
        <f t="shared" si="994"/>
        <v>0</v>
      </c>
      <c r="BG853" s="204">
        <f t="shared" si="1016"/>
        <v>0</v>
      </c>
      <c r="BH853" s="636">
        <v>1</v>
      </c>
      <c r="BI853" s="199">
        <f t="shared" si="1032"/>
        <v>79649.245132567768</v>
      </c>
      <c r="BJ853" s="199">
        <f t="shared" si="1033"/>
        <v>159298.49026513554</v>
      </c>
      <c r="BK853" s="199">
        <f t="shared" si="1040"/>
        <v>238947.73539770331</v>
      </c>
      <c r="BL853" s="251">
        <f t="shared" si="1034"/>
        <v>1.008219990200335E-3</v>
      </c>
      <c r="BM853" s="199">
        <f t="shared" si="1017"/>
        <v>22963.212888529764</v>
      </c>
      <c r="BN853" s="251">
        <f t="shared" si="1035"/>
        <v>9.9162294687111878E-4</v>
      </c>
      <c r="BT853" s="199">
        <f>'Detailed Budget'!$AD$12</f>
        <v>194045122715</v>
      </c>
      <c r="BU853" s="199">
        <f>'Detailed Budget'!$AD$24</f>
        <v>194045122715</v>
      </c>
      <c r="BV853" s="596">
        <f t="shared" si="1018"/>
        <v>0</v>
      </c>
      <c r="BW853" s="278"/>
      <c r="BX853" s="275">
        <f t="shared" si="1042"/>
        <v>0</v>
      </c>
      <c r="BY853" s="275">
        <f t="shared" si="1043"/>
        <v>0</v>
      </c>
      <c r="CA853" s="199">
        <f>'Detailed Budget'!$AD$96</f>
        <v>71050111380.677719</v>
      </c>
      <c r="CB853" s="275">
        <f t="shared" si="1036"/>
        <v>77974576.136635229</v>
      </c>
      <c r="CE853" s="199">
        <f>'Detailed Budget'!$AD$175</f>
        <v>4330586076.5988197</v>
      </c>
      <c r="CF853" s="275">
        <f t="shared" si="1019"/>
        <v>0</v>
      </c>
      <c r="CG853" s="199">
        <f>'Detailed Budget'!$AD$176</f>
        <v>20662817754.37001</v>
      </c>
      <c r="CH853" s="275">
        <f t="shared" si="1020"/>
        <v>0</v>
      </c>
      <c r="CI853" s="275">
        <f t="shared" si="992"/>
        <v>0</v>
      </c>
      <c r="CJ853" s="275">
        <f>'Detailed Budget'!$AD$178</f>
        <v>46025131033.061455</v>
      </c>
      <c r="CK853" s="275">
        <f t="shared" si="1012"/>
        <v>0</v>
      </c>
      <c r="CL853" s="275">
        <f t="shared" si="991"/>
        <v>0</v>
      </c>
      <c r="CM853" s="278">
        <f>'Detailed Budget'!$AD$189</f>
        <v>77498869683.252869</v>
      </c>
      <c r="CN853" s="275">
        <f t="shared" si="1037"/>
        <v>78135909.632586241</v>
      </c>
      <c r="CO853" s="140">
        <f>'Detailed Budget'!$AD$191</f>
        <v>2684962805.4134097</v>
      </c>
      <c r="CP853" s="616">
        <f t="shared" si="1038"/>
        <v>2707033.1733621717</v>
      </c>
      <c r="CQ853" s="616">
        <f t="shared" si="1039"/>
        <v>80842942.805948406</v>
      </c>
      <c r="CR853" s="199">
        <f>'Detailed Budget'!$AD$195</f>
        <v>18734176418</v>
      </c>
      <c r="CS853" s="275">
        <f t="shared" si="1021"/>
        <v>18577239.226820581</v>
      </c>
      <c r="CW853" s="278"/>
      <c r="DH853" s="140">
        <f>'Detailed Budget'!$AD$163</f>
        <v>4928560000</v>
      </c>
      <c r="DI853" s="616">
        <f t="shared" si="1022"/>
        <v>6160000</v>
      </c>
    </row>
    <row r="854" spans="1:113" outlineLevel="1">
      <c r="A854" s="214" t="s">
        <v>1735</v>
      </c>
      <c r="B854" s="215" t="s">
        <v>1736</v>
      </c>
      <c r="C854" s="216" t="s">
        <v>234</v>
      </c>
      <c r="D854" s="217"/>
      <c r="E854" s="216"/>
      <c r="F854" s="216"/>
      <c r="G854" s="216" t="s">
        <v>234</v>
      </c>
      <c r="H854" s="216" t="s">
        <v>234</v>
      </c>
      <c r="I854" s="217" t="s">
        <v>234</v>
      </c>
      <c r="J854" s="217"/>
      <c r="K854" s="216"/>
      <c r="L854" s="216"/>
      <c r="M854" s="217"/>
      <c r="N854" s="216"/>
      <c r="O854" s="217" t="s">
        <v>234</v>
      </c>
      <c r="P854" s="216"/>
      <c r="Q854" s="217"/>
      <c r="R854" s="217" t="s">
        <v>234</v>
      </c>
      <c r="S854" s="217"/>
      <c r="T854" s="217"/>
      <c r="U854" s="218">
        <f t="shared" si="1010"/>
        <v>6</v>
      </c>
      <c r="V854" s="867" t="s">
        <v>235</v>
      </c>
      <c r="W854" s="219">
        <v>102060</v>
      </c>
      <c r="X854" s="220">
        <v>3.21</v>
      </c>
      <c r="Y854" s="221">
        <f t="shared" si="1045"/>
        <v>1.0321</v>
      </c>
      <c r="Z854" s="199">
        <v>19</v>
      </c>
      <c r="AA854" s="221">
        <f t="shared" si="1046"/>
        <v>1.8226940798007465</v>
      </c>
      <c r="AB854" s="199">
        <f t="shared" si="1050"/>
        <v>186024.15778446419</v>
      </c>
      <c r="AC854">
        <v>11.9</v>
      </c>
      <c r="AD854" s="199">
        <f t="shared" si="1051"/>
        <v>22136.874776351237</v>
      </c>
      <c r="AE854" s="199">
        <f t="shared" si="1047"/>
        <v>21030.031037533674</v>
      </c>
      <c r="AF854" s="199">
        <f t="shared" si="1044"/>
        <v>0</v>
      </c>
      <c r="AG854" s="614">
        <f t="shared" si="1041"/>
        <v>9.7233631160940903E-4</v>
      </c>
      <c r="AH854" s="199">
        <f t="shared" si="1023"/>
        <v>9301.2078892232093</v>
      </c>
      <c r="AI854" s="252">
        <f t="shared" si="1024"/>
        <v>7.2055048247164828E-4</v>
      </c>
      <c r="AJ854" s="199">
        <f t="shared" si="1025"/>
        <v>31438.082665574446</v>
      </c>
      <c r="AK854" s="199">
        <f t="shared" si="1048"/>
        <v>7440.9663113785673</v>
      </c>
      <c r="AL854" s="199">
        <f t="shared" si="1049"/>
        <v>7440.9663113785673</v>
      </c>
      <c r="AM854" s="199">
        <f t="shared" si="1026"/>
        <v>14881.932622757135</v>
      </c>
      <c r="AN854" s="645">
        <f t="shared" si="1027"/>
        <v>7.2055048247164817E-4</v>
      </c>
      <c r="AO854" s="199">
        <v>11</v>
      </c>
      <c r="AP854" s="250">
        <f t="shared" si="1028"/>
        <v>1.2498579706851495E-3</v>
      </c>
      <c r="AQ854" s="199">
        <v>11</v>
      </c>
      <c r="AU854" s="199">
        <v>0</v>
      </c>
      <c r="AW854" s="250">
        <f t="shared" si="1029"/>
        <v>0</v>
      </c>
      <c r="AX854" s="199">
        <v>1</v>
      </c>
      <c r="AY854" s="199">
        <f t="shared" si="1013"/>
        <v>9977.8958952586636</v>
      </c>
      <c r="AZ854" s="199">
        <f t="shared" si="1030"/>
        <v>9977.8958952586636</v>
      </c>
      <c r="BA854" s="252">
        <f t="shared" si="1031"/>
        <v>7.8432736704252075E-4</v>
      </c>
      <c r="BB854" s="284">
        <v>0</v>
      </c>
      <c r="BC854" s="199">
        <f t="shared" si="1014"/>
        <v>0</v>
      </c>
      <c r="BD854" s="270">
        <f t="shared" si="993"/>
        <v>0</v>
      </c>
      <c r="BE854" s="199">
        <f t="shared" si="1015"/>
        <v>0</v>
      </c>
      <c r="BF854" s="251">
        <f t="shared" si="994"/>
        <v>0</v>
      </c>
      <c r="BG854" s="204">
        <f t="shared" si="1016"/>
        <v>0</v>
      </c>
      <c r="BH854" s="636">
        <v>1</v>
      </c>
      <c r="BI854" s="199">
        <f t="shared" si="1032"/>
        <v>56923.392282046043</v>
      </c>
      <c r="BJ854" s="199">
        <f t="shared" si="1033"/>
        <v>113846.78456409209</v>
      </c>
      <c r="BK854" s="199">
        <f t="shared" si="1040"/>
        <v>170770.17684613814</v>
      </c>
      <c r="BL854" s="251">
        <f t="shared" si="1034"/>
        <v>7.2055048247164828E-4</v>
      </c>
      <c r="BM854" s="199">
        <f t="shared" si="1017"/>
        <v>16411.253780676914</v>
      </c>
      <c r="BN854" s="251">
        <f t="shared" si="1035"/>
        <v>7.0868897635720045E-4</v>
      </c>
      <c r="BT854" s="199">
        <f>'Detailed Budget'!$AD$12</f>
        <v>194045122715</v>
      </c>
      <c r="BU854" s="199">
        <f>'Detailed Budget'!$AD$24</f>
        <v>194045122715</v>
      </c>
      <c r="BV854" s="596">
        <f t="shared" si="1018"/>
        <v>0</v>
      </c>
      <c r="BW854" s="278"/>
      <c r="BX854" s="275">
        <f t="shared" si="1042"/>
        <v>0</v>
      </c>
      <c r="BY854" s="275">
        <f t="shared" si="1043"/>
        <v>0</v>
      </c>
      <c r="CA854" s="199">
        <f>'Detailed Budget'!$AD$96</f>
        <v>71050111380.677719</v>
      </c>
      <c r="CB854" s="275">
        <f t="shared" si="1036"/>
        <v>55726546.787284791</v>
      </c>
      <c r="CE854" s="199">
        <f>'Detailed Budget'!$AD$175</f>
        <v>4330586076.5988197</v>
      </c>
      <c r="CF854" s="275">
        <f t="shared" si="1019"/>
        <v>0</v>
      </c>
      <c r="CG854" s="199">
        <f>'Detailed Budget'!$AD$176</f>
        <v>20662817754.37001</v>
      </c>
      <c r="CH854" s="275">
        <f t="shared" si="1020"/>
        <v>0</v>
      </c>
      <c r="CI854" s="275">
        <f t="shared" si="992"/>
        <v>0</v>
      </c>
      <c r="CJ854" s="275">
        <f>'Detailed Budget'!$AD$178</f>
        <v>46025131033.061455</v>
      </c>
      <c r="CK854" s="275">
        <f t="shared" si="1012"/>
        <v>0</v>
      </c>
      <c r="CL854" s="275">
        <f t="shared" si="991"/>
        <v>0</v>
      </c>
      <c r="CM854" s="278">
        <f>'Detailed Budget'!$AD$189</f>
        <v>77498869683.252869</v>
      </c>
      <c r="CN854" s="275">
        <f t="shared" si="1037"/>
        <v>55841847.941275254</v>
      </c>
      <c r="CO854" s="140">
        <f>'Detailed Budget'!$AD$191</f>
        <v>2684962805.4134097</v>
      </c>
      <c r="CP854" s="616">
        <f t="shared" si="1038"/>
        <v>1934651.2448590624</v>
      </c>
      <c r="CQ854" s="616">
        <f t="shared" si="1039"/>
        <v>57776499.186134316</v>
      </c>
      <c r="CR854" s="199">
        <f>'Detailed Budget'!$AD$195</f>
        <v>18734176418</v>
      </c>
      <c r="CS854" s="275">
        <f t="shared" si="1021"/>
        <v>13276704.308567625</v>
      </c>
      <c r="CW854" s="278"/>
      <c r="DH854" s="140">
        <f>'Detailed Budget'!$AD$163</f>
        <v>4928560000</v>
      </c>
      <c r="DI854" s="616">
        <f t="shared" si="1022"/>
        <v>6160000</v>
      </c>
    </row>
    <row r="855" spans="1:113" outlineLevel="1">
      <c r="A855" s="214" t="s">
        <v>1737</v>
      </c>
      <c r="B855" s="215" t="s">
        <v>1738</v>
      </c>
      <c r="C855" s="216" t="s">
        <v>234</v>
      </c>
      <c r="D855" s="217"/>
      <c r="E855" s="216"/>
      <c r="F855" s="216"/>
      <c r="G855" s="216" t="s">
        <v>234</v>
      </c>
      <c r="H855" s="216" t="s">
        <v>234</v>
      </c>
      <c r="I855" s="217" t="s">
        <v>234</v>
      </c>
      <c r="J855" s="217"/>
      <c r="K855" s="216"/>
      <c r="L855" s="216"/>
      <c r="M855" s="217"/>
      <c r="N855" s="216"/>
      <c r="O855" s="217" t="s">
        <v>234</v>
      </c>
      <c r="P855" s="216"/>
      <c r="Q855" s="217"/>
      <c r="R855" s="217" t="s">
        <v>234</v>
      </c>
      <c r="S855" s="217"/>
      <c r="T855" s="217"/>
      <c r="U855" s="218">
        <f t="shared" si="1010"/>
        <v>6</v>
      </c>
      <c r="V855" s="867" t="s">
        <v>235</v>
      </c>
      <c r="W855" s="219">
        <v>191348</v>
      </c>
      <c r="X855" s="220">
        <v>3.21</v>
      </c>
      <c r="Y855" s="221">
        <f t="shared" si="1045"/>
        <v>1.0321</v>
      </c>
      <c r="Z855" s="199">
        <v>19</v>
      </c>
      <c r="AA855" s="221">
        <f t="shared" si="1046"/>
        <v>1.8226940798007465</v>
      </c>
      <c r="AB855" s="199">
        <f t="shared" si="1050"/>
        <v>348768.86678171327</v>
      </c>
      <c r="AC855">
        <v>11.9</v>
      </c>
      <c r="AD855" s="199">
        <f t="shared" si="1051"/>
        <v>41503.495147023881</v>
      </c>
      <c r="AE855" s="199">
        <f t="shared" si="1047"/>
        <v>39428.320389672685</v>
      </c>
      <c r="AF855" s="199">
        <f t="shared" si="1044"/>
        <v>0</v>
      </c>
      <c r="AG855" s="614">
        <f t="shared" si="1041"/>
        <v>1.8229924412486501E-3</v>
      </c>
      <c r="AH855" s="199">
        <f t="shared" si="1023"/>
        <v>17438.443339085665</v>
      </c>
      <c r="AI855" s="252">
        <f t="shared" si="1024"/>
        <v>1.3509297836565252E-3</v>
      </c>
      <c r="AJ855" s="199">
        <f t="shared" si="1025"/>
        <v>58941.938486109546</v>
      </c>
      <c r="AK855" s="199">
        <f t="shared" si="1048"/>
        <v>13950.754671268531</v>
      </c>
      <c r="AL855" s="199">
        <f t="shared" si="1049"/>
        <v>13950.754671268531</v>
      </c>
      <c r="AM855" s="199">
        <f t="shared" si="1026"/>
        <v>27901.509342537061</v>
      </c>
      <c r="AN855" s="645">
        <f t="shared" si="1027"/>
        <v>1.3509297836565252E-3</v>
      </c>
      <c r="AO855" s="199">
        <v>15</v>
      </c>
      <c r="AP855" s="250">
        <f t="shared" si="1028"/>
        <v>1.7043517782070218E-3</v>
      </c>
      <c r="AQ855" s="199">
        <v>15</v>
      </c>
      <c r="AU855" s="199">
        <v>0</v>
      </c>
      <c r="AW855" s="250">
        <f t="shared" si="1029"/>
        <v>0</v>
      </c>
      <c r="AX855" s="199">
        <v>1</v>
      </c>
      <c r="AY855" s="199">
        <f t="shared" si="1013"/>
        <v>18707.137211110668</v>
      </c>
      <c r="AZ855" s="199">
        <f t="shared" si="1030"/>
        <v>18707.137211110668</v>
      </c>
      <c r="BA855" s="252">
        <f t="shared" si="1031"/>
        <v>1.47050238123508E-3</v>
      </c>
      <c r="BB855" s="284">
        <v>0</v>
      </c>
      <c r="BC855" s="199">
        <f t="shared" si="1014"/>
        <v>0</v>
      </c>
      <c r="BD855" s="270">
        <f t="shared" si="993"/>
        <v>0</v>
      </c>
      <c r="BE855" s="199">
        <f t="shared" si="1015"/>
        <v>0</v>
      </c>
      <c r="BF855" s="251">
        <f t="shared" si="994"/>
        <v>0</v>
      </c>
      <c r="BG855" s="204">
        <f t="shared" si="1016"/>
        <v>0</v>
      </c>
      <c r="BH855" s="636">
        <v>1</v>
      </c>
      <c r="BI855" s="199">
        <f t="shared" si="1032"/>
        <v>106723.27323520425</v>
      </c>
      <c r="BJ855" s="199">
        <f t="shared" si="1033"/>
        <v>213446.5464704085</v>
      </c>
      <c r="BK855" s="199">
        <f t="shared" si="1040"/>
        <v>320169.81970561272</v>
      </c>
      <c r="BL855" s="251">
        <f t="shared" si="1034"/>
        <v>1.3509297836565249E-3</v>
      </c>
      <c r="BM855" s="199">
        <f t="shared" si="1017"/>
        <v>30768.769237947941</v>
      </c>
      <c r="BN855" s="251">
        <f t="shared" si="1035"/>
        <v>1.3286911448951364E-3</v>
      </c>
      <c r="BT855" s="199">
        <f>'Detailed Budget'!$AD$12</f>
        <v>194045122715</v>
      </c>
      <c r="BU855" s="199">
        <f>'Detailed Budget'!$AD$24</f>
        <v>194045122715</v>
      </c>
      <c r="BV855" s="596">
        <f t="shared" si="1018"/>
        <v>0</v>
      </c>
      <c r="BW855" s="278"/>
      <c r="BX855" s="275">
        <f t="shared" si="1042"/>
        <v>0</v>
      </c>
      <c r="BY855" s="275">
        <f t="shared" si="1043"/>
        <v>0</v>
      </c>
      <c r="CA855" s="199">
        <f>'Detailed Budget'!$AD$96</f>
        <v>71050111380.677719</v>
      </c>
      <c r="CB855" s="275">
        <f t="shared" si="1036"/>
        <v>104479357.97230424</v>
      </c>
      <c r="CE855" s="199">
        <f>'Detailed Budget'!$AD$175</f>
        <v>4330586076.5988197</v>
      </c>
      <c r="CF855" s="275">
        <f t="shared" si="1019"/>
        <v>0</v>
      </c>
      <c r="CG855" s="199">
        <f>'Detailed Budget'!$AD$176</f>
        <v>20662817754.37001</v>
      </c>
      <c r="CH855" s="275">
        <f t="shared" si="1020"/>
        <v>0</v>
      </c>
      <c r="CI855" s="275">
        <f t="shared" si="992"/>
        <v>0</v>
      </c>
      <c r="CJ855" s="275">
        <f>'Detailed Budget'!$AD$178</f>
        <v>46025131033.061455</v>
      </c>
      <c r="CK855" s="275">
        <f t="shared" si="1012"/>
        <v>0</v>
      </c>
      <c r="CL855" s="275">
        <f t="shared" si="991"/>
        <v>0</v>
      </c>
      <c r="CM855" s="278">
        <f>'Detailed Budget'!$AD$189</f>
        <v>77498869683.252869</v>
      </c>
      <c r="CN855" s="275">
        <f t="shared" si="1037"/>
        <v>104695531.25482202</v>
      </c>
      <c r="CO855" s="140">
        <f>'Detailed Budget'!$AD$191</f>
        <v>2684962805.4134097</v>
      </c>
      <c r="CP855" s="616">
        <f t="shared" si="1038"/>
        <v>3627196.2218429544</v>
      </c>
      <c r="CQ855" s="616">
        <f t="shared" si="1039"/>
        <v>108322727.47666498</v>
      </c>
      <c r="CR855" s="199">
        <f>'Detailed Budget'!$AD$195</f>
        <v>18734176418</v>
      </c>
      <c r="CS855" s="275">
        <f t="shared" si="1021"/>
        <v>24891934.313499887</v>
      </c>
      <c r="CW855" s="278"/>
      <c r="DH855" s="140">
        <f>'Detailed Budget'!$AD$163</f>
        <v>4928560000</v>
      </c>
      <c r="DI855" s="616">
        <f t="shared" si="1022"/>
        <v>8400000</v>
      </c>
    </row>
    <row r="856" spans="1:113" outlineLevel="1">
      <c r="A856" s="214" t="s">
        <v>1739</v>
      </c>
      <c r="B856" s="215" t="s">
        <v>1740</v>
      </c>
      <c r="C856" s="216" t="s">
        <v>234</v>
      </c>
      <c r="D856" s="217"/>
      <c r="E856" s="216"/>
      <c r="F856" s="216"/>
      <c r="G856" s="216" t="s">
        <v>234</v>
      </c>
      <c r="H856" s="216" t="s">
        <v>234</v>
      </c>
      <c r="I856" s="217" t="s">
        <v>234</v>
      </c>
      <c r="J856" s="217"/>
      <c r="K856" s="216"/>
      <c r="L856" s="216"/>
      <c r="M856" s="217"/>
      <c r="N856" s="216"/>
      <c r="O856" s="217" t="s">
        <v>234</v>
      </c>
      <c r="P856" s="216"/>
      <c r="Q856" s="217"/>
      <c r="R856" s="217" t="s">
        <v>234</v>
      </c>
      <c r="S856" s="217"/>
      <c r="T856" s="217"/>
      <c r="U856" s="218">
        <f t="shared" si="1010"/>
        <v>6</v>
      </c>
      <c r="V856" s="867" t="s">
        <v>235</v>
      </c>
      <c r="W856" s="219">
        <v>116850</v>
      </c>
      <c r="X856" s="220">
        <v>3.21</v>
      </c>
      <c r="Y856" s="221">
        <f t="shared" si="1045"/>
        <v>1.0321</v>
      </c>
      <c r="Z856" s="199">
        <v>19</v>
      </c>
      <c r="AA856" s="221">
        <f t="shared" si="1046"/>
        <v>1.8226940798007465</v>
      </c>
      <c r="AB856" s="199">
        <f t="shared" si="1050"/>
        <v>212981.80322471724</v>
      </c>
      <c r="AC856">
        <v>11.9</v>
      </c>
      <c r="AD856" s="199">
        <f t="shared" si="1051"/>
        <v>25344.834583741351</v>
      </c>
      <c r="AE856" s="199">
        <f t="shared" si="1047"/>
        <v>24077.592854554281</v>
      </c>
      <c r="AF856" s="199">
        <f t="shared" si="1044"/>
        <v>0</v>
      </c>
      <c r="AG856" s="614">
        <f t="shared" si="1041"/>
        <v>1.1132421909813782E-3</v>
      </c>
      <c r="AH856" s="199">
        <f t="shared" si="1023"/>
        <v>10649.090161235863</v>
      </c>
      <c r="AI856" s="252">
        <f t="shared" si="1024"/>
        <v>8.2496887984334806E-4</v>
      </c>
      <c r="AJ856" s="199">
        <f t="shared" si="1025"/>
        <v>35993.924744977216</v>
      </c>
      <c r="AK856" s="199">
        <f t="shared" si="1048"/>
        <v>8519.2721289886904</v>
      </c>
      <c r="AL856" s="199">
        <f t="shared" si="1049"/>
        <v>8519.2721289886904</v>
      </c>
      <c r="AM856" s="199">
        <f t="shared" si="1026"/>
        <v>17038.544257977381</v>
      </c>
      <c r="AN856" s="645">
        <f t="shared" si="1027"/>
        <v>8.2496887984334806E-4</v>
      </c>
      <c r="AO856" s="199">
        <v>10</v>
      </c>
      <c r="AP856" s="250">
        <f t="shared" si="1028"/>
        <v>1.1362345188046814E-3</v>
      </c>
      <c r="AQ856" s="199">
        <v>10</v>
      </c>
      <c r="AU856" s="199">
        <v>0</v>
      </c>
      <c r="AW856" s="250">
        <f t="shared" si="1029"/>
        <v>0</v>
      </c>
      <c r="AX856" s="199">
        <v>1</v>
      </c>
      <c r="AY856" s="199">
        <f t="shared" si="1013"/>
        <v>11423.840244571575</v>
      </c>
      <c r="AZ856" s="199">
        <f t="shared" si="1030"/>
        <v>11423.840244571575</v>
      </c>
      <c r="BA856" s="252">
        <f t="shared" si="1031"/>
        <v>8.9798797608189841E-4</v>
      </c>
      <c r="BB856" s="284">
        <v>0</v>
      </c>
      <c r="BC856" s="199">
        <f t="shared" si="1014"/>
        <v>0</v>
      </c>
      <c r="BD856" s="270">
        <f t="shared" si="993"/>
        <v>0</v>
      </c>
      <c r="BE856" s="199">
        <f t="shared" si="1015"/>
        <v>0</v>
      </c>
      <c r="BF856" s="251">
        <f t="shared" si="994"/>
        <v>0</v>
      </c>
      <c r="BG856" s="204">
        <f t="shared" si="1016"/>
        <v>0</v>
      </c>
      <c r="BH856" s="636">
        <v>1</v>
      </c>
      <c r="BI856" s="199">
        <f t="shared" si="1032"/>
        <v>65172.431786763482</v>
      </c>
      <c r="BJ856" s="199">
        <f t="shared" si="1033"/>
        <v>130344.86357352696</v>
      </c>
      <c r="BK856" s="199">
        <f t="shared" si="1040"/>
        <v>195517.29536029045</v>
      </c>
      <c r="BL856" s="251">
        <f t="shared" si="1034"/>
        <v>8.2496887984334806E-4</v>
      </c>
      <c r="BM856" s="199">
        <f t="shared" si="1017"/>
        <v>18789.486618382303</v>
      </c>
      <c r="BN856" s="251">
        <f t="shared" si="1035"/>
        <v>8.1138846646422588E-4</v>
      </c>
      <c r="BT856" s="199">
        <f>'Detailed Budget'!$AD$12</f>
        <v>194045122715</v>
      </c>
      <c r="BU856" s="199">
        <f>'Detailed Budget'!$AD$24</f>
        <v>194045122715</v>
      </c>
      <c r="BV856" s="596">
        <f t="shared" si="1018"/>
        <v>0</v>
      </c>
      <c r="BW856" s="278"/>
      <c r="BX856" s="275">
        <f t="shared" si="1042"/>
        <v>0</v>
      </c>
      <c r="BY856" s="275">
        <f t="shared" si="1043"/>
        <v>0</v>
      </c>
      <c r="CA856" s="199">
        <f>'Detailed Budget'!$AD$96</f>
        <v>71050111380.677719</v>
      </c>
      <c r="CB856" s="275">
        <f t="shared" si="1036"/>
        <v>63802145.719128244</v>
      </c>
      <c r="CE856" s="199">
        <f>'Detailed Budget'!$AD$175</f>
        <v>4330586076.5988197</v>
      </c>
      <c r="CF856" s="275">
        <f t="shared" si="1019"/>
        <v>0</v>
      </c>
      <c r="CG856" s="199">
        <f>'Detailed Budget'!$AD$176</f>
        <v>20662817754.37001</v>
      </c>
      <c r="CH856" s="275">
        <f t="shared" si="1020"/>
        <v>0</v>
      </c>
      <c r="CI856" s="275">
        <f t="shared" si="992"/>
        <v>0</v>
      </c>
      <c r="CJ856" s="275">
        <f>'Detailed Budget'!$AD$178</f>
        <v>46025131033.061455</v>
      </c>
      <c r="CK856" s="275">
        <f t="shared" si="1012"/>
        <v>0</v>
      </c>
      <c r="CL856" s="275">
        <f t="shared" si="991"/>
        <v>0</v>
      </c>
      <c r="CM856" s="278">
        <f>'Detailed Budget'!$AD$189</f>
        <v>77498869683.252869</v>
      </c>
      <c r="CN856" s="275">
        <f t="shared" si="1037"/>
        <v>63934155.711718723</v>
      </c>
      <c r="CO856" s="140">
        <f>'Detailed Budget'!$AD$191</f>
        <v>2684962805.4134097</v>
      </c>
      <c r="CP856" s="616">
        <f t="shared" si="1038"/>
        <v>2215010.7580029541</v>
      </c>
      <c r="CQ856" s="616">
        <f t="shared" si="1039"/>
        <v>66149166.469721675</v>
      </c>
      <c r="CR856" s="199">
        <f>'Detailed Budget'!$AD$195</f>
        <v>18734176418</v>
      </c>
      <c r="CS856" s="275">
        <f t="shared" si="1021"/>
        <v>15200694.674271284</v>
      </c>
      <c r="CW856" s="278"/>
      <c r="DH856" s="140">
        <f>'Detailed Budget'!$AD$163</f>
        <v>4928560000</v>
      </c>
      <c r="DI856" s="616">
        <f t="shared" si="1022"/>
        <v>5600000</v>
      </c>
    </row>
    <row r="857" spans="1:113" outlineLevel="1">
      <c r="A857" s="214" t="s">
        <v>1741</v>
      </c>
      <c r="B857" s="215" t="s">
        <v>1742</v>
      </c>
      <c r="C857" s="216" t="s">
        <v>234</v>
      </c>
      <c r="D857" s="217"/>
      <c r="E857" s="216"/>
      <c r="F857" s="216"/>
      <c r="G857" s="216" t="s">
        <v>234</v>
      </c>
      <c r="H857" s="216" t="s">
        <v>234</v>
      </c>
      <c r="I857" s="217" t="s">
        <v>234</v>
      </c>
      <c r="J857" s="217"/>
      <c r="K857" s="216"/>
      <c r="L857" s="216"/>
      <c r="M857" s="217"/>
      <c r="N857" s="216"/>
      <c r="O857" s="217" t="s">
        <v>234</v>
      </c>
      <c r="P857" s="216"/>
      <c r="Q857" s="217"/>
      <c r="R857" s="217" t="s">
        <v>234</v>
      </c>
      <c r="S857" s="217"/>
      <c r="T857" s="217"/>
      <c r="U857" s="218">
        <f t="shared" si="1010"/>
        <v>6</v>
      </c>
      <c r="V857" s="867" t="s">
        <v>235</v>
      </c>
      <c r="W857" s="219">
        <v>132078</v>
      </c>
      <c r="X857" s="220">
        <v>3.21</v>
      </c>
      <c r="Y857" s="221">
        <f t="shared" si="1045"/>
        <v>1.0321</v>
      </c>
      <c r="Z857" s="199">
        <v>19</v>
      </c>
      <c r="AA857" s="221">
        <f t="shared" si="1046"/>
        <v>1.8226940798007465</v>
      </c>
      <c r="AB857" s="199">
        <f t="shared" si="1050"/>
        <v>240737.78867192299</v>
      </c>
      <c r="AC857">
        <v>11.9</v>
      </c>
      <c r="AD857" s="199">
        <f t="shared" si="1051"/>
        <v>28647.796851958836</v>
      </c>
      <c r="AE857" s="199">
        <f t="shared" si="1047"/>
        <v>27215.407009360893</v>
      </c>
      <c r="AF857" s="199">
        <f t="shared" si="1044"/>
        <v>0</v>
      </c>
      <c r="AG857" s="614">
        <f t="shared" si="1041"/>
        <v>1.2583209422373852E-3</v>
      </c>
      <c r="AH857" s="199">
        <f t="shared" si="1023"/>
        <v>12036.88943359615</v>
      </c>
      <c r="AI857" s="252">
        <f t="shared" si="1024"/>
        <v>9.3247958675181613E-4</v>
      </c>
      <c r="AJ857" s="199">
        <f t="shared" si="1025"/>
        <v>40684.686285554984</v>
      </c>
      <c r="AK857" s="199">
        <f t="shared" si="1048"/>
        <v>9629.51154687692</v>
      </c>
      <c r="AL857" s="199">
        <f t="shared" si="1049"/>
        <v>9629.51154687692</v>
      </c>
      <c r="AM857" s="199">
        <f t="shared" si="1026"/>
        <v>19259.02309375384</v>
      </c>
      <c r="AN857" s="645">
        <f t="shared" si="1027"/>
        <v>9.3247958675181613E-4</v>
      </c>
      <c r="AO857" s="199">
        <v>15</v>
      </c>
      <c r="AP857" s="250">
        <f t="shared" si="1028"/>
        <v>1.7043517782070218E-3</v>
      </c>
      <c r="AQ857" s="199">
        <v>15</v>
      </c>
      <c r="AU857" s="199">
        <v>0</v>
      </c>
      <c r="AW857" s="250">
        <f t="shared" si="1029"/>
        <v>0</v>
      </c>
      <c r="AX857" s="199">
        <v>1</v>
      </c>
      <c r="AY857" s="199">
        <f t="shared" si="1013"/>
        <v>12912.605663864135</v>
      </c>
      <c r="AZ857" s="199">
        <f t="shared" si="1030"/>
        <v>12912.605663864135</v>
      </c>
      <c r="BA857" s="252">
        <f t="shared" si="1031"/>
        <v>1.015014599100941E-3</v>
      </c>
      <c r="BB857" s="284">
        <v>0</v>
      </c>
      <c r="BC857" s="199">
        <f t="shared" si="1014"/>
        <v>0</v>
      </c>
      <c r="BD857" s="270">
        <f t="shared" si="993"/>
        <v>0</v>
      </c>
      <c r="BE857" s="199">
        <f t="shared" si="1015"/>
        <v>0</v>
      </c>
      <c r="BF857" s="251">
        <f t="shared" si="994"/>
        <v>0</v>
      </c>
      <c r="BG857" s="204">
        <f t="shared" si="1016"/>
        <v>0</v>
      </c>
      <c r="BH857" s="636">
        <v>1</v>
      </c>
      <c r="BI857" s="199">
        <f t="shared" si="1032"/>
        <v>73665.76333360844</v>
      </c>
      <c r="BJ857" s="199">
        <f t="shared" si="1033"/>
        <v>147331.52666721688</v>
      </c>
      <c r="BK857" s="199">
        <f t="shared" si="1040"/>
        <v>220997.29000082531</v>
      </c>
      <c r="BL857" s="251">
        <f t="shared" si="1034"/>
        <v>9.3247958675181613E-4</v>
      </c>
      <c r="BM857" s="199">
        <f t="shared" si="1017"/>
        <v>21238.149880895999</v>
      </c>
      <c r="BN857" s="251">
        <f t="shared" si="1035"/>
        <v>9.1712936134926825E-4</v>
      </c>
      <c r="BT857" s="199">
        <f>'Detailed Budget'!$AD$12</f>
        <v>194045122715</v>
      </c>
      <c r="BU857" s="199">
        <f>'Detailed Budget'!$AD$24</f>
        <v>194045122715</v>
      </c>
      <c r="BV857" s="596">
        <f t="shared" si="1018"/>
        <v>0</v>
      </c>
      <c r="BW857" s="278"/>
      <c r="BX857" s="275">
        <f t="shared" si="1042"/>
        <v>0</v>
      </c>
      <c r="BY857" s="275">
        <f t="shared" si="1043"/>
        <v>0</v>
      </c>
      <c r="CA857" s="199">
        <f>'Detailed Budget'!$AD$96</f>
        <v>71050111380.677719</v>
      </c>
      <c r="CB857" s="275">
        <f t="shared" si="1036"/>
        <v>72116900.3191358</v>
      </c>
      <c r="CE857" s="199">
        <f>'Detailed Budget'!$AD$175</f>
        <v>4330586076.5988197</v>
      </c>
      <c r="CF857" s="275">
        <f t="shared" si="1019"/>
        <v>0</v>
      </c>
      <c r="CG857" s="199">
        <f>'Detailed Budget'!$AD$176</f>
        <v>20662817754.37001</v>
      </c>
      <c r="CH857" s="275">
        <f t="shared" si="1020"/>
        <v>0</v>
      </c>
      <c r="CI857" s="275">
        <f t="shared" si="992"/>
        <v>0</v>
      </c>
      <c r="CJ857" s="275">
        <f>'Detailed Budget'!$AD$178</f>
        <v>46025131033.061455</v>
      </c>
      <c r="CK857" s="275">
        <f t="shared" si="1012"/>
        <v>0</v>
      </c>
      <c r="CL857" s="275">
        <f t="shared" si="991"/>
        <v>0</v>
      </c>
      <c r="CM857" s="278">
        <f>'Detailed Budget'!$AD$189</f>
        <v>77498869683.252869</v>
      </c>
      <c r="CN857" s="275">
        <f t="shared" si="1037"/>
        <v>72266113.975972489</v>
      </c>
      <c r="CO857" s="140">
        <f>'Detailed Budget'!$AD$191</f>
        <v>2684962805.4134097</v>
      </c>
      <c r="CP857" s="616">
        <f t="shared" si="1038"/>
        <v>2503673.007235893</v>
      </c>
      <c r="CQ857" s="616">
        <f t="shared" si="1039"/>
        <v>74769786.983208388</v>
      </c>
      <c r="CR857" s="199">
        <f>'Detailed Budget'!$AD$195</f>
        <v>18734176418</v>
      </c>
      <c r="CS857" s="275">
        <f t="shared" si="1021"/>
        <v>17181663.253644861</v>
      </c>
      <c r="CW857" s="278"/>
      <c r="DH857" s="140">
        <f>'Detailed Budget'!$AD$163</f>
        <v>4928560000</v>
      </c>
      <c r="DI857" s="616">
        <f t="shared" si="1022"/>
        <v>8400000</v>
      </c>
    </row>
    <row r="858" spans="1:113" outlineLevel="1">
      <c r="A858" s="214" t="s">
        <v>1743</v>
      </c>
      <c r="B858" s="215" t="s">
        <v>1744</v>
      </c>
      <c r="C858" s="216" t="s">
        <v>234</v>
      </c>
      <c r="D858" s="217"/>
      <c r="E858" s="216"/>
      <c r="F858" s="216"/>
      <c r="G858" s="216" t="s">
        <v>234</v>
      </c>
      <c r="H858" s="216" t="s">
        <v>234</v>
      </c>
      <c r="I858" s="217" t="s">
        <v>234</v>
      </c>
      <c r="J858" s="217"/>
      <c r="K858" s="216"/>
      <c r="L858" s="216"/>
      <c r="M858" s="217"/>
      <c r="N858" s="216" t="s">
        <v>234</v>
      </c>
      <c r="O858" s="217"/>
      <c r="P858" s="216"/>
      <c r="Q858" s="217"/>
      <c r="R858" s="217" t="s">
        <v>234</v>
      </c>
      <c r="S858" s="217"/>
      <c r="T858" s="217"/>
      <c r="U858" s="218">
        <f t="shared" si="1010"/>
        <v>6</v>
      </c>
      <c r="V858" s="867" t="s">
        <v>235</v>
      </c>
      <c r="W858" s="219">
        <v>76227</v>
      </c>
      <c r="X858" s="220">
        <v>3.21</v>
      </c>
      <c r="Y858" s="221">
        <f t="shared" si="1045"/>
        <v>1.0321</v>
      </c>
      <c r="Z858" s="199">
        <v>19</v>
      </c>
      <c r="AA858" s="221">
        <f t="shared" si="1046"/>
        <v>1.8226940798007465</v>
      </c>
      <c r="AB858" s="199">
        <f t="shared" si="1050"/>
        <v>138938.50162097151</v>
      </c>
      <c r="AC858">
        <v>11.9</v>
      </c>
      <c r="AD858" s="199">
        <f t="shared" si="1051"/>
        <v>16533.68169289561</v>
      </c>
      <c r="AE858" s="199">
        <f t="shared" si="1047"/>
        <v>15706.997608250829</v>
      </c>
      <c r="AF858" s="199">
        <f t="shared" si="1044"/>
        <v>0</v>
      </c>
      <c r="AG858" s="614">
        <f t="shared" si="1041"/>
        <v>7.2622261439398816E-4</v>
      </c>
      <c r="AH858" s="199">
        <f t="shared" si="1023"/>
        <v>6946.9250810485755</v>
      </c>
      <c r="AI858" s="252">
        <f t="shared" si="1024"/>
        <v>5.3816776040923307E-4</v>
      </c>
      <c r="AJ858" s="199">
        <f t="shared" si="1025"/>
        <v>23480.606773944186</v>
      </c>
      <c r="AK858" s="199">
        <f t="shared" si="1048"/>
        <v>5557.5400648388604</v>
      </c>
      <c r="AL858" s="199">
        <f t="shared" si="1049"/>
        <v>5557.5400648388604</v>
      </c>
      <c r="AM858" s="199">
        <f t="shared" si="1026"/>
        <v>11115.080129677721</v>
      </c>
      <c r="AN858" s="645">
        <f t="shared" si="1027"/>
        <v>5.3816776040923307E-4</v>
      </c>
      <c r="AO858" s="199">
        <v>10</v>
      </c>
      <c r="AP858" s="250">
        <f t="shared" si="1028"/>
        <v>1.1362345188046814E-3</v>
      </c>
      <c r="AQ858" s="199">
        <v>10</v>
      </c>
      <c r="AU858" s="199">
        <v>0</v>
      </c>
      <c r="AW858" s="250">
        <f t="shared" si="1029"/>
        <v>0</v>
      </c>
      <c r="AX858" s="199">
        <v>1</v>
      </c>
      <c r="AY858" s="199">
        <f t="shared" si="1013"/>
        <v>7452.3326514587707</v>
      </c>
      <c r="AZ858" s="199">
        <f t="shared" si="1030"/>
        <v>7452.3326514587707</v>
      </c>
      <c r="BA858" s="252">
        <f t="shared" si="1031"/>
        <v>5.8580170691309257E-4</v>
      </c>
      <c r="BB858" s="284">
        <v>0</v>
      </c>
      <c r="BC858" s="199">
        <f t="shared" si="1014"/>
        <v>0</v>
      </c>
      <c r="BD858" s="270">
        <f t="shared" si="993"/>
        <v>0</v>
      </c>
      <c r="BE858" s="199">
        <f t="shared" si="1015"/>
        <v>0</v>
      </c>
      <c r="BF858" s="251">
        <f t="shared" si="994"/>
        <v>0</v>
      </c>
      <c r="BG858" s="204">
        <f t="shared" si="1016"/>
        <v>0</v>
      </c>
      <c r="BH858" s="636">
        <v>1</v>
      </c>
      <c r="BI858" s="199">
        <f t="shared" si="1032"/>
        <v>42515.181496017278</v>
      </c>
      <c r="BJ858" s="199">
        <f t="shared" si="1033"/>
        <v>85030.362992034556</v>
      </c>
      <c r="BK858" s="199">
        <f t="shared" si="1040"/>
        <v>127545.54448805183</v>
      </c>
      <c r="BL858" s="251">
        <f t="shared" si="1034"/>
        <v>5.3816776040923307E-4</v>
      </c>
      <c r="BM858" s="199">
        <f t="shared" si="1017"/>
        <v>12257.305917496171</v>
      </c>
      <c r="BN858" s="251">
        <f t="shared" si="1035"/>
        <v>5.2930858907290139E-4</v>
      </c>
      <c r="BT858" s="199">
        <f>'Detailed Budget'!$AD$12</f>
        <v>194045122715</v>
      </c>
      <c r="BU858" s="199">
        <f>'Detailed Budget'!$AD$24</f>
        <v>194045122715</v>
      </c>
      <c r="BV858" s="596">
        <f t="shared" si="1018"/>
        <v>0</v>
      </c>
      <c r="BW858" s="278"/>
      <c r="BX858" s="275">
        <f t="shared" si="1042"/>
        <v>0</v>
      </c>
      <c r="BY858" s="275">
        <f t="shared" si="1043"/>
        <v>0</v>
      </c>
      <c r="CA858" s="199">
        <f>'Detailed Budget'!$AD$96</f>
        <v>71050111380.677719</v>
      </c>
      <c r="CB858" s="275">
        <f t="shared" si="1036"/>
        <v>41621276.523166351</v>
      </c>
      <c r="CE858" s="199">
        <f>'Detailed Budget'!$AD$175</f>
        <v>4330586076.5988197</v>
      </c>
      <c r="CF858" s="275">
        <f t="shared" si="1019"/>
        <v>0</v>
      </c>
      <c r="CG858" s="199">
        <f>'Detailed Budget'!$AD$176</f>
        <v>20662817754.37001</v>
      </c>
      <c r="CH858" s="275">
        <f t="shared" si="1020"/>
        <v>0</v>
      </c>
      <c r="CI858" s="275">
        <f t="shared" si="992"/>
        <v>0</v>
      </c>
      <c r="CJ858" s="275">
        <f>'Detailed Budget'!$AD$178</f>
        <v>46025131033.061455</v>
      </c>
      <c r="CK858" s="275">
        <f t="shared" si="1012"/>
        <v>0</v>
      </c>
      <c r="CL858" s="275">
        <f t="shared" si="991"/>
        <v>0</v>
      </c>
      <c r="CM858" s="278">
        <f>'Detailed Budget'!$AD$189</f>
        <v>77498869683.252869</v>
      </c>
      <c r="CN858" s="275">
        <f t="shared" si="1037"/>
        <v>41707393.131683208</v>
      </c>
      <c r="CO858" s="140">
        <f>'Detailed Budget'!$AD$191</f>
        <v>2684962805.4134097</v>
      </c>
      <c r="CP858" s="616">
        <f t="shared" si="1038"/>
        <v>1444960.4197714261</v>
      </c>
      <c r="CQ858" s="616">
        <f t="shared" si="1039"/>
        <v>43152353.551454633</v>
      </c>
      <c r="CR858" s="199">
        <f>'Detailed Budget'!$AD$195</f>
        <v>18734176418</v>
      </c>
      <c r="CS858" s="275">
        <f t="shared" si="1021"/>
        <v>9916160.4872544017</v>
      </c>
      <c r="CW858" s="278"/>
      <c r="DH858" s="140">
        <f>'Detailed Budget'!$AD$163</f>
        <v>4928560000</v>
      </c>
      <c r="DI858" s="616">
        <f t="shared" si="1022"/>
        <v>5600000</v>
      </c>
    </row>
    <row r="859" spans="1:113" outlineLevel="1">
      <c r="A859" s="214" t="s">
        <v>1745</v>
      </c>
      <c r="B859" s="215" t="s">
        <v>1746</v>
      </c>
      <c r="C859" s="216" t="s">
        <v>234</v>
      </c>
      <c r="D859" s="217"/>
      <c r="E859" s="216"/>
      <c r="F859" s="216"/>
      <c r="G859" s="216" t="s">
        <v>234</v>
      </c>
      <c r="H859" s="216" t="s">
        <v>234</v>
      </c>
      <c r="I859" s="217" t="s">
        <v>234</v>
      </c>
      <c r="J859" s="217"/>
      <c r="K859" s="216"/>
      <c r="L859" s="216"/>
      <c r="M859" s="217"/>
      <c r="N859" s="216"/>
      <c r="O859" s="217"/>
      <c r="P859" s="216" t="s">
        <v>234</v>
      </c>
      <c r="Q859" s="217" t="s">
        <v>234</v>
      </c>
      <c r="R859" s="217"/>
      <c r="S859" s="217"/>
      <c r="T859" s="217"/>
      <c r="U859" s="218">
        <f t="shared" si="1010"/>
        <v>6</v>
      </c>
      <c r="V859" s="867" t="s">
        <v>1096</v>
      </c>
      <c r="W859" s="219">
        <v>131649</v>
      </c>
      <c r="X859" s="220">
        <v>3.21</v>
      </c>
      <c r="Y859" s="221">
        <f t="shared" si="1045"/>
        <v>1.0321</v>
      </c>
      <c r="Z859" s="199">
        <v>19</v>
      </c>
      <c r="AA859" s="221">
        <f t="shared" si="1046"/>
        <v>1.8226940798007465</v>
      </c>
      <c r="AB859" s="199">
        <f t="shared" si="1050"/>
        <v>239955.85291168847</v>
      </c>
      <c r="AC859">
        <v>11.9</v>
      </c>
      <c r="AD859" s="199">
        <f t="shared" si="1051"/>
        <v>28554.74649649093</v>
      </c>
      <c r="AE859" s="199">
        <f t="shared" si="1047"/>
        <v>27127.009171666381</v>
      </c>
      <c r="AF859" s="199">
        <f t="shared" si="1044"/>
        <v>0</v>
      </c>
      <c r="AG859" s="614">
        <f t="shared" si="1041"/>
        <v>1.25423381429617E-3</v>
      </c>
      <c r="AH859" s="199">
        <f t="shared" si="1023"/>
        <v>11997.792645584424</v>
      </c>
      <c r="AI859" s="252">
        <f t="shared" si="1024"/>
        <v>9.2945081782196766E-4</v>
      </c>
      <c r="AJ859" s="199">
        <f t="shared" si="1025"/>
        <v>40552.539142075359</v>
      </c>
      <c r="AK859" s="199">
        <f t="shared" si="1048"/>
        <v>9598.2341164675399</v>
      </c>
      <c r="AL859" s="199">
        <f t="shared" si="1049"/>
        <v>9598.2341164675399</v>
      </c>
      <c r="AM859" s="199">
        <f t="shared" si="1026"/>
        <v>19196.46823293508</v>
      </c>
      <c r="AN859" s="645">
        <f t="shared" si="1027"/>
        <v>9.2945081782196777E-4</v>
      </c>
      <c r="AO859" s="199">
        <v>11</v>
      </c>
      <c r="AP859" s="250">
        <f t="shared" si="1028"/>
        <v>1.2498579706851495E-3</v>
      </c>
      <c r="AQ859" s="199">
        <v>11</v>
      </c>
      <c r="AU859" s="199">
        <v>0</v>
      </c>
      <c r="AW859" s="250">
        <f t="shared" si="1029"/>
        <v>0</v>
      </c>
      <c r="AX859" s="199">
        <v>1</v>
      </c>
      <c r="AY859" s="199">
        <f t="shared" si="1013"/>
        <v>12870.664478884068</v>
      </c>
      <c r="AZ859" s="199">
        <f t="shared" si="1030"/>
        <v>12870.664478884068</v>
      </c>
      <c r="BA859" s="252">
        <f t="shared" si="1031"/>
        <v>1.0117177497920911E-3</v>
      </c>
      <c r="BB859" s="284">
        <v>0</v>
      </c>
      <c r="BC859" s="199">
        <f t="shared" si="1014"/>
        <v>0</v>
      </c>
      <c r="BD859" s="270">
        <f t="shared" si="993"/>
        <v>0</v>
      </c>
      <c r="BE859" s="199">
        <f t="shared" si="1015"/>
        <v>0</v>
      </c>
      <c r="BF859" s="251">
        <f t="shared" si="994"/>
        <v>0</v>
      </c>
      <c r="BG859" s="204">
        <f t="shared" si="1016"/>
        <v>0</v>
      </c>
      <c r="BH859" s="636">
        <v>1</v>
      </c>
      <c r="BI859" s="199">
        <f t="shared" si="1032"/>
        <v>73426.490990976672</v>
      </c>
      <c r="BJ859" s="199">
        <f t="shared" si="1033"/>
        <v>146852.98198195334</v>
      </c>
      <c r="BK859" s="199">
        <f t="shared" si="1040"/>
        <v>220279.47297293</v>
      </c>
      <c r="BL859" s="251">
        <f t="shared" si="1034"/>
        <v>9.2945081782196755E-4</v>
      </c>
      <c r="BM859" s="199">
        <f t="shared" si="1017"/>
        <v>21169.166656597445</v>
      </c>
      <c r="BN859" s="251">
        <f t="shared" si="1035"/>
        <v>9.1415045118997727E-4</v>
      </c>
      <c r="BT859" s="199">
        <f>'Detailed Budget'!$AD$12</f>
        <v>194045122715</v>
      </c>
      <c r="BU859" s="199">
        <f>'Detailed Budget'!$AD$24</f>
        <v>194045122715</v>
      </c>
      <c r="BV859" s="596">
        <f t="shared" si="1018"/>
        <v>0</v>
      </c>
      <c r="BW859" s="278"/>
      <c r="BX859" s="275">
        <f t="shared" si="1042"/>
        <v>0</v>
      </c>
      <c r="BY859" s="275">
        <f t="shared" si="1043"/>
        <v>0</v>
      </c>
      <c r="CA859" s="199">
        <f>'Detailed Budget'!$AD$96</f>
        <v>71050111380.677719</v>
      </c>
      <c r="CB859" s="275">
        <f t="shared" si="1036"/>
        <v>71882658.808536708</v>
      </c>
      <c r="CE859" s="199">
        <f>'Detailed Budget'!$AD$175</f>
        <v>4330586076.5988197</v>
      </c>
      <c r="CF859" s="275">
        <f t="shared" si="1019"/>
        <v>0</v>
      </c>
      <c r="CG859" s="199">
        <f>'Detailed Budget'!$AD$176</f>
        <v>20662817754.37001</v>
      </c>
      <c r="CH859" s="275">
        <f t="shared" si="1020"/>
        <v>0</v>
      </c>
      <c r="CI859" s="275">
        <f t="shared" si="992"/>
        <v>0</v>
      </c>
      <c r="CJ859" s="275">
        <f>'Detailed Budget'!$AD$178</f>
        <v>46025131033.061455</v>
      </c>
      <c r="CK859" s="275">
        <f t="shared" si="1012"/>
        <v>0</v>
      </c>
      <c r="CL859" s="275">
        <f t="shared" si="991"/>
        <v>0</v>
      </c>
      <c r="CM859" s="278">
        <f>'Detailed Budget'!$AD$189</f>
        <v>77498869683.252869</v>
      </c>
      <c r="CN859" s="275">
        <f t="shared" si="1037"/>
        <v>72031387.807377473</v>
      </c>
      <c r="CO859" s="140">
        <f>'Detailed Budget'!$AD$191</f>
        <v>2684962805.4134097</v>
      </c>
      <c r="CP859" s="616">
        <f t="shared" si="1038"/>
        <v>2495540.8753130585</v>
      </c>
      <c r="CQ859" s="616">
        <f t="shared" si="1039"/>
        <v>74526928.682690531</v>
      </c>
      <c r="CR859" s="199">
        <f>'Detailed Budget'!$AD$195</f>
        <v>18734176418</v>
      </c>
      <c r="CS859" s="275">
        <f t="shared" si="1021"/>
        <v>17125855.825187333</v>
      </c>
      <c r="CW859" s="278"/>
      <c r="DH859" s="140">
        <f>'Detailed Budget'!$AD$163</f>
        <v>4928560000</v>
      </c>
      <c r="DI859" s="616">
        <f t="shared" si="1022"/>
        <v>6160000</v>
      </c>
    </row>
    <row r="860" spans="1:113" outlineLevel="1">
      <c r="A860" s="214" t="s">
        <v>1747</v>
      </c>
      <c r="B860" s="215" t="s">
        <v>1748</v>
      </c>
      <c r="C860" s="216" t="s">
        <v>234</v>
      </c>
      <c r="D860" s="217"/>
      <c r="E860" s="216"/>
      <c r="F860" s="216"/>
      <c r="G860" s="216" t="s">
        <v>234</v>
      </c>
      <c r="H860" s="216" t="s">
        <v>234</v>
      </c>
      <c r="I860" s="217" t="s">
        <v>234</v>
      </c>
      <c r="J860" s="217"/>
      <c r="K860" s="216"/>
      <c r="L860" s="216"/>
      <c r="M860" s="217"/>
      <c r="N860" s="216" t="s">
        <v>234</v>
      </c>
      <c r="O860" s="217"/>
      <c r="P860" s="216"/>
      <c r="Q860" s="217"/>
      <c r="R860" s="217" t="s">
        <v>234</v>
      </c>
      <c r="S860" s="217"/>
      <c r="T860" s="217"/>
      <c r="U860" s="218">
        <f t="shared" si="1010"/>
        <v>6</v>
      </c>
      <c r="V860" s="867" t="s">
        <v>235</v>
      </c>
      <c r="W860" s="219">
        <v>148379</v>
      </c>
      <c r="X860" s="220">
        <v>3.21</v>
      </c>
      <c r="Y860" s="221">
        <f t="shared" si="1045"/>
        <v>1.0321</v>
      </c>
      <c r="Z860" s="199">
        <v>19</v>
      </c>
      <c r="AA860" s="221">
        <f t="shared" si="1046"/>
        <v>1.8226940798007465</v>
      </c>
      <c r="AB860" s="199">
        <f t="shared" si="1050"/>
        <v>270449.52486675495</v>
      </c>
      <c r="AC860">
        <v>11.9</v>
      </c>
      <c r="AD860" s="199">
        <f t="shared" si="1051"/>
        <v>32183.49345914384</v>
      </c>
      <c r="AE860" s="199">
        <f t="shared" si="1047"/>
        <v>30574.318786186646</v>
      </c>
      <c r="AF860" s="199">
        <f t="shared" si="1044"/>
        <v>0</v>
      </c>
      <c r="AG860" s="614">
        <f t="shared" si="1041"/>
        <v>1.4136222768988097E-3</v>
      </c>
      <c r="AH860" s="199">
        <f t="shared" si="1023"/>
        <v>13522.476243337747</v>
      </c>
      <c r="AI860" s="252">
        <f t="shared" si="1024"/>
        <v>1.0475657460186233E-3</v>
      </c>
      <c r="AJ860" s="199">
        <f t="shared" si="1025"/>
        <v>45705.969702481583</v>
      </c>
      <c r="AK860" s="199">
        <f t="shared" si="1048"/>
        <v>10817.980994670199</v>
      </c>
      <c r="AL860" s="199">
        <f t="shared" si="1049"/>
        <v>10817.980994670199</v>
      </c>
      <c r="AM860" s="199">
        <f t="shared" si="1026"/>
        <v>21635.961989340398</v>
      </c>
      <c r="AN860" s="645">
        <f t="shared" si="1027"/>
        <v>1.0475657460186233E-3</v>
      </c>
      <c r="AO860" s="199">
        <v>12</v>
      </c>
      <c r="AP860" s="250">
        <f t="shared" si="1028"/>
        <v>1.3634814225656176E-3</v>
      </c>
      <c r="AQ860" s="199">
        <v>12</v>
      </c>
      <c r="AU860" s="199">
        <v>0</v>
      </c>
      <c r="AW860" s="250">
        <f t="shared" si="1029"/>
        <v>0</v>
      </c>
      <c r="AX860" s="199">
        <v>1</v>
      </c>
      <c r="AY860" s="199">
        <f t="shared" si="1013"/>
        <v>14506.27292810685</v>
      </c>
      <c r="AZ860" s="199">
        <f t="shared" si="1030"/>
        <v>14506.27292810685</v>
      </c>
      <c r="BA860" s="252">
        <f t="shared" si="1031"/>
        <v>1.1402871878738209E-3</v>
      </c>
      <c r="BB860" s="284">
        <v>0</v>
      </c>
      <c r="BC860" s="199">
        <f t="shared" si="1014"/>
        <v>0</v>
      </c>
      <c r="BD860" s="270">
        <f t="shared" si="993"/>
        <v>0</v>
      </c>
      <c r="BE860" s="199">
        <f t="shared" si="1015"/>
        <v>0</v>
      </c>
      <c r="BF860" s="251">
        <f t="shared" si="994"/>
        <v>0</v>
      </c>
      <c r="BG860" s="204">
        <f t="shared" si="1016"/>
        <v>0</v>
      </c>
      <c r="BH860" s="636">
        <v>1</v>
      </c>
      <c r="BI860" s="199">
        <f t="shared" si="1032"/>
        <v>82757.554609227023</v>
      </c>
      <c r="BJ860" s="199">
        <f t="shared" si="1033"/>
        <v>165515.10921845405</v>
      </c>
      <c r="BK860" s="199">
        <f t="shared" si="1040"/>
        <v>248272.66382768107</v>
      </c>
      <c r="BL860" s="251">
        <f t="shared" si="1034"/>
        <v>1.0475657460186233E-3</v>
      </c>
      <c r="BM860" s="199">
        <f t="shared" si="1017"/>
        <v>23859.351604184398</v>
      </c>
      <c r="BN860" s="251">
        <f t="shared" si="1035"/>
        <v>1.0303210035558009E-3</v>
      </c>
      <c r="BT860" s="199">
        <f>'Detailed Budget'!$AD$12</f>
        <v>194045122715</v>
      </c>
      <c r="BU860" s="199">
        <f>'Detailed Budget'!$AD$24</f>
        <v>194045122715</v>
      </c>
      <c r="BV860" s="596">
        <f t="shared" si="1018"/>
        <v>0</v>
      </c>
      <c r="BW860" s="278"/>
      <c r="BX860" s="275">
        <f t="shared" si="1042"/>
        <v>0</v>
      </c>
      <c r="BY860" s="275">
        <f t="shared" si="1043"/>
        <v>0</v>
      </c>
      <c r="CA860" s="199">
        <f>'Detailed Budget'!$AD$96</f>
        <v>71050111380.677719</v>
      </c>
      <c r="CB860" s="275">
        <f t="shared" si="1036"/>
        <v>81017531.704394758</v>
      </c>
      <c r="CE860" s="199">
        <f>'Detailed Budget'!$AD$175</f>
        <v>4330586076.5988197</v>
      </c>
      <c r="CF860" s="275">
        <f t="shared" si="1019"/>
        <v>0</v>
      </c>
      <c r="CG860" s="199">
        <f>'Detailed Budget'!$AD$176</f>
        <v>20662817754.37001</v>
      </c>
      <c r="CH860" s="275">
        <f t="shared" si="1020"/>
        <v>0</v>
      </c>
      <c r="CI860" s="275">
        <f t="shared" si="992"/>
        <v>0</v>
      </c>
      <c r="CJ860" s="275">
        <f>'Detailed Budget'!$AD$178</f>
        <v>46025131033.061455</v>
      </c>
      <c r="CK860" s="275">
        <f t="shared" si="1012"/>
        <v>0</v>
      </c>
      <c r="CL860" s="275">
        <f t="shared" ref="CL860:CL898" si="1052">CI860+CK860</f>
        <v>0</v>
      </c>
      <c r="CM860" s="278">
        <f>'Detailed Budget'!$AD$189</f>
        <v>77498869683.252869</v>
      </c>
      <c r="CN860" s="275">
        <f t="shared" si="1037"/>
        <v>81185161.235336855</v>
      </c>
      <c r="CO860" s="140">
        <f>'Detailed Budget'!$AD$191</f>
        <v>2684962805.4134097</v>
      </c>
      <c r="CP860" s="616">
        <f t="shared" si="1038"/>
        <v>2812675.064285154</v>
      </c>
      <c r="CQ860" s="616">
        <f t="shared" si="1039"/>
        <v>83997836.299622014</v>
      </c>
      <c r="CR860" s="199">
        <f>'Detailed Budget'!$AD$195</f>
        <v>18734176418</v>
      </c>
      <c r="CS860" s="275">
        <f t="shared" si="1021"/>
        <v>19302215.44778518</v>
      </c>
      <c r="CW860" s="278"/>
      <c r="DH860" s="140">
        <f>'Detailed Budget'!$AD$163</f>
        <v>4928560000</v>
      </c>
      <c r="DI860" s="616">
        <f t="shared" si="1022"/>
        <v>6720000</v>
      </c>
    </row>
    <row r="861" spans="1:113" outlineLevel="1">
      <c r="A861" s="214" t="s">
        <v>1749</v>
      </c>
      <c r="B861" s="215" t="s">
        <v>1750</v>
      </c>
      <c r="C861" s="216" t="s">
        <v>234</v>
      </c>
      <c r="D861" s="217"/>
      <c r="E861" s="216"/>
      <c r="F861" s="216"/>
      <c r="G861" s="216" t="s">
        <v>234</v>
      </c>
      <c r="H861" s="216" t="s">
        <v>234</v>
      </c>
      <c r="I861" s="217" t="s">
        <v>234</v>
      </c>
      <c r="J861" s="217"/>
      <c r="K861" s="216"/>
      <c r="L861" s="216"/>
      <c r="M861" s="217"/>
      <c r="N861" s="216"/>
      <c r="O861" s="217"/>
      <c r="P861" s="216" t="s">
        <v>234</v>
      </c>
      <c r="Q861" s="217" t="s">
        <v>234</v>
      </c>
      <c r="R861" s="217"/>
      <c r="S861" s="217"/>
      <c r="T861" s="217"/>
      <c r="U861" s="218">
        <f t="shared" si="1010"/>
        <v>6</v>
      </c>
      <c r="V861" s="867" t="s">
        <v>1096</v>
      </c>
      <c r="W861" s="219">
        <v>102832</v>
      </c>
      <c r="X861" s="220">
        <v>3.21</v>
      </c>
      <c r="Y861" s="221">
        <f t="shared" si="1045"/>
        <v>1.0321</v>
      </c>
      <c r="Z861" s="199">
        <v>19</v>
      </c>
      <c r="AA861" s="221">
        <f t="shared" si="1046"/>
        <v>1.8226940798007465</v>
      </c>
      <c r="AB861" s="199">
        <f t="shared" si="1050"/>
        <v>187431.27761407036</v>
      </c>
      <c r="AC861">
        <v>11.9</v>
      </c>
      <c r="AD861" s="199">
        <f t="shared" si="1051"/>
        <v>22304.322036074373</v>
      </c>
      <c r="AE861" s="199">
        <f t="shared" si="1047"/>
        <v>21189.105934270654</v>
      </c>
      <c r="AF861" s="199">
        <f t="shared" si="1044"/>
        <v>0</v>
      </c>
      <c r="AG861" s="614">
        <f t="shared" si="1041"/>
        <v>9.7969123648264508E-4</v>
      </c>
      <c r="AH861" s="199">
        <f t="shared" si="1023"/>
        <v>9371.5638807035193</v>
      </c>
      <c r="AI861" s="252">
        <f t="shared" si="1024"/>
        <v>7.2600085453188848E-4</v>
      </c>
      <c r="AJ861" s="199">
        <f t="shared" si="1025"/>
        <v>31675.885916777894</v>
      </c>
      <c r="AK861" s="199">
        <f t="shared" si="1048"/>
        <v>7497.2511045628144</v>
      </c>
      <c r="AL861" s="199">
        <f t="shared" si="1049"/>
        <v>7497.2511045628144</v>
      </c>
      <c r="AM861" s="199">
        <f t="shared" si="1026"/>
        <v>14994.502209125629</v>
      </c>
      <c r="AN861" s="645">
        <f t="shared" si="1027"/>
        <v>7.2600085453188837E-4</v>
      </c>
      <c r="AO861" s="199">
        <v>10</v>
      </c>
      <c r="AP861" s="250">
        <f t="shared" si="1028"/>
        <v>1.1362345188046814E-3</v>
      </c>
      <c r="AQ861" s="199">
        <v>10</v>
      </c>
      <c r="AU861" s="199">
        <v>0</v>
      </c>
      <c r="AW861" s="250">
        <f t="shared" si="1029"/>
        <v>0</v>
      </c>
      <c r="AX861" s="199">
        <v>1</v>
      </c>
      <c r="AY861" s="199">
        <f t="shared" si="1013"/>
        <v>10053.370475222799</v>
      </c>
      <c r="AZ861" s="199">
        <f t="shared" si="1030"/>
        <v>10053.370475222799</v>
      </c>
      <c r="BA861" s="252">
        <f t="shared" si="1031"/>
        <v>7.9026015880576605E-4</v>
      </c>
      <c r="BB861" s="284">
        <v>0</v>
      </c>
      <c r="BC861" s="199">
        <f t="shared" si="1014"/>
        <v>0</v>
      </c>
      <c r="BD861" s="270">
        <f t="shared" si="993"/>
        <v>0</v>
      </c>
      <c r="BE861" s="199">
        <f t="shared" si="1015"/>
        <v>0</v>
      </c>
      <c r="BF861" s="251">
        <f t="shared" si="994"/>
        <v>0</v>
      </c>
      <c r="BG861" s="204">
        <f t="shared" si="1016"/>
        <v>0</v>
      </c>
      <c r="BH861" s="636">
        <v>1</v>
      </c>
      <c r="BI861" s="199">
        <f t="shared" si="1032"/>
        <v>57353.970949905532</v>
      </c>
      <c r="BJ861" s="199">
        <f t="shared" si="1033"/>
        <v>114707.94189981106</v>
      </c>
      <c r="BK861" s="199">
        <f t="shared" si="1040"/>
        <v>172061.91284971661</v>
      </c>
      <c r="BL861" s="251">
        <f t="shared" si="1034"/>
        <v>7.2600085453188848E-4</v>
      </c>
      <c r="BM861" s="199">
        <f t="shared" si="1017"/>
        <v>16535.391424402987</v>
      </c>
      <c r="BN861" s="251">
        <f t="shared" si="1035"/>
        <v>7.140496258746194E-4</v>
      </c>
      <c r="BT861" s="199">
        <f>'Detailed Budget'!$AD$12</f>
        <v>194045122715</v>
      </c>
      <c r="BU861" s="199">
        <f>'Detailed Budget'!$AD$24</f>
        <v>194045122715</v>
      </c>
      <c r="BV861" s="596">
        <f t="shared" si="1018"/>
        <v>0</v>
      </c>
      <c r="BW861" s="278"/>
      <c r="BX861" s="275">
        <f t="shared" si="1042"/>
        <v>0</v>
      </c>
      <c r="BY861" s="275">
        <f t="shared" si="1043"/>
        <v>0</v>
      </c>
      <c r="CA861" s="199">
        <f>'Detailed Budget'!$AD$96</f>
        <v>71050111380.677719</v>
      </c>
      <c r="CB861" s="275">
        <f t="shared" si="1036"/>
        <v>56148072.302861743</v>
      </c>
      <c r="CE861" s="199">
        <f>'Detailed Budget'!$AD$175</f>
        <v>4330586076.5988197</v>
      </c>
      <c r="CF861" s="275">
        <f t="shared" si="1019"/>
        <v>0</v>
      </c>
      <c r="CG861" s="199">
        <f>'Detailed Budget'!$AD$176</f>
        <v>20662817754.37001</v>
      </c>
      <c r="CH861" s="275">
        <f t="shared" si="1020"/>
        <v>0</v>
      </c>
      <c r="CI861" s="275">
        <f t="shared" si="992"/>
        <v>0</v>
      </c>
      <c r="CJ861" s="275">
        <f>'Detailed Budget'!$AD$178</f>
        <v>46025131033.061455</v>
      </c>
      <c r="CK861" s="275">
        <f t="shared" si="1012"/>
        <v>0</v>
      </c>
      <c r="CL861" s="275">
        <f t="shared" si="1052"/>
        <v>0</v>
      </c>
      <c r="CM861" s="278">
        <f>'Detailed Budget'!$AD$189</f>
        <v>77498869683.252869</v>
      </c>
      <c r="CN861" s="275">
        <f t="shared" si="1037"/>
        <v>56264245.615297049</v>
      </c>
      <c r="CO861" s="140">
        <f>'Detailed Budget'!$AD$191</f>
        <v>2684962805.4134097</v>
      </c>
      <c r="CP861" s="616">
        <f t="shared" si="1038"/>
        <v>1949285.2911164719</v>
      </c>
      <c r="CQ861" s="616">
        <f t="shared" si="1039"/>
        <v>58213530.906413518</v>
      </c>
      <c r="CR861" s="199">
        <f>'Detailed Budget'!$AD$195</f>
        <v>18734176418</v>
      </c>
      <c r="CS861" s="275">
        <f t="shared" si="1021"/>
        <v>13377131.662342018</v>
      </c>
      <c r="CW861" s="278"/>
      <c r="DH861" s="140">
        <f>'Detailed Budget'!$AD$163</f>
        <v>4928560000</v>
      </c>
      <c r="DI861" s="616">
        <f t="shared" si="1022"/>
        <v>5600000</v>
      </c>
    </row>
    <row r="862" spans="1:113" outlineLevel="1">
      <c r="A862" s="214" t="s">
        <v>1751</v>
      </c>
      <c r="B862" s="215" t="s">
        <v>1752</v>
      </c>
      <c r="C862" s="216" t="s">
        <v>234</v>
      </c>
      <c r="D862" s="217"/>
      <c r="E862" s="216"/>
      <c r="F862" s="216"/>
      <c r="G862" s="216" t="s">
        <v>234</v>
      </c>
      <c r="H862" s="216" t="s">
        <v>234</v>
      </c>
      <c r="I862" s="217" t="s">
        <v>234</v>
      </c>
      <c r="J862" s="217"/>
      <c r="K862" s="216"/>
      <c r="L862" s="216"/>
      <c r="M862" s="217"/>
      <c r="N862" s="216"/>
      <c r="O862" s="217"/>
      <c r="P862" s="216" t="s">
        <v>234</v>
      </c>
      <c r="Q862" s="217" t="s">
        <v>234</v>
      </c>
      <c r="R862" s="217"/>
      <c r="S862" s="217"/>
      <c r="T862" s="217"/>
      <c r="U862" s="218">
        <f t="shared" si="1010"/>
        <v>6</v>
      </c>
      <c r="V862" s="867" t="s">
        <v>1096</v>
      </c>
      <c r="W862" s="219">
        <v>155507</v>
      </c>
      <c r="X862" s="220">
        <v>3.21</v>
      </c>
      <c r="Y862" s="221">
        <f t="shared" si="1045"/>
        <v>1.0321</v>
      </c>
      <c r="Z862" s="199">
        <v>19</v>
      </c>
      <c r="AA862" s="221">
        <f t="shared" si="1046"/>
        <v>1.8226940798007465</v>
      </c>
      <c r="AB862" s="199">
        <f t="shared" si="1050"/>
        <v>283441.6882675747</v>
      </c>
      <c r="AC862">
        <v>11.9</v>
      </c>
      <c r="AD862" s="199">
        <f t="shared" si="1051"/>
        <v>33729.56090384139</v>
      </c>
      <c r="AE862" s="199">
        <f t="shared" si="1047"/>
        <v>32043.082858649319</v>
      </c>
      <c r="AF862" s="199">
        <f t="shared" si="1044"/>
        <v>0</v>
      </c>
      <c r="AG862" s="614">
        <f t="shared" si="1041"/>
        <v>1.4815314796143876E-3</v>
      </c>
      <c r="AH862" s="199">
        <f t="shared" si="1023"/>
        <v>14172.084413378736</v>
      </c>
      <c r="AI862" s="252">
        <f t="shared" si="1024"/>
        <v>1.0978899066991831E-3</v>
      </c>
      <c r="AJ862" s="199">
        <f t="shared" si="1025"/>
        <v>47901.645317220129</v>
      </c>
      <c r="AK862" s="199">
        <f t="shared" si="1048"/>
        <v>11337.667530702989</v>
      </c>
      <c r="AL862" s="199">
        <f t="shared" si="1049"/>
        <v>11337.667530702989</v>
      </c>
      <c r="AM862" s="199">
        <f t="shared" si="1026"/>
        <v>22675.335061405978</v>
      </c>
      <c r="AN862" s="645">
        <f t="shared" si="1027"/>
        <v>1.0978899066991831E-3</v>
      </c>
      <c r="AO862" s="199">
        <v>15</v>
      </c>
      <c r="AP862" s="250">
        <f t="shared" si="1028"/>
        <v>1.7043517782070218E-3</v>
      </c>
      <c r="AQ862" s="199">
        <v>15</v>
      </c>
      <c r="AU862" s="199">
        <v>0</v>
      </c>
      <c r="AW862" s="250">
        <f t="shared" si="1029"/>
        <v>0</v>
      </c>
      <c r="AX862" s="199">
        <v>1</v>
      </c>
      <c r="AY862" s="199">
        <f t="shared" si="1013"/>
        <v>15203.141847775711</v>
      </c>
      <c r="AZ862" s="199">
        <f t="shared" si="1030"/>
        <v>15203.141847775711</v>
      </c>
      <c r="BA862" s="252">
        <f t="shared" si="1031"/>
        <v>1.1950656071593306E-3</v>
      </c>
      <c r="BB862" s="284">
        <v>0</v>
      </c>
      <c r="BC862" s="199">
        <f t="shared" si="1014"/>
        <v>0</v>
      </c>
      <c r="BD862" s="270">
        <f t="shared" si="993"/>
        <v>0</v>
      </c>
      <c r="BE862" s="199">
        <f t="shared" si="1015"/>
        <v>0</v>
      </c>
      <c r="BF862" s="251">
        <f t="shared" si="994"/>
        <v>0</v>
      </c>
      <c r="BG862" s="204">
        <f t="shared" si="1016"/>
        <v>0</v>
      </c>
      <c r="BH862" s="636">
        <v>1</v>
      </c>
      <c r="BI862" s="199">
        <f t="shared" si="1032"/>
        <v>86733.156609877871</v>
      </c>
      <c r="BJ862" s="199">
        <f t="shared" si="1033"/>
        <v>173466.31321975574</v>
      </c>
      <c r="BK862" s="199">
        <f t="shared" si="1040"/>
        <v>260199.4698296336</v>
      </c>
      <c r="BL862" s="251">
        <f t="shared" si="1034"/>
        <v>1.0978899066991831E-3</v>
      </c>
      <c r="BM862" s="199">
        <f t="shared" si="1017"/>
        <v>25005.53440791422</v>
      </c>
      <c r="BN862" s="251">
        <f t="shared" si="1035"/>
        <v>1.0798167415870977E-3</v>
      </c>
      <c r="BT862" s="199">
        <f>'Detailed Budget'!$AD$12</f>
        <v>194045122715</v>
      </c>
      <c r="BU862" s="199">
        <f>'Detailed Budget'!$AD$24</f>
        <v>194045122715</v>
      </c>
      <c r="BV862" s="596">
        <f t="shared" si="1018"/>
        <v>0</v>
      </c>
      <c r="BW862" s="278"/>
      <c r="BX862" s="275">
        <f t="shared" si="1042"/>
        <v>0</v>
      </c>
      <c r="BY862" s="275">
        <f t="shared" si="1043"/>
        <v>0</v>
      </c>
      <c r="CA862" s="199">
        <f>'Detailed Budget'!$AD$96</f>
        <v>71050111380.677719</v>
      </c>
      <c r="CB862" s="275">
        <f t="shared" si="1036"/>
        <v>84909544.495887682</v>
      </c>
      <c r="CE862" s="199">
        <f>'Detailed Budget'!$AD$175</f>
        <v>4330586076.5988197</v>
      </c>
      <c r="CF862" s="275">
        <f t="shared" si="1019"/>
        <v>0</v>
      </c>
      <c r="CG862" s="199">
        <f>'Detailed Budget'!$AD$176</f>
        <v>20662817754.37001</v>
      </c>
      <c r="CH862" s="275">
        <f t="shared" si="1020"/>
        <v>0</v>
      </c>
      <c r="CI862" s="275">
        <f t="shared" si="992"/>
        <v>0</v>
      </c>
      <c r="CJ862" s="275">
        <f>'Detailed Budget'!$AD$178</f>
        <v>46025131033.061455</v>
      </c>
      <c r="CK862" s="275">
        <f t="shared" si="1012"/>
        <v>0</v>
      </c>
      <c r="CL862" s="275">
        <f t="shared" si="1052"/>
        <v>0</v>
      </c>
      <c r="CM862" s="278">
        <f>'Detailed Budget'!$AD$189</f>
        <v>77498869683.252869</v>
      </c>
      <c r="CN862" s="275">
        <f t="shared" si="1037"/>
        <v>85085226.805838645</v>
      </c>
      <c r="CO862" s="140">
        <f>'Detailed Budget'!$AD$191</f>
        <v>2684962805.4134097</v>
      </c>
      <c r="CP862" s="616">
        <f t="shared" si="1038"/>
        <v>2947793.5639261054</v>
      </c>
      <c r="CQ862" s="616">
        <f t="shared" si="1039"/>
        <v>88033020.369764745</v>
      </c>
      <c r="CR862" s="199">
        <f>'Detailed Budget'!$AD$195</f>
        <v>18734176418</v>
      </c>
      <c r="CS862" s="275">
        <f t="shared" si="1021"/>
        <v>20229477.336002603</v>
      </c>
      <c r="CW862" s="278"/>
      <c r="DH862" s="140">
        <f>'Detailed Budget'!$AD$163</f>
        <v>4928560000</v>
      </c>
      <c r="DI862" s="616">
        <f t="shared" si="1022"/>
        <v>8400000</v>
      </c>
    </row>
    <row r="863" spans="1:113" outlineLevel="1">
      <c r="A863" s="214"/>
      <c r="B863" s="215"/>
      <c r="C863" s="216"/>
      <c r="D863" s="217"/>
      <c r="E863" s="216"/>
      <c r="F863" s="216"/>
      <c r="G863" s="216"/>
      <c r="H863" s="216"/>
      <c r="I863" s="217"/>
      <c r="J863" s="217"/>
      <c r="K863" s="216"/>
      <c r="L863" s="216"/>
      <c r="M863" s="217"/>
      <c r="N863" s="216"/>
      <c r="O863" s="217"/>
      <c r="P863" s="216"/>
      <c r="Q863" s="217"/>
      <c r="R863" s="217"/>
      <c r="S863" s="217"/>
      <c r="T863" s="217"/>
      <c r="U863" s="218"/>
      <c r="V863" s="867"/>
      <c r="W863" s="219"/>
      <c r="X863" s="220"/>
      <c r="Y863" s="221"/>
      <c r="Z863" s="199"/>
      <c r="AA863" s="221"/>
      <c r="AF863" s="199">
        <f t="shared" si="1044"/>
        <v>0</v>
      </c>
      <c r="AG863" s="614">
        <f t="shared" si="1041"/>
        <v>0</v>
      </c>
      <c r="AJ863" s="199"/>
      <c r="AK863" s="199">
        <f t="shared" si="1048"/>
        <v>0</v>
      </c>
      <c r="AL863" s="199">
        <f t="shared" si="1049"/>
        <v>0</v>
      </c>
      <c r="AM863" s="199">
        <f t="shared" si="1026"/>
        <v>0</v>
      </c>
      <c r="AN863" s="645">
        <f t="shared" si="1027"/>
        <v>0</v>
      </c>
      <c r="AP863" s="250">
        <f t="shared" si="1028"/>
        <v>0</v>
      </c>
      <c r="AW863" s="250">
        <f t="shared" si="1029"/>
        <v>0</v>
      </c>
      <c r="AX863" s="199"/>
      <c r="BA863" s="252">
        <f t="shared" si="1031"/>
        <v>0</v>
      </c>
      <c r="BB863" s="284"/>
      <c r="BD863" s="270"/>
      <c r="BF863" s="251"/>
      <c r="BG863" s="204"/>
      <c r="BH863" s="636"/>
      <c r="BI863" s="199">
        <f t="shared" si="1032"/>
        <v>0</v>
      </c>
      <c r="BJ863" s="199">
        <f t="shared" si="1033"/>
        <v>0</v>
      </c>
      <c r="BK863" s="199">
        <f t="shared" si="1040"/>
        <v>0</v>
      </c>
      <c r="BL863" s="251">
        <f t="shared" si="1034"/>
        <v>0</v>
      </c>
      <c r="BN863" s="251">
        <f t="shared" si="1035"/>
        <v>0</v>
      </c>
      <c r="BT863" s="199"/>
      <c r="BU863" s="199"/>
      <c r="BV863" s="596"/>
      <c r="BW863" s="278"/>
      <c r="BX863" s="275"/>
      <c r="BY863" s="275"/>
      <c r="CA863" s="199">
        <f>'Detailed Budget'!$AD$96</f>
        <v>71050111380.677719</v>
      </c>
      <c r="CB863" s="275">
        <f t="shared" si="1036"/>
        <v>0</v>
      </c>
      <c r="CE863" s="199"/>
      <c r="CF863" s="275"/>
      <c r="CG863" s="199"/>
      <c r="CH863" s="275"/>
      <c r="CI863" s="275"/>
      <c r="CJ863" s="275"/>
      <c r="CK863" s="275"/>
      <c r="CL863" s="275"/>
      <c r="CM863" s="278">
        <f>'Detailed Budget'!$AD$189</f>
        <v>77498869683.252869</v>
      </c>
      <c r="CN863" s="275">
        <f t="shared" si="1037"/>
        <v>0</v>
      </c>
      <c r="CO863" s="140">
        <f>'Detailed Budget'!$AD$191</f>
        <v>2684962805.4134097</v>
      </c>
      <c r="CP863" s="616">
        <f t="shared" si="1038"/>
        <v>0</v>
      </c>
      <c r="CQ863" s="616">
        <f t="shared" si="1039"/>
        <v>0</v>
      </c>
      <c r="CR863" s="199"/>
      <c r="CS863" s="275"/>
      <c r="CW863" s="278"/>
      <c r="DH863" s="140">
        <f>'Detailed Budget'!$AD$163</f>
        <v>4928560000</v>
      </c>
      <c r="DI863" s="616">
        <f t="shared" si="1022"/>
        <v>0</v>
      </c>
    </row>
    <row r="864" spans="1:113" s="213" customFormat="1">
      <c r="A864" s="206">
        <v>6.6</v>
      </c>
      <c r="B864" s="207" t="s">
        <v>1753</v>
      </c>
      <c r="C864" s="208">
        <f t="shared" ref="C864:T864" si="1053">COUNTA(C866:C898)</f>
        <v>33</v>
      </c>
      <c r="D864" s="208">
        <f t="shared" si="1053"/>
        <v>5</v>
      </c>
      <c r="E864" s="208">
        <f t="shared" si="1053"/>
        <v>0</v>
      </c>
      <c r="F864" s="208">
        <f t="shared" si="1053"/>
        <v>0</v>
      </c>
      <c r="G864" s="208">
        <f t="shared" si="1053"/>
        <v>28</v>
      </c>
      <c r="H864" s="208">
        <f t="shared" si="1053"/>
        <v>33</v>
      </c>
      <c r="I864" s="208">
        <f t="shared" si="1053"/>
        <v>33</v>
      </c>
      <c r="J864" s="208">
        <f t="shared" si="1053"/>
        <v>0</v>
      </c>
      <c r="K864" s="208">
        <f t="shared" si="1053"/>
        <v>0</v>
      </c>
      <c r="L864" s="208">
        <f t="shared" si="1053"/>
        <v>0</v>
      </c>
      <c r="M864" s="208">
        <f t="shared" si="1053"/>
        <v>8</v>
      </c>
      <c r="N864" s="208">
        <f t="shared" si="1053"/>
        <v>9</v>
      </c>
      <c r="O864" s="208">
        <f t="shared" si="1053"/>
        <v>16</v>
      </c>
      <c r="P864" s="208">
        <f t="shared" si="1053"/>
        <v>0</v>
      </c>
      <c r="Q864" s="208">
        <f t="shared" si="1053"/>
        <v>7</v>
      </c>
      <c r="R864" s="208">
        <f t="shared" si="1053"/>
        <v>26</v>
      </c>
      <c r="S864" s="208">
        <f t="shared" si="1053"/>
        <v>0</v>
      </c>
      <c r="T864" s="208">
        <f t="shared" si="1053"/>
        <v>0</v>
      </c>
      <c r="U864" s="209">
        <f>SUM(C864:T864)</f>
        <v>198</v>
      </c>
      <c r="V864" s="866"/>
      <c r="W864" s="210">
        <f>SUM(W866:W898)</f>
        <v>5580894</v>
      </c>
      <c r="X864" s="211">
        <v>3.35</v>
      </c>
      <c r="Y864" s="212">
        <f t="shared" si="1045"/>
        <v>1.0335000000000001</v>
      </c>
      <c r="Z864" s="210">
        <v>19</v>
      </c>
      <c r="AA864" s="212">
        <f t="shared" si="1046"/>
        <v>1.8702477386515275</v>
      </c>
      <c r="AB864" s="210">
        <f t="shared" si="1050"/>
        <v>10437654.383153878</v>
      </c>
      <c r="AC864" s="213">
        <v>12.8</v>
      </c>
      <c r="AD864" s="210">
        <f t="shared" si="1051"/>
        <v>1336019.7610436964</v>
      </c>
      <c r="AE864" s="210">
        <f t="shared" si="1047"/>
        <v>1269218.7729915115</v>
      </c>
      <c r="AF864" s="210">
        <f>SUM(AF866:AF898)</f>
        <v>150649.64632214053</v>
      </c>
      <c r="AG864" s="614">
        <f t="shared" si="1041"/>
        <v>5.8683104088310359E-2</v>
      </c>
      <c r="AH864" s="210">
        <f>SUM(AH866:AH898)</f>
        <v>521882.71915769397</v>
      </c>
      <c r="AI864" s="252">
        <f t="shared" si="1024"/>
        <v>4.0429463523591593E-2</v>
      </c>
      <c r="AJ864" s="210">
        <f>SUM(AJ866:AJ898)</f>
        <v>1857902.4802013903</v>
      </c>
      <c r="AK864" s="199">
        <f t="shared" si="1048"/>
        <v>417506.17532615515</v>
      </c>
      <c r="AL864" s="199">
        <f t="shared" si="1049"/>
        <v>417506.17532615515</v>
      </c>
      <c r="AM864" s="199">
        <f t="shared" si="1026"/>
        <v>835012.3506523103</v>
      </c>
      <c r="AN864" s="645">
        <f t="shared" si="1027"/>
        <v>4.0429463523591586E-2</v>
      </c>
      <c r="AO864" s="210">
        <f>SUM(AO866:AO898)</f>
        <v>351</v>
      </c>
      <c r="AP864" s="250">
        <f t="shared" si="1028"/>
        <v>3.9881831610044313E-2</v>
      </c>
      <c r="AQ864" s="210">
        <f>SUM(AQ866:AQ898)</f>
        <v>351</v>
      </c>
      <c r="AR864" s="210"/>
      <c r="AS864" s="210"/>
      <c r="AT864" s="210"/>
      <c r="AU864" s="199"/>
      <c r="AV864" s="199"/>
      <c r="AW864" s="250">
        <f t="shared" si="1029"/>
        <v>0</v>
      </c>
      <c r="AX864" s="199"/>
      <c r="AY864" s="210">
        <v>671354</v>
      </c>
      <c r="AZ864" s="210">
        <f>SUM(AZ866:AZ898)</f>
        <v>671354.17352105991</v>
      </c>
      <c r="BA864" s="252">
        <f t="shared" si="1031"/>
        <v>5.2772794665155214E-2</v>
      </c>
      <c r="BB864" s="284"/>
      <c r="BC864" s="210">
        <f>SUM(BC866:BC898)</f>
        <v>114176.57405467491</v>
      </c>
      <c r="BD864" s="270">
        <f t="shared" si="993"/>
        <v>1.0282410404644974E-2</v>
      </c>
      <c r="BE864" s="210">
        <f>SUM(BE866:BE898)</f>
        <v>488422.01123388717</v>
      </c>
      <c r="BF864" s="251">
        <f t="shared" si="994"/>
        <v>1.0282410633139474E-2</v>
      </c>
      <c r="BG864" s="210">
        <f>SUM(BG866:BG898)</f>
        <v>602598.58528856211</v>
      </c>
      <c r="BH864"/>
      <c r="BI864" s="199">
        <f t="shared" si="1032"/>
        <v>3193922.2412450868</v>
      </c>
      <c r="BJ864" s="199">
        <f t="shared" si="1033"/>
        <v>6387844.4824901735</v>
      </c>
      <c r="BK864" s="199">
        <f t="shared" si="1040"/>
        <v>9581766.7237352598</v>
      </c>
      <c r="BL864" s="251">
        <f t="shared" si="1034"/>
        <v>4.0429463523591586E-2</v>
      </c>
      <c r="BM864" s="210">
        <v>805492</v>
      </c>
      <c r="BN864" s="251">
        <f t="shared" si="1035"/>
        <v>3.4783649596354514E-2</v>
      </c>
      <c r="BT864" s="210">
        <f>'Detailed Budget'!$AD$12</f>
        <v>194045122715</v>
      </c>
      <c r="BU864" s="210">
        <f>'Detailed Budget'!$AD$24</f>
        <v>194045122715</v>
      </c>
      <c r="BV864" s="596">
        <f>AV864/34743979</f>
        <v>0</v>
      </c>
      <c r="BW864" s="278"/>
      <c r="BX864" s="275">
        <f t="shared" si="1042"/>
        <v>0</v>
      </c>
      <c r="BY864" s="613">
        <f t="shared" si="1043"/>
        <v>0</v>
      </c>
      <c r="CA864" s="210">
        <f>'Detailed Budget'!$AD$96</f>
        <v>71050111380.677719</v>
      </c>
      <c r="CB864" s="613">
        <f t="shared" si="1036"/>
        <v>3749512938.8289127</v>
      </c>
      <c r="CE864" s="210">
        <f>'Detailed Budget'!$AD$175</f>
        <v>4330586076.5988197</v>
      </c>
      <c r="CF864" s="613">
        <f>SUM(CF866:CF898)</f>
        <v>44528863.332230359</v>
      </c>
      <c r="CG864" s="632">
        <f>'Detailed Budget'!$AD$176</f>
        <v>20662817754.37001</v>
      </c>
      <c r="CH864" s="613">
        <f>SUM(CH866:CH898)</f>
        <v>212463576.98815727</v>
      </c>
      <c r="CI864" s="613">
        <f>SUM(CI866:CI898)</f>
        <v>256992440.32038763</v>
      </c>
      <c r="CJ864" s="275">
        <f>'Detailed Budget'!$AD$178</f>
        <v>46025131033.061455</v>
      </c>
      <c r="CK864" s="613">
        <f>SUM(CK866:CK898)</f>
        <v>0</v>
      </c>
      <c r="CL864" s="613">
        <f>SUM(CL866:CL898)</f>
        <v>256992440.32038763</v>
      </c>
      <c r="CM864" s="278">
        <f>'Detailed Budget'!$AD$189</f>
        <v>77498869683.252869</v>
      </c>
      <c r="CN864" s="275">
        <f t="shared" si="1037"/>
        <v>0</v>
      </c>
      <c r="CO864" s="140">
        <f>'Detailed Budget'!$AD$191</f>
        <v>2684962805.4134097</v>
      </c>
      <c r="CP864" s="616">
        <f t="shared" si="1038"/>
        <v>0</v>
      </c>
      <c r="CQ864" s="616">
        <f t="shared" si="1039"/>
        <v>0</v>
      </c>
      <c r="CR864" s="210">
        <f>'Detailed Budget'!$AD$195</f>
        <v>18734176418</v>
      </c>
      <c r="CS864" s="275">
        <f>BN864*CR864</f>
        <v>651643028</v>
      </c>
      <c r="CW864" s="278"/>
      <c r="DH864" s="140">
        <f>'Detailed Budget'!$AD$163</f>
        <v>4928560000</v>
      </c>
      <c r="DI864" s="616">
        <f t="shared" si="1022"/>
        <v>196560000</v>
      </c>
    </row>
    <row r="865" spans="1:113" s="213" customFormat="1">
      <c r="A865" s="214" t="s">
        <v>2355</v>
      </c>
      <c r="B865" s="215" t="s">
        <v>2318</v>
      </c>
      <c r="C865" s="208"/>
      <c r="D865" s="208"/>
      <c r="E865" s="208"/>
      <c r="F865" s="208"/>
      <c r="G865" s="208"/>
      <c r="H865" s="208"/>
      <c r="I865" s="208"/>
      <c r="J865" s="208"/>
      <c r="K865" s="208"/>
      <c r="L865" s="208"/>
      <c r="M865" s="208"/>
      <c r="N865" s="208"/>
      <c r="O865" s="208"/>
      <c r="P865" s="208"/>
      <c r="Q865" s="208"/>
      <c r="R865" s="208"/>
      <c r="S865" s="208"/>
      <c r="T865" s="208"/>
      <c r="U865" s="209"/>
      <c r="V865" s="866"/>
      <c r="W865" s="210"/>
      <c r="X865" s="211"/>
      <c r="Y865" s="212"/>
      <c r="Z865" s="210"/>
      <c r="AA865" s="212"/>
      <c r="AB865" s="210"/>
      <c r="AD865" s="210"/>
      <c r="AE865" s="210"/>
      <c r="AF865" s="199"/>
      <c r="AG865" s="614"/>
      <c r="AH865" s="210"/>
      <c r="AI865" s="252"/>
      <c r="AJ865" s="199"/>
      <c r="AK865" s="199">
        <f t="shared" si="1048"/>
        <v>0</v>
      </c>
      <c r="AL865" s="199">
        <f t="shared" si="1049"/>
        <v>0</v>
      </c>
      <c r="AM865" s="199">
        <f t="shared" si="1026"/>
        <v>0</v>
      </c>
      <c r="AN865" s="645">
        <f t="shared" si="1027"/>
        <v>0</v>
      </c>
      <c r="AO865" s="210"/>
      <c r="AP865" s="250">
        <f t="shared" si="1028"/>
        <v>0</v>
      </c>
      <c r="AQ865" s="210"/>
      <c r="AR865" s="210"/>
      <c r="AS865" s="210"/>
      <c r="AT865" s="210"/>
      <c r="AU865" s="199"/>
      <c r="AV865" s="199"/>
      <c r="AW865" s="250">
        <f t="shared" si="1029"/>
        <v>0</v>
      </c>
      <c r="AX865" s="249"/>
      <c r="AY865" s="210"/>
      <c r="AZ865" s="199"/>
      <c r="BA865" s="252">
        <f t="shared" si="1031"/>
        <v>0</v>
      </c>
      <c r="BB865" s="284"/>
      <c r="BC865" s="269"/>
      <c r="BD865" s="270">
        <f t="shared" si="993"/>
        <v>0</v>
      </c>
      <c r="BE865" s="269"/>
      <c r="BF865" s="251">
        <f t="shared" si="994"/>
        <v>0</v>
      </c>
      <c r="BG865" s="204"/>
      <c r="BH865"/>
      <c r="BI865" s="199">
        <f t="shared" si="1032"/>
        <v>0</v>
      </c>
      <c r="BJ865" s="199">
        <f t="shared" si="1033"/>
        <v>0</v>
      </c>
      <c r="BK865" s="199">
        <f t="shared" si="1040"/>
        <v>0</v>
      </c>
      <c r="BL865" s="251">
        <f t="shared" si="1034"/>
        <v>0</v>
      </c>
      <c r="BM865" s="210"/>
      <c r="BN865" s="251">
        <f t="shared" si="1035"/>
        <v>0</v>
      </c>
      <c r="BT865" s="210"/>
      <c r="BU865" s="210">
        <f>'Detailed Budget'!$AD$24</f>
        <v>194045122715</v>
      </c>
      <c r="BV865" s="596"/>
      <c r="BW865" s="278"/>
      <c r="BX865" s="275"/>
      <c r="BY865" s="275"/>
      <c r="CA865" s="210">
        <f>'Detailed Budget'!$AD$96</f>
        <v>71050111380.677719</v>
      </c>
      <c r="CB865" s="275"/>
      <c r="CE865" s="210"/>
      <c r="CF865" s="275"/>
      <c r="CG865" s="240"/>
      <c r="CH865" s="275"/>
      <c r="CI865" s="275"/>
      <c r="CJ865" s="275"/>
      <c r="CK865" s="275">
        <f t="shared" ref="CK865:CK898" si="1054">BB865*AG865*CJ865</f>
        <v>0</v>
      </c>
      <c r="CL865" s="275">
        <f t="shared" si="1052"/>
        <v>0</v>
      </c>
      <c r="CM865" s="278">
        <f>'Detailed Budget'!$AD$189</f>
        <v>77498869683.252869</v>
      </c>
      <c r="CN865" s="275">
        <f t="shared" si="1037"/>
        <v>0</v>
      </c>
      <c r="CO865" s="140">
        <f>'Detailed Budget'!$AD$191</f>
        <v>2684962805.4134097</v>
      </c>
      <c r="CP865" s="616">
        <f t="shared" si="1038"/>
        <v>0</v>
      </c>
      <c r="CQ865" s="616">
        <f t="shared" si="1039"/>
        <v>0</v>
      </c>
      <c r="CR865" s="210"/>
      <c r="CS865" s="275"/>
      <c r="CW865" s="278"/>
      <c r="DH865" s="140"/>
      <c r="DI865" s="616"/>
    </row>
    <row r="866" spans="1:113" outlineLevel="1">
      <c r="A866" s="214" t="s">
        <v>1754</v>
      </c>
      <c r="B866" s="215" t="s">
        <v>1755</v>
      </c>
      <c r="C866" s="216" t="s">
        <v>234</v>
      </c>
      <c r="D866" s="217"/>
      <c r="E866" s="216"/>
      <c r="F866" s="216"/>
      <c r="G866" s="216" t="s">
        <v>234</v>
      </c>
      <c r="H866" s="216" t="s">
        <v>234</v>
      </c>
      <c r="I866" s="217" t="s">
        <v>234</v>
      </c>
      <c r="J866" s="217"/>
      <c r="K866" s="216"/>
      <c r="L866" s="216"/>
      <c r="M866" s="217"/>
      <c r="N866" s="216" t="s">
        <v>234</v>
      </c>
      <c r="O866" s="217"/>
      <c r="P866" s="216"/>
      <c r="Q866" s="217"/>
      <c r="R866" s="217" t="s">
        <v>234</v>
      </c>
      <c r="S866" s="217"/>
      <c r="T866" s="217"/>
      <c r="U866" s="218">
        <f t="shared" si="1010"/>
        <v>6</v>
      </c>
      <c r="V866" s="867" t="s">
        <v>235</v>
      </c>
      <c r="W866" s="219">
        <v>132184</v>
      </c>
      <c r="X866" s="220">
        <v>3.35</v>
      </c>
      <c r="Y866" s="221">
        <f t="shared" si="1045"/>
        <v>1.0335000000000001</v>
      </c>
      <c r="Z866" s="199">
        <v>19</v>
      </c>
      <c r="AA866" s="221">
        <f t="shared" si="1046"/>
        <v>1.8702477386515275</v>
      </c>
      <c r="AB866" s="199">
        <f t="shared" si="1050"/>
        <v>247216.82708591351</v>
      </c>
      <c r="AC866">
        <v>12.8</v>
      </c>
      <c r="AD866" s="199">
        <f t="shared" si="1051"/>
        <v>31643.753866996933</v>
      </c>
      <c r="AE866" s="199">
        <f t="shared" si="1047"/>
        <v>30061.566173647083</v>
      </c>
      <c r="AF866" s="199">
        <f t="shared" si="1044"/>
        <v>0</v>
      </c>
      <c r="AG866" s="614"/>
      <c r="AH866" s="199">
        <f>AB866*0.05</f>
        <v>12360.841354295677</v>
      </c>
      <c r="AI866" s="252">
        <f t="shared" si="1024"/>
        <v>9.5757565121330573E-4</v>
      </c>
      <c r="AJ866" s="199">
        <f t="shared" si="1025"/>
        <v>44004.595221292606</v>
      </c>
      <c r="AK866" s="199">
        <f t="shared" si="1048"/>
        <v>9888.6730834365408</v>
      </c>
      <c r="AL866" s="199">
        <f t="shared" si="1049"/>
        <v>9888.6730834365408</v>
      </c>
      <c r="AM866" s="199">
        <f t="shared" si="1026"/>
        <v>19777.346166873082</v>
      </c>
      <c r="AN866" s="645">
        <f t="shared" si="1027"/>
        <v>9.5757565121330573E-4</v>
      </c>
      <c r="AO866" s="199">
        <v>10</v>
      </c>
      <c r="AP866" s="250">
        <f t="shared" si="1028"/>
        <v>1.1362345188046814E-3</v>
      </c>
      <c r="AQ866" s="199">
        <v>10</v>
      </c>
      <c r="AU866" s="199">
        <v>0</v>
      </c>
      <c r="AW866" s="250">
        <f t="shared" si="1029"/>
        <v>0</v>
      </c>
      <c r="AX866" s="199">
        <v>1</v>
      </c>
      <c r="AY866" s="199">
        <f t="shared" ref="AY866:AY898" si="1055">AJ866/1857902*671354</f>
        <v>15901.08682815115</v>
      </c>
      <c r="AZ866" s="199">
        <f t="shared" si="1030"/>
        <v>15901.08682815115</v>
      </c>
      <c r="BA866" s="252">
        <f t="shared" si="1031"/>
        <v>1.2499286117992703E-3</v>
      </c>
      <c r="BB866" s="284">
        <v>0</v>
      </c>
      <c r="BC866" s="199">
        <f t="shared" ref="BC866:BC898" si="1056">AD866*BB866*0.18*4</f>
        <v>0</v>
      </c>
      <c r="BD866" s="270">
        <f t="shared" si="993"/>
        <v>0</v>
      </c>
      <c r="BE866" s="199">
        <f t="shared" ref="BE866:BE898" si="1057">AD866*BB866*0.77*4</f>
        <v>0</v>
      </c>
      <c r="BF866" s="251">
        <f t="shared" si="994"/>
        <v>0</v>
      </c>
      <c r="BG866" s="199">
        <f t="shared" ref="BG866:BG898" si="1058">BC866+BE866</f>
        <v>0</v>
      </c>
      <c r="BH866" s="636">
        <v>1</v>
      </c>
      <c r="BI866" s="199">
        <f t="shared" si="1032"/>
        <v>75648.349088289542</v>
      </c>
      <c r="BJ866" s="199">
        <f t="shared" si="1033"/>
        <v>151296.69817657908</v>
      </c>
      <c r="BK866" s="199">
        <f t="shared" si="1040"/>
        <v>226945.04726486863</v>
      </c>
      <c r="BL866" s="251">
        <f t="shared" si="1034"/>
        <v>9.5757565121330573E-4</v>
      </c>
      <c r="BM866" s="199">
        <f t="shared" ref="BM866:BM898" si="1059">AH866/521883*805492</f>
        <v>19078.143614860674</v>
      </c>
      <c r="BN866" s="251">
        <f t="shared" si="1035"/>
        <v>8.2385357327973709E-4</v>
      </c>
      <c r="BT866" s="199">
        <f>'Detailed Budget'!$AD$12</f>
        <v>194045122715</v>
      </c>
      <c r="BU866" s="199">
        <f>'Detailed Budget'!$AD$24</f>
        <v>194045122715</v>
      </c>
      <c r="BV866" s="596">
        <f t="shared" ref="BV866:BV898" si="1060">AV866/34743979</f>
        <v>0</v>
      </c>
      <c r="BW866" s="278"/>
      <c r="BX866" s="275">
        <f t="shared" si="1042"/>
        <v>0</v>
      </c>
      <c r="BY866" s="275">
        <f t="shared" si="1043"/>
        <v>0</v>
      </c>
      <c r="CA866" s="199">
        <f>'Detailed Budget'!$AD$96</f>
        <v>71050111380.677719</v>
      </c>
      <c r="CB866" s="275">
        <f t="shared" si="1036"/>
        <v>88807567.086234033</v>
      </c>
      <c r="CE866" s="199">
        <f>'Detailed Budget'!$AD$175</f>
        <v>4330586076.5988197</v>
      </c>
      <c r="CF866" s="275">
        <f t="shared" ref="CF866:CF898" si="1061">BB866*BD866*CE866</f>
        <v>0</v>
      </c>
      <c r="CG866" s="199">
        <f>'Detailed Budget'!$AD$176</f>
        <v>20662817754.37001</v>
      </c>
      <c r="CH866" s="275">
        <f t="shared" ref="CH866:CH898" si="1062">BB866*BF866*CG866</f>
        <v>0</v>
      </c>
      <c r="CI866" s="275">
        <f t="shared" si="992"/>
        <v>0</v>
      </c>
      <c r="CJ866" s="275">
        <f>'Detailed Budget'!$AD$178</f>
        <v>46025131033.061455</v>
      </c>
      <c r="CK866" s="275">
        <f t="shared" si="1054"/>
        <v>0</v>
      </c>
      <c r="CL866" s="275">
        <f t="shared" si="1052"/>
        <v>0</v>
      </c>
      <c r="CM866" s="278">
        <f>'Detailed Budget'!$AD$189</f>
        <v>77498869683.252869</v>
      </c>
      <c r="CN866" s="275">
        <f t="shared" si="1037"/>
        <v>74211030.605235979</v>
      </c>
      <c r="CO866" s="140">
        <f>'Detailed Budget'!$AD$191</f>
        <v>2684962805.4134097</v>
      </c>
      <c r="CP866" s="616">
        <f t="shared" si="1038"/>
        <v>2571055.00687725</v>
      </c>
      <c r="CQ866" s="616">
        <f t="shared" si="1039"/>
        <v>76782085.612113222</v>
      </c>
      <c r="CR866" s="199">
        <f>'Detailed Budget'!$AD$195</f>
        <v>18734176418</v>
      </c>
      <c r="CS866" s="275">
        <f t="shared" ref="CS866:CS898" si="1063">BN866*CR866</f>
        <v>15434218.184422286</v>
      </c>
      <c r="CW866" s="278"/>
      <c r="DH866" s="140">
        <f>'Detailed Budget'!$AD$163</f>
        <v>4928560000</v>
      </c>
      <c r="DI866" s="616">
        <f t="shared" ref="DI866:DI898" si="1064">AP866*DH866</f>
        <v>5600000</v>
      </c>
    </row>
    <row r="867" spans="1:113" outlineLevel="1">
      <c r="A867" s="214" t="s">
        <v>1756</v>
      </c>
      <c r="B867" s="215" t="s">
        <v>1757</v>
      </c>
      <c r="C867" s="216" t="s">
        <v>234</v>
      </c>
      <c r="D867" s="217"/>
      <c r="E867" s="216"/>
      <c r="F867" s="216"/>
      <c r="G867" s="216" t="s">
        <v>234</v>
      </c>
      <c r="H867" s="216" t="s">
        <v>234</v>
      </c>
      <c r="I867" s="217" t="s">
        <v>234</v>
      </c>
      <c r="J867" s="217"/>
      <c r="K867" s="216"/>
      <c r="L867" s="216"/>
      <c r="M867" s="217"/>
      <c r="N867" s="216"/>
      <c r="O867" s="217" t="s">
        <v>234</v>
      </c>
      <c r="P867" s="216"/>
      <c r="Q867" s="217"/>
      <c r="R867" s="217" t="s">
        <v>234</v>
      </c>
      <c r="S867" s="217"/>
      <c r="T867" s="217"/>
      <c r="U867" s="218">
        <f t="shared" si="1010"/>
        <v>6</v>
      </c>
      <c r="V867" s="867" t="s">
        <v>235</v>
      </c>
      <c r="W867" s="219">
        <v>211811</v>
      </c>
      <c r="X867" s="220">
        <v>3.35</v>
      </c>
      <c r="Y867" s="221">
        <f t="shared" si="1045"/>
        <v>1.0335000000000001</v>
      </c>
      <c r="Z867" s="199">
        <v>19</v>
      </c>
      <c r="AA867" s="221">
        <f t="shared" si="1046"/>
        <v>1.8702477386515275</v>
      </c>
      <c r="AB867" s="199">
        <f t="shared" si="1050"/>
        <v>396139.04377151869</v>
      </c>
      <c r="AC867">
        <v>12.8</v>
      </c>
      <c r="AD867" s="199">
        <f t="shared" si="1051"/>
        <v>50705.797602754392</v>
      </c>
      <c r="AE867" s="199">
        <f t="shared" si="1047"/>
        <v>48170.507722616669</v>
      </c>
      <c r="AF867" s="199">
        <f t="shared" si="1044"/>
        <v>0</v>
      </c>
      <c r="AG867" s="614"/>
      <c r="AH867" s="199">
        <f t="shared" ref="AH867:AH898" si="1065">AB867*0.05</f>
        <v>19806.952188575935</v>
      </c>
      <c r="AI867" s="252">
        <f t="shared" si="1024"/>
        <v>1.5344145755851048E-3</v>
      </c>
      <c r="AJ867" s="199">
        <f t="shared" si="1025"/>
        <v>70512.749791330323</v>
      </c>
      <c r="AK867" s="199">
        <f t="shared" si="1048"/>
        <v>15845.561750860748</v>
      </c>
      <c r="AL867" s="199">
        <f t="shared" si="1049"/>
        <v>15845.561750860748</v>
      </c>
      <c r="AM867" s="199">
        <f t="shared" si="1026"/>
        <v>31691.123501721497</v>
      </c>
      <c r="AN867" s="645">
        <f t="shared" si="1027"/>
        <v>1.5344145755851048E-3</v>
      </c>
      <c r="AO867" s="199">
        <v>12</v>
      </c>
      <c r="AP867" s="250">
        <f t="shared" si="1028"/>
        <v>1.3634814225656176E-3</v>
      </c>
      <c r="AQ867" s="199">
        <v>12</v>
      </c>
      <c r="AU867" s="199">
        <v>0</v>
      </c>
      <c r="AW867" s="250">
        <f t="shared" si="1029"/>
        <v>0</v>
      </c>
      <c r="AX867" s="199">
        <v>1</v>
      </c>
      <c r="AY867" s="199">
        <f t="shared" si="1055"/>
        <v>25479.82435209649</v>
      </c>
      <c r="AZ867" s="199">
        <f t="shared" si="1030"/>
        <v>25479.82435209649</v>
      </c>
      <c r="BA867" s="252">
        <f t="shared" si="1031"/>
        <v>2.00287954059353E-3</v>
      </c>
      <c r="BB867" s="284">
        <v>0</v>
      </c>
      <c r="BC867" s="199">
        <f t="shared" si="1056"/>
        <v>0</v>
      </c>
      <c r="BD867" s="270">
        <f t="shared" si="993"/>
        <v>0</v>
      </c>
      <c r="BE867" s="199">
        <f t="shared" si="1057"/>
        <v>0</v>
      </c>
      <c r="BF867" s="251">
        <f t="shared" si="994"/>
        <v>0</v>
      </c>
      <c r="BG867" s="199">
        <f t="shared" si="1058"/>
        <v>0</v>
      </c>
      <c r="BH867" s="636">
        <v>1</v>
      </c>
      <c r="BI867" s="199">
        <f t="shared" si="1032"/>
        <v>121218.54739408473</v>
      </c>
      <c r="BJ867" s="199">
        <f t="shared" si="1033"/>
        <v>242437.09478816946</v>
      </c>
      <c r="BK867" s="199">
        <f t="shared" si="1040"/>
        <v>363655.64218225417</v>
      </c>
      <c r="BL867" s="251">
        <f t="shared" si="1034"/>
        <v>1.5344145755851048E-3</v>
      </c>
      <c r="BM867" s="199">
        <f t="shared" si="1059"/>
        <v>30570.724726194199</v>
      </c>
      <c r="BN867" s="251">
        <f t="shared" si="1035"/>
        <v>1.3201389669699388E-3</v>
      </c>
      <c r="BT867" s="199">
        <f>'Detailed Budget'!$AD$12</f>
        <v>194045122715</v>
      </c>
      <c r="BU867" s="199">
        <f>'Detailed Budget'!$AD$24</f>
        <v>194045122715</v>
      </c>
      <c r="BV867" s="596">
        <f t="shared" si="1060"/>
        <v>0</v>
      </c>
      <c r="BW867" s="278"/>
      <c r="BX867" s="275">
        <f t="shared" si="1042"/>
        <v>0</v>
      </c>
      <c r="BY867" s="275">
        <f t="shared" si="1043"/>
        <v>0</v>
      </c>
      <c r="CA867" s="199">
        <f>'Detailed Budget'!$AD$96</f>
        <v>71050111380.677719</v>
      </c>
      <c r="CB867" s="275">
        <f t="shared" si="1036"/>
        <v>142304814.44125092</v>
      </c>
      <c r="CE867" s="199">
        <f>'Detailed Budget'!$AD$175</f>
        <v>4330586076.5988197</v>
      </c>
      <c r="CF867" s="275">
        <f t="shared" si="1061"/>
        <v>0</v>
      </c>
      <c r="CG867" s="199">
        <f>'Detailed Budget'!$AD$176</f>
        <v>20662817754.37001</v>
      </c>
      <c r="CH867" s="275">
        <f t="shared" si="1062"/>
        <v>0</v>
      </c>
      <c r="CI867" s="275">
        <f t="shared" si="992"/>
        <v>0</v>
      </c>
      <c r="CJ867" s="275">
        <f>'Detailed Budget'!$AD$178</f>
        <v>46025131033.061455</v>
      </c>
      <c r="CK867" s="275">
        <f t="shared" si="1054"/>
        <v>0</v>
      </c>
      <c r="CL867" s="275">
        <f t="shared" si="1052"/>
        <v>0</v>
      </c>
      <c r="CM867" s="278">
        <f>'Detailed Budget'!$AD$189</f>
        <v>77498869683.252869</v>
      </c>
      <c r="CN867" s="275">
        <f t="shared" si="1037"/>
        <v>118915395.23335379</v>
      </c>
      <c r="CO867" s="140">
        <f>'Detailed Budget'!$AD$191</f>
        <v>2684962805.4134097</v>
      </c>
      <c r="CP867" s="616">
        <f t="shared" si="1038"/>
        <v>4119846.0635302095</v>
      </c>
      <c r="CQ867" s="616">
        <f t="shared" si="1039"/>
        <v>123035241.296884</v>
      </c>
      <c r="CR867" s="199">
        <f>'Detailed Budget'!$AD$195</f>
        <v>18734176418</v>
      </c>
      <c r="CS867" s="275">
        <f t="shared" si="1063"/>
        <v>24731716.303491108</v>
      </c>
      <c r="CW867" s="278"/>
      <c r="DH867" s="140">
        <f>'Detailed Budget'!$AD$163</f>
        <v>4928560000</v>
      </c>
      <c r="DI867" s="616">
        <f t="shared" si="1064"/>
        <v>6720000</v>
      </c>
    </row>
    <row r="868" spans="1:113" outlineLevel="1">
      <c r="A868" s="214" t="s">
        <v>1758</v>
      </c>
      <c r="B868" s="215" t="s">
        <v>1759</v>
      </c>
      <c r="C868" s="216" t="s">
        <v>234</v>
      </c>
      <c r="D868" s="217"/>
      <c r="E868" s="216"/>
      <c r="F868" s="216"/>
      <c r="G868" s="216" t="s">
        <v>234</v>
      </c>
      <c r="H868" s="216" t="s">
        <v>234</v>
      </c>
      <c r="I868" s="217" t="s">
        <v>234</v>
      </c>
      <c r="J868" s="217"/>
      <c r="K868" s="216"/>
      <c r="L868" s="216"/>
      <c r="M868" s="217"/>
      <c r="N868" s="216" t="s">
        <v>234</v>
      </c>
      <c r="O868" s="217"/>
      <c r="P868" s="216"/>
      <c r="Q868" s="217"/>
      <c r="R868" s="217" t="s">
        <v>234</v>
      </c>
      <c r="S868" s="217"/>
      <c r="T868" s="217"/>
      <c r="U868" s="218">
        <f t="shared" si="1010"/>
        <v>6</v>
      </c>
      <c r="V868" s="867" t="s">
        <v>235</v>
      </c>
      <c r="W868" s="219">
        <v>168246</v>
      </c>
      <c r="X868" s="220">
        <v>3.35</v>
      </c>
      <c r="Y868" s="221">
        <f t="shared" si="1045"/>
        <v>1.0335000000000001</v>
      </c>
      <c r="Z868" s="199">
        <v>19</v>
      </c>
      <c r="AA868" s="221">
        <f t="shared" si="1046"/>
        <v>1.8702477386515275</v>
      </c>
      <c r="AB868" s="199">
        <f t="shared" si="1050"/>
        <v>314661.70103716489</v>
      </c>
      <c r="AC868">
        <v>12.8</v>
      </c>
      <c r="AD868" s="199">
        <f t="shared" si="1051"/>
        <v>40276.697732757108</v>
      </c>
      <c r="AE868" s="199">
        <f t="shared" si="1047"/>
        <v>38262.862846119249</v>
      </c>
      <c r="AF868" s="199">
        <f t="shared" si="1044"/>
        <v>0</v>
      </c>
      <c r="AG868" s="614"/>
      <c r="AH868" s="199">
        <f t="shared" si="1065"/>
        <v>15733.085051858245</v>
      </c>
      <c r="AI868" s="252">
        <f t="shared" si="1024"/>
        <v>1.2188182610152047E-3</v>
      </c>
      <c r="AJ868" s="199">
        <f t="shared" si="1025"/>
        <v>56009.782784615352</v>
      </c>
      <c r="AK868" s="199">
        <f t="shared" si="1048"/>
        <v>12586.468041486596</v>
      </c>
      <c r="AL868" s="199">
        <f t="shared" si="1049"/>
        <v>12586.468041486596</v>
      </c>
      <c r="AM868" s="199">
        <f t="shared" si="1026"/>
        <v>25172.936082973192</v>
      </c>
      <c r="AN868" s="645">
        <f t="shared" si="1027"/>
        <v>1.2188182610152047E-3</v>
      </c>
      <c r="AO868" s="199">
        <v>10</v>
      </c>
      <c r="AP868" s="250">
        <f t="shared" si="1028"/>
        <v>1.1362345188046814E-3</v>
      </c>
      <c r="AQ868" s="199">
        <v>10</v>
      </c>
      <c r="AU868" s="199">
        <v>0</v>
      </c>
      <c r="AW868" s="250">
        <f t="shared" si="1029"/>
        <v>0</v>
      </c>
      <c r="AX868" s="199">
        <v>1</v>
      </c>
      <c r="AY868" s="199">
        <f t="shared" si="1055"/>
        <v>20239.168541496085</v>
      </c>
      <c r="AZ868" s="199">
        <f t="shared" si="1030"/>
        <v>20239.168541496085</v>
      </c>
      <c r="BA868" s="252">
        <f t="shared" si="1031"/>
        <v>1.5909299856319982E-3</v>
      </c>
      <c r="BB868" s="284">
        <v>0</v>
      </c>
      <c r="BC868" s="199">
        <f t="shared" si="1056"/>
        <v>0</v>
      </c>
      <c r="BD868" s="270">
        <f t="shared" si="993"/>
        <v>0</v>
      </c>
      <c r="BE868" s="199">
        <f t="shared" si="1057"/>
        <v>0</v>
      </c>
      <c r="BF868" s="251">
        <f t="shared" si="994"/>
        <v>0</v>
      </c>
      <c r="BG868" s="199">
        <f t="shared" si="1058"/>
        <v>0</v>
      </c>
      <c r="BH868" s="636">
        <v>1</v>
      </c>
      <c r="BI868" s="199">
        <f t="shared" si="1032"/>
        <v>96286.48051737246</v>
      </c>
      <c r="BJ868" s="199">
        <f t="shared" si="1033"/>
        <v>192572.96103474492</v>
      </c>
      <c r="BK868" s="199">
        <f t="shared" si="1040"/>
        <v>288859.44155211735</v>
      </c>
      <c r="BL868" s="251">
        <f t="shared" si="1034"/>
        <v>1.2188182610152047E-3</v>
      </c>
      <c r="BM868" s="199">
        <f t="shared" si="1059"/>
        <v>24282.979412227265</v>
      </c>
      <c r="BN868" s="251">
        <f t="shared" si="1035"/>
        <v>1.0486145697665575E-3</v>
      </c>
      <c r="BT868" s="199">
        <f>'Detailed Budget'!$AD$12</f>
        <v>194045122715</v>
      </c>
      <c r="BU868" s="199">
        <f>'Detailed Budget'!$AD$24</f>
        <v>194045122715</v>
      </c>
      <c r="BV868" s="596">
        <f t="shared" si="1060"/>
        <v>0</v>
      </c>
      <c r="BW868" s="278"/>
      <c r="BX868" s="275">
        <f t="shared" si="1042"/>
        <v>0</v>
      </c>
      <c r="BY868" s="275">
        <f t="shared" si="1043"/>
        <v>0</v>
      </c>
      <c r="CA868" s="199">
        <f>'Detailed Budget'!$AD$96</f>
        <v>71050111380.677719</v>
      </c>
      <c r="CB868" s="275">
        <f t="shared" si="1036"/>
        <v>113035752.67801347</v>
      </c>
      <c r="CE868" s="199">
        <f>'Detailed Budget'!$AD$175</f>
        <v>4330586076.5988197</v>
      </c>
      <c r="CF868" s="275">
        <f t="shared" si="1061"/>
        <v>0</v>
      </c>
      <c r="CG868" s="199">
        <f>'Detailed Budget'!$AD$176</f>
        <v>20662817754.37001</v>
      </c>
      <c r="CH868" s="275">
        <f t="shared" si="1062"/>
        <v>0</v>
      </c>
      <c r="CI868" s="275">
        <f t="shared" si="992"/>
        <v>0</v>
      </c>
      <c r="CJ868" s="275">
        <f>'Detailed Budget'!$AD$178</f>
        <v>46025131033.061455</v>
      </c>
      <c r="CK868" s="275">
        <f t="shared" si="1054"/>
        <v>0</v>
      </c>
      <c r="CL868" s="275">
        <f t="shared" si="1052"/>
        <v>0</v>
      </c>
      <c r="CM868" s="278">
        <f>'Detailed Budget'!$AD$189</f>
        <v>77498869683.252869</v>
      </c>
      <c r="CN868" s="275">
        <f t="shared" si="1037"/>
        <v>94457037.577986225</v>
      </c>
      <c r="CO868" s="140">
        <f>'Detailed Budget'!$AD$191</f>
        <v>2684962805.4134097</v>
      </c>
      <c r="CP868" s="616">
        <f t="shared" si="1038"/>
        <v>3272481.6973844771</v>
      </c>
      <c r="CQ868" s="616">
        <f t="shared" si="1039"/>
        <v>97729519.275370702</v>
      </c>
      <c r="CR868" s="199">
        <f>'Detailed Budget'!$AD$195</f>
        <v>18734176418</v>
      </c>
      <c r="CS868" s="275">
        <f t="shared" si="1063"/>
        <v>19644930.344491858</v>
      </c>
      <c r="CW868" s="278"/>
      <c r="DH868" s="140">
        <f>'Detailed Budget'!$AD$163</f>
        <v>4928560000</v>
      </c>
      <c r="DI868" s="616">
        <f t="shared" si="1064"/>
        <v>5600000</v>
      </c>
    </row>
    <row r="869" spans="1:113" outlineLevel="1">
      <c r="A869" s="214" t="s">
        <v>1760</v>
      </c>
      <c r="B869" s="215" t="s">
        <v>1761</v>
      </c>
      <c r="C869" s="216" t="s">
        <v>234</v>
      </c>
      <c r="D869" s="217"/>
      <c r="E869" s="216"/>
      <c r="F869" s="216"/>
      <c r="G869" s="216" t="s">
        <v>234</v>
      </c>
      <c r="H869" s="216" t="s">
        <v>234</v>
      </c>
      <c r="I869" s="217" t="s">
        <v>234</v>
      </c>
      <c r="J869" s="217"/>
      <c r="K869" s="216"/>
      <c r="L869" s="216"/>
      <c r="M869" s="217" t="s">
        <v>234</v>
      </c>
      <c r="N869" s="216"/>
      <c r="O869" s="217"/>
      <c r="P869" s="216"/>
      <c r="Q869" s="217"/>
      <c r="R869" s="217" t="s">
        <v>234</v>
      </c>
      <c r="S869" s="217"/>
      <c r="T869" s="217"/>
      <c r="U869" s="218">
        <f t="shared" si="1010"/>
        <v>6</v>
      </c>
      <c r="V869" s="867" t="s">
        <v>235</v>
      </c>
      <c r="W869" s="219">
        <v>109965</v>
      </c>
      <c r="X869" s="220">
        <v>3.35</v>
      </c>
      <c r="Y869" s="221">
        <f t="shared" si="1045"/>
        <v>1.0335000000000001</v>
      </c>
      <c r="Z869" s="199">
        <v>19</v>
      </c>
      <c r="AA869" s="221">
        <f t="shared" si="1046"/>
        <v>1.8702477386515275</v>
      </c>
      <c r="AB869" s="199">
        <f t="shared" si="1050"/>
        <v>205661.79258081521</v>
      </c>
      <c r="AC869">
        <v>12.8</v>
      </c>
      <c r="AD869" s="199">
        <f t="shared" si="1051"/>
        <v>26324.709450344351</v>
      </c>
      <c r="AE869" s="199">
        <f t="shared" si="1047"/>
        <v>25008.473977827132</v>
      </c>
      <c r="AF869" s="199">
        <f t="shared" si="1044"/>
        <v>0</v>
      </c>
      <c r="AG869" s="614"/>
      <c r="AH869" s="199">
        <f t="shared" si="1065"/>
        <v>10283.089629040762</v>
      </c>
      <c r="AI869" s="252">
        <f t="shared" si="1024"/>
        <v>7.9661537315916576E-4</v>
      </c>
      <c r="AJ869" s="199">
        <f t="shared" si="1025"/>
        <v>36607.799079385113</v>
      </c>
      <c r="AK869" s="199">
        <f t="shared" si="1048"/>
        <v>8226.471703232608</v>
      </c>
      <c r="AL869" s="199">
        <f t="shared" si="1049"/>
        <v>8226.471703232608</v>
      </c>
      <c r="AM869" s="199">
        <f t="shared" si="1026"/>
        <v>16452.943406465216</v>
      </c>
      <c r="AN869" s="645">
        <f t="shared" si="1027"/>
        <v>7.9661537315916554E-4</v>
      </c>
      <c r="AO869" s="199">
        <v>10</v>
      </c>
      <c r="AP869" s="250">
        <f t="shared" si="1028"/>
        <v>1.1362345188046814E-3</v>
      </c>
      <c r="AQ869" s="199">
        <v>10</v>
      </c>
      <c r="AU869" s="199">
        <v>0</v>
      </c>
      <c r="AW869" s="250">
        <f t="shared" si="1029"/>
        <v>0</v>
      </c>
      <c r="AX869" s="199">
        <v>1</v>
      </c>
      <c r="AY869" s="199">
        <f t="shared" si="1055"/>
        <v>13228.25011391425</v>
      </c>
      <c r="AZ869" s="199">
        <f t="shared" si="1030"/>
        <v>13228.25011391425</v>
      </c>
      <c r="BA869" s="252">
        <f t="shared" si="1031"/>
        <v>1.039826301190059E-3</v>
      </c>
      <c r="BB869" s="284">
        <v>0</v>
      </c>
      <c r="BC869" s="199">
        <f t="shared" si="1056"/>
        <v>0</v>
      </c>
      <c r="BD869" s="270">
        <f t="shared" si="993"/>
        <v>0</v>
      </c>
      <c r="BE869" s="199">
        <f t="shared" si="1057"/>
        <v>0</v>
      </c>
      <c r="BF869" s="251">
        <f t="shared" si="994"/>
        <v>0</v>
      </c>
      <c r="BG869" s="199">
        <f t="shared" si="1058"/>
        <v>0</v>
      </c>
      <c r="BH869" s="636">
        <v>1</v>
      </c>
      <c r="BI869" s="199">
        <f t="shared" si="1032"/>
        <v>62932.50852972945</v>
      </c>
      <c r="BJ869" s="199">
        <f t="shared" si="1033"/>
        <v>125865.0170594589</v>
      </c>
      <c r="BK869" s="199">
        <f t="shared" si="1040"/>
        <v>188797.52558918836</v>
      </c>
      <c r="BL869" s="251">
        <f t="shared" si="1034"/>
        <v>7.9661537315916565E-4</v>
      </c>
      <c r="BM869" s="199">
        <f t="shared" si="1059"/>
        <v>15871.270824064593</v>
      </c>
      <c r="BN869" s="251">
        <f t="shared" si="1035"/>
        <v>6.8537083297302468E-4</v>
      </c>
      <c r="BT869" s="199">
        <f>'Detailed Budget'!$AD$12</f>
        <v>194045122715</v>
      </c>
      <c r="BU869" s="199">
        <f>'Detailed Budget'!$AD$24</f>
        <v>194045122715</v>
      </c>
      <c r="BV869" s="596">
        <f t="shared" si="1060"/>
        <v>0</v>
      </c>
      <c r="BW869" s="278"/>
      <c r="BX869" s="275">
        <f t="shared" si="1042"/>
        <v>0</v>
      </c>
      <c r="BY869" s="275">
        <f t="shared" si="1043"/>
        <v>0</v>
      </c>
      <c r="CA869" s="199">
        <f>'Detailed Budget'!$AD$96</f>
        <v>71050111380.677719</v>
      </c>
      <c r="CB869" s="275">
        <f t="shared" si="1036"/>
        <v>73879774.516111821</v>
      </c>
      <c r="CE869" s="199">
        <f>'Detailed Budget'!$AD$175</f>
        <v>4330586076.5988197</v>
      </c>
      <c r="CF869" s="275">
        <f t="shared" si="1061"/>
        <v>0</v>
      </c>
      <c r="CG869" s="199">
        <f>'Detailed Budget'!$AD$176</f>
        <v>20662817754.37001</v>
      </c>
      <c r="CH869" s="275">
        <f t="shared" si="1062"/>
        <v>0</v>
      </c>
      <c r="CI869" s="275">
        <f t="shared" ref="CI869:CI898" si="1066">CF869+CH869</f>
        <v>0</v>
      </c>
      <c r="CJ869" s="275">
        <f>'Detailed Budget'!$AD$178</f>
        <v>46025131033.061455</v>
      </c>
      <c r="CK869" s="275">
        <f t="shared" si="1054"/>
        <v>0</v>
      </c>
      <c r="CL869" s="275">
        <f t="shared" si="1052"/>
        <v>0</v>
      </c>
      <c r="CM869" s="278">
        <f>'Detailed Budget'!$AD$189</f>
        <v>77498869683.252869</v>
      </c>
      <c r="CN869" s="275">
        <f t="shared" si="1037"/>
        <v>61736790.992138036</v>
      </c>
      <c r="CO869" s="140">
        <f>'Detailed Budget'!$AD$191</f>
        <v>2684962805.4134097</v>
      </c>
      <c r="CP869" s="616">
        <f t="shared" si="1038"/>
        <v>2138882.6471528835</v>
      </c>
      <c r="CQ869" s="616">
        <f t="shared" si="1039"/>
        <v>63875673.639290921</v>
      </c>
      <c r="CR869" s="199">
        <f>'Detailed Budget'!$AD$195</f>
        <v>18734176418</v>
      </c>
      <c r="CS869" s="275">
        <f t="shared" si="1063"/>
        <v>12839858.096668256</v>
      </c>
      <c r="CW869" s="278"/>
      <c r="DH869" s="140">
        <f>'Detailed Budget'!$AD$163</f>
        <v>4928560000</v>
      </c>
      <c r="DI869" s="616">
        <f t="shared" si="1064"/>
        <v>5600000</v>
      </c>
    </row>
    <row r="870" spans="1:113" outlineLevel="1">
      <c r="A870" s="214" t="s">
        <v>1762</v>
      </c>
      <c r="B870" s="215" t="s">
        <v>1763</v>
      </c>
      <c r="C870" s="216" t="s">
        <v>234</v>
      </c>
      <c r="D870" s="217"/>
      <c r="E870" s="216"/>
      <c r="F870" s="216"/>
      <c r="G870" s="216" t="s">
        <v>234</v>
      </c>
      <c r="H870" s="216" t="s">
        <v>234</v>
      </c>
      <c r="I870" s="217" t="s">
        <v>234</v>
      </c>
      <c r="J870" s="217"/>
      <c r="K870" s="216"/>
      <c r="L870" s="216"/>
      <c r="M870" s="217"/>
      <c r="N870" s="216"/>
      <c r="O870" s="217" t="s">
        <v>234</v>
      </c>
      <c r="P870" s="216"/>
      <c r="Q870" s="217"/>
      <c r="R870" s="217" t="s">
        <v>234</v>
      </c>
      <c r="S870" s="217"/>
      <c r="T870" s="217"/>
      <c r="U870" s="218">
        <f t="shared" si="1010"/>
        <v>6</v>
      </c>
      <c r="V870" s="867" t="s">
        <v>235</v>
      </c>
      <c r="W870" s="219">
        <v>283643</v>
      </c>
      <c r="X870" s="220">
        <v>3.35</v>
      </c>
      <c r="Y870" s="221">
        <f t="shared" si="1045"/>
        <v>1.0335000000000001</v>
      </c>
      <c r="Z870" s="199">
        <v>19</v>
      </c>
      <c r="AA870" s="221">
        <f t="shared" si="1046"/>
        <v>1.8702477386515275</v>
      </c>
      <c r="AB870" s="199">
        <f t="shared" si="1050"/>
        <v>530482.67933433526</v>
      </c>
      <c r="AC870">
        <v>12.8</v>
      </c>
      <c r="AD870" s="199">
        <f t="shared" si="1051"/>
        <v>67901.782954794908</v>
      </c>
      <c r="AE870" s="199">
        <f t="shared" si="1047"/>
        <v>64506.693807055162</v>
      </c>
      <c r="AF870" s="199">
        <f t="shared" si="1044"/>
        <v>0</v>
      </c>
      <c r="AG870" s="614"/>
      <c r="AH870" s="199">
        <f t="shared" si="1065"/>
        <v>26524.133966716763</v>
      </c>
      <c r="AI870" s="252">
        <f t="shared" si="1024"/>
        <v>2.0547844704131794E-3</v>
      </c>
      <c r="AJ870" s="199">
        <f t="shared" si="1025"/>
        <v>94425.916921511671</v>
      </c>
      <c r="AK870" s="199">
        <f t="shared" si="1048"/>
        <v>21219.30717337341</v>
      </c>
      <c r="AL870" s="199">
        <f t="shared" si="1049"/>
        <v>21219.30717337341</v>
      </c>
      <c r="AM870" s="199">
        <f t="shared" si="1026"/>
        <v>42438.614346746821</v>
      </c>
      <c r="AN870" s="645">
        <f t="shared" si="1027"/>
        <v>2.0547844704131794E-3</v>
      </c>
      <c r="AO870" s="199">
        <v>11</v>
      </c>
      <c r="AP870" s="250">
        <f t="shared" si="1028"/>
        <v>1.2498579706851495E-3</v>
      </c>
      <c r="AQ870" s="199">
        <v>11</v>
      </c>
      <c r="AU870" s="199">
        <v>0</v>
      </c>
      <c r="AW870" s="250">
        <f t="shared" si="1029"/>
        <v>0</v>
      </c>
      <c r="AX870" s="199">
        <v>1</v>
      </c>
      <c r="AY870" s="199">
        <f t="shared" si="1055"/>
        <v>34120.861611066968</v>
      </c>
      <c r="AZ870" s="199">
        <f t="shared" si="1030"/>
        <v>34120.861611066968</v>
      </c>
      <c r="BA870" s="252">
        <f t="shared" si="1031"/>
        <v>2.6821211435315954E-3</v>
      </c>
      <c r="BB870" s="284">
        <v>0</v>
      </c>
      <c r="BC870" s="199">
        <f t="shared" si="1056"/>
        <v>0</v>
      </c>
      <c r="BD870" s="270">
        <f t="shared" ref="BD870:BD898" si="1067">BC870/11104067</f>
        <v>0</v>
      </c>
      <c r="BE870" s="199">
        <f t="shared" si="1057"/>
        <v>0</v>
      </c>
      <c r="BF870" s="251">
        <f t="shared" ref="BF870:BF898" si="1068">BE870/47500730</f>
        <v>0</v>
      </c>
      <c r="BG870" s="199">
        <f t="shared" si="1058"/>
        <v>0</v>
      </c>
      <c r="BH870" s="636">
        <v>1</v>
      </c>
      <c r="BI870" s="199">
        <f t="shared" si="1032"/>
        <v>162327.69987630661</v>
      </c>
      <c r="BJ870" s="199">
        <f t="shared" si="1033"/>
        <v>324655.39975261322</v>
      </c>
      <c r="BK870" s="199">
        <f t="shared" si="1040"/>
        <v>486983.09962891985</v>
      </c>
      <c r="BL870" s="251">
        <f t="shared" si="1034"/>
        <v>2.0547844704131794E-3</v>
      </c>
      <c r="BM870" s="199">
        <f t="shared" si="1059"/>
        <v>40938.251901515512</v>
      </c>
      <c r="BN870" s="251">
        <f t="shared" si="1035"/>
        <v>1.7678410328465207E-3</v>
      </c>
      <c r="BT870" s="199">
        <f>'Detailed Budget'!$AD$12</f>
        <v>194045122715</v>
      </c>
      <c r="BU870" s="199">
        <f>'Detailed Budget'!$AD$24</f>
        <v>194045122715</v>
      </c>
      <c r="BV870" s="596">
        <f t="shared" si="1060"/>
        <v>0</v>
      </c>
      <c r="BW870" s="278"/>
      <c r="BX870" s="275">
        <f t="shared" si="1042"/>
        <v>0</v>
      </c>
      <c r="BY870" s="275">
        <f t="shared" si="1043"/>
        <v>0</v>
      </c>
      <c r="CA870" s="199">
        <f>'Detailed Budget'!$AD$96</f>
        <v>71050111380.677719</v>
      </c>
      <c r="CB870" s="275">
        <f t="shared" si="1036"/>
        <v>190565005.98439056</v>
      </c>
      <c r="CE870" s="199">
        <f>'Detailed Budget'!$AD$175</f>
        <v>4330586076.5988197</v>
      </c>
      <c r="CF870" s="275">
        <f t="shared" si="1061"/>
        <v>0</v>
      </c>
      <c r="CG870" s="199">
        <f>'Detailed Budget'!$AD$176</f>
        <v>20662817754.37001</v>
      </c>
      <c r="CH870" s="275">
        <f t="shared" si="1062"/>
        <v>0</v>
      </c>
      <c r="CI870" s="275">
        <f t="shared" si="1066"/>
        <v>0</v>
      </c>
      <c r="CJ870" s="275">
        <f>'Detailed Budget'!$AD$178</f>
        <v>46025131033.061455</v>
      </c>
      <c r="CK870" s="275">
        <f t="shared" si="1054"/>
        <v>0</v>
      </c>
      <c r="CL870" s="275">
        <f t="shared" si="1052"/>
        <v>0</v>
      </c>
      <c r="CM870" s="278">
        <f>'Detailed Budget'!$AD$189</f>
        <v>77498869683.252869</v>
      </c>
      <c r="CN870" s="275">
        <f t="shared" si="1037"/>
        <v>159243473.89972275</v>
      </c>
      <c r="CO870" s="140">
        <f>'Detailed Budget'!$AD$191</f>
        <v>2684962805.4134097</v>
      </c>
      <c r="CP870" s="616">
        <f t="shared" si="1038"/>
        <v>5517019.8762004776</v>
      </c>
      <c r="CQ870" s="616">
        <f t="shared" si="1039"/>
        <v>164760493.77592322</v>
      </c>
      <c r="CR870" s="199">
        <f>'Detailed Budget'!$AD$195</f>
        <v>18734176418</v>
      </c>
      <c r="CS870" s="275">
        <f t="shared" si="1063"/>
        <v>33119045.788326051</v>
      </c>
      <c r="CW870" s="278"/>
      <c r="DH870" s="140">
        <f>'Detailed Budget'!$AD$163</f>
        <v>4928560000</v>
      </c>
      <c r="DI870" s="616">
        <f t="shared" si="1064"/>
        <v>6160000</v>
      </c>
    </row>
    <row r="871" spans="1:113" outlineLevel="1">
      <c r="A871" s="214" t="s">
        <v>1764</v>
      </c>
      <c r="B871" s="215" t="s">
        <v>1765</v>
      </c>
      <c r="C871" s="216" t="s">
        <v>234</v>
      </c>
      <c r="D871" s="217"/>
      <c r="E871" s="216"/>
      <c r="F871" s="216"/>
      <c r="G871" s="216" t="s">
        <v>234</v>
      </c>
      <c r="H871" s="216" t="s">
        <v>234</v>
      </c>
      <c r="I871" s="217" t="s">
        <v>234</v>
      </c>
      <c r="J871" s="217"/>
      <c r="K871" s="216"/>
      <c r="L871" s="216"/>
      <c r="M871" s="217"/>
      <c r="N871" s="216"/>
      <c r="O871" s="217" t="s">
        <v>234</v>
      </c>
      <c r="P871" s="216"/>
      <c r="Q871" s="217" t="s">
        <v>234</v>
      </c>
      <c r="R871" s="217"/>
      <c r="S871" s="217"/>
      <c r="T871" s="217"/>
      <c r="U871" s="218">
        <f>COUNTA(C871:T871)</f>
        <v>6</v>
      </c>
      <c r="V871" s="867" t="s">
        <v>1096</v>
      </c>
      <c r="W871" s="219">
        <v>331444</v>
      </c>
      <c r="X871" s="220">
        <v>3.35</v>
      </c>
      <c r="Y871" s="221">
        <f t="shared" si="1045"/>
        <v>1.0335000000000001</v>
      </c>
      <c r="Z871" s="199">
        <v>19</v>
      </c>
      <c r="AA871" s="221">
        <f t="shared" si="1046"/>
        <v>1.8702477386515275</v>
      </c>
      <c r="AB871" s="199">
        <f t="shared" si="1050"/>
        <v>619882.39148961683</v>
      </c>
      <c r="AC871">
        <v>12.8</v>
      </c>
      <c r="AD871" s="199">
        <f t="shared" si="1051"/>
        <v>79344.946110670964</v>
      </c>
      <c r="AE871" s="199">
        <f t="shared" si="1047"/>
        <v>75377.698805137406</v>
      </c>
      <c r="AF871" s="199">
        <f t="shared" si="1044"/>
        <v>0</v>
      </c>
      <c r="AG871" s="614"/>
      <c r="AH871" s="199">
        <f t="shared" si="1065"/>
        <v>30994.119574480843</v>
      </c>
      <c r="AI871" s="252">
        <f t="shared" si="1024"/>
        <v>2.4010674827569362E-3</v>
      </c>
      <c r="AJ871" s="199">
        <f t="shared" si="1025"/>
        <v>110339.06568515181</v>
      </c>
      <c r="AK871" s="199">
        <f t="shared" si="1048"/>
        <v>24795.295659584674</v>
      </c>
      <c r="AL871" s="199">
        <f t="shared" si="1049"/>
        <v>24795.295659584674</v>
      </c>
      <c r="AM871" s="199">
        <f t="shared" si="1026"/>
        <v>49590.591319169347</v>
      </c>
      <c r="AN871" s="645">
        <f t="shared" si="1027"/>
        <v>2.4010674827569362E-3</v>
      </c>
      <c r="AO871" s="199">
        <v>12</v>
      </c>
      <c r="AP871" s="250">
        <f t="shared" si="1028"/>
        <v>1.3634814225656176E-3</v>
      </c>
      <c r="AQ871" s="199">
        <v>12</v>
      </c>
      <c r="AU871" s="199">
        <v>0</v>
      </c>
      <c r="AW871" s="250">
        <f t="shared" si="1029"/>
        <v>0</v>
      </c>
      <c r="AX871" s="199">
        <v>1</v>
      </c>
      <c r="AY871" s="199">
        <f t="shared" si="1055"/>
        <v>39871.087443788434</v>
      </c>
      <c r="AZ871" s="199">
        <f t="shared" si="1030"/>
        <v>39871.087443788434</v>
      </c>
      <c r="BA871" s="252">
        <f t="shared" si="1031"/>
        <v>3.1341262089904782E-3</v>
      </c>
      <c r="BB871" s="284">
        <v>0</v>
      </c>
      <c r="BC871" s="199">
        <f t="shared" si="1056"/>
        <v>0</v>
      </c>
      <c r="BD871" s="270">
        <f t="shared" si="1067"/>
        <v>0</v>
      </c>
      <c r="BE871" s="199">
        <f t="shared" si="1057"/>
        <v>0</v>
      </c>
      <c r="BF871" s="251">
        <f t="shared" si="1068"/>
        <v>0</v>
      </c>
      <c r="BG871" s="199">
        <f t="shared" si="1058"/>
        <v>0</v>
      </c>
      <c r="BH871" s="636">
        <v>1</v>
      </c>
      <c r="BI871" s="199">
        <f t="shared" si="1032"/>
        <v>189684.01179582273</v>
      </c>
      <c r="BJ871" s="199">
        <f t="shared" si="1033"/>
        <v>379368.02359164547</v>
      </c>
      <c r="BK871" s="199">
        <f t="shared" si="1040"/>
        <v>569052.03538746818</v>
      </c>
      <c r="BL871" s="251">
        <f t="shared" si="1034"/>
        <v>2.4010674827569358E-3</v>
      </c>
      <c r="BM871" s="199">
        <f t="shared" si="1059"/>
        <v>47837.379957361562</v>
      </c>
      <c r="BN871" s="251">
        <f t="shared" si="1035"/>
        <v>2.0657668382113503E-3</v>
      </c>
      <c r="BT871" s="199">
        <f>'Detailed Budget'!$AD$12</f>
        <v>194045122715</v>
      </c>
      <c r="BU871" s="199">
        <f>'Detailed Budget'!$AD$24</f>
        <v>194045122715</v>
      </c>
      <c r="BV871" s="596">
        <f t="shared" si="1060"/>
        <v>0</v>
      </c>
      <c r="BW871" s="278"/>
      <c r="BX871" s="275">
        <f t="shared" si="1042"/>
        <v>0</v>
      </c>
      <c r="BY871" s="275">
        <f t="shared" si="1043"/>
        <v>0</v>
      </c>
      <c r="CA871" s="199">
        <f>'Detailed Budget'!$AD$96</f>
        <v>71050111380.677719</v>
      </c>
      <c r="CB871" s="275">
        <f t="shared" si="1036"/>
        <v>222680016.2298747</v>
      </c>
      <c r="CE871" s="199">
        <f>'Detailed Budget'!$AD$175</f>
        <v>4330586076.5988197</v>
      </c>
      <c r="CF871" s="275">
        <f t="shared" si="1061"/>
        <v>0</v>
      </c>
      <c r="CG871" s="199">
        <f>'Detailed Budget'!$AD$176</f>
        <v>20662817754.37001</v>
      </c>
      <c r="CH871" s="275">
        <f t="shared" si="1062"/>
        <v>0</v>
      </c>
      <c r="CI871" s="275">
        <f t="shared" si="1066"/>
        <v>0</v>
      </c>
      <c r="CJ871" s="275">
        <f>'Detailed Budget'!$AD$178</f>
        <v>46025131033.061455</v>
      </c>
      <c r="CK871" s="275">
        <f t="shared" si="1054"/>
        <v>0</v>
      </c>
      <c r="CL871" s="275">
        <f t="shared" si="1052"/>
        <v>0</v>
      </c>
      <c r="CM871" s="278">
        <f>'Detailed Budget'!$AD$189</f>
        <v>77498869683.252869</v>
      </c>
      <c r="CN871" s="275">
        <f t="shared" si="1037"/>
        <v>186080015.94687578</v>
      </c>
      <c r="CO871" s="140">
        <f>'Detailed Budget'!$AD$191</f>
        <v>2684962805.4134097</v>
      </c>
      <c r="CP871" s="616">
        <f t="shared" si="1038"/>
        <v>6446776.8844899768</v>
      </c>
      <c r="CQ871" s="616">
        <f t="shared" si="1039"/>
        <v>192526792.83136576</v>
      </c>
      <c r="CR871" s="199">
        <f>'Detailed Budget'!$AD$195</f>
        <v>18734176418</v>
      </c>
      <c r="CS871" s="275">
        <f t="shared" si="1063"/>
        <v>38700440.385505497</v>
      </c>
      <c r="CW871" s="278"/>
      <c r="DH871" s="140">
        <f>'Detailed Budget'!$AD$163</f>
        <v>4928560000</v>
      </c>
      <c r="DI871" s="616">
        <f t="shared" si="1064"/>
        <v>6720000</v>
      </c>
    </row>
    <row r="872" spans="1:113" outlineLevel="1">
      <c r="A872" s="214" t="s">
        <v>1766</v>
      </c>
      <c r="B872" s="215" t="s">
        <v>1767</v>
      </c>
      <c r="C872" s="216" t="s">
        <v>234</v>
      </c>
      <c r="D872" s="217"/>
      <c r="E872" s="216"/>
      <c r="F872" s="216"/>
      <c r="G872" s="216" t="s">
        <v>234</v>
      </c>
      <c r="H872" s="216" t="s">
        <v>234</v>
      </c>
      <c r="I872" s="217" t="s">
        <v>234</v>
      </c>
      <c r="J872" s="217"/>
      <c r="K872" s="216"/>
      <c r="L872" s="216"/>
      <c r="M872" s="217"/>
      <c r="N872" s="216"/>
      <c r="O872" s="217" t="s">
        <v>234</v>
      </c>
      <c r="P872" s="216"/>
      <c r="Q872" s="217" t="s">
        <v>234</v>
      </c>
      <c r="R872" s="217"/>
      <c r="S872" s="217"/>
      <c r="T872" s="217"/>
      <c r="U872" s="218">
        <f t="shared" si="1010"/>
        <v>6</v>
      </c>
      <c r="V872" s="867" t="s">
        <v>1096</v>
      </c>
      <c r="W872" s="219">
        <v>308119</v>
      </c>
      <c r="X872" s="220">
        <v>3.35</v>
      </c>
      <c r="Y872" s="221">
        <f t="shared" si="1045"/>
        <v>1.0335000000000001</v>
      </c>
      <c r="Z872" s="199">
        <v>19</v>
      </c>
      <c r="AA872" s="221">
        <f t="shared" si="1046"/>
        <v>1.8702477386515275</v>
      </c>
      <c r="AB872" s="199">
        <f t="shared" si="1050"/>
        <v>576258.86298556998</v>
      </c>
      <c r="AC872">
        <v>12.8</v>
      </c>
      <c r="AD872" s="199">
        <f t="shared" si="1051"/>
        <v>73761.134462152957</v>
      </c>
      <c r="AE872" s="199">
        <f t="shared" si="1047"/>
        <v>70073.0777390453</v>
      </c>
      <c r="AF872" s="199">
        <f t="shared" si="1044"/>
        <v>0</v>
      </c>
      <c r="AG872" s="614"/>
      <c r="AH872" s="199">
        <f t="shared" si="1065"/>
        <v>28812.943149278501</v>
      </c>
      <c r="AI872" s="252">
        <f t="shared" si="1024"/>
        <v>2.2320950499015958E-3</v>
      </c>
      <c r="AJ872" s="199">
        <f t="shared" si="1025"/>
        <v>102574.07761143145</v>
      </c>
      <c r="AK872" s="199">
        <f t="shared" si="1048"/>
        <v>23050.354519422799</v>
      </c>
      <c r="AL872" s="199">
        <f t="shared" si="1049"/>
        <v>23050.354519422799</v>
      </c>
      <c r="AM872" s="199">
        <f t="shared" si="1026"/>
        <v>46100.709038845598</v>
      </c>
      <c r="AN872" s="645">
        <f t="shared" si="1027"/>
        <v>2.2320950499015954E-3</v>
      </c>
      <c r="AO872" s="199">
        <v>12</v>
      </c>
      <c r="AP872" s="250">
        <f t="shared" si="1028"/>
        <v>1.3634814225656176E-3</v>
      </c>
      <c r="AQ872" s="199">
        <v>12</v>
      </c>
      <c r="AU872" s="199">
        <v>0</v>
      </c>
      <c r="AW872" s="250">
        <f t="shared" si="1029"/>
        <v>0</v>
      </c>
      <c r="AX872" s="199">
        <v>1</v>
      </c>
      <c r="AY872" s="199">
        <f t="shared" si="1055"/>
        <v>37065.204354559581</v>
      </c>
      <c r="AZ872" s="199">
        <f t="shared" si="1030"/>
        <v>37065.204354559581</v>
      </c>
      <c r="BA872" s="252">
        <f t="shared" si="1031"/>
        <v>2.9135655899275204E-3</v>
      </c>
      <c r="BB872" s="284">
        <v>0</v>
      </c>
      <c r="BC872" s="199">
        <f t="shared" si="1056"/>
        <v>0</v>
      </c>
      <c r="BD872" s="270">
        <f t="shared" si="1067"/>
        <v>0</v>
      </c>
      <c r="BE872" s="199">
        <f t="shared" si="1057"/>
        <v>0</v>
      </c>
      <c r="BF872" s="251">
        <f t="shared" si="1068"/>
        <v>0</v>
      </c>
      <c r="BG872" s="199">
        <f t="shared" si="1058"/>
        <v>0</v>
      </c>
      <c r="BH872" s="636">
        <v>1</v>
      </c>
      <c r="BI872" s="199">
        <f t="shared" si="1032"/>
        <v>176335.21207358441</v>
      </c>
      <c r="BJ872" s="199">
        <f t="shared" si="1033"/>
        <v>352670.42414716881</v>
      </c>
      <c r="BK872" s="199">
        <f t="shared" si="1040"/>
        <v>529005.63622075319</v>
      </c>
      <c r="BL872" s="251">
        <f t="shared" si="1034"/>
        <v>2.2320950499015954E-3</v>
      </c>
      <c r="BM872" s="199">
        <f t="shared" si="1059"/>
        <v>44470.877961532831</v>
      </c>
      <c r="BN872" s="251">
        <f t="shared" si="1035"/>
        <v>1.9203908123931739E-3</v>
      </c>
      <c r="BT872" s="199">
        <f>'Detailed Budget'!$AD$12</f>
        <v>194045122715</v>
      </c>
      <c r="BU872" s="199">
        <f>'Detailed Budget'!$AD$24</f>
        <v>194045122715</v>
      </c>
      <c r="BV872" s="596">
        <f t="shared" si="1060"/>
        <v>0</v>
      </c>
      <c r="BW872" s="278"/>
      <c r="BX872" s="275">
        <f t="shared" si="1042"/>
        <v>0</v>
      </c>
      <c r="BY872" s="275">
        <f t="shared" si="1043"/>
        <v>0</v>
      </c>
      <c r="CA872" s="199">
        <f>'Detailed Budget'!$AD$96</f>
        <v>71050111380.677719</v>
      </c>
      <c r="CB872" s="275">
        <f t="shared" si="1036"/>
        <v>207009159.67926031</v>
      </c>
      <c r="CE872" s="199">
        <f>'Detailed Budget'!$AD$175</f>
        <v>4330586076.5988197</v>
      </c>
      <c r="CF872" s="275">
        <f t="shared" si="1061"/>
        <v>0</v>
      </c>
      <c r="CG872" s="199">
        <f>'Detailed Budget'!$AD$176</f>
        <v>20662817754.37001</v>
      </c>
      <c r="CH872" s="275">
        <f t="shared" si="1062"/>
        <v>0</v>
      </c>
      <c r="CI872" s="275">
        <f t="shared" si="1066"/>
        <v>0</v>
      </c>
      <c r="CJ872" s="275">
        <f>'Detailed Budget'!$AD$178</f>
        <v>46025131033.061455</v>
      </c>
      <c r="CK872" s="275">
        <f t="shared" si="1054"/>
        <v>0</v>
      </c>
      <c r="CL872" s="275">
        <f t="shared" si="1052"/>
        <v>0</v>
      </c>
      <c r="CM872" s="278">
        <f>'Detailed Budget'!$AD$189</f>
        <v>77498869683.252869</v>
      </c>
      <c r="CN872" s="275">
        <f t="shared" si="1037"/>
        <v>172984843.39295754</v>
      </c>
      <c r="CO872" s="140">
        <f>'Detailed Budget'!$AD$191</f>
        <v>2684962805.4134097</v>
      </c>
      <c r="CP872" s="616">
        <f t="shared" si="1038"/>
        <v>5993092.1871331725</v>
      </c>
      <c r="CQ872" s="616">
        <f t="shared" si="1039"/>
        <v>178977935.5800907</v>
      </c>
      <c r="CR872" s="199">
        <f>'Detailed Budget'!$AD$195</f>
        <v>18734176418</v>
      </c>
      <c r="CS872" s="275">
        <f t="shared" si="1063"/>
        <v>35976940.270880058</v>
      </c>
      <c r="CW872" s="278"/>
      <c r="DH872" s="140">
        <f>'Detailed Budget'!$AD$163</f>
        <v>4928560000</v>
      </c>
      <c r="DI872" s="616">
        <f t="shared" si="1064"/>
        <v>6720000</v>
      </c>
    </row>
    <row r="873" spans="1:113" outlineLevel="1">
      <c r="A873" s="214" t="s">
        <v>1768</v>
      </c>
      <c r="B873" s="215" t="s">
        <v>1769</v>
      </c>
      <c r="C873" s="216" t="s">
        <v>234</v>
      </c>
      <c r="D873" s="217"/>
      <c r="E873" s="216"/>
      <c r="F873" s="216"/>
      <c r="G873" s="216" t="s">
        <v>234</v>
      </c>
      <c r="H873" s="216" t="s">
        <v>234</v>
      </c>
      <c r="I873" s="217" t="s">
        <v>234</v>
      </c>
      <c r="J873" s="217"/>
      <c r="K873" s="216"/>
      <c r="L873" s="216"/>
      <c r="M873" s="217"/>
      <c r="N873" s="216"/>
      <c r="O873" s="217" t="s">
        <v>234</v>
      </c>
      <c r="P873" s="216"/>
      <c r="Q873" s="217" t="s">
        <v>234</v>
      </c>
      <c r="R873" s="217"/>
      <c r="S873" s="217"/>
      <c r="T873" s="217"/>
      <c r="U873" s="218">
        <f t="shared" si="1010"/>
        <v>6</v>
      </c>
      <c r="V873" s="867" t="s">
        <v>1096</v>
      </c>
      <c r="W873" s="219">
        <v>154029</v>
      </c>
      <c r="X873" s="220">
        <v>3.35</v>
      </c>
      <c r="Y873" s="221">
        <f t="shared" si="1045"/>
        <v>1.0335000000000001</v>
      </c>
      <c r="Z873" s="199">
        <v>19</v>
      </c>
      <c r="AA873" s="221">
        <f t="shared" si="1046"/>
        <v>1.8702477386515275</v>
      </c>
      <c r="AB873" s="199">
        <f t="shared" si="1050"/>
        <v>288072.38893675612</v>
      </c>
      <c r="AC873">
        <v>12.8</v>
      </c>
      <c r="AD873" s="199">
        <f t="shared" si="1051"/>
        <v>36873.26578390479</v>
      </c>
      <c r="AE873" s="199">
        <f t="shared" si="1047"/>
        <v>35029.60249470955</v>
      </c>
      <c r="AF873" s="199">
        <f t="shared" si="1044"/>
        <v>0</v>
      </c>
      <c r="AG873" s="614"/>
      <c r="AH873" s="199">
        <f t="shared" si="1065"/>
        <v>14403.619446837807</v>
      </c>
      <c r="AI873" s="252">
        <f t="shared" si="1024"/>
        <v>1.1158265749314157E-3</v>
      </c>
      <c r="AJ873" s="199">
        <f t="shared" si="1025"/>
        <v>51276.885230742599</v>
      </c>
      <c r="AK873" s="199">
        <f t="shared" si="1048"/>
        <v>11522.895557470245</v>
      </c>
      <c r="AL873" s="199">
        <f t="shared" si="1049"/>
        <v>11522.895557470245</v>
      </c>
      <c r="AM873" s="199">
        <f t="shared" si="1026"/>
        <v>23045.79111494049</v>
      </c>
      <c r="AN873" s="645">
        <f t="shared" si="1027"/>
        <v>1.1158265749314157E-3</v>
      </c>
      <c r="AO873" s="199">
        <v>11</v>
      </c>
      <c r="AP873" s="250">
        <f t="shared" si="1028"/>
        <v>1.2498579706851495E-3</v>
      </c>
      <c r="AQ873" s="199">
        <v>11</v>
      </c>
      <c r="AU873" s="199">
        <v>0</v>
      </c>
      <c r="AW873" s="250">
        <f t="shared" si="1029"/>
        <v>0</v>
      </c>
      <c r="AX873" s="199">
        <v>1</v>
      </c>
      <c r="AY873" s="199">
        <f t="shared" si="1055"/>
        <v>18528.933176884446</v>
      </c>
      <c r="AZ873" s="199">
        <f t="shared" si="1030"/>
        <v>18528.933176884446</v>
      </c>
      <c r="BA873" s="252">
        <f t="shared" si="1031"/>
        <v>1.4564943877233994E-3</v>
      </c>
      <c r="BB873" s="284">
        <v>0</v>
      </c>
      <c r="BC873" s="199">
        <f t="shared" si="1056"/>
        <v>0</v>
      </c>
      <c r="BD873" s="270">
        <f t="shared" si="1067"/>
        <v>0</v>
      </c>
      <c r="BE873" s="199">
        <f t="shared" si="1057"/>
        <v>0</v>
      </c>
      <c r="BF873" s="251">
        <f t="shared" si="1068"/>
        <v>0</v>
      </c>
      <c r="BG873" s="199">
        <f t="shared" si="1058"/>
        <v>0</v>
      </c>
      <c r="BH873" s="636">
        <v>1</v>
      </c>
      <c r="BI873" s="199">
        <f t="shared" si="1032"/>
        <v>88150.151014647388</v>
      </c>
      <c r="BJ873" s="199">
        <f t="shared" si="1033"/>
        <v>176300.30202929478</v>
      </c>
      <c r="BK873" s="199">
        <f t="shared" si="1040"/>
        <v>264450.45304394217</v>
      </c>
      <c r="BL873" s="251">
        <f t="shared" si="1034"/>
        <v>1.1158265749314159E-3</v>
      </c>
      <c r="BM873" s="199">
        <f t="shared" si="1059"/>
        <v>22231.036909560724</v>
      </c>
      <c r="BN873" s="251">
        <f t="shared" si="1035"/>
        <v>9.6000531107172295E-4</v>
      </c>
      <c r="BT873" s="199">
        <f>'Detailed Budget'!$AD$12</f>
        <v>194045122715</v>
      </c>
      <c r="BU873" s="199">
        <f>'Detailed Budget'!$AD$24</f>
        <v>194045122715</v>
      </c>
      <c r="BV873" s="596">
        <f t="shared" si="1060"/>
        <v>0</v>
      </c>
      <c r="BW873" s="278"/>
      <c r="BX873" s="275">
        <f t="shared" si="1042"/>
        <v>0</v>
      </c>
      <c r="BY873" s="275">
        <f t="shared" si="1043"/>
        <v>0</v>
      </c>
      <c r="CA873" s="199">
        <f>'Detailed Budget'!$AD$96</f>
        <v>71050111380.677719</v>
      </c>
      <c r="CB873" s="275">
        <f t="shared" si="1036"/>
        <v>103484088.47307953</v>
      </c>
      <c r="CE873" s="199">
        <f>'Detailed Budget'!$AD$175</f>
        <v>4330586076.5988197</v>
      </c>
      <c r="CF873" s="275">
        <f t="shared" si="1061"/>
        <v>0</v>
      </c>
      <c r="CG873" s="199">
        <f>'Detailed Budget'!$AD$176</f>
        <v>20662817754.37001</v>
      </c>
      <c r="CH873" s="275">
        <f t="shared" si="1062"/>
        <v>0</v>
      </c>
      <c r="CI873" s="275">
        <f t="shared" si="1066"/>
        <v>0</v>
      </c>
      <c r="CJ873" s="275">
        <f>'Detailed Budget'!$AD$178</f>
        <v>46025131033.061455</v>
      </c>
      <c r="CK873" s="275">
        <f t="shared" si="1054"/>
        <v>0</v>
      </c>
      <c r="CL873" s="275">
        <f t="shared" si="1052"/>
        <v>0</v>
      </c>
      <c r="CM873" s="278">
        <f>'Detailed Budget'!$AD$189</f>
        <v>77498869683.252869</v>
      </c>
      <c r="CN873" s="275">
        <f t="shared" si="1037"/>
        <v>86475298.319720194</v>
      </c>
      <c r="CO873" s="140">
        <f>'Detailed Budget'!$AD$191</f>
        <v>2684962805.4134097</v>
      </c>
      <c r="CP873" s="616">
        <f t="shared" si="1038"/>
        <v>2995952.8509826902</v>
      </c>
      <c r="CQ873" s="616">
        <f t="shared" si="1039"/>
        <v>89471251.17070289</v>
      </c>
      <c r="CR873" s="199">
        <f>'Detailed Budget'!$AD$195</f>
        <v>18734176418</v>
      </c>
      <c r="CS873" s="275">
        <f t="shared" si="1063"/>
        <v>17984908.859834626</v>
      </c>
      <c r="CW873" s="278"/>
      <c r="DH873" s="140">
        <f>'Detailed Budget'!$AD$163</f>
        <v>4928560000</v>
      </c>
      <c r="DI873" s="616">
        <f t="shared" si="1064"/>
        <v>6160000</v>
      </c>
    </row>
    <row r="874" spans="1:113" outlineLevel="1">
      <c r="A874" s="214" t="s">
        <v>1770</v>
      </c>
      <c r="B874" s="215" t="s">
        <v>1771</v>
      </c>
      <c r="C874" s="216" t="s">
        <v>234</v>
      </c>
      <c r="D874" s="217"/>
      <c r="E874" s="216"/>
      <c r="F874" s="216"/>
      <c r="G874" s="216" t="s">
        <v>234</v>
      </c>
      <c r="H874" s="216" t="s">
        <v>234</v>
      </c>
      <c r="I874" s="217" t="s">
        <v>234</v>
      </c>
      <c r="J874" s="217"/>
      <c r="K874" s="216"/>
      <c r="L874" s="216"/>
      <c r="M874" s="217"/>
      <c r="N874" s="216"/>
      <c r="O874" s="217" t="s">
        <v>234</v>
      </c>
      <c r="P874" s="216"/>
      <c r="Q874" s="217" t="s">
        <v>234</v>
      </c>
      <c r="R874" s="217"/>
      <c r="S874" s="217"/>
      <c r="T874" s="217"/>
      <c r="U874" s="218">
        <f t="shared" si="1010"/>
        <v>6</v>
      </c>
      <c r="V874" s="867" t="s">
        <v>1096</v>
      </c>
      <c r="W874" s="219">
        <v>266457</v>
      </c>
      <c r="X874" s="220">
        <v>3.35</v>
      </c>
      <c r="Y874" s="221">
        <f t="shared" si="1045"/>
        <v>1.0335000000000001</v>
      </c>
      <c r="Z874" s="199">
        <v>19</v>
      </c>
      <c r="AA874" s="221">
        <f t="shared" si="1046"/>
        <v>1.8702477386515275</v>
      </c>
      <c r="AB874" s="199">
        <f t="shared" si="1050"/>
        <v>498340.60169787006</v>
      </c>
      <c r="AC874">
        <v>12.8</v>
      </c>
      <c r="AD874" s="199">
        <f t="shared" si="1051"/>
        <v>63787.597017327367</v>
      </c>
      <c r="AE874" s="199">
        <f t="shared" si="1047"/>
        <v>60598.217166461</v>
      </c>
      <c r="AF874" s="199">
        <f t="shared" si="1044"/>
        <v>0</v>
      </c>
      <c r="AG874" s="614"/>
      <c r="AH874" s="199">
        <f t="shared" si="1065"/>
        <v>24917.030084893504</v>
      </c>
      <c r="AI874" s="252">
        <f t="shared" si="1024"/>
        <v>1.9302845676885537E-3</v>
      </c>
      <c r="AJ874" s="199">
        <f t="shared" si="1025"/>
        <v>88704.627102220868</v>
      </c>
      <c r="AK874" s="199">
        <f t="shared" si="1048"/>
        <v>19933.624067914803</v>
      </c>
      <c r="AL874" s="199">
        <f t="shared" si="1049"/>
        <v>19933.624067914803</v>
      </c>
      <c r="AM874" s="199">
        <f t="shared" si="1026"/>
        <v>39867.248135829606</v>
      </c>
      <c r="AN874" s="645">
        <f t="shared" si="1027"/>
        <v>1.9302845676885537E-3</v>
      </c>
      <c r="AO874" s="199">
        <v>12</v>
      </c>
      <c r="AP874" s="250">
        <f t="shared" si="1028"/>
        <v>1.3634814225656176E-3</v>
      </c>
      <c r="AQ874" s="199">
        <v>12</v>
      </c>
      <c r="AU874" s="199">
        <v>0</v>
      </c>
      <c r="AW874" s="250">
        <f t="shared" si="1029"/>
        <v>0</v>
      </c>
      <c r="AX874" s="199">
        <v>1</v>
      </c>
      <c r="AY874" s="199">
        <f t="shared" si="1055"/>
        <v>32053.470109609865</v>
      </c>
      <c r="AZ874" s="199">
        <f t="shared" si="1030"/>
        <v>32053.470109609865</v>
      </c>
      <c r="BA874" s="252">
        <f t="shared" si="1031"/>
        <v>2.5196107555694948E-3</v>
      </c>
      <c r="BB874" s="284">
        <v>0</v>
      </c>
      <c r="BC874" s="199">
        <f t="shared" si="1056"/>
        <v>0</v>
      </c>
      <c r="BD874" s="270">
        <f t="shared" si="1067"/>
        <v>0</v>
      </c>
      <c r="BE874" s="199">
        <f t="shared" si="1057"/>
        <v>0</v>
      </c>
      <c r="BF874" s="251">
        <f t="shared" si="1068"/>
        <v>0</v>
      </c>
      <c r="BG874" s="199">
        <f t="shared" si="1058"/>
        <v>0</v>
      </c>
      <c r="BH874" s="636">
        <v>1</v>
      </c>
      <c r="BI874" s="199">
        <f t="shared" si="1032"/>
        <v>152492.22411954822</v>
      </c>
      <c r="BJ874" s="199">
        <f t="shared" si="1033"/>
        <v>304984.44823909644</v>
      </c>
      <c r="BK874" s="199">
        <f t="shared" si="1040"/>
        <v>457476.67235864466</v>
      </c>
      <c r="BL874" s="251">
        <f t="shared" si="1034"/>
        <v>1.9302845676885535E-3</v>
      </c>
      <c r="BM874" s="199">
        <f t="shared" si="1059"/>
        <v>38457.793024760416</v>
      </c>
      <c r="BN874" s="251">
        <f t="shared" si="1035"/>
        <v>1.6607271044559017E-3</v>
      </c>
      <c r="BT874" s="199">
        <f>'Detailed Budget'!$AD$12</f>
        <v>194045122715</v>
      </c>
      <c r="BU874" s="199">
        <f>'Detailed Budget'!$AD$24</f>
        <v>194045122715</v>
      </c>
      <c r="BV874" s="596">
        <f t="shared" si="1060"/>
        <v>0</v>
      </c>
      <c r="BW874" s="278"/>
      <c r="BX874" s="275">
        <f t="shared" si="1042"/>
        <v>0</v>
      </c>
      <c r="BY874" s="275">
        <f t="shared" si="1043"/>
        <v>0</v>
      </c>
      <c r="CA874" s="199">
        <f>'Detailed Budget'!$AD$96</f>
        <v>71050111380.677719</v>
      </c>
      <c r="CB874" s="275">
        <f t="shared" si="1036"/>
        <v>179018624.81916615</v>
      </c>
      <c r="CE874" s="199">
        <f>'Detailed Budget'!$AD$175</f>
        <v>4330586076.5988197</v>
      </c>
      <c r="CF874" s="275">
        <f t="shared" si="1061"/>
        <v>0</v>
      </c>
      <c r="CG874" s="199">
        <f>'Detailed Budget'!$AD$176</f>
        <v>20662817754.37001</v>
      </c>
      <c r="CH874" s="275">
        <f t="shared" si="1062"/>
        <v>0</v>
      </c>
      <c r="CI874" s="275">
        <f t="shared" si="1066"/>
        <v>0</v>
      </c>
      <c r="CJ874" s="275">
        <f>'Detailed Budget'!$AD$178</f>
        <v>46025131033.061455</v>
      </c>
      <c r="CK874" s="275">
        <f t="shared" si="1054"/>
        <v>0</v>
      </c>
      <c r="CL874" s="275">
        <f t="shared" si="1052"/>
        <v>0</v>
      </c>
      <c r="CM874" s="278">
        <f>'Detailed Budget'!$AD$189</f>
        <v>77498869683.252869</v>
      </c>
      <c r="CN874" s="275">
        <f t="shared" si="1037"/>
        <v>149594872.1628893</v>
      </c>
      <c r="CO874" s="140">
        <f>'Detailed Budget'!$AD$191</f>
        <v>2684962805.4134097</v>
      </c>
      <c r="CP874" s="616">
        <f t="shared" si="1038"/>
        <v>5182742.2681072699</v>
      </c>
      <c r="CQ874" s="616">
        <f t="shared" si="1039"/>
        <v>154777614.43099657</v>
      </c>
      <c r="CR874" s="199">
        <f>'Detailed Budget'!$AD$195</f>
        <v>18734176418</v>
      </c>
      <c r="CS874" s="275">
        <f t="shared" si="1063"/>
        <v>31112354.557031177</v>
      </c>
      <c r="CW874" s="278"/>
      <c r="DH874" s="140">
        <f>'Detailed Budget'!$AD$163</f>
        <v>4928560000</v>
      </c>
      <c r="DI874" s="616">
        <f t="shared" si="1064"/>
        <v>6720000</v>
      </c>
    </row>
    <row r="875" spans="1:113" outlineLevel="1">
      <c r="A875" s="214" t="s">
        <v>1772</v>
      </c>
      <c r="B875" s="215" t="s">
        <v>1773</v>
      </c>
      <c r="C875" s="216" t="s">
        <v>234</v>
      </c>
      <c r="D875" s="217"/>
      <c r="E875" s="216"/>
      <c r="F875" s="216"/>
      <c r="G875" s="216" t="s">
        <v>234</v>
      </c>
      <c r="H875" s="216" t="s">
        <v>234</v>
      </c>
      <c r="I875" s="217" t="s">
        <v>234</v>
      </c>
      <c r="J875" s="217"/>
      <c r="K875" s="216"/>
      <c r="L875" s="216"/>
      <c r="M875" s="217"/>
      <c r="N875" s="216"/>
      <c r="O875" s="217" t="s">
        <v>234</v>
      </c>
      <c r="P875" s="216"/>
      <c r="Q875" s="217" t="s">
        <v>234</v>
      </c>
      <c r="R875" s="217"/>
      <c r="S875" s="217"/>
      <c r="T875" s="217"/>
      <c r="U875" s="218">
        <f t="shared" si="1010"/>
        <v>6</v>
      </c>
      <c r="V875" s="867" t="s">
        <v>1096</v>
      </c>
      <c r="W875" s="219">
        <v>283098</v>
      </c>
      <c r="X875" s="220">
        <v>3.35</v>
      </c>
      <c r="Y875" s="221">
        <f t="shared" si="1045"/>
        <v>1.0335000000000001</v>
      </c>
      <c r="Z875" s="199">
        <v>19</v>
      </c>
      <c r="AA875" s="221">
        <f t="shared" si="1046"/>
        <v>1.8702477386515275</v>
      </c>
      <c r="AB875" s="199">
        <f t="shared" si="1050"/>
        <v>529463.39431677014</v>
      </c>
      <c r="AC875">
        <v>12.8</v>
      </c>
      <c r="AD875" s="199">
        <f t="shared" si="1051"/>
        <v>67771.314472546583</v>
      </c>
      <c r="AE875" s="199">
        <f t="shared" si="1047"/>
        <v>64382.74874891925</v>
      </c>
      <c r="AF875" s="199">
        <f t="shared" si="1044"/>
        <v>0</v>
      </c>
      <c r="AG875" s="614"/>
      <c r="AH875" s="199">
        <f t="shared" si="1065"/>
        <v>26473.169715838507</v>
      </c>
      <c r="AI875" s="252">
        <f t="shared" si="1024"/>
        <v>2.0508363471160233E-3</v>
      </c>
      <c r="AJ875" s="199">
        <f t="shared" si="1025"/>
        <v>94244.48418838509</v>
      </c>
      <c r="AK875" s="199">
        <f t="shared" si="1048"/>
        <v>21178.535772670806</v>
      </c>
      <c r="AL875" s="199">
        <f t="shared" si="1049"/>
        <v>21178.535772670806</v>
      </c>
      <c r="AM875" s="199">
        <f t="shared" si="1026"/>
        <v>42357.071545341612</v>
      </c>
      <c r="AN875" s="645">
        <f t="shared" si="1027"/>
        <v>2.0508363471160233E-3</v>
      </c>
      <c r="AO875" s="199">
        <v>12</v>
      </c>
      <c r="AP875" s="250">
        <f t="shared" si="1028"/>
        <v>1.3634814225656176E-3</v>
      </c>
      <c r="AQ875" s="199">
        <v>12</v>
      </c>
      <c r="AU875" s="199">
        <v>0</v>
      </c>
      <c r="AW875" s="250">
        <f t="shared" si="1029"/>
        <v>0</v>
      </c>
      <c r="AX875" s="199">
        <v>1</v>
      </c>
      <c r="AY875" s="199">
        <f t="shared" si="1055"/>
        <v>34055.300784330437</v>
      </c>
      <c r="AZ875" s="199">
        <f t="shared" si="1030"/>
        <v>34055.300784330437</v>
      </c>
      <c r="BA875" s="252">
        <f t="shared" si="1031"/>
        <v>2.6769676371054731E-3</v>
      </c>
      <c r="BB875" s="284">
        <v>0</v>
      </c>
      <c r="BC875" s="199">
        <f t="shared" si="1056"/>
        <v>0</v>
      </c>
      <c r="BD875" s="270">
        <f t="shared" si="1067"/>
        <v>0</v>
      </c>
      <c r="BE875" s="199">
        <f t="shared" si="1057"/>
        <v>0</v>
      </c>
      <c r="BF875" s="251">
        <f t="shared" si="1068"/>
        <v>0</v>
      </c>
      <c r="BG875" s="199">
        <f t="shared" si="1058"/>
        <v>0</v>
      </c>
      <c r="BH875" s="636">
        <v>1</v>
      </c>
      <c r="BI875" s="199">
        <f t="shared" si="1032"/>
        <v>162015.79866093167</v>
      </c>
      <c r="BJ875" s="199">
        <f t="shared" si="1033"/>
        <v>324031.59732186334</v>
      </c>
      <c r="BK875" s="199">
        <f t="shared" si="1040"/>
        <v>486047.39598279505</v>
      </c>
      <c r="BL875" s="251">
        <f t="shared" si="1034"/>
        <v>2.0508363471160233E-3</v>
      </c>
      <c r="BM875" s="199">
        <f t="shared" si="1059"/>
        <v>40859.591940626902</v>
      </c>
      <c r="BN875" s="251">
        <f t="shared" si="1035"/>
        <v>1.7644442511071459E-3</v>
      </c>
      <c r="BT875" s="199">
        <f>'Detailed Budget'!$AD$12</f>
        <v>194045122715</v>
      </c>
      <c r="BU875" s="199">
        <f>'Detailed Budget'!$AD$24</f>
        <v>194045122715</v>
      </c>
      <c r="BV875" s="596">
        <f t="shared" si="1060"/>
        <v>0</v>
      </c>
      <c r="BW875" s="278"/>
      <c r="BX875" s="275">
        <f t="shared" si="1042"/>
        <v>0</v>
      </c>
      <c r="BY875" s="275">
        <f t="shared" si="1043"/>
        <v>0</v>
      </c>
      <c r="CA875" s="199">
        <f>'Detailed Budget'!$AD$96</f>
        <v>71050111380.677719</v>
      </c>
      <c r="CB875" s="275">
        <f t="shared" si="1036"/>
        <v>190198848.77881351</v>
      </c>
      <c r="CE875" s="199">
        <f>'Detailed Budget'!$AD$175</f>
        <v>4330586076.5988197</v>
      </c>
      <c r="CF875" s="275">
        <f t="shared" si="1061"/>
        <v>0</v>
      </c>
      <c r="CG875" s="199">
        <f>'Detailed Budget'!$AD$176</f>
        <v>20662817754.37001</v>
      </c>
      <c r="CH875" s="275">
        <f t="shared" si="1062"/>
        <v>0</v>
      </c>
      <c r="CI875" s="275">
        <f t="shared" si="1066"/>
        <v>0</v>
      </c>
      <c r="CJ875" s="275">
        <f>'Detailed Budget'!$AD$178</f>
        <v>46025131033.061455</v>
      </c>
      <c r="CK875" s="275">
        <f t="shared" si="1054"/>
        <v>0</v>
      </c>
      <c r="CL875" s="275">
        <f t="shared" si="1052"/>
        <v>0</v>
      </c>
      <c r="CM875" s="278">
        <f>'Detailed Budget'!$AD$189</f>
        <v>77498869683.252869</v>
      </c>
      <c r="CN875" s="275">
        <f t="shared" si="1037"/>
        <v>158937498.80682305</v>
      </c>
      <c r="CO875" s="140">
        <f>'Detailed Budget'!$AD$191</f>
        <v>2684962805.4134097</v>
      </c>
      <c r="CP875" s="616">
        <f t="shared" si="1038"/>
        <v>5506419.3119964274</v>
      </c>
      <c r="CQ875" s="616">
        <f t="shared" si="1039"/>
        <v>164443918.11881948</v>
      </c>
      <c r="CR875" s="199">
        <f>'Detailed Budget'!$AD$195</f>
        <v>18734176418</v>
      </c>
      <c r="CS875" s="275">
        <f t="shared" si="1063"/>
        <v>33055409.879967164</v>
      </c>
      <c r="CW875" s="278"/>
      <c r="DH875" s="140">
        <f>'Detailed Budget'!$AD$163</f>
        <v>4928560000</v>
      </c>
      <c r="DI875" s="616">
        <f t="shared" si="1064"/>
        <v>6720000</v>
      </c>
    </row>
    <row r="876" spans="1:113" outlineLevel="1">
      <c r="A876" s="214" t="s">
        <v>1774</v>
      </c>
      <c r="B876" s="215" t="s">
        <v>1775</v>
      </c>
      <c r="C876" s="216" t="s">
        <v>234</v>
      </c>
      <c r="D876" s="217"/>
      <c r="E876" s="216"/>
      <c r="F876" s="216"/>
      <c r="G876" s="216" t="s">
        <v>234</v>
      </c>
      <c r="H876" s="216" t="s">
        <v>234</v>
      </c>
      <c r="I876" s="217" t="s">
        <v>234</v>
      </c>
      <c r="J876" s="217"/>
      <c r="K876" s="216"/>
      <c r="L876" s="216"/>
      <c r="M876" s="217"/>
      <c r="N876" s="216" t="s">
        <v>234</v>
      </c>
      <c r="O876" s="217"/>
      <c r="P876" s="216"/>
      <c r="Q876" s="217"/>
      <c r="R876" s="217" t="s">
        <v>234</v>
      </c>
      <c r="S876" s="217"/>
      <c r="T876" s="217"/>
      <c r="U876" s="218">
        <f t="shared" si="1010"/>
        <v>6</v>
      </c>
      <c r="V876" s="867" t="s">
        <v>235</v>
      </c>
      <c r="W876" s="219">
        <v>103243</v>
      </c>
      <c r="X876" s="220">
        <v>3.35</v>
      </c>
      <c r="Y876" s="221">
        <f t="shared" si="1045"/>
        <v>1.0335000000000001</v>
      </c>
      <c r="Z876" s="199">
        <v>19</v>
      </c>
      <c r="AA876" s="221">
        <f t="shared" si="1046"/>
        <v>1.8702477386515275</v>
      </c>
      <c r="AB876" s="199">
        <f t="shared" si="1050"/>
        <v>193089.98728159966</v>
      </c>
      <c r="AC876">
        <v>12.8</v>
      </c>
      <c r="AD876" s="199">
        <f t="shared" si="1051"/>
        <v>24715.51837204476</v>
      </c>
      <c r="AE876" s="199">
        <f t="shared" si="1047"/>
        <v>23479.742453442523</v>
      </c>
      <c r="AF876" s="199">
        <f t="shared" si="1044"/>
        <v>0</v>
      </c>
      <c r="AG876" s="614"/>
      <c r="AH876" s="199">
        <f t="shared" si="1065"/>
        <v>9654.4993640799839</v>
      </c>
      <c r="AI876" s="252">
        <f t="shared" si="1024"/>
        <v>7.4791943773993316E-4</v>
      </c>
      <c r="AJ876" s="199">
        <f t="shared" si="1025"/>
        <v>34370.017736124748</v>
      </c>
      <c r="AK876" s="199">
        <f t="shared" si="1048"/>
        <v>7723.5994912639871</v>
      </c>
      <c r="AL876" s="199">
        <f t="shared" si="1049"/>
        <v>7723.5994912639871</v>
      </c>
      <c r="AM876" s="199">
        <f t="shared" si="1026"/>
        <v>15447.198982527974</v>
      </c>
      <c r="AN876" s="645">
        <f t="shared" si="1027"/>
        <v>7.4791943773993316E-4</v>
      </c>
      <c r="AO876" s="199">
        <v>10</v>
      </c>
      <c r="AP876" s="250">
        <f t="shared" si="1028"/>
        <v>1.1362345188046814E-3</v>
      </c>
      <c r="AQ876" s="199">
        <v>10</v>
      </c>
      <c r="AU876" s="199">
        <v>0</v>
      </c>
      <c r="AW876" s="250">
        <f t="shared" si="1029"/>
        <v>0</v>
      </c>
      <c r="AX876" s="199">
        <v>1</v>
      </c>
      <c r="AY876" s="199">
        <f t="shared" si="1055"/>
        <v>12419.626485798655</v>
      </c>
      <c r="AZ876" s="199">
        <f t="shared" si="1030"/>
        <v>12419.626485798655</v>
      </c>
      <c r="BA876" s="252">
        <f t="shared" si="1031"/>
        <v>9.7626323660951464E-4</v>
      </c>
      <c r="BB876" s="284">
        <v>0</v>
      </c>
      <c r="BC876" s="199">
        <f t="shared" si="1056"/>
        <v>0</v>
      </c>
      <c r="BD876" s="270">
        <f t="shared" si="1067"/>
        <v>0</v>
      </c>
      <c r="BE876" s="199">
        <f t="shared" si="1057"/>
        <v>0</v>
      </c>
      <c r="BF876" s="251">
        <f t="shared" si="1068"/>
        <v>0</v>
      </c>
      <c r="BG876" s="199">
        <f t="shared" si="1058"/>
        <v>0</v>
      </c>
      <c r="BH876" s="636">
        <v>1</v>
      </c>
      <c r="BI876" s="199">
        <f t="shared" si="1032"/>
        <v>59085.536108169501</v>
      </c>
      <c r="BJ876" s="199">
        <f t="shared" si="1033"/>
        <v>118171.072216339</v>
      </c>
      <c r="BK876" s="199">
        <f t="shared" si="1040"/>
        <v>177256.6083245085</v>
      </c>
      <c r="BL876" s="251">
        <f t="shared" si="1034"/>
        <v>7.4791943773993316E-4</v>
      </c>
      <c r="BM876" s="199">
        <f t="shared" si="1059"/>
        <v>14901.08319637067</v>
      </c>
      <c r="BN876" s="251">
        <f t="shared" si="1035"/>
        <v>6.4347511397839293E-4</v>
      </c>
      <c r="BT876" s="199">
        <f>'Detailed Budget'!$AD$12</f>
        <v>194045122715</v>
      </c>
      <c r="BU876" s="199">
        <f>'Detailed Budget'!$AD$24</f>
        <v>194045122715</v>
      </c>
      <c r="BV876" s="596">
        <f t="shared" si="1060"/>
        <v>0</v>
      </c>
      <c r="BW876" s="278"/>
      <c r="BX876" s="275">
        <f t="shared" si="1042"/>
        <v>0</v>
      </c>
      <c r="BY876" s="275">
        <f t="shared" si="1043"/>
        <v>0</v>
      </c>
      <c r="CA876" s="199">
        <f>'Detailed Budget'!$AD$96</f>
        <v>71050111380.677719</v>
      </c>
      <c r="CB876" s="275">
        <f t="shared" si="1036"/>
        <v>69363611.697966948</v>
      </c>
      <c r="CE876" s="199">
        <f>'Detailed Budget'!$AD$175</f>
        <v>4330586076.5988197</v>
      </c>
      <c r="CF876" s="275">
        <f t="shared" si="1061"/>
        <v>0</v>
      </c>
      <c r="CG876" s="199">
        <f>'Detailed Budget'!$AD$176</f>
        <v>20662817754.37001</v>
      </c>
      <c r="CH876" s="275">
        <f t="shared" si="1062"/>
        <v>0</v>
      </c>
      <c r="CI876" s="275">
        <f t="shared" si="1066"/>
        <v>0</v>
      </c>
      <c r="CJ876" s="275">
        <f>'Detailed Budget'!$AD$178</f>
        <v>46025131033.061455</v>
      </c>
      <c r="CK876" s="275">
        <f t="shared" si="1054"/>
        <v>0</v>
      </c>
      <c r="CL876" s="275">
        <f t="shared" si="1052"/>
        <v>0</v>
      </c>
      <c r="CM876" s="278">
        <f>'Detailed Budget'!$AD$189</f>
        <v>77498869683.252869</v>
      </c>
      <c r="CN876" s="275">
        <f t="shared" si="1037"/>
        <v>57962911.038978837</v>
      </c>
      <c r="CO876" s="140">
        <f>'Detailed Budget'!$AD$191</f>
        <v>2684962805.4134097</v>
      </c>
      <c r="CP876" s="616">
        <f t="shared" si="1038"/>
        <v>2008135.8717774309</v>
      </c>
      <c r="CQ876" s="616">
        <f t="shared" si="1039"/>
        <v>59971046.910756268</v>
      </c>
      <c r="CR876" s="199">
        <f>'Detailed Budget'!$AD$195</f>
        <v>18734176418</v>
      </c>
      <c r="CS876" s="275">
        <f t="shared" si="1063"/>
        <v>12054976.30586387</v>
      </c>
      <c r="CW876" s="278"/>
      <c r="DH876" s="140">
        <f>'Detailed Budget'!$AD$163</f>
        <v>4928560000</v>
      </c>
      <c r="DI876" s="616">
        <f t="shared" si="1064"/>
        <v>5600000</v>
      </c>
    </row>
    <row r="877" spans="1:113" outlineLevel="1">
      <c r="A877" s="214" t="s">
        <v>1776</v>
      </c>
      <c r="B877" s="215" t="s">
        <v>1777</v>
      </c>
      <c r="C877" s="216" t="s">
        <v>234</v>
      </c>
      <c r="D877" s="217"/>
      <c r="E877" s="216"/>
      <c r="F877" s="216"/>
      <c r="G877" s="216" t="s">
        <v>234</v>
      </c>
      <c r="H877" s="216" t="s">
        <v>234</v>
      </c>
      <c r="I877" s="217" t="s">
        <v>234</v>
      </c>
      <c r="J877" s="217"/>
      <c r="K877" s="216"/>
      <c r="L877" s="216"/>
      <c r="M877" s="217"/>
      <c r="N877" s="216"/>
      <c r="O877" s="217" t="s">
        <v>234</v>
      </c>
      <c r="P877" s="216"/>
      <c r="Q877" s="217"/>
      <c r="R877" s="217" t="s">
        <v>234</v>
      </c>
      <c r="S877" s="217"/>
      <c r="T877" s="217"/>
      <c r="U877" s="218">
        <f t="shared" si="1010"/>
        <v>6</v>
      </c>
      <c r="V877" s="867" t="s">
        <v>235</v>
      </c>
      <c r="W877" s="219">
        <v>117182</v>
      </c>
      <c r="X877" s="220">
        <v>3.35</v>
      </c>
      <c r="Y877" s="221">
        <f t="shared" si="1045"/>
        <v>1.0335000000000001</v>
      </c>
      <c r="Z877" s="199">
        <v>19</v>
      </c>
      <c r="AA877" s="221">
        <f t="shared" si="1046"/>
        <v>1.8702477386515275</v>
      </c>
      <c r="AB877" s="199">
        <f t="shared" si="1050"/>
        <v>219159.37051066328</v>
      </c>
      <c r="AC877">
        <v>12.8</v>
      </c>
      <c r="AD877" s="199">
        <f t="shared" si="1051"/>
        <v>28052.3994253649</v>
      </c>
      <c r="AE877" s="199">
        <f t="shared" si="1047"/>
        <v>26649.779454096653</v>
      </c>
      <c r="AF877" s="199">
        <f t="shared" si="1044"/>
        <v>0</v>
      </c>
      <c r="AG877" s="614"/>
      <c r="AH877" s="199">
        <f t="shared" si="1065"/>
        <v>10957.968525533164</v>
      </c>
      <c r="AI877" s="252">
        <f t="shared" si="1024"/>
        <v>8.4889721872902604E-4</v>
      </c>
      <c r="AJ877" s="199">
        <f t="shared" si="1025"/>
        <v>39010.367950898064</v>
      </c>
      <c r="AK877" s="199">
        <f t="shared" si="1048"/>
        <v>8766.3748204265321</v>
      </c>
      <c r="AL877" s="199">
        <f t="shared" si="1049"/>
        <v>8766.3748204265321</v>
      </c>
      <c r="AM877" s="199">
        <f t="shared" si="1026"/>
        <v>17532.749640853064</v>
      </c>
      <c r="AN877" s="645">
        <f t="shared" si="1027"/>
        <v>8.4889721872902614E-4</v>
      </c>
      <c r="AO877" s="199">
        <v>10</v>
      </c>
      <c r="AP877" s="250">
        <f t="shared" si="1028"/>
        <v>1.1362345188046814E-3</v>
      </c>
      <c r="AQ877" s="199">
        <v>10</v>
      </c>
      <c r="AU877" s="199">
        <v>0</v>
      </c>
      <c r="AW877" s="250">
        <f t="shared" si="1029"/>
        <v>0</v>
      </c>
      <c r="AX877" s="199">
        <v>1</v>
      </c>
      <c r="AY877" s="199">
        <f t="shared" si="1055"/>
        <v>14096.419814019911</v>
      </c>
      <c r="AZ877" s="199">
        <f t="shared" si="1030"/>
        <v>14096.419814019911</v>
      </c>
      <c r="BA877" s="252">
        <f t="shared" si="1031"/>
        <v>1.1080700734420359E-3</v>
      </c>
      <c r="BB877" s="284">
        <v>0</v>
      </c>
      <c r="BC877" s="199">
        <f t="shared" si="1056"/>
        <v>0</v>
      </c>
      <c r="BD877" s="270">
        <f t="shared" si="1067"/>
        <v>0</v>
      </c>
      <c r="BE877" s="199">
        <f t="shared" si="1057"/>
        <v>0</v>
      </c>
      <c r="BF877" s="251">
        <f t="shared" si="1068"/>
        <v>0</v>
      </c>
      <c r="BG877" s="199">
        <f t="shared" si="1058"/>
        <v>0</v>
      </c>
      <c r="BH877" s="636">
        <v>1</v>
      </c>
      <c r="BI877" s="199">
        <f t="shared" si="1032"/>
        <v>67062.767376262971</v>
      </c>
      <c r="BJ877" s="199">
        <f t="shared" si="1033"/>
        <v>134125.53475252594</v>
      </c>
      <c r="BK877" s="199">
        <f t="shared" si="1040"/>
        <v>201188.3021287889</v>
      </c>
      <c r="BL877" s="251">
        <f t="shared" si="1034"/>
        <v>8.4889721872902604E-4</v>
      </c>
      <c r="BM877" s="199">
        <f t="shared" si="1059"/>
        <v>16912.901902473848</v>
      </c>
      <c r="BN877" s="251">
        <f t="shared" si="1035"/>
        <v>7.3035170235479429E-4</v>
      </c>
      <c r="BT877" s="199">
        <f>'Detailed Budget'!$AD$12</f>
        <v>194045122715</v>
      </c>
      <c r="BU877" s="199">
        <f>'Detailed Budget'!$AD$24</f>
        <v>194045122715</v>
      </c>
      <c r="BV877" s="596">
        <f t="shared" si="1060"/>
        <v>0</v>
      </c>
      <c r="BW877" s="278"/>
      <c r="BX877" s="275">
        <f t="shared" si="1042"/>
        <v>0</v>
      </c>
      <c r="BY877" s="275">
        <f t="shared" si="1043"/>
        <v>0</v>
      </c>
      <c r="CA877" s="199">
        <f>'Detailed Budget'!$AD$96</f>
        <v>71050111380.677719</v>
      </c>
      <c r="CB877" s="275">
        <f t="shared" si="1036"/>
        <v>78728502.135652393</v>
      </c>
      <c r="CE877" s="199">
        <f>'Detailed Budget'!$AD$175</f>
        <v>4330586076.5988197</v>
      </c>
      <c r="CF877" s="275">
        <f t="shared" si="1061"/>
        <v>0</v>
      </c>
      <c r="CG877" s="199">
        <f>'Detailed Budget'!$AD$176</f>
        <v>20662817754.37001</v>
      </c>
      <c r="CH877" s="275">
        <f t="shared" si="1062"/>
        <v>0</v>
      </c>
      <c r="CI877" s="275">
        <f t="shared" si="1066"/>
        <v>0</v>
      </c>
      <c r="CJ877" s="275">
        <f>'Detailed Budget'!$AD$178</f>
        <v>46025131033.061455</v>
      </c>
      <c r="CK877" s="275">
        <f t="shared" si="1054"/>
        <v>0</v>
      </c>
      <c r="CL877" s="275">
        <f t="shared" si="1052"/>
        <v>0</v>
      </c>
      <c r="CM877" s="278">
        <f>'Detailed Budget'!$AD$189</f>
        <v>77498869683.252869</v>
      </c>
      <c r="CN877" s="275">
        <f t="shared" si="1037"/>
        <v>65788574.928756595</v>
      </c>
      <c r="CO877" s="140">
        <f>'Detailed Budget'!$AD$191</f>
        <v>2684962805.4134097</v>
      </c>
      <c r="CP877" s="616">
        <f t="shared" si="1038"/>
        <v>2279257.4579063267</v>
      </c>
      <c r="CQ877" s="616">
        <f t="shared" si="1039"/>
        <v>68067832.386662915</v>
      </c>
      <c r="CR877" s="199">
        <f>'Detailed Budget'!$AD$195</f>
        <v>18734176418</v>
      </c>
      <c r="CS877" s="275">
        <f t="shared" si="1063"/>
        <v>13682537.639101343</v>
      </c>
      <c r="CW877" s="278"/>
      <c r="DH877" s="140">
        <f>'Detailed Budget'!$AD$163</f>
        <v>4928560000</v>
      </c>
      <c r="DI877" s="616">
        <f t="shared" si="1064"/>
        <v>5600000</v>
      </c>
    </row>
    <row r="878" spans="1:113" outlineLevel="1">
      <c r="A878" s="214" t="s">
        <v>1778</v>
      </c>
      <c r="B878" s="215" t="s">
        <v>1779</v>
      </c>
      <c r="C878" s="216" t="s">
        <v>234</v>
      </c>
      <c r="D878" s="217"/>
      <c r="E878" s="216"/>
      <c r="F878" s="216"/>
      <c r="G878" s="216" t="s">
        <v>234</v>
      </c>
      <c r="H878" s="216" t="s">
        <v>234</v>
      </c>
      <c r="I878" s="217" t="s">
        <v>234</v>
      </c>
      <c r="J878" s="217"/>
      <c r="K878" s="216"/>
      <c r="L878" s="216"/>
      <c r="M878" s="217" t="s">
        <v>234</v>
      </c>
      <c r="N878" s="216"/>
      <c r="O878" s="217"/>
      <c r="P878" s="216"/>
      <c r="Q878" s="217"/>
      <c r="R878" s="217" t="s">
        <v>234</v>
      </c>
      <c r="S878" s="217"/>
      <c r="T878" s="217"/>
      <c r="U878" s="218">
        <f t="shared" si="1010"/>
        <v>6</v>
      </c>
      <c r="V878" s="867" t="s">
        <v>235</v>
      </c>
      <c r="W878" s="219">
        <v>100293</v>
      </c>
      <c r="X878" s="220">
        <v>3.35</v>
      </c>
      <c r="Y878" s="221">
        <f t="shared" si="1045"/>
        <v>1.0335000000000001</v>
      </c>
      <c r="Z878" s="199">
        <v>19</v>
      </c>
      <c r="AA878" s="221">
        <f t="shared" si="1046"/>
        <v>1.8702477386515275</v>
      </c>
      <c r="AB878" s="199">
        <f t="shared" si="1050"/>
        <v>187572.75645257765</v>
      </c>
      <c r="AC878">
        <v>12.8</v>
      </c>
      <c r="AD878" s="199">
        <f t="shared" si="1051"/>
        <v>24009.312825929941</v>
      </c>
      <c r="AE878" s="199">
        <f t="shared" si="1047"/>
        <v>22808.847184633443</v>
      </c>
      <c r="AF878" s="199">
        <f t="shared" si="1044"/>
        <v>0</v>
      </c>
      <c r="AG878" s="614"/>
      <c r="AH878" s="199">
        <f t="shared" si="1065"/>
        <v>9378.6378226288834</v>
      </c>
      <c r="AI878" s="252">
        <f t="shared" si="1024"/>
        <v>7.2654886209477755E-4</v>
      </c>
      <c r="AJ878" s="199">
        <f t="shared" si="1025"/>
        <v>33387.950648558821</v>
      </c>
      <c r="AK878" s="199">
        <f t="shared" si="1048"/>
        <v>7502.9102581031066</v>
      </c>
      <c r="AL878" s="199">
        <f t="shared" si="1049"/>
        <v>7502.9102581031066</v>
      </c>
      <c r="AM878" s="199">
        <f t="shared" si="1026"/>
        <v>15005.820516206213</v>
      </c>
      <c r="AN878" s="645">
        <f t="shared" si="1027"/>
        <v>7.2654886209477755E-4</v>
      </c>
      <c r="AO878" s="199">
        <v>10</v>
      </c>
      <c r="AP878" s="250">
        <f t="shared" si="1028"/>
        <v>1.1362345188046814E-3</v>
      </c>
      <c r="AQ878" s="199">
        <v>10</v>
      </c>
      <c r="AU878" s="199">
        <v>0</v>
      </c>
      <c r="AW878" s="250">
        <f t="shared" si="1029"/>
        <v>0</v>
      </c>
      <c r="AX878" s="199">
        <v>1</v>
      </c>
      <c r="AY878" s="199">
        <f t="shared" si="1055"/>
        <v>12064.755955756847</v>
      </c>
      <c r="AZ878" s="199">
        <f t="shared" si="1030"/>
        <v>12064.755955756847</v>
      </c>
      <c r="BA878" s="252">
        <f t="shared" si="1031"/>
        <v>9.483681100827952E-4</v>
      </c>
      <c r="BB878" s="284">
        <v>0</v>
      </c>
      <c r="BC878" s="199">
        <f t="shared" si="1056"/>
        <v>0</v>
      </c>
      <c r="BD878" s="270">
        <f t="shared" si="1067"/>
        <v>0</v>
      </c>
      <c r="BE878" s="199">
        <f t="shared" si="1057"/>
        <v>0</v>
      </c>
      <c r="BF878" s="251">
        <f t="shared" si="1068"/>
        <v>0</v>
      </c>
      <c r="BG878" s="199">
        <f t="shared" si="1058"/>
        <v>0</v>
      </c>
      <c r="BH878" s="636">
        <v>1</v>
      </c>
      <c r="BI878" s="199">
        <f t="shared" si="1032"/>
        <v>57397.263474488762</v>
      </c>
      <c r="BJ878" s="199">
        <f t="shared" si="1033"/>
        <v>114794.52694897752</v>
      </c>
      <c r="BK878" s="199">
        <f t="shared" si="1040"/>
        <v>172191.7904234663</v>
      </c>
      <c r="BL878" s="251">
        <f t="shared" si="1034"/>
        <v>7.2654886209477755E-4</v>
      </c>
      <c r="BM878" s="199">
        <f t="shared" si="1059"/>
        <v>14475.309096147957</v>
      </c>
      <c r="BN878" s="251">
        <f t="shared" si="1035"/>
        <v>6.2508886419645852E-4</v>
      </c>
      <c r="BT878" s="199">
        <f>'Detailed Budget'!$AD$12</f>
        <v>194045122715</v>
      </c>
      <c r="BU878" s="199">
        <f>'Detailed Budget'!$AD$24</f>
        <v>194045122715</v>
      </c>
      <c r="BV878" s="596">
        <f t="shared" si="1060"/>
        <v>0</v>
      </c>
      <c r="BW878" s="278"/>
      <c r="BX878" s="275">
        <f t="shared" si="1042"/>
        <v>0</v>
      </c>
      <c r="BY878" s="275">
        <f t="shared" si="1043"/>
        <v>0</v>
      </c>
      <c r="CA878" s="199">
        <f>'Detailed Budget'!$AD$96</f>
        <v>71050111380.677719</v>
      </c>
      <c r="CB878" s="275">
        <f t="shared" si="1036"/>
        <v>67381659.85126543</v>
      </c>
      <c r="CE878" s="199">
        <f>'Detailed Budget'!$AD$175</f>
        <v>4330586076.5988197</v>
      </c>
      <c r="CF878" s="275">
        <f t="shared" si="1061"/>
        <v>0</v>
      </c>
      <c r="CG878" s="199">
        <f>'Detailed Budget'!$AD$176</f>
        <v>20662817754.37001</v>
      </c>
      <c r="CH878" s="275">
        <f t="shared" si="1062"/>
        <v>0</v>
      </c>
      <c r="CI878" s="275">
        <f t="shared" si="1066"/>
        <v>0</v>
      </c>
      <c r="CJ878" s="275">
        <f>'Detailed Budget'!$AD$178</f>
        <v>46025131033.061455</v>
      </c>
      <c r="CK878" s="275">
        <f t="shared" si="1054"/>
        <v>0</v>
      </c>
      <c r="CL878" s="275">
        <f t="shared" si="1052"/>
        <v>0</v>
      </c>
      <c r="CM878" s="278">
        <f>'Detailed Budget'!$AD$189</f>
        <v>77498869683.252869</v>
      </c>
      <c r="CN878" s="275">
        <f t="shared" si="1037"/>
        <v>56306715.581998825</v>
      </c>
      <c r="CO878" s="140">
        <f>'Detailed Budget'!$AD$191</f>
        <v>2684962805.4134097</v>
      </c>
      <c r="CP878" s="616">
        <f t="shared" si="1038"/>
        <v>1950756.6710399145</v>
      </c>
      <c r="CQ878" s="616">
        <f t="shared" si="1039"/>
        <v>58257472.253038742</v>
      </c>
      <c r="CR878" s="199">
        <f>'Detailed Budget'!$AD$195</f>
        <v>18734176418</v>
      </c>
      <c r="CS878" s="275">
        <f t="shared" si="1063"/>
        <v>11710525.058783697</v>
      </c>
      <c r="CW878" s="278"/>
      <c r="DH878" s="140">
        <f>'Detailed Budget'!$AD$163</f>
        <v>4928560000</v>
      </c>
      <c r="DI878" s="616">
        <f t="shared" si="1064"/>
        <v>5600000</v>
      </c>
    </row>
    <row r="879" spans="1:113" outlineLevel="1">
      <c r="A879" s="214" t="s">
        <v>1780</v>
      </c>
      <c r="B879" s="215" t="s">
        <v>1781</v>
      </c>
      <c r="C879" s="216" t="s">
        <v>234</v>
      </c>
      <c r="D879" s="217"/>
      <c r="E879" s="216"/>
      <c r="F879" s="216"/>
      <c r="G879" s="216" t="s">
        <v>234</v>
      </c>
      <c r="H879" s="216" t="s">
        <v>234</v>
      </c>
      <c r="I879" s="217" t="s">
        <v>234</v>
      </c>
      <c r="J879" s="217"/>
      <c r="K879" s="216"/>
      <c r="L879" s="216"/>
      <c r="M879" s="217"/>
      <c r="N879" s="216"/>
      <c r="O879" s="217" t="s">
        <v>234</v>
      </c>
      <c r="P879" s="216"/>
      <c r="Q879" s="217"/>
      <c r="R879" s="217" t="s">
        <v>234</v>
      </c>
      <c r="S879" s="217"/>
      <c r="T879" s="217"/>
      <c r="U879" s="218">
        <f t="shared" si="1010"/>
        <v>6</v>
      </c>
      <c r="V879" s="867" t="s">
        <v>235</v>
      </c>
      <c r="W879" s="219">
        <v>104087</v>
      </c>
      <c r="X879" s="220">
        <v>3.35</v>
      </c>
      <c r="Y879" s="221">
        <f t="shared" si="1045"/>
        <v>1.0335000000000001</v>
      </c>
      <c r="Z879" s="199">
        <v>19</v>
      </c>
      <c r="AA879" s="221">
        <f t="shared" si="1046"/>
        <v>1.8702477386515275</v>
      </c>
      <c r="AB879" s="199">
        <f t="shared" si="1050"/>
        <v>194668.47637302155</v>
      </c>
      <c r="AC879">
        <v>12.8</v>
      </c>
      <c r="AD879" s="199">
        <f t="shared" si="1051"/>
        <v>24917.564975746758</v>
      </c>
      <c r="AE879" s="199">
        <f t="shared" si="1047"/>
        <v>23671.686726959419</v>
      </c>
      <c r="AF879" s="199">
        <f t="shared" si="1044"/>
        <v>0</v>
      </c>
      <c r="AG879" s="614"/>
      <c r="AH879" s="199">
        <f t="shared" si="1065"/>
        <v>9733.4238186510775</v>
      </c>
      <c r="AI879" s="252">
        <f t="shared" si="1024"/>
        <v>7.5403359565332677E-4</v>
      </c>
      <c r="AJ879" s="199">
        <f t="shared" si="1025"/>
        <v>34650.988794397839</v>
      </c>
      <c r="AK879" s="199">
        <f t="shared" si="1048"/>
        <v>7786.7390549208621</v>
      </c>
      <c r="AL879" s="199">
        <f t="shared" si="1049"/>
        <v>7786.7390549208621</v>
      </c>
      <c r="AM879" s="199">
        <f t="shared" si="1026"/>
        <v>15573.478109841724</v>
      </c>
      <c r="AN879" s="645">
        <f t="shared" si="1027"/>
        <v>7.5403359565332677E-4</v>
      </c>
      <c r="AO879" s="199">
        <v>10</v>
      </c>
      <c r="AP879" s="250">
        <f t="shared" si="1028"/>
        <v>1.1362345188046814E-3</v>
      </c>
      <c r="AQ879" s="199">
        <v>10</v>
      </c>
      <c r="AU879" s="199">
        <v>0</v>
      </c>
      <c r="AW879" s="250">
        <f t="shared" si="1029"/>
        <v>0</v>
      </c>
      <c r="AX879" s="199">
        <v>1</v>
      </c>
      <c r="AY879" s="199">
        <f t="shared" si="1055"/>
        <v>12521.155545919089</v>
      </c>
      <c r="AZ879" s="199">
        <f t="shared" si="1030"/>
        <v>12521.155545919089</v>
      </c>
      <c r="BA879" s="252">
        <f t="shared" si="1031"/>
        <v>9.8424407958868439E-4</v>
      </c>
      <c r="BB879" s="284">
        <v>0</v>
      </c>
      <c r="BC879" s="199">
        <f t="shared" si="1056"/>
        <v>0</v>
      </c>
      <c r="BD879" s="270">
        <f t="shared" si="1067"/>
        <v>0</v>
      </c>
      <c r="BE879" s="199">
        <f t="shared" si="1057"/>
        <v>0</v>
      </c>
      <c r="BF879" s="251">
        <f t="shared" si="1068"/>
        <v>0</v>
      </c>
      <c r="BG879" s="199">
        <f t="shared" si="1058"/>
        <v>0</v>
      </c>
      <c r="BH879" s="636">
        <v>1</v>
      </c>
      <c r="BI879" s="199">
        <f t="shared" si="1032"/>
        <v>59568.553770144586</v>
      </c>
      <c r="BJ879" s="199">
        <f t="shared" si="1033"/>
        <v>119137.10754028917</v>
      </c>
      <c r="BK879" s="199">
        <f t="shared" si="1040"/>
        <v>178705.66131043376</v>
      </c>
      <c r="BL879" s="251">
        <f t="shared" si="1034"/>
        <v>7.5403359565332667E-4</v>
      </c>
      <c r="BM879" s="199">
        <f t="shared" si="1059"/>
        <v>15022.897888095404</v>
      </c>
      <c r="BN879" s="251">
        <f t="shared" si="1035"/>
        <v>6.4873545120413959E-4</v>
      </c>
      <c r="BT879" s="199">
        <f>'Detailed Budget'!$AD$12</f>
        <v>194045122715</v>
      </c>
      <c r="BU879" s="199">
        <f>'Detailed Budget'!$AD$24</f>
        <v>194045122715</v>
      </c>
      <c r="BV879" s="596">
        <f t="shared" si="1060"/>
        <v>0</v>
      </c>
      <c r="BW879" s="278"/>
      <c r="BX879" s="275">
        <f t="shared" si="1042"/>
        <v>0</v>
      </c>
      <c r="BY879" s="275">
        <f t="shared" si="1043"/>
        <v>0</v>
      </c>
      <c r="CA879" s="199">
        <f>'Detailed Budget'!$AD$96</f>
        <v>71050111380.677719</v>
      </c>
      <c r="CB879" s="275">
        <f t="shared" si="1036"/>
        <v>69930651.48054865</v>
      </c>
      <c r="CE879" s="199">
        <f>'Detailed Budget'!$AD$175</f>
        <v>4330586076.5988197</v>
      </c>
      <c r="CF879" s="275">
        <f t="shared" si="1061"/>
        <v>0</v>
      </c>
      <c r="CG879" s="199">
        <f>'Detailed Budget'!$AD$176</f>
        <v>20662817754.37001</v>
      </c>
      <c r="CH879" s="275">
        <f t="shared" si="1062"/>
        <v>0</v>
      </c>
      <c r="CI879" s="275">
        <f t="shared" si="1066"/>
        <v>0</v>
      </c>
      <c r="CJ879" s="275">
        <f>'Detailed Budget'!$AD$178</f>
        <v>46025131033.061455</v>
      </c>
      <c r="CK879" s="275">
        <f t="shared" si="1054"/>
        <v>0</v>
      </c>
      <c r="CL879" s="275">
        <f t="shared" si="1052"/>
        <v>0</v>
      </c>
      <c r="CM879" s="278">
        <f>'Detailed Budget'!$AD$189</f>
        <v>77498869683.252869</v>
      </c>
      <c r="CN879" s="275">
        <f t="shared" si="1037"/>
        <v>58436751.366331749</v>
      </c>
      <c r="CO879" s="140">
        <f>'Detailed Budget'!$AD$191</f>
        <v>2684962805.4134097</v>
      </c>
      <c r="CP879" s="616">
        <f t="shared" si="1038"/>
        <v>2024552.1583613169</v>
      </c>
      <c r="CQ879" s="616">
        <f t="shared" si="1039"/>
        <v>60461303.524693064</v>
      </c>
      <c r="CR879" s="199">
        <f>'Detailed Budget'!$AD$195</f>
        <v>18734176418</v>
      </c>
      <c r="CS879" s="275">
        <f t="shared" si="1063"/>
        <v>12153524.391469182</v>
      </c>
      <c r="CW879" s="278"/>
      <c r="DH879" s="140">
        <f>'Detailed Budget'!$AD$163</f>
        <v>4928560000</v>
      </c>
      <c r="DI879" s="616">
        <f t="shared" si="1064"/>
        <v>5600000</v>
      </c>
    </row>
    <row r="880" spans="1:113" outlineLevel="1">
      <c r="A880" s="214" t="s">
        <v>1782</v>
      </c>
      <c r="B880" s="215" t="s">
        <v>1783</v>
      </c>
      <c r="C880" s="216" t="s">
        <v>234</v>
      </c>
      <c r="D880" s="217" t="s">
        <v>234</v>
      </c>
      <c r="E880" s="216"/>
      <c r="F880" s="216"/>
      <c r="G880" s="216"/>
      <c r="H880" s="216" t="s">
        <v>234</v>
      </c>
      <c r="I880" s="217" t="s">
        <v>234</v>
      </c>
      <c r="J880" s="217"/>
      <c r="K880" s="216"/>
      <c r="L880" s="216"/>
      <c r="M880" s="217" t="s">
        <v>234</v>
      </c>
      <c r="N880" s="216"/>
      <c r="O880" s="217"/>
      <c r="P880" s="216"/>
      <c r="Q880" s="217"/>
      <c r="R880" s="217" t="s">
        <v>234</v>
      </c>
      <c r="S880" s="217"/>
      <c r="T880" s="217"/>
      <c r="U880" s="218">
        <f t="shared" si="1010"/>
        <v>6</v>
      </c>
      <c r="V880" s="867" t="s">
        <v>238</v>
      </c>
      <c r="W880" s="219">
        <v>121240</v>
      </c>
      <c r="X880" s="220">
        <v>3.35</v>
      </c>
      <c r="Y880" s="221">
        <f t="shared" si="1045"/>
        <v>1.0335000000000001</v>
      </c>
      <c r="Z880" s="199">
        <v>19</v>
      </c>
      <c r="AA880" s="221">
        <f t="shared" si="1046"/>
        <v>1.8702477386515275</v>
      </c>
      <c r="AB880" s="199">
        <f t="shared" si="1050"/>
        <v>226748.8358341112</v>
      </c>
      <c r="AC880">
        <v>12.8</v>
      </c>
      <c r="AD880" s="199">
        <f t="shared" si="1051"/>
        <v>29023.850986766236</v>
      </c>
      <c r="AE880" s="199">
        <f t="shared" si="1047"/>
        <v>27572.658437427923</v>
      </c>
      <c r="AF880" s="199">
        <f t="shared" si="1044"/>
        <v>0</v>
      </c>
      <c r="AG880" s="614"/>
      <c r="AH880" s="199">
        <f t="shared" si="1065"/>
        <v>11337.441791705562</v>
      </c>
      <c r="AI880" s="252">
        <f t="shared" si="1024"/>
        <v>8.7829443770124369E-4</v>
      </c>
      <c r="AJ880" s="199">
        <f t="shared" si="1025"/>
        <v>40361.292778471798</v>
      </c>
      <c r="AK880" s="199">
        <f t="shared" si="1048"/>
        <v>9069.9534333644478</v>
      </c>
      <c r="AL880" s="199">
        <f t="shared" si="1049"/>
        <v>9069.9534333644478</v>
      </c>
      <c r="AM880" s="199">
        <f t="shared" si="1026"/>
        <v>18139.906866728896</v>
      </c>
      <c r="AN880" s="645">
        <f t="shared" si="1027"/>
        <v>8.7829443770124358E-4</v>
      </c>
      <c r="AO880" s="199">
        <v>10</v>
      </c>
      <c r="AP880" s="250">
        <f t="shared" si="1028"/>
        <v>1.1362345188046814E-3</v>
      </c>
      <c r="AQ880" s="199">
        <v>10</v>
      </c>
      <c r="AU880" s="199">
        <v>0</v>
      </c>
      <c r="AW880" s="250">
        <f t="shared" si="1029"/>
        <v>0</v>
      </c>
      <c r="AX880" s="199">
        <v>1</v>
      </c>
      <c r="AY880" s="199">
        <f t="shared" si="1055"/>
        <v>14584.577309243521</v>
      </c>
      <c r="AZ880" s="199">
        <f t="shared" si="1030"/>
        <v>14584.577309243521</v>
      </c>
      <c r="BA880" s="252">
        <f t="shared" si="1031"/>
        <v>1.1464424203726893E-3</v>
      </c>
      <c r="BB880" s="284">
        <v>0</v>
      </c>
      <c r="BC880" s="199">
        <f t="shared" si="1056"/>
        <v>0</v>
      </c>
      <c r="BD880" s="270">
        <f t="shared" si="1067"/>
        <v>0</v>
      </c>
      <c r="BE880" s="199">
        <f t="shared" si="1057"/>
        <v>0</v>
      </c>
      <c r="BF880" s="251">
        <f t="shared" si="1068"/>
        <v>0</v>
      </c>
      <c r="BG880" s="199">
        <f t="shared" si="1058"/>
        <v>0</v>
      </c>
      <c r="BH880" s="636">
        <v>1</v>
      </c>
      <c r="BI880" s="199">
        <f t="shared" si="1032"/>
        <v>69385.143765238026</v>
      </c>
      <c r="BJ880" s="199">
        <f t="shared" si="1033"/>
        <v>138770.28753047605</v>
      </c>
      <c r="BK880" s="199">
        <f t="shared" si="1040"/>
        <v>208155.43129571408</v>
      </c>
      <c r="BL880" s="251">
        <f t="shared" si="1034"/>
        <v>8.7829443770124358E-4</v>
      </c>
      <c r="BM880" s="199">
        <f t="shared" si="1059"/>
        <v>17498.593868136148</v>
      </c>
      <c r="BN880" s="251">
        <f t="shared" si="1035"/>
        <v>7.5564370290228278E-4</v>
      </c>
      <c r="BT880" s="199">
        <f>'Detailed Budget'!$AD$12</f>
        <v>194045122715</v>
      </c>
      <c r="BU880" s="199">
        <f>'Detailed Budget'!$AD$24</f>
        <v>194045122715</v>
      </c>
      <c r="BV880" s="596">
        <f t="shared" si="1060"/>
        <v>0</v>
      </c>
      <c r="BW880" s="278"/>
      <c r="BX880" s="275">
        <f t="shared" si="1042"/>
        <v>0</v>
      </c>
      <c r="BY880" s="275">
        <f t="shared" si="1043"/>
        <v>0</v>
      </c>
      <c r="CA880" s="199">
        <f>'Detailed Budget'!$AD$96</f>
        <v>71050111380.677719</v>
      </c>
      <c r="CB880" s="275">
        <f t="shared" si="1036"/>
        <v>81454861.659013316</v>
      </c>
      <c r="CE880" s="199">
        <f>'Detailed Budget'!$AD$175</f>
        <v>4330586076.5988197</v>
      </c>
      <c r="CF880" s="275">
        <f t="shared" si="1061"/>
        <v>0</v>
      </c>
      <c r="CG880" s="199">
        <f>'Detailed Budget'!$AD$176</f>
        <v>20662817754.37001</v>
      </c>
      <c r="CH880" s="275">
        <f t="shared" si="1062"/>
        <v>0</v>
      </c>
      <c r="CI880" s="275">
        <f t="shared" si="1066"/>
        <v>0</v>
      </c>
      <c r="CJ880" s="275">
        <f>'Detailed Budget'!$AD$178</f>
        <v>46025131033.061455</v>
      </c>
      <c r="CK880" s="275">
        <f t="shared" si="1054"/>
        <v>0</v>
      </c>
      <c r="CL880" s="275">
        <f t="shared" si="1052"/>
        <v>0</v>
      </c>
      <c r="CM880" s="278">
        <f>'Detailed Budget'!$AD$189</f>
        <v>77498869683.252869</v>
      </c>
      <c r="CN880" s="275">
        <f t="shared" si="1037"/>
        <v>68066826.170934528</v>
      </c>
      <c r="CO880" s="140">
        <f>'Detailed Budget'!$AD$191</f>
        <v>2684962805.4134097</v>
      </c>
      <c r="CP880" s="616">
        <f t="shared" si="1038"/>
        <v>2358187.8974293242</v>
      </c>
      <c r="CQ880" s="616">
        <f t="shared" si="1039"/>
        <v>70425014.068363845</v>
      </c>
      <c r="CR880" s="199">
        <f>'Detailed Budget'!$AD$195</f>
        <v>18734176418</v>
      </c>
      <c r="CS880" s="275">
        <f t="shared" si="1063"/>
        <v>14156362.439322144</v>
      </c>
      <c r="CW880" s="278"/>
      <c r="DH880" s="140">
        <f>'Detailed Budget'!$AD$163</f>
        <v>4928560000</v>
      </c>
      <c r="DI880" s="616">
        <f t="shared" si="1064"/>
        <v>5600000</v>
      </c>
    </row>
    <row r="881" spans="1:113" outlineLevel="1">
      <c r="A881" s="214" t="s">
        <v>1784</v>
      </c>
      <c r="B881" s="215" t="s">
        <v>1785</v>
      </c>
      <c r="C881" s="216" t="s">
        <v>234</v>
      </c>
      <c r="D881" s="217"/>
      <c r="E881" s="216"/>
      <c r="F881" s="216"/>
      <c r="G881" s="216" t="s">
        <v>234</v>
      </c>
      <c r="H881" s="216" t="s">
        <v>234</v>
      </c>
      <c r="I881" s="217" t="s">
        <v>234</v>
      </c>
      <c r="J881" s="217"/>
      <c r="K881" s="216"/>
      <c r="L881" s="216"/>
      <c r="M881" s="217"/>
      <c r="N881" s="216"/>
      <c r="O881" s="217" t="s">
        <v>234</v>
      </c>
      <c r="P881" s="216"/>
      <c r="Q881" s="217"/>
      <c r="R881" s="217" t="s">
        <v>234</v>
      </c>
      <c r="S881" s="217"/>
      <c r="T881" s="217"/>
      <c r="U881" s="218">
        <f t="shared" si="1010"/>
        <v>6</v>
      </c>
      <c r="V881" s="867" t="s">
        <v>235</v>
      </c>
      <c r="W881" s="219">
        <v>255619</v>
      </c>
      <c r="X881" s="220">
        <v>3.35</v>
      </c>
      <c r="Y881" s="221">
        <f t="shared" si="1045"/>
        <v>1.0335000000000001</v>
      </c>
      <c r="Z881" s="199">
        <v>19</v>
      </c>
      <c r="AA881" s="221">
        <f t="shared" si="1046"/>
        <v>1.8702477386515275</v>
      </c>
      <c r="AB881" s="199">
        <f t="shared" si="1050"/>
        <v>478070.85670636478</v>
      </c>
      <c r="AC881">
        <v>12.8</v>
      </c>
      <c r="AD881" s="199">
        <f t="shared" si="1051"/>
        <v>61193.069658414694</v>
      </c>
      <c r="AE881" s="199">
        <f t="shared" si="1047"/>
        <v>58133.416175493956</v>
      </c>
      <c r="AF881" s="199">
        <f t="shared" si="1044"/>
        <v>0</v>
      </c>
      <c r="AG881" s="614"/>
      <c r="AH881" s="199">
        <f t="shared" si="1065"/>
        <v>23903.54283531824</v>
      </c>
      <c r="AI881" s="252">
        <f t="shared" si="1024"/>
        <v>1.8517712460471311E-3</v>
      </c>
      <c r="AJ881" s="199">
        <f t="shared" si="1025"/>
        <v>85096.61249373293</v>
      </c>
      <c r="AK881" s="199">
        <f t="shared" si="1048"/>
        <v>19122.834268254592</v>
      </c>
      <c r="AL881" s="199">
        <f t="shared" si="1049"/>
        <v>19122.834268254592</v>
      </c>
      <c r="AM881" s="199">
        <f t="shared" si="1026"/>
        <v>38245.668536509183</v>
      </c>
      <c r="AN881" s="645">
        <f t="shared" si="1027"/>
        <v>1.8517712460471311E-3</v>
      </c>
      <c r="AO881" s="199">
        <v>11</v>
      </c>
      <c r="AP881" s="250">
        <f t="shared" si="1028"/>
        <v>1.2498579706851495E-3</v>
      </c>
      <c r="AQ881" s="199">
        <v>11</v>
      </c>
      <c r="AU881" s="199">
        <v>0</v>
      </c>
      <c r="AW881" s="250">
        <f t="shared" si="1029"/>
        <v>0</v>
      </c>
      <c r="AX881" s="199">
        <v>1</v>
      </c>
      <c r="AY881" s="199">
        <f t="shared" si="1055"/>
        <v>30749.711870764753</v>
      </c>
      <c r="AZ881" s="199">
        <f t="shared" si="1030"/>
        <v>30749.711870764753</v>
      </c>
      <c r="BA881" s="252">
        <f t="shared" si="1031"/>
        <v>2.4171268975028567E-3</v>
      </c>
      <c r="BB881" s="284">
        <v>0</v>
      </c>
      <c r="BC881" s="199">
        <f t="shared" si="1056"/>
        <v>0</v>
      </c>
      <c r="BD881" s="270">
        <f t="shared" si="1067"/>
        <v>0</v>
      </c>
      <c r="BE881" s="199">
        <f t="shared" si="1057"/>
        <v>0</v>
      </c>
      <c r="BF881" s="251">
        <f t="shared" si="1068"/>
        <v>0</v>
      </c>
      <c r="BG881" s="199">
        <f t="shared" si="1058"/>
        <v>0</v>
      </c>
      <c r="BH881" s="636">
        <v>1</v>
      </c>
      <c r="BI881" s="199">
        <f t="shared" si="1032"/>
        <v>146289.68215214764</v>
      </c>
      <c r="BJ881" s="199">
        <f t="shared" si="1033"/>
        <v>292579.36430429528</v>
      </c>
      <c r="BK881" s="199">
        <f t="shared" si="1040"/>
        <v>438869.04645644291</v>
      </c>
      <c r="BL881" s="251">
        <f t="shared" si="1034"/>
        <v>1.8517712460471311E-3</v>
      </c>
      <c r="BM881" s="199">
        <f t="shared" si="1059"/>
        <v>36893.542279603207</v>
      </c>
      <c r="BN881" s="251">
        <f t="shared" si="1035"/>
        <v>1.5931778925451878E-3</v>
      </c>
      <c r="BT881" s="199">
        <f>'Detailed Budget'!$AD$12</f>
        <v>194045122715</v>
      </c>
      <c r="BU881" s="199">
        <f>'Detailed Budget'!$AD$24</f>
        <v>194045122715</v>
      </c>
      <c r="BV881" s="596">
        <f t="shared" si="1060"/>
        <v>0</v>
      </c>
      <c r="BW881" s="278"/>
      <c r="BX881" s="275">
        <f t="shared" si="1042"/>
        <v>0</v>
      </c>
      <c r="BY881" s="275">
        <f t="shared" si="1043"/>
        <v>0</v>
      </c>
      <c r="CA881" s="199">
        <f>'Detailed Budget'!$AD$96</f>
        <v>71050111380.677719</v>
      </c>
      <c r="CB881" s="275">
        <f t="shared" si="1036"/>
        <v>171737135.28880996</v>
      </c>
      <c r="CE881" s="199">
        <f>'Detailed Budget'!$AD$175</f>
        <v>4330586076.5988197</v>
      </c>
      <c r="CF881" s="275">
        <f t="shared" si="1061"/>
        <v>0</v>
      </c>
      <c r="CG881" s="199">
        <f>'Detailed Budget'!$AD$176</f>
        <v>20662817754.37001</v>
      </c>
      <c r="CH881" s="275">
        <f t="shared" si="1062"/>
        <v>0</v>
      </c>
      <c r="CI881" s="275">
        <f t="shared" si="1066"/>
        <v>0</v>
      </c>
      <c r="CJ881" s="275">
        <f>'Detailed Budget'!$AD$178</f>
        <v>46025131033.061455</v>
      </c>
      <c r="CK881" s="275">
        <f t="shared" si="1054"/>
        <v>0</v>
      </c>
      <c r="CL881" s="275">
        <f t="shared" si="1052"/>
        <v>0</v>
      </c>
      <c r="CM881" s="278">
        <f>'Detailed Budget'!$AD$189</f>
        <v>77498869683.252869</v>
      </c>
      <c r="CN881" s="275">
        <f t="shared" si="1037"/>
        <v>143510178.4806014</v>
      </c>
      <c r="CO881" s="140">
        <f>'Detailed Budget'!$AD$191</f>
        <v>2684962805.4134097</v>
      </c>
      <c r="CP881" s="616">
        <f t="shared" si="1038"/>
        <v>4971936.919770591</v>
      </c>
      <c r="CQ881" s="616">
        <f t="shared" si="1039"/>
        <v>148482115.400372</v>
      </c>
      <c r="CR881" s="199">
        <f>'Detailed Budget'!$AD$195</f>
        <v>18734176418</v>
      </c>
      <c r="CS881" s="275">
        <f t="shared" si="1063"/>
        <v>29846875.704198994</v>
      </c>
      <c r="CW881" s="278"/>
      <c r="DH881" s="140">
        <f>'Detailed Budget'!$AD$163</f>
        <v>4928560000</v>
      </c>
      <c r="DI881" s="616">
        <f t="shared" si="1064"/>
        <v>6160000</v>
      </c>
    </row>
    <row r="882" spans="1:113" outlineLevel="1">
      <c r="A882" s="214" t="s">
        <v>1786</v>
      </c>
      <c r="B882" s="215" t="s">
        <v>1787</v>
      </c>
      <c r="C882" s="216" t="s">
        <v>234</v>
      </c>
      <c r="D882" s="217"/>
      <c r="E882" s="216"/>
      <c r="F882" s="216"/>
      <c r="G882" s="216" t="s">
        <v>234</v>
      </c>
      <c r="H882" s="216" t="s">
        <v>234</v>
      </c>
      <c r="I882" s="217" t="s">
        <v>234</v>
      </c>
      <c r="J882" s="217"/>
      <c r="K882" s="216"/>
      <c r="L882" s="216"/>
      <c r="M882" s="217"/>
      <c r="N882" s="216" t="s">
        <v>234</v>
      </c>
      <c r="O882" s="217"/>
      <c r="P882" s="216"/>
      <c r="Q882" s="217"/>
      <c r="R882" s="217" t="s">
        <v>234</v>
      </c>
      <c r="S882" s="217"/>
      <c r="T882" s="217"/>
      <c r="U882" s="218">
        <f t="shared" si="1010"/>
        <v>6</v>
      </c>
      <c r="V882" s="867" t="s">
        <v>235</v>
      </c>
      <c r="W882" s="219">
        <v>127391</v>
      </c>
      <c r="X882" s="220">
        <v>3.35</v>
      </c>
      <c r="Y882" s="221">
        <f t="shared" si="1045"/>
        <v>1.0335000000000001</v>
      </c>
      <c r="Z882" s="199">
        <v>19</v>
      </c>
      <c r="AA882" s="221">
        <f t="shared" si="1046"/>
        <v>1.8702477386515275</v>
      </c>
      <c r="AB882" s="199">
        <f t="shared" si="1050"/>
        <v>238252.72967455673</v>
      </c>
      <c r="AC882">
        <v>12.8</v>
      </c>
      <c r="AD882" s="199">
        <f t="shared" si="1051"/>
        <v>30496.349398343264</v>
      </c>
      <c r="AE882" s="199">
        <f t="shared" si="1047"/>
        <v>28971.531928426099</v>
      </c>
      <c r="AF882" s="199">
        <f t="shared" si="1044"/>
        <v>0</v>
      </c>
      <c r="AG882" s="614"/>
      <c r="AH882" s="199">
        <f t="shared" si="1065"/>
        <v>11912.636483727838</v>
      </c>
      <c r="AI882" s="252">
        <f t="shared" si="1024"/>
        <v>9.2285389898712569E-4</v>
      </c>
      <c r="AJ882" s="199">
        <f t="shared" si="1025"/>
        <v>42408.985882071102</v>
      </c>
      <c r="AK882" s="199">
        <f t="shared" si="1048"/>
        <v>9530.1091869822685</v>
      </c>
      <c r="AL882" s="199">
        <f t="shared" si="1049"/>
        <v>9530.1091869822685</v>
      </c>
      <c r="AM882" s="199">
        <f t="shared" si="1026"/>
        <v>19060.218373964537</v>
      </c>
      <c r="AN882" s="645">
        <f t="shared" si="1027"/>
        <v>9.2285389898712558E-4</v>
      </c>
      <c r="AO882" s="199">
        <v>10</v>
      </c>
      <c r="AP882" s="250">
        <f t="shared" si="1028"/>
        <v>1.1362345188046814E-3</v>
      </c>
      <c r="AQ882" s="199">
        <v>10</v>
      </c>
      <c r="AU882" s="199">
        <v>0</v>
      </c>
      <c r="AW882" s="250">
        <f t="shared" si="1029"/>
        <v>0</v>
      </c>
      <c r="AX882" s="199">
        <v>1</v>
      </c>
      <c r="AY882" s="199">
        <f t="shared" si="1055"/>
        <v>15324.512438154414</v>
      </c>
      <c r="AZ882" s="199">
        <f t="shared" si="1030"/>
        <v>15324.512438154414</v>
      </c>
      <c r="BA882" s="252">
        <f t="shared" si="1031"/>
        <v>1.2046061231746718E-3</v>
      </c>
      <c r="BB882" s="284">
        <v>0</v>
      </c>
      <c r="BC882" s="199">
        <f t="shared" si="1056"/>
        <v>0</v>
      </c>
      <c r="BD882" s="270">
        <f t="shared" si="1067"/>
        <v>0</v>
      </c>
      <c r="BE882" s="199">
        <f t="shared" si="1057"/>
        <v>0</v>
      </c>
      <c r="BF882" s="251">
        <f t="shared" si="1068"/>
        <v>0</v>
      </c>
      <c r="BG882" s="199">
        <f t="shared" si="1058"/>
        <v>0</v>
      </c>
      <c r="BH882" s="636">
        <v>1</v>
      </c>
      <c r="BI882" s="199">
        <f t="shared" si="1032"/>
        <v>72905.335280414351</v>
      </c>
      <c r="BJ882" s="199">
        <f t="shared" si="1033"/>
        <v>145810.6705608287</v>
      </c>
      <c r="BK882" s="199">
        <f t="shared" si="1040"/>
        <v>218716.00584124305</v>
      </c>
      <c r="BL882" s="251">
        <f t="shared" si="1034"/>
        <v>9.2285389898712547E-4</v>
      </c>
      <c r="BM882" s="199">
        <f t="shared" si="1059"/>
        <v>18386.368949651365</v>
      </c>
      <c r="BN882" s="251">
        <f t="shared" si="1035"/>
        <v>7.9398059185437715E-4</v>
      </c>
      <c r="BT882" s="199">
        <f>'Detailed Budget'!$AD$12</f>
        <v>194045122715</v>
      </c>
      <c r="BU882" s="199">
        <f>'Detailed Budget'!$AD$24</f>
        <v>194045122715</v>
      </c>
      <c r="BV882" s="596">
        <f t="shared" si="1060"/>
        <v>0</v>
      </c>
      <c r="BW882" s="278"/>
      <c r="BX882" s="275">
        <f t="shared" si="1042"/>
        <v>0</v>
      </c>
      <c r="BY882" s="275">
        <f t="shared" si="1043"/>
        <v>0</v>
      </c>
      <c r="CA882" s="199">
        <f>'Detailed Budget'!$AD$96</f>
        <v>71050111380.677719</v>
      </c>
      <c r="CB882" s="275">
        <f t="shared" si="1036"/>
        <v>85587399.221406817</v>
      </c>
      <c r="CE882" s="199">
        <f>'Detailed Budget'!$AD$175</f>
        <v>4330586076.5988197</v>
      </c>
      <c r="CF882" s="275">
        <f t="shared" si="1061"/>
        <v>0</v>
      </c>
      <c r="CG882" s="199">
        <f>'Detailed Budget'!$AD$176</f>
        <v>20662817754.37001</v>
      </c>
      <c r="CH882" s="275">
        <f t="shared" si="1062"/>
        <v>0</v>
      </c>
      <c r="CI882" s="275">
        <f t="shared" si="1066"/>
        <v>0</v>
      </c>
      <c r="CJ882" s="275">
        <f>'Detailed Budget'!$AD$178</f>
        <v>46025131033.061455</v>
      </c>
      <c r="CK882" s="275">
        <f t="shared" si="1054"/>
        <v>0</v>
      </c>
      <c r="CL882" s="275">
        <f t="shared" si="1052"/>
        <v>0</v>
      </c>
      <c r="CM882" s="278">
        <f>'Detailed Budget'!$AD$189</f>
        <v>77498869683.252869</v>
      </c>
      <c r="CN882" s="275">
        <f t="shared" si="1037"/>
        <v>71520134.054285049</v>
      </c>
      <c r="CO882" s="140">
        <f>'Detailed Budget'!$AD$191</f>
        <v>2684962805.4134097</v>
      </c>
      <c r="CP882" s="616">
        <f t="shared" si="1038"/>
        <v>2477828.3936111759</v>
      </c>
      <c r="CQ882" s="616">
        <f t="shared" si="1039"/>
        <v>73997962.447896227</v>
      </c>
      <c r="CR882" s="199">
        <f>'Detailed Budget'!$AD$195</f>
        <v>18734176418</v>
      </c>
      <c r="CS882" s="275">
        <f t="shared" si="1063"/>
        <v>14874572.480267955</v>
      </c>
      <c r="CW882" s="278"/>
      <c r="DH882" s="140">
        <f>'Detailed Budget'!$AD$163</f>
        <v>4928560000</v>
      </c>
      <c r="DI882" s="616">
        <f t="shared" si="1064"/>
        <v>5600000</v>
      </c>
    </row>
    <row r="883" spans="1:113" outlineLevel="1">
      <c r="A883" s="214" t="s">
        <v>1788</v>
      </c>
      <c r="B883" s="215" t="s">
        <v>1789</v>
      </c>
      <c r="C883" s="216" t="s">
        <v>234</v>
      </c>
      <c r="D883" s="217"/>
      <c r="E883" s="216"/>
      <c r="F883" s="216"/>
      <c r="G883" s="216" t="s">
        <v>234</v>
      </c>
      <c r="H883" s="216" t="s">
        <v>234</v>
      </c>
      <c r="I883" s="217" t="s">
        <v>234</v>
      </c>
      <c r="J883" s="217"/>
      <c r="K883" s="216"/>
      <c r="L883" s="216"/>
      <c r="M883" s="217" t="s">
        <v>234</v>
      </c>
      <c r="N883" s="216"/>
      <c r="O883" s="217"/>
      <c r="P883" s="216"/>
      <c r="Q883" s="217"/>
      <c r="R883" s="217" t="s">
        <v>234</v>
      </c>
      <c r="S883" s="217"/>
      <c r="T883" s="217"/>
      <c r="U883" s="218">
        <f t="shared" si="1010"/>
        <v>6</v>
      </c>
      <c r="V883" s="867" t="s">
        <v>235</v>
      </c>
      <c r="W883" s="219">
        <v>102847</v>
      </c>
      <c r="X883" s="220">
        <v>3.35</v>
      </c>
      <c r="Y883" s="221">
        <f t="shared" si="1045"/>
        <v>1.0335000000000001</v>
      </c>
      <c r="Z883" s="199">
        <v>19</v>
      </c>
      <c r="AA883" s="221">
        <f t="shared" si="1046"/>
        <v>1.8702477386515275</v>
      </c>
      <c r="AB883" s="199">
        <f t="shared" si="1050"/>
        <v>192349.36917709364</v>
      </c>
      <c r="AC883">
        <v>12.8</v>
      </c>
      <c r="AD883" s="199">
        <f t="shared" si="1051"/>
        <v>24620.719254667987</v>
      </c>
      <c r="AE883" s="199">
        <f t="shared" si="1047"/>
        <v>23389.683291934587</v>
      </c>
      <c r="AF883" s="199">
        <f t="shared" si="1044"/>
        <v>0</v>
      </c>
      <c r="AG883" s="614"/>
      <c r="AH883" s="199">
        <f t="shared" si="1065"/>
        <v>9617.4684588546825</v>
      </c>
      <c r="AI883" s="252">
        <f t="shared" si="1024"/>
        <v>7.4505070961943085E-4</v>
      </c>
      <c r="AJ883" s="199">
        <f t="shared" si="1025"/>
        <v>34238.187713522668</v>
      </c>
      <c r="AK883" s="199">
        <f t="shared" si="1048"/>
        <v>7693.974767083746</v>
      </c>
      <c r="AL883" s="199">
        <f t="shared" si="1049"/>
        <v>7693.974767083746</v>
      </c>
      <c r="AM883" s="199">
        <f t="shared" si="1026"/>
        <v>15387.949534167492</v>
      </c>
      <c r="AN883" s="645">
        <f t="shared" si="1027"/>
        <v>7.4505070961943085E-4</v>
      </c>
      <c r="AO883" s="199">
        <v>10</v>
      </c>
      <c r="AP883" s="250">
        <f t="shared" si="1028"/>
        <v>1.1362345188046814E-3</v>
      </c>
      <c r="AQ883" s="199">
        <v>10</v>
      </c>
      <c r="AU883" s="199">
        <v>0</v>
      </c>
      <c r="AW883" s="250">
        <f t="shared" si="1029"/>
        <v>0</v>
      </c>
      <c r="AX883" s="199">
        <v>1</v>
      </c>
      <c r="AY883" s="199">
        <f t="shared" si="1055"/>
        <v>12371.9896282066</v>
      </c>
      <c r="AZ883" s="199">
        <f t="shared" si="1030"/>
        <v>12371.9896282066</v>
      </c>
      <c r="BA883" s="252">
        <f t="shared" si="1031"/>
        <v>9.725186704723684E-4</v>
      </c>
      <c r="BB883" s="284">
        <v>0</v>
      </c>
      <c r="BC883" s="199">
        <f t="shared" si="1056"/>
        <v>0</v>
      </c>
      <c r="BD883" s="270">
        <f t="shared" si="1067"/>
        <v>0</v>
      </c>
      <c r="BE883" s="199">
        <f t="shared" si="1057"/>
        <v>0</v>
      </c>
      <c r="BF883" s="251">
        <f t="shared" si="1068"/>
        <v>0</v>
      </c>
      <c r="BG883" s="199">
        <f t="shared" si="1058"/>
        <v>0</v>
      </c>
      <c r="BH883" s="636">
        <v>1</v>
      </c>
      <c r="BI883" s="199">
        <f t="shared" si="1032"/>
        <v>58858.906968190662</v>
      </c>
      <c r="BJ883" s="199">
        <f t="shared" si="1033"/>
        <v>117717.81393638132</v>
      </c>
      <c r="BK883" s="199">
        <f t="shared" si="1040"/>
        <v>176576.72090457199</v>
      </c>
      <c r="BL883" s="251">
        <f t="shared" si="1034"/>
        <v>7.4505070961943096E-4</v>
      </c>
      <c r="BM883" s="199">
        <f t="shared" si="1059"/>
        <v>14843.9284357984</v>
      </c>
      <c r="BN883" s="251">
        <f t="shared" si="1035"/>
        <v>6.4100699366868245E-4</v>
      </c>
      <c r="BT883" s="199">
        <f>'Detailed Budget'!$AD$12</f>
        <v>194045122715</v>
      </c>
      <c r="BU883" s="199">
        <f>'Detailed Budget'!$AD$24</f>
        <v>194045122715</v>
      </c>
      <c r="BV883" s="596">
        <f t="shared" si="1060"/>
        <v>0</v>
      </c>
      <c r="BW883" s="278"/>
      <c r="BX883" s="275">
        <f t="shared" si="1042"/>
        <v>0</v>
      </c>
      <c r="BY883" s="275">
        <f t="shared" si="1043"/>
        <v>0</v>
      </c>
      <c r="CA883" s="199">
        <f>'Detailed Budget'!$AD$96</f>
        <v>71050111380.677719</v>
      </c>
      <c r="CB883" s="275">
        <f t="shared" si="1036"/>
        <v>69097559.856850386</v>
      </c>
      <c r="CE883" s="199">
        <f>'Detailed Budget'!$AD$175</f>
        <v>4330586076.5988197</v>
      </c>
      <c r="CF883" s="275">
        <f t="shared" si="1061"/>
        <v>0</v>
      </c>
      <c r="CG883" s="199">
        <f>'Detailed Budget'!$AD$176</f>
        <v>20662817754.37001</v>
      </c>
      <c r="CH883" s="275">
        <f t="shared" si="1062"/>
        <v>0</v>
      </c>
      <c r="CI883" s="275">
        <f t="shared" si="1066"/>
        <v>0</v>
      </c>
      <c r="CJ883" s="275">
        <f>'Detailed Budget'!$AD$178</f>
        <v>46025131033.061455</v>
      </c>
      <c r="CK883" s="275">
        <f t="shared" si="1054"/>
        <v>0</v>
      </c>
      <c r="CL883" s="275">
        <f t="shared" si="1052"/>
        <v>0</v>
      </c>
      <c r="CM883" s="278">
        <f>'Detailed Budget'!$AD$189</f>
        <v>77498869683.252869</v>
      </c>
      <c r="CN883" s="275">
        <f t="shared" si="1037"/>
        <v>57740587.852211356</v>
      </c>
      <c r="CO883" s="140">
        <f>'Detailed Budget'!$AD$191</f>
        <v>2684962805.4134097</v>
      </c>
      <c r="CP883" s="616">
        <f t="shared" si="1038"/>
        <v>2000433.4434750387</v>
      </c>
      <c r="CQ883" s="616">
        <f t="shared" si="1039"/>
        <v>59741021.295686394</v>
      </c>
      <c r="CR883" s="199">
        <f>'Detailed Budget'!$AD$195</f>
        <v>18734176418</v>
      </c>
      <c r="CS883" s="275">
        <f t="shared" si="1063"/>
        <v>12008738.104560906</v>
      </c>
      <c r="CW883" s="278"/>
      <c r="DH883" s="140">
        <f>'Detailed Budget'!$AD$163</f>
        <v>4928560000</v>
      </c>
      <c r="DI883" s="616">
        <f t="shared" si="1064"/>
        <v>5600000</v>
      </c>
    </row>
    <row r="884" spans="1:113" outlineLevel="1">
      <c r="A884" s="214" t="s">
        <v>1790</v>
      </c>
      <c r="B884" s="215" t="s">
        <v>1791</v>
      </c>
      <c r="C884" s="216" t="s">
        <v>234</v>
      </c>
      <c r="D884" s="217"/>
      <c r="E884" s="216"/>
      <c r="F884" s="216"/>
      <c r="G884" s="216" t="s">
        <v>234</v>
      </c>
      <c r="H884" s="216" t="s">
        <v>234</v>
      </c>
      <c r="I884" s="217" t="s">
        <v>234</v>
      </c>
      <c r="J884" s="217"/>
      <c r="K884" s="216"/>
      <c r="L884" s="216"/>
      <c r="M884" s="217"/>
      <c r="N884" s="216" t="s">
        <v>234</v>
      </c>
      <c r="O884" s="217"/>
      <c r="P884" s="216"/>
      <c r="Q884" s="217"/>
      <c r="R884" s="217" t="s">
        <v>234</v>
      </c>
      <c r="S884" s="217"/>
      <c r="T884" s="217"/>
      <c r="U884" s="218">
        <f t="shared" si="1010"/>
        <v>6</v>
      </c>
      <c r="V884" s="867" t="s">
        <v>235</v>
      </c>
      <c r="W884" s="219">
        <v>200528</v>
      </c>
      <c r="X884" s="220">
        <v>3.35</v>
      </c>
      <c r="Y884" s="221">
        <f t="shared" si="1045"/>
        <v>1.0335000000000001</v>
      </c>
      <c r="Z884" s="199">
        <v>19</v>
      </c>
      <c r="AA884" s="221">
        <f t="shared" si="1046"/>
        <v>1.8702477386515275</v>
      </c>
      <c r="AB884" s="199">
        <f t="shared" ref="AB884:AB898" si="1069">W884*AA884</f>
        <v>375037.03853631351</v>
      </c>
      <c r="AC884">
        <v>12.8</v>
      </c>
      <c r="AD884" s="199">
        <f t="shared" ref="AD884:AD898" si="1070">AB884*AC884/100</f>
        <v>48004.740932648136</v>
      </c>
      <c r="AE884" s="199">
        <f t="shared" si="1047"/>
        <v>45604.503886015729</v>
      </c>
      <c r="AF884" s="199">
        <f t="shared" si="1044"/>
        <v>0</v>
      </c>
      <c r="AG884" s="614"/>
      <c r="AH884" s="199">
        <f t="shared" si="1065"/>
        <v>18751.851926815678</v>
      </c>
      <c r="AI884" s="252">
        <f t="shared" si="1024"/>
        <v>1.4526775569395827E-3</v>
      </c>
      <c r="AJ884" s="199">
        <f t="shared" si="1025"/>
        <v>66756.59285946381</v>
      </c>
      <c r="AK884" s="199">
        <f t="shared" si="1048"/>
        <v>15001.48154145254</v>
      </c>
      <c r="AL884" s="199">
        <f t="shared" si="1049"/>
        <v>15001.48154145254</v>
      </c>
      <c r="AM884" s="199">
        <f t="shared" si="1026"/>
        <v>30002.96308290508</v>
      </c>
      <c r="AN884" s="645">
        <f t="shared" si="1027"/>
        <v>1.4526775569395824E-3</v>
      </c>
      <c r="AO884" s="199">
        <v>11</v>
      </c>
      <c r="AP884" s="250">
        <f t="shared" si="1028"/>
        <v>1.2498579706851495E-3</v>
      </c>
      <c r="AQ884" s="199">
        <v>11</v>
      </c>
      <c r="AU884" s="199">
        <v>0</v>
      </c>
      <c r="AW884" s="250">
        <f t="shared" si="1029"/>
        <v>0</v>
      </c>
      <c r="AX884" s="199">
        <v>1</v>
      </c>
      <c r="AY884" s="199">
        <f t="shared" si="1055"/>
        <v>24122.534796007792</v>
      </c>
      <c r="AZ884" s="199">
        <f t="shared" si="1030"/>
        <v>24122.534796007792</v>
      </c>
      <c r="BA884" s="252">
        <f t="shared" si="1031"/>
        <v>1.8961877736101502E-3</v>
      </c>
      <c r="BB884" s="284">
        <v>0</v>
      </c>
      <c r="BC884" s="199">
        <f t="shared" si="1056"/>
        <v>0</v>
      </c>
      <c r="BD884" s="270">
        <f t="shared" si="1067"/>
        <v>0</v>
      </c>
      <c r="BE884" s="199">
        <f t="shared" si="1057"/>
        <v>0</v>
      </c>
      <c r="BF884" s="251">
        <f t="shared" si="1068"/>
        <v>0</v>
      </c>
      <c r="BG884" s="199">
        <f t="shared" si="1058"/>
        <v>0</v>
      </c>
      <c r="BH884" s="636">
        <v>1</v>
      </c>
      <c r="BI884" s="199">
        <f t="shared" si="1032"/>
        <v>114761.33379211192</v>
      </c>
      <c r="BJ884" s="199">
        <f t="shared" si="1033"/>
        <v>229522.66758422385</v>
      </c>
      <c r="BK884" s="199">
        <f t="shared" si="1040"/>
        <v>344284.00137633574</v>
      </c>
      <c r="BL884" s="251">
        <f t="shared" si="1034"/>
        <v>1.4526775569395822E-3</v>
      </c>
      <c r="BM884" s="199">
        <f t="shared" si="1059"/>
        <v>28942.247040494927</v>
      </c>
      <c r="BN884" s="251">
        <f t="shared" si="1035"/>
        <v>1.2498162360243231E-3</v>
      </c>
      <c r="BT884" s="199">
        <f>'Detailed Budget'!$AD$12</f>
        <v>194045122715</v>
      </c>
      <c r="BU884" s="199">
        <f>'Detailed Budget'!$AD$24</f>
        <v>194045122715</v>
      </c>
      <c r="BV884" s="596">
        <f t="shared" si="1060"/>
        <v>0</v>
      </c>
      <c r="BW884" s="278"/>
      <c r="BX884" s="275">
        <f t="shared" si="1042"/>
        <v>0</v>
      </c>
      <c r="BY884" s="275">
        <f t="shared" si="1043"/>
        <v>0</v>
      </c>
      <c r="CA884" s="199">
        <f>'Detailed Budget'!$AD$96</f>
        <v>71050111380.677719</v>
      </c>
      <c r="CB884" s="275">
        <f t="shared" si="1036"/>
        <v>134724352.51368049</v>
      </c>
      <c r="CE884" s="199">
        <f>'Detailed Budget'!$AD$175</f>
        <v>4330586076.5988197</v>
      </c>
      <c r="CF884" s="275">
        <f t="shared" si="1061"/>
        <v>0</v>
      </c>
      <c r="CG884" s="199">
        <f>'Detailed Budget'!$AD$176</f>
        <v>20662817754.37001</v>
      </c>
      <c r="CH884" s="275">
        <f t="shared" si="1062"/>
        <v>0</v>
      </c>
      <c r="CI884" s="275">
        <f t="shared" si="1066"/>
        <v>0</v>
      </c>
      <c r="CJ884" s="275">
        <f>'Detailed Budget'!$AD$178</f>
        <v>46025131033.061455</v>
      </c>
      <c r="CK884" s="275">
        <f t="shared" si="1054"/>
        <v>0</v>
      </c>
      <c r="CL884" s="275">
        <f t="shared" si="1052"/>
        <v>0</v>
      </c>
      <c r="CM884" s="278">
        <f>'Detailed Budget'!$AD$189</f>
        <v>77498869683.252869</v>
      </c>
      <c r="CN884" s="275">
        <f t="shared" si="1037"/>
        <v>112580868.67704684</v>
      </c>
      <c r="CO884" s="140">
        <f>'Detailed Budget'!$AD$191</f>
        <v>2684962805.4134097</v>
      </c>
      <c r="CP884" s="616">
        <f t="shared" si="1038"/>
        <v>3900385.2086415994</v>
      </c>
      <c r="CQ884" s="616">
        <f t="shared" si="1039"/>
        <v>116481253.88568844</v>
      </c>
      <c r="CR884" s="199">
        <f>'Detailed Budget'!$AD$195</f>
        <v>18734176418</v>
      </c>
      <c r="CS884" s="275">
        <f t="shared" si="1063"/>
        <v>23414277.855760396</v>
      </c>
      <c r="CW884" s="278"/>
      <c r="DH884" s="140">
        <f>'Detailed Budget'!$AD$163</f>
        <v>4928560000</v>
      </c>
      <c r="DI884" s="616">
        <f t="shared" si="1064"/>
        <v>6160000</v>
      </c>
    </row>
    <row r="885" spans="1:113" outlineLevel="1">
      <c r="A885" s="214" t="s">
        <v>1792</v>
      </c>
      <c r="B885" s="215" t="s">
        <v>1793</v>
      </c>
      <c r="C885" s="216" t="s">
        <v>234</v>
      </c>
      <c r="D885" s="217"/>
      <c r="E885" s="216"/>
      <c r="F885" s="216"/>
      <c r="G885" s="216" t="s">
        <v>234</v>
      </c>
      <c r="H885" s="216" t="s">
        <v>234</v>
      </c>
      <c r="I885" s="217" t="s">
        <v>234</v>
      </c>
      <c r="J885" s="217"/>
      <c r="K885" s="216"/>
      <c r="L885" s="216"/>
      <c r="M885" s="217"/>
      <c r="N885" s="216"/>
      <c r="O885" s="217" t="s">
        <v>234</v>
      </c>
      <c r="P885" s="216"/>
      <c r="Q885" s="217"/>
      <c r="R885" s="217" t="s">
        <v>234</v>
      </c>
      <c r="S885" s="217"/>
      <c r="T885" s="217"/>
      <c r="U885" s="218">
        <f t="shared" ref="U885:U898" si="1071">COUNTA(C885:T885)</f>
        <v>6</v>
      </c>
      <c r="V885" s="867" t="s">
        <v>235</v>
      </c>
      <c r="W885" s="219">
        <v>148133</v>
      </c>
      <c r="X885" s="220">
        <v>3.35</v>
      </c>
      <c r="Y885" s="221">
        <f t="shared" si="1045"/>
        <v>1.0335000000000001</v>
      </c>
      <c r="Z885" s="199">
        <v>19</v>
      </c>
      <c r="AA885" s="221">
        <f t="shared" si="1046"/>
        <v>1.8702477386515275</v>
      </c>
      <c r="AB885" s="199">
        <f t="shared" si="1069"/>
        <v>277045.40826966672</v>
      </c>
      <c r="AC885">
        <v>12.8</v>
      </c>
      <c r="AD885" s="199">
        <f t="shared" si="1070"/>
        <v>35461.812258517341</v>
      </c>
      <c r="AE885" s="199">
        <f t="shared" si="1047"/>
        <v>33688.721645591475</v>
      </c>
      <c r="AF885" s="199">
        <f t="shared" si="1044"/>
        <v>0</v>
      </c>
      <c r="AG885" s="614"/>
      <c r="AH885" s="199">
        <f t="shared" si="1065"/>
        <v>13852.270413483337</v>
      </c>
      <c r="AI885" s="252">
        <f t="shared" si="1024"/>
        <v>1.0731144006928268E-3</v>
      </c>
      <c r="AJ885" s="199">
        <f t="shared" si="1025"/>
        <v>49314.082672000673</v>
      </c>
      <c r="AK885" s="199">
        <f t="shared" si="1048"/>
        <v>11081.816330786669</v>
      </c>
      <c r="AL885" s="199">
        <f t="shared" si="1049"/>
        <v>11081.816330786669</v>
      </c>
      <c r="AM885" s="199">
        <f t="shared" si="1026"/>
        <v>22163.632661573338</v>
      </c>
      <c r="AN885" s="645">
        <f t="shared" si="1027"/>
        <v>1.0731144006928268E-3</v>
      </c>
      <c r="AO885" s="199">
        <v>14</v>
      </c>
      <c r="AP885" s="250">
        <f t="shared" si="1028"/>
        <v>1.5907283263265539E-3</v>
      </c>
      <c r="AQ885" s="199">
        <v>14</v>
      </c>
      <c r="AU885" s="199">
        <v>0</v>
      </c>
      <c r="AW885" s="250">
        <f t="shared" si="1029"/>
        <v>0</v>
      </c>
      <c r="AX885" s="199">
        <v>1</v>
      </c>
      <c r="AY885" s="199">
        <f t="shared" si="1055"/>
        <v>17819.67329718055</v>
      </c>
      <c r="AZ885" s="199">
        <f t="shared" si="1030"/>
        <v>17819.67329718055</v>
      </c>
      <c r="BA885" s="252">
        <f t="shared" si="1031"/>
        <v>1.4007419585703358E-3</v>
      </c>
      <c r="BB885" s="284">
        <v>0</v>
      </c>
      <c r="BC885" s="199">
        <f t="shared" si="1056"/>
        <v>0</v>
      </c>
      <c r="BD885" s="270">
        <f t="shared" si="1067"/>
        <v>0</v>
      </c>
      <c r="BE885" s="199">
        <f t="shared" si="1057"/>
        <v>0</v>
      </c>
      <c r="BF885" s="251">
        <f t="shared" si="1068"/>
        <v>0</v>
      </c>
      <c r="BG885" s="199">
        <f t="shared" si="1058"/>
        <v>0</v>
      </c>
      <c r="BH885" s="636">
        <v>1</v>
      </c>
      <c r="BI885" s="199">
        <f t="shared" si="1032"/>
        <v>84775.894930518029</v>
      </c>
      <c r="BJ885" s="199">
        <f t="shared" si="1033"/>
        <v>169551.78986103606</v>
      </c>
      <c r="BK885" s="199">
        <f t="shared" si="1040"/>
        <v>254327.68479155409</v>
      </c>
      <c r="BL885" s="251">
        <f t="shared" si="1034"/>
        <v>1.0731144006928268E-3</v>
      </c>
      <c r="BM885" s="199">
        <f t="shared" si="1059"/>
        <v>21380.066029929159</v>
      </c>
      <c r="BN885" s="251">
        <f t="shared" si="1035"/>
        <v>9.2325774201603285E-4</v>
      </c>
      <c r="BT885" s="199">
        <f>'Detailed Budget'!$AD$12</f>
        <v>194045122715</v>
      </c>
      <c r="BU885" s="199">
        <f>'Detailed Budget'!$AD$24</f>
        <v>194045122715</v>
      </c>
      <c r="BV885" s="596">
        <f t="shared" si="1060"/>
        <v>0</v>
      </c>
      <c r="BW885" s="278"/>
      <c r="BX885" s="275">
        <f t="shared" si="1042"/>
        <v>0</v>
      </c>
      <c r="BY885" s="275">
        <f t="shared" si="1043"/>
        <v>0</v>
      </c>
      <c r="CA885" s="199">
        <f>'Detailed Budget'!$AD$96</f>
        <v>71050111380.677719</v>
      </c>
      <c r="CB885" s="275">
        <f t="shared" si="1036"/>
        <v>99522872.172011018</v>
      </c>
      <c r="CE885" s="199">
        <f>'Detailed Budget'!$AD$175</f>
        <v>4330586076.5988197</v>
      </c>
      <c r="CF885" s="275">
        <f t="shared" si="1061"/>
        <v>0</v>
      </c>
      <c r="CG885" s="199">
        <f>'Detailed Budget'!$AD$176</f>
        <v>20662817754.37001</v>
      </c>
      <c r="CH885" s="275">
        <f t="shared" si="1062"/>
        <v>0</v>
      </c>
      <c r="CI885" s="275">
        <f t="shared" si="1066"/>
        <v>0</v>
      </c>
      <c r="CJ885" s="275">
        <f>'Detailed Budget'!$AD$178</f>
        <v>46025131033.061455</v>
      </c>
      <c r="CK885" s="275">
        <f t="shared" si="1054"/>
        <v>0</v>
      </c>
      <c r="CL885" s="275">
        <f t="shared" si="1052"/>
        <v>0</v>
      </c>
      <c r="CM885" s="278">
        <f>'Detailed Budget'!$AD$189</f>
        <v>77498869683.252869</v>
      </c>
      <c r="CN885" s="275">
        <f t="shared" si="1037"/>
        <v>83165153.094515383</v>
      </c>
      <c r="CO885" s="140">
        <f>'Detailed Budget'!$AD$191</f>
        <v>2684962805.4134097</v>
      </c>
      <c r="CP885" s="616">
        <f t="shared" si="1038"/>
        <v>2881272.2518137423</v>
      </c>
      <c r="CQ885" s="616">
        <f t="shared" si="1039"/>
        <v>86046425.346329123</v>
      </c>
      <c r="CR885" s="199">
        <f>'Detailed Budget'!$AD$195</f>
        <v>18734176418</v>
      </c>
      <c r="CS885" s="275">
        <f t="shared" si="1063"/>
        <v>17296473.418212689</v>
      </c>
      <c r="CW885" s="278"/>
      <c r="DH885" s="140">
        <f>'Detailed Budget'!$AD$163</f>
        <v>4928560000</v>
      </c>
      <c r="DI885" s="616">
        <f t="shared" si="1064"/>
        <v>7840000.0000000009</v>
      </c>
    </row>
    <row r="886" spans="1:113" outlineLevel="1">
      <c r="A886" s="214" t="s">
        <v>1794</v>
      </c>
      <c r="B886" s="215" t="s">
        <v>1795</v>
      </c>
      <c r="C886" s="216" t="s">
        <v>234</v>
      </c>
      <c r="D886" s="217" t="s">
        <v>234</v>
      </c>
      <c r="E886" s="216"/>
      <c r="F886" s="216"/>
      <c r="G886" s="216"/>
      <c r="H886" s="216" t="s">
        <v>234</v>
      </c>
      <c r="I886" s="217" t="s">
        <v>234</v>
      </c>
      <c r="J886" s="217"/>
      <c r="K886" s="216"/>
      <c r="L886" s="216"/>
      <c r="M886" s="217"/>
      <c r="N886" s="216"/>
      <c r="O886" s="217" t="s">
        <v>234</v>
      </c>
      <c r="P886" s="216"/>
      <c r="Q886" s="217" t="s">
        <v>234</v>
      </c>
      <c r="R886" s="217"/>
      <c r="S886" s="217"/>
      <c r="T886" s="217"/>
      <c r="U886" s="218">
        <f t="shared" si="1071"/>
        <v>6</v>
      </c>
      <c r="V886" s="867" t="s">
        <v>284</v>
      </c>
      <c r="W886" s="219">
        <v>198859</v>
      </c>
      <c r="X886" s="220">
        <v>3.35</v>
      </c>
      <c r="Y886" s="221">
        <f t="shared" si="1045"/>
        <v>1.0335000000000001</v>
      </c>
      <c r="Z886" s="199">
        <v>19</v>
      </c>
      <c r="AA886" s="221">
        <f t="shared" si="1046"/>
        <v>1.8702477386515275</v>
      </c>
      <c r="AB886" s="199">
        <f t="shared" si="1069"/>
        <v>371915.5950605041</v>
      </c>
      <c r="AC886">
        <v>12.8</v>
      </c>
      <c r="AD886" s="199">
        <f t="shared" si="1070"/>
        <v>47605.196167744529</v>
      </c>
      <c r="AE886" s="199">
        <f t="shared" si="1047"/>
        <v>45224.9363593573</v>
      </c>
      <c r="AF886" s="199">
        <f t="shared" si="1044"/>
        <v>45224.9363593573</v>
      </c>
      <c r="AG886" s="614"/>
      <c r="AH886" s="199">
        <f t="shared" si="1065"/>
        <v>18595.779753025206</v>
      </c>
      <c r="AI886" s="252">
        <f t="shared" si="1024"/>
        <v>1.4405868821084757E-3</v>
      </c>
      <c r="AJ886" s="199">
        <f t="shared" si="1025"/>
        <v>66200.975920769735</v>
      </c>
      <c r="AK886" s="199">
        <f t="shared" si="1048"/>
        <v>14876.623802420165</v>
      </c>
      <c r="AL886" s="199">
        <f t="shared" si="1049"/>
        <v>14876.623802420165</v>
      </c>
      <c r="AM886" s="199">
        <f t="shared" si="1026"/>
        <v>29753.24760484033</v>
      </c>
      <c r="AN886" s="645">
        <f t="shared" si="1027"/>
        <v>1.4405868821084757E-3</v>
      </c>
      <c r="AO886" s="199">
        <v>10</v>
      </c>
      <c r="AP886" s="250">
        <f t="shared" si="1028"/>
        <v>1.1362345188046814E-3</v>
      </c>
      <c r="AQ886" s="199">
        <v>10</v>
      </c>
      <c r="AU886" s="199">
        <v>0</v>
      </c>
      <c r="AW886" s="250">
        <f t="shared" si="1029"/>
        <v>0</v>
      </c>
      <c r="AX886" s="199">
        <v>1</v>
      </c>
      <c r="AY886" s="199">
        <f t="shared" si="1055"/>
        <v>23921.76228257058</v>
      </c>
      <c r="AZ886" s="199">
        <f t="shared" si="1030"/>
        <v>23921.76228257058</v>
      </c>
      <c r="BA886" s="252">
        <f t="shared" si="1031"/>
        <v>1.8804057511785928E-3</v>
      </c>
      <c r="BB886" s="284">
        <v>1</v>
      </c>
      <c r="BC886" s="199">
        <f t="shared" si="1056"/>
        <v>34275.741240776057</v>
      </c>
      <c r="BD886" s="270">
        <f t="shared" si="1067"/>
        <v>3.086773633550307E-3</v>
      </c>
      <c r="BE886" s="199">
        <f t="shared" si="1057"/>
        <v>146624.00419665314</v>
      </c>
      <c r="BF886" s="251">
        <f t="shared" si="1068"/>
        <v>3.0867737021442227E-3</v>
      </c>
      <c r="BG886" s="199">
        <f t="shared" si="1058"/>
        <v>180899.7454374292</v>
      </c>
      <c r="BH886" s="636">
        <v>0</v>
      </c>
      <c r="BI886" s="199">
        <f t="shared" si="1032"/>
        <v>113806.17208851426</v>
      </c>
      <c r="BJ886" s="199">
        <f t="shared" si="1033"/>
        <v>227612.34417702851</v>
      </c>
      <c r="BK886" s="199">
        <f t="shared" si="1040"/>
        <v>341418.51626554277</v>
      </c>
      <c r="BL886" s="251">
        <f t="shared" si="1034"/>
        <v>1.4405868821084757E-3</v>
      </c>
      <c r="BM886" s="199">
        <f t="shared" si="1059"/>
        <v>28701.359930911294</v>
      </c>
      <c r="BN886" s="251">
        <f t="shared" si="1035"/>
        <v>1.2394139814866794E-3</v>
      </c>
      <c r="BT886" s="199">
        <f>'Detailed Budget'!$AD$12</f>
        <v>194045122715</v>
      </c>
      <c r="BU886" s="199">
        <f>'Detailed Budget'!$AD$24</f>
        <v>194045122715</v>
      </c>
      <c r="BV886" s="596">
        <f t="shared" si="1060"/>
        <v>0</v>
      </c>
      <c r="BW886" s="278"/>
      <c r="BX886" s="275">
        <f t="shared" si="1042"/>
        <v>0</v>
      </c>
      <c r="BY886" s="275">
        <f t="shared" si="1043"/>
        <v>0</v>
      </c>
      <c r="CA886" s="199">
        <f>'Detailed Budget'!$AD$96</f>
        <v>71050111380.677719</v>
      </c>
      <c r="CB886" s="275">
        <f t="shared" si="1036"/>
        <v>133603038.06210597</v>
      </c>
      <c r="CE886" s="199">
        <f>'Detailed Budget'!$AD$175</f>
        <v>4330586076.5988197</v>
      </c>
      <c r="CF886" s="275">
        <f t="shared" si="1061"/>
        <v>13367538.919065306</v>
      </c>
      <c r="CG886" s="199">
        <f>'Detailed Budget'!$AD$176</f>
        <v>20662817754.37001</v>
      </c>
      <c r="CH886" s="275">
        <f t="shared" si="1062"/>
        <v>63781442.456388094</v>
      </c>
      <c r="CI886" s="275">
        <f t="shared" si="1066"/>
        <v>77148981.375453398</v>
      </c>
      <c r="CJ886" s="275">
        <f>'Detailed Budget'!$AD$178</f>
        <v>46025131033.061455</v>
      </c>
      <c r="CK886" s="275">
        <f t="shared" si="1054"/>
        <v>0</v>
      </c>
      <c r="CL886" s="275">
        <f t="shared" si="1052"/>
        <v>77148981.375453398</v>
      </c>
      <c r="CM886" s="278">
        <f>'Detailed Budget'!$AD$189</f>
        <v>77498869683.252869</v>
      </c>
      <c r="CN886" s="275">
        <f t="shared" si="1037"/>
        <v>0</v>
      </c>
      <c r="CO886" s="140">
        <f>'Detailed Budget'!$AD$191</f>
        <v>2684962805.4134097</v>
      </c>
      <c r="CP886" s="616">
        <f t="shared" si="1038"/>
        <v>0</v>
      </c>
      <c r="CQ886" s="616">
        <f t="shared" si="1039"/>
        <v>0</v>
      </c>
      <c r="CR886" s="199">
        <f>'Detailed Budget'!$AD$195</f>
        <v>18734176418</v>
      </c>
      <c r="CS886" s="275">
        <f t="shared" si="1063"/>
        <v>23219400.18410724</v>
      </c>
      <c r="CW886" s="278"/>
      <c r="DH886" s="140">
        <f>'Detailed Budget'!$AD$163</f>
        <v>4928560000</v>
      </c>
      <c r="DI886" s="616">
        <f t="shared" si="1064"/>
        <v>5600000</v>
      </c>
    </row>
    <row r="887" spans="1:113" outlineLevel="1">
      <c r="A887" s="214" t="s">
        <v>1796</v>
      </c>
      <c r="B887" s="215" t="s">
        <v>1797</v>
      </c>
      <c r="C887" s="216" t="s">
        <v>234</v>
      </c>
      <c r="D887" s="217"/>
      <c r="E887" s="216"/>
      <c r="F887" s="216"/>
      <c r="G887" s="216" t="s">
        <v>234</v>
      </c>
      <c r="H887" s="216" t="s">
        <v>234</v>
      </c>
      <c r="I887" s="217" t="s">
        <v>234</v>
      </c>
      <c r="J887" s="217"/>
      <c r="K887" s="216"/>
      <c r="L887" s="216"/>
      <c r="M887" s="217"/>
      <c r="N887" s="216" t="s">
        <v>234</v>
      </c>
      <c r="O887" s="217"/>
      <c r="P887" s="216"/>
      <c r="Q887" s="217" t="s">
        <v>234</v>
      </c>
      <c r="R887" s="217"/>
      <c r="S887" s="217"/>
      <c r="T887" s="217"/>
      <c r="U887" s="218">
        <f t="shared" si="1071"/>
        <v>6</v>
      </c>
      <c r="V887" s="867" t="s">
        <v>1096</v>
      </c>
      <c r="W887" s="219">
        <v>100379</v>
      </c>
      <c r="X887" s="220">
        <v>3.35</v>
      </c>
      <c r="Y887" s="221">
        <f t="shared" si="1045"/>
        <v>1.0335000000000001</v>
      </c>
      <c r="Z887" s="199">
        <v>19</v>
      </c>
      <c r="AA887" s="221">
        <f t="shared" si="1046"/>
        <v>1.8702477386515275</v>
      </c>
      <c r="AB887" s="199">
        <f t="shared" si="1069"/>
        <v>187733.59775810168</v>
      </c>
      <c r="AC887">
        <v>12.8</v>
      </c>
      <c r="AD887" s="199">
        <f t="shared" si="1070"/>
        <v>24029.900513037013</v>
      </c>
      <c r="AE887" s="199">
        <f t="shared" si="1047"/>
        <v>22828.40548738516</v>
      </c>
      <c r="AF887" s="199">
        <f t="shared" si="1044"/>
        <v>0</v>
      </c>
      <c r="AG887" s="614"/>
      <c r="AH887" s="199">
        <f t="shared" si="1065"/>
        <v>9386.6798879050839</v>
      </c>
      <c r="AI887" s="252">
        <f t="shared" si="1024"/>
        <v>7.2717186870680569E-4</v>
      </c>
      <c r="AJ887" s="199">
        <f t="shared" si="1025"/>
        <v>33416.580400942097</v>
      </c>
      <c r="AK887" s="199">
        <f t="shared" si="1048"/>
        <v>7509.3439103240671</v>
      </c>
      <c r="AL887" s="199">
        <f t="shared" si="1049"/>
        <v>7509.3439103240671</v>
      </c>
      <c r="AM887" s="199">
        <f t="shared" si="1026"/>
        <v>15018.687820648134</v>
      </c>
      <c r="AN887" s="645">
        <f t="shared" si="1027"/>
        <v>7.2717186870680569E-4</v>
      </c>
      <c r="AO887" s="199">
        <v>10</v>
      </c>
      <c r="AP887" s="250">
        <f t="shared" si="1028"/>
        <v>1.1362345188046814E-3</v>
      </c>
      <c r="AQ887" s="199">
        <v>10</v>
      </c>
      <c r="AU887" s="199">
        <v>0</v>
      </c>
      <c r="AW887" s="250">
        <f t="shared" si="1029"/>
        <v>0</v>
      </c>
      <c r="AX887" s="199">
        <v>1</v>
      </c>
      <c r="AY887" s="199">
        <f t="shared" si="1055"/>
        <v>12075.101333920777</v>
      </c>
      <c r="AZ887" s="199">
        <f t="shared" si="1030"/>
        <v>12075.101333920777</v>
      </c>
      <c r="BA887" s="252">
        <f t="shared" si="1031"/>
        <v>9.491813239408622E-4</v>
      </c>
      <c r="BB887" s="284">
        <v>0</v>
      </c>
      <c r="BC887" s="199">
        <f t="shared" si="1056"/>
        <v>0</v>
      </c>
      <c r="BD887" s="270">
        <f t="shared" si="1067"/>
        <v>0</v>
      </c>
      <c r="BE887" s="199">
        <f t="shared" si="1057"/>
        <v>0</v>
      </c>
      <c r="BF887" s="251">
        <f t="shared" si="1068"/>
        <v>0</v>
      </c>
      <c r="BG887" s="199">
        <f t="shared" si="1058"/>
        <v>0</v>
      </c>
      <c r="BH887" s="636">
        <v>1</v>
      </c>
      <c r="BI887" s="199">
        <f t="shared" si="1032"/>
        <v>57446.480913979118</v>
      </c>
      <c r="BJ887" s="199">
        <f t="shared" si="1033"/>
        <v>114892.96182795824</v>
      </c>
      <c r="BK887" s="199">
        <f t="shared" si="1040"/>
        <v>172339.44274193735</v>
      </c>
      <c r="BL887" s="251">
        <f t="shared" si="1034"/>
        <v>7.271718687068058E-4</v>
      </c>
      <c r="BM887" s="199">
        <f t="shared" si="1059"/>
        <v>14487.721493645975</v>
      </c>
      <c r="BN887" s="251">
        <f t="shared" si="1035"/>
        <v>6.2562487012230469E-4</v>
      </c>
      <c r="BT887" s="199">
        <f>'Detailed Budget'!$AD$12</f>
        <v>194045122715</v>
      </c>
      <c r="BU887" s="199">
        <f>'Detailed Budget'!$AD$24</f>
        <v>194045122715</v>
      </c>
      <c r="BV887" s="596">
        <f t="shared" si="1060"/>
        <v>0</v>
      </c>
      <c r="BW887" s="278"/>
      <c r="BX887" s="275">
        <f t="shared" si="1042"/>
        <v>0</v>
      </c>
      <c r="BY887" s="275">
        <f t="shared" si="1043"/>
        <v>0</v>
      </c>
      <c r="CA887" s="199">
        <f>'Detailed Budget'!$AD$96</f>
        <v>71050111380.677719</v>
      </c>
      <c r="CB887" s="275">
        <f t="shared" si="1036"/>
        <v>67439438.786457404</v>
      </c>
      <c r="CE887" s="199">
        <f>'Detailed Budget'!$AD$175</f>
        <v>4330586076.5988197</v>
      </c>
      <c r="CF887" s="275">
        <f t="shared" si="1061"/>
        <v>0</v>
      </c>
      <c r="CG887" s="199">
        <f>'Detailed Budget'!$AD$176</f>
        <v>20662817754.37001</v>
      </c>
      <c r="CH887" s="275">
        <f t="shared" si="1062"/>
        <v>0</v>
      </c>
      <c r="CI887" s="275">
        <f t="shared" si="1066"/>
        <v>0</v>
      </c>
      <c r="CJ887" s="275">
        <f>'Detailed Budget'!$AD$178</f>
        <v>46025131033.061455</v>
      </c>
      <c r="CK887" s="275">
        <f t="shared" si="1054"/>
        <v>0</v>
      </c>
      <c r="CL887" s="275">
        <f t="shared" si="1052"/>
        <v>0</v>
      </c>
      <c r="CM887" s="278">
        <f>'Detailed Budget'!$AD$189</f>
        <v>77498869683.252869</v>
      </c>
      <c r="CN887" s="275">
        <f t="shared" si="1037"/>
        <v>56354997.890236206</v>
      </c>
      <c r="CO887" s="140">
        <f>'Detailed Budget'!$AD$191</f>
        <v>2684962805.4134097</v>
      </c>
      <c r="CP887" s="616">
        <f t="shared" si="1038"/>
        <v>1952429.4206207367</v>
      </c>
      <c r="CQ887" s="616">
        <f t="shared" si="1039"/>
        <v>58307427.310856946</v>
      </c>
      <c r="CR887" s="199">
        <f>'Detailed Budget'!$AD$195</f>
        <v>18734176418</v>
      </c>
      <c r="CS887" s="275">
        <f t="shared" si="1063"/>
        <v>11720566.688359594</v>
      </c>
      <c r="CW887" s="278"/>
      <c r="DH887" s="140">
        <f>'Detailed Budget'!$AD$163</f>
        <v>4928560000</v>
      </c>
      <c r="DI887" s="616">
        <f t="shared" si="1064"/>
        <v>5600000</v>
      </c>
    </row>
    <row r="888" spans="1:113" outlineLevel="1">
      <c r="A888" s="214" t="s">
        <v>1798</v>
      </c>
      <c r="B888" s="215" t="s">
        <v>1799</v>
      </c>
      <c r="C888" s="216" t="s">
        <v>234</v>
      </c>
      <c r="D888" s="217"/>
      <c r="E888" s="216"/>
      <c r="F888" s="216"/>
      <c r="G888" s="216" t="s">
        <v>234</v>
      </c>
      <c r="H888" s="216" t="s">
        <v>234</v>
      </c>
      <c r="I888" s="217" t="s">
        <v>234</v>
      </c>
      <c r="J888" s="217"/>
      <c r="K888" s="216"/>
      <c r="L888" s="216"/>
      <c r="M888" s="217"/>
      <c r="N888" s="216" t="s">
        <v>234</v>
      </c>
      <c r="O888" s="217"/>
      <c r="P888" s="216"/>
      <c r="Q888" s="217"/>
      <c r="R888" s="217" t="s">
        <v>234</v>
      </c>
      <c r="S888" s="217"/>
      <c r="T888" s="217"/>
      <c r="U888" s="218">
        <f t="shared" si="1071"/>
        <v>6</v>
      </c>
      <c r="V888" s="867" t="s">
        <v>235</v>
      </c>
      <c r="W888" s="219">
        <v>65198</v>
      </c>
      <c r="X888" s="220">
        <v>3.35</v>
      </c>
      <c r="Y888" s="221">
        <f t="shared" si="1045"/>
        <v>1.0335000000000001</v>
      </c>
      <c r="Z888" s="199">
        <v>19</v>
      </c>
      <c r="AA888" s="221">
        <f t="shared" si="1046"/>
        <v>1.8702477386515275</v>
      </c>
      <c r="AB888" s="199">
        <f t="shared" si="1069"/>
        <v>121936.41206460229</v>
      </c>
      <c r="AC888">
        <v>12.8</v>
      </c>
      <c r="AD888" s="199">
        <f t="shared" si="1070"/>
        <v>15607.860744269094</v>
      </c>
      <c r="AE888" s="199">
        <f t="shared" si="1047"/>
        <v>14827.467707055639</v>
      </c>
      <c r="AF888" s="199">
        <f t="shared" si="1044"/>
        <v>0</v>
      </c>
      <c r="AG888" s="614"/>
      <c r="AH888" s="199">
        <f t="shared" si="1065"/>
        <v>6096.820603230115</v>
      </c>
      <c r="AI888" s="252">
        <f t="shared" si="1024"/>
        <v>4.7231145454673114E-4</v>
      </c>
      <c r="AJ888" s="199">
        <f t="shared" si="1025"/>
        <v>21704.681347499209</v>
      </c>
      <c r="AK888" s="199">
        <f t="shared" si="1048"/>
        <v>4877.4564825840916</v>
      </c>
      <c r="AL888" s="199">
        <f t="shared" si="1049"/>
        <v>4877.4564825840916</v>
      </c>
      <c r="AM888" s="199">
        <f t="shared" si="1026"/>
        <v>9754.9129651681833</v>
      </c>
      <c r="AN888" s="645">
        <f t="shared" si="1027"/>
        <v>4.7231145454673109E-4</v>
      </c>
      <c r="AO888" s="199">
        <v>10</v>
      </c>
      <c r="AP888" s="250">
        <f t="shared" si="1028"/>
        <v>1.1362345188046814E-3</v>
      </c>
      <c r="AQ888" s="199">
        <v>10</v>
      </c>
      <c r="AU888" s="199">
        <v>0</v>
      </c>
      <c r="AW888" s="250">
        <f t="shared" si="1029"/>
        <v>0</v>
      </c>
      <c r="AX888" s="199">
        <v>1</v>
      </c>
      <c r="AY888" s="199">
        <f t="shared" si="1055"/>
        <v>7842.9995992086688</v>
      </c>
      <c r="AZ888" s="199">
        <f t="shared" si="1030"/>
        <v>7842.9995992086688</v>
      </c>
      <c r="BA888" s="252">
        <f t="shared" si="1031"/>
        <v>6.1651066416577513E-4</v>
      </c>
      <c r="BB888" s="284">
        <v>0</v>
      </c>
      <c r="BC888" s="199">
        <f t="shared" si="1056"/>
        <v>0</v>
      </c>
      <c r="BD888" s="270">
        <f t="shared" si="1067"/>
        <v>0</v>
      </c>
      <c r="BE888" s="199">
        <f t="shared" si="1057"/>
        <v>0</v>
      </c>
      <c r="BF888" s="251">
        <f t="shared" si="1068"/>
        <v>0</v>
      </c>
      <c r="BG888" s="199">
        <f t="shared" si="1058"/>
        <v>0</v>
      </c>
      <c r="BH888" s="636">
        <v>1</v>
      </c>
      <c r="BI888" s="199">
        <f t="shared" si="1032"/>
        <v>37312.5420917683</v>
      </c>
      <c r="BJ888" s="199">
        <f t="shared" si="1033"/>
        <v>74625.084183536601</v>
      </c>
      <c r="BK888" s="199">
        <f t="shared" si="1040"/>
        <v>111937.62627530491</v>
      </c>
      <c r="BL888" s="251">
        <f t="shared" si="1034"/>
        <v>4.7231145454673109E-4</v>
      </c>
      <c r="BM888" s="199">
        <f t="shared" si="1059"/>
        <v>9410.0406055323347</v>
      </c>
      <c r="BN888" s="251">
        <f t="shared" si="1035"/>
        <v>4.0635481806188564E-4</v>
      </c>
      <c r="BT888" s="199">
        <f>'Detailed Budget'!$AD$12</f>
        <v>194045122715</v>
      </c>
      <c r="BU888" s="199">
        <f>'Detailed Budget'!$AD$24</f>
        <v>194045122715</v>
      </c>
      <c r="BV888" s="596">
        <f t="shared" si="1060"/>
        <v>0</v>
      </c>
      <c r="BW888" s="278"/>
      <c r="BX888" s="275">
        <f t="shared" si="1042"/>
        <v>0</v>
      </c>
      <c r="BY888" s="275">
        <f t="shared" si="1043"/>
        <v>0</v>
      </c>
      <c r="CA888" s="199">
        <f>'Detailed Budget'!$AD$96</f>
        <v>71050111380.677719</v>
      </c>
      <c r="CB888" s="275">
        <f t="shared" si="1036"/>
        <v>43803151.356353916</v>
      </c>
      <c r="CE888" s="199">
        <f>'Detailed Budget'!$AD$175</f>
        <v>4330586076.5988197</v>
      </c>
      <c r="CF888" s="275">
        <f t="shared" si="1061"/>
        <v>0</v>
      </c>
      <c r="CG888" s="199">
        <f>'Detailed Budget'!$AD$176</f>
        <v>20662817754.37001</v>
      </c>
      <c r="CH888" s="275">
        <f t="shared" si="1062"/>
        <v>0</v>
      </c>
      <c r="CI888" s="275">
        <f t="shared" si="1066"/>
        <v>0</v>
      </c>
      <c r="CJ888" s="275">
        <f>'Detailed Budget'!$AD$178</f>
        <v>46025131033.061455</v>
      </c>
      <c r="CK888" s="275">
        <f t="shared" si="1054"/>
        <v>0</v>
      </c>
      <c r="CL888" s="275">
        <f t="shared" si="1052"/>
        <v>0</v>
      </c>
      <c r="CM888" s="278">
        <f>'Detailed Budget'!$AD$189</f>
        <v>77498869683.252869</v>
      </c>
      <c r="CN888" s="275">
        <f t="shared" si="1037"/>
        <v>36603603.865824722</v>
      </c>
      <c r="CO888" s="140">
        <f>'Detailed Budget'!$AD$191</f>
        <v>2684962805.4134097</v>
      </c>
      <c r="CP888" s="616">
        <f t="shared" si="1038"/>
        <v>1268138.6880286792</v>
      </c>
      <c r="CQ888" s="616">
        <f t="shared" si="1039"/>
        <v>37871742.5538534</v>
      </c>
      <c r="CR888" s="199">
        <f>'Detailed Budget'!$AD$195</f>
        <v>18734176418</v>
      </c>
      <c r="CS888" s="275">
        <f t="shared" si="1063"/>
        <v>7612722.8498756588</v>
      </c>
      <c r="CW888" s="278"/>
      <c r="DH888" s="140">
        <f>'Detailed Budget'!$AD$163</f>
        <v>4928560000</v>
      </c>
      <c r="DI888" s="616">
        <f t="shared" si="1064"/>
        <v>5600000</v>
      </c>
    </row>
    <row r="889" spans="1:113" outlineLevel="1">
      <c r="A889" s="214" t="s">
        <v>1800</v>
      </c>
      <c r="B889" s="215" t="s">
        <v>1801</v>
      </c>
      <c r="C889" s="216" t="s">
        <v>234</v>
      </c>
      <c r="D889" s="217" t="s">
        <v>234</v>
      </c>
      <c r="E889" s="216"/>
      <c r="F889" s="216"/>
      <c r="G889" s="216"/>
      <c r="H889" s="216" t="s">
        <v>234</v>
      </c>
      <c r="I889" s="217" t="s">
        <v>234</v>
      </c>
      <c r="J889" s="217"/>
      <c r="K889" s="216"/>
      <c r="L889" s="216"/>
      <c r="M889" s="217" t="s">
        <v>234</v>
      </c>
      <c r="N889" s="216"/>
      <c r="O889" s="217"/>
      <c r="P889" s="216"/>
      <c r="Q889" s="217"/>
      <c r="R889" s="217" t="s">
        <v>234</v>
      </c>
      <c r="S889" s="217"/>
      <c r="T889" s="217"/>
      <c r="U889" s="218">
        <f t="shared" si="1071"/>
        <v>6</v>
      </c>
      <c r="V889" s="867" t="s">
        <v>238</v>
      </c>
      <c r="W889" s="219">
        <v>81339</v>
      </c>
      <c r="X889" s="220">
        <v>3.35</v>
      </c>
      <c r="Y889" s="221">
        <f t="shared" si="1045"/>
        <v>1.0335000000000001</v>
      </c>
      <c r="Z889" s="199">
        <v>19</v>
      </c>
      <c r="AA889" s="221">
        <f t="shared" si="1046"/>
        <v>1.8702477386515275</v>
      </c>
      <c r="AB889" s="199">
        <f t="shared" si="1069"/>
        <v>152124.08081417659</v>
      </c>
      <c r="AC889">
        <v>12.8</v>
      </c>
      <c r="AD889" s="199">
        <f t="shared" si="1070"/>
        <v>19471.882344214606</v>
      </c>
      <c r="AE889" s="199">
        <f t="shared" si="1047"/>
        <v>18498.288227003875</v>
      </c>
      <c r="AF889" s="199">
        <f t="shared" si="1044"/>
        <v>18498.288227003875</v>
      </c>
      <c r="AG889" s="614"/>
      <c r="AH889" s="199">
        <f t="shared" si="1065"/>
        <v>7606.2040407088298</v>
      </c>
      <c r="AI889" s="252">
        <f t="shared" si="1024"/>
        <v>5.8924110250891987E-4</v>
      </c>
      <c r="AJ889" s="199">
        <f t="shared" si="1025"/>
        <v>27078.086384923437</v>
      </c>
      <c r="AK889" s="199">
        <f t="shared" si="1048"/>
        <v>6084.9632325670636</v>
      </c>
      <c r="AL889" s="199">
        <f t="shared" si="1049"/>
        <v>6084.9632325670636</v>
      </c>
      <c r="AM889" s="199">
        <f t="shared" si="1026"/>
        <v>12169.926465134127</v>
      </c>
      <c r="AN889" s="645">
        <f t="shared" si="1027"/>
        <v>5.8924110250891987E-4</v>
      </c>
      <c r="AO889" s="199">
        <v>10</v>
      </c>
      <c r="AP889" s="250">
        <f t="shared" si="1028"/>
        <v>1.1362345188046814E-3</v>
      </c>
      <c r="AQ889" s="199">
        <v>10</v>
      </c>
      <c r="AU889" s="199">
        <v>0</v>
      </c>
      <c r="AW889" s="250">
        <f t="shared" si="1029"/>
        <v>0</v>
      </c>
      <c r="AX889" s="199">
        <v>1</v>
      </c>
      <c r="AY889" s="199">
        <f t="shared" si="1055"/>
        <v>9784.6827264645235</v>
      </c>
      <c r="AZ889" s="199">
        <f t="shared" si="1030"/>
        <v>9784.6827264645235</v>
      </c>
      <c r="BA889" s="252">
        <f t="shared" si="1031"/>
        <v>7.6913955815485129E-4</v>
      </c>
      <c r="BB889" s="284">
        <v>1</v>
      </c>
      <c r="BC889" s="199">
        <f t="shared" si="1056"/>
        <v>14019.755287834516</v>
      </c>
      <c r="BD889" s="270">
        <f t="shared" si="1067"/>
        <v>1.2625784127414321E-3</v>
      </c>
      <c r="BE889" s="199">
        <f t="shared" si="1057"/>
        <v>59973.397620180986</v>
      </c>
      <c r="BF889" s="251">
        <f t="shared" si="1068"/>
        <v>1.262578440798299E-3</v>
      </c>
      <c r="BG889" s="199">
        <f t="shared" si="1058"/>
        <v>73993.152908015501</v>
      </c>
      <c r="BH889" s="636">
        <v>0</v>
      </c>
      <c r="BI889" s="199">
        <f t="shared" si="1032"/>
        <v>46549.968729138032</v>
      </c>
      <c r="BJ889" s="199">
        <f t="shared" si="1033"/>
        <v>93099.937458276065</v>
      </c>
      <c r="BK889" s="199">
        <f t="shared" si="1040"/>
        <v>139649.9061874141</v>
      </c>
      <c r="BL889" s="251">
        <f t="shared" si="1034"/>
        <v>5.8924110250891987E-4</v>
      </c>
      <c r="BM889" s="199">
        <f t="shared" si="1059"/>
        <v>11739.674419666164</v>
      </c>
      <c r="BN889" s="251">
        <f t="shared" si="1035"/>
        <v>5.0695565119076842E-4</v>
      </c>
      <c r="BT889" s="199">
        <f>'Detailed Budget'!$AD$12</f>
        <v>194045122715</v>
      </c>
      <c r="BU889" s="199">
        <f>'Detailed Budget'!$AD$24</f>
        <v>194045122715</v>
      </c>
      <c r="BV889" s="596">
        <f t="shared" si="1060"/>
        <v>0</v>
      </c>
      <c r="BW889" s="278"/>
      <c r="BX889" s="275">
        <f t="shared" si="1042"/>
        <v>0</v>
      </c>
      <c r="BY889" s="275">
        <f t="shared" si="1043"/>
        <v>0</v>
      </c>
      <c r="CA889" s="199">
        <f>'Detailed Budget'!$AD$96</f>
        <v>71050111380.677719</v>
      </c>
      <c r="CB889" s="275">
        <f t="shared" si="1036"/>
        <v>54647451.274187431</v>
      </c>
      <c r="CE889" s="199">
        <f>'Detailed Budget'!$AD$175</f>
        <v>4330586076.5988197</v>
      </c>
      <c r="CF889" s="275">
        <f t="shared" si="1061"/>
        <v>5467704.4948322838</v>
      </c>
      <c r="CG889" s="199">
        <f>'Detailed Budget'!$AD$176</f>
        <v>20662817754.37001</v>
      </c>
      <c r="CH889" s="275">
        <f t="shared" si="1062"/>
        <v>26088428.222811896</v>
      </c>
      <c r="CI889" s="275">
        <f t="shared" si="1066"/>
        <v>31556132.717644181</v>
      </c>
      <c r="CJ889" s="275">
        <f>'Detailed Budget'!$AD$178</f>
        <v>46025131033.061455</v>
      </c>
      <c r="CK889" s="275">
        <f t="shared" si="1054"/>
        <v>0</v>
      </c>
      <c r="CL889" s="275">
        <f t="shared" si="1052"/>
        <v>31556132.717644181</v>
      </c>
      <c r="CM889" s="278">
        <f>'Detailed Budget'!$AD$189</f>
        <v>77498869683.252869</v>
      </c>
      <c r="CN889" s="275">
        <f t="shared" si="1037"/>
        <v>0</v>
      </c>
      <c r="CO889" s="140">
        <f>'Detailed Budget'!$AD$191</f>
        <v>2684962805.4134097</v>
      </c>
      <c r="CP889" s="616">
        <f t="shared" si="1038"/>
        <v>0</v>
      </c>
      <c r="CQ889" s="616">
        <f t="shared" si="1039"/>
        <v>0</v>
      </c>
      <c r="CR889" s="199">
        <f>'Detailed Budget'!$AD$195</f>
        <v>18734176418</v>
      </c>
      <c r="CS889" s="275">
        <f t="shared" si="1063"/>
        <v>9497396.6055099275</v>
      </c>
      <c r="CW889" s="278"/>
      <c r="DH889" s="140">
        <f>'Detailed Budget'!$AD$163</f>
        <v>4928560000</v>
      </c>
      <c r="DI889" s="616">
        <f t="shared" si="1064"/>
        <v>5600000</v>
      </c>
    </row>
    <row r="890" spans="1:113" outlineLevel="1">
      <c r="A890" s="214" t="s">
        <v>1802</v>
      </c>
      <c r="B890" s="215" t="s">
        <v>1803</v>
      </c>
      <c r="C890" s="216" t="s">
        <v>234</v>
      </c>
      <c r="D890" s="217"/>
      <c r="E890" s="216"/>
      <c r="F890" s="216"/>
      <c r="G890" s="216" t="s">
        <v>234</v>
      </c>
      <c r="H890" s="216" t="s">
        <v>234</v>
      </c>
      <c r="I890" s="217" t="s">
        <v>234</v>
      </c>
      <c r="J890" s="217"/>
      <c r="K890" s="216"/>
      <c r="L890" s="216"/>
      <c r="M890" s="217"/>
      <c r="N890" s="216"/>
      <c r="O890" s="217" t="s">
        <v>234</v>
      </c>
      <c r="P890" s="216"/>
      <c r="Q890" s="217"/>
      <c r="R890" s="217" t="s">
        <v>234</v>
      </c>
      <c r="S890" s="217"/>
      <c r="T890" s="217"/>
      <c r="U890" s="218">
        <f t="shared" si="1071"/>
        <v>6</v>
      </c>
      <c r="V890" s="867" t="s">
        <v>235</v>
      </c>
      <c r="W890" s="219">
        <v>203461</v>
      </c>
      <c r="X890" s="220">
        <v>3.35</v>
      </c>
      <c r="Y890" s="221">
        <f t="shared" si="1045"/>
        <v>1.0335000000000001</v>
      </c>
      <c r="Z890" s="199">
        <v>19</v>
      </c>
      <c r="AA890" s="221">
        <f t="shared" si="1046"/>
        <v>1.8702477386515275</v>
      </c>
      <c r="AB890" s="199">
        <f t="shared" si="1069"/>
        <v>380522.47515377845</v>
      </c>
      <c r="AC890">
        <v>12.8</v>
      </c>
      <c r="AD890" s="199">
        <f t="shared" si="1070"/>
        <v>48706.876819683639</v>
      </c>
      <c r="AE890" s="199">
        <f t="shared" si="1047"/>
        <v>46271.532978699455</v>
      </c>
      <c r="AF890" s="199">
        <f t="shared" si="1044"/>
        <v>0</v>
      </c>
      <c r="AG890" s="614"/>
      <c r="AH890" s="199">
        <f t="shared" si="1065"/>
        <v>19026.123757688922</v>
      </c>
      <c r="AI890" s="252">
        <f t="shared" si="1024"/>
        <v>1.4739249801149184E-3</v>
      </c>
      <c r="AJ890" s="199">
        <f t="shared" si="1025"/>
        <v>67733.000577372557</v>
      </c>
      <c r="AK890" s="199">
        <f t="shared" si="1048"/>
        <v>15220.899006151138</v>
      </c>
      <c r="AL890" s="199">
        <f t="shared" si="1049"/>
        <v>15220.899006151138</v>
      </c>
      <c r="AM890" s="199">
        <f t="shared" si="1026"/>
        <v>30441.798012302275</v>
      </c>
      <c r="AN890" s="645">
        <f t="shared" si="1027"/>
        <v>1.4739249801149184E-3</v>
      </c>
      <c r="AO890" s="199">
        <v>10</v>
      </c>
      <c r="AP890" s="250">
        <f t="shared" si="1028"/>
        <v>1.1362345188046814E-3</v>
      </c>
      <c r="AQ890" s="199">
        <v>10</v>
      </c>
      <c r="AU890" s="199">
        <v>0</v>
      </c>
      <c r="AW890" s="250">
        <f t="shared" si="1029"/>
        <v>0</v>
      </c>
      <c r="AX890" s="199">
        <v>1</v>
      </c>
      <c r="AY890" s="199">
        <f t="shared" si="1055"/>
        <v>24475.360309435793</v>
      </c>
      <c r="AZ890" s="199">
        <f t="shared" si="1030"/>
        <v>24475.360309435793</v>
      </c>
      <c r="BA890" s="252">
        <f t="shared" si="1031"/>
        <v>1.9239221485602745E-3</v>
      </c>
      <c r="BB890" s="284">
        <v>0</v>
      </c>
      <c r="BC890" s="199">
        <f t="shared" si="1056"/>
        <v>0</v>
      </c>
      <c r="BD890" s="270">
        <f t="shared" si="1067"/>
        <v>0</v>
      </c>
      <c r="BE890" s="199">
        <f t="shared" si="1057"/>
        <v>0</v>
      </c>
      <c r="BF890" s="251">
        <f t="shared" si="1068"/>
        <v>0</v>
      </c>
      <c r="BG890" s="199">
        <f t="shared" si="1058"/>
        <v>0</v>
      </c>
      <c r="BH890" s="636">
        <v>1</v>
      </c>
      <c r="BI890" s="199">
        <f t="shared" si="1032"/>
        <v>116439.8773970562</v>
      </c>
      <c r="BJ890" s="199">
        <f t="shared" si="1033"/>
        <v>232879.75479411241</v>
      </c>
      <c r="BK890" s="199">
        <f t="shared" si="1040"/>
        <v>349319.63219116861</v>
      </c>
      <c r="BL890" s="251">
        <f t="shared" si="1034"/>
        <v>1.4739249801149184E-3</v>
      </c>
      <c r="BM890" s="199">
        <f t="shared" si="1059"/>
        <v>29365.567527258721</v>
      </c>
      <c r="BN890" s="251">
        <f t="shared" si="1035"/>
        <v>1.268096531146497E-3</v>
      </c>
      <c r="BT890" s="199">
        <f>'Detailed Budget'!$AD$12</f>
        <v>194045122715</v>
      </c>
      <c r="BU890" s="199">
        <f>'Detailed Budget'!$AD$24</f>
        <v>194045122715</v>
      </c>
      <c r="BV890" s="596">
        <f t="shared" si="1060"/>
        <v>0</v>
      </c>
      <c r="BW890" s="278"/>
      <c r="BX890" s="275">
        <f t="shared" si="1042"/>
        <v>0</v>
      </c>
      <c r="BY890" s="275">
        <f t="shared" si="1043"/>
        <v>0</v>
      </c>
      <c r="CA890" s="199">
        <f>'Detailed Budget'!$AD$96</f>
        <v>71050111380.677719</v>
      </c>
      <c r="CB890" s="275">
        <f t="shared" si="1036"/>
        <v>136694882.94296029</v>
      </c>
      <c r="CE890" s="199">
        <f>'Detailed Budget'!$AD$175</f>
        <v>4330586076.5988197</v>
      </c>
      <c r="CF890" s="275">
        <f t="shared" si="1061"/>
        <v>0</v>
      </c>
      <c r="CG890" s="199">
        <f>'Detailed Budget'!$AD$176</f>
        <v>20662817754.37001</v>
      </c>
      <c r="CH890" s="275">
        <f t="shared" si="1062"/>
        <v>0</v>
      </c>
      <c r="CI890" s="275">
        <f t="shared" si="1066"/>
        <v>0</v>
      </c>
      <c r="CJ890" s="275">
        <f>'Detailed Budget'!$AD$178</f>
        <v>46025131033.061455</v>
      </c>
      <c r="CK890" s="275">
        <f t="shared" si="1054"/>
        <v>0</v>
      </c>
      <c r="CL890" s="275">
        <f t="shared" si="1052"/>
        <v>0</v>
      </c>
      <c r="CM890" s="278">
        <f>'Detailed Budget'!$AD$189</f>
        <v>77498869683.252869</v>
      </c>
      <c r="CN890" s="275">
        <f t="shared" si="1037"/>
        <v>114227519.95681714</v>
      </c>
      <c r="CO890" s="140">
        <f>'Detailed Budget'!$AD$191</f>
        <v>2684962805.4134097</v>
      </c>
      <c r="CP890" s="616">
        <f t="shared" si="1038"/>
        <v>3957433.7495782557</v>
      </c>
      <c r="CQ890" s="616">
        <f t="shared" si="1039"/>
        <v>118184953.70639539</v>
      </c>
      <c r="CR890" s="199">
        <f>'Detailed Budget'!$AD$195</f>
        <v>18734176418</v>
      </c>
      <c r="CS890" s="275">
        <f t="shared" si="1063"/>
        <v>23756744.129552308</v>
      </c>
      <c r="CW890" s="278"/>
      <c r="DH890" s="140">
        <f>'Detailed Budget'!$AD$163</f>
        <v>4928560000</v>
      </c>
      <c r="DI890" s="616">
        <f t="shared" si="1064"/>
        <v>5600000</v>
      </c>
    </row>
    <row r="891" spans="1:113" outlineLevel="1">
      <c r="A891" s="214" t="s">
        <v>1804</v>
      </c>
      <c r="B891" s="215" t="s">
        <v>1805</v>
      </c>
      <c r="C891" s="216" t="s">
        <v>234</v>
      </c>
      <c r="D891" s="217"/>
      <c r="E891" s="216"/>
      <c r="F891" s="216"/>
      <c r="G891" s="216" t="s">
        <v>234</v>
      </c>
      <c r="H891" s="216" t="s">
        <v>234</v>
      </c>
      <c r="I891" s="217" t="s">
        <v>234</v>
      </c>
      <c r="J891" s="217"/>
      <c r="K891" s="216"/>
      <c r="L891" s="216"/>
      <c r="M891" s="217"/>
      <c r="N891" s="216"/>
      <c r="O891" s="217" t="s">
        <v>234</v>
      </c>
      <c r="P891" s="216"/>
      <c r="Q891" s="217"/>
      <c r="R891" s="217" t="s">
        <v>234</v>
      </c>
      <c r="S891" s="217"/>
      <c r="T891" s="217"/>
      <c r="U891" s="218">
        <f t="shared" si="1071"/>
        <v>6</v>
      </c>
      <c r="V891" s="867" t="s">
        <v>235</v>
      </c>
      <c r="W891" s="219">
        <v>265571</v>
      </c>
      <c r="X891" s="220">
        <v>3.35</v>
      </c>
      <c r="Y891" s="221">
        <f t="shared" si="1045"/>
        <v>1.0335000000000001</v>
      </c>
      <c r="Z891" s="199">
        <v>19</v>
      </c>
      <c r="AA891" s="221">
        <f t="shared" si="1046"/>
        <v>1.8702477386515275</v>
      </c>
      <c r="AB891" s="199">
        <f t="shared" si="1069"/>
        <v>496683.56220142479</v>
      </c>
      <c r="AC891">
        <v>12.8</v>
      </c>
      <c r="AD891" s="199">
        <f t="shared" si="1070"/>
        <v>63575.495961782377</v>
      </c>
      <c r="AE891" s="199">
        <f t="shared" si="1047"/>
        <v>60396.721163693255</v>
      </c>
      <c r="AF891" s="199">
        <f t="shared" si="1044"/>
        <v>0</v>
      </c>
      <c r="AG891" s="614"/>
      <c r="AH891" s="199">
        <f t="shared" si="1065"/>
        <v>24834.17811007124</v>
      </c>
      <c r="AI891" s="252">
        <f t="shared" si="1024"/>
        <v>1.9238661507320763E-3</v>
      </c>
      <c r="AJ891" s="199">
        <f t="shared" si="1025"/>
        <v>88409.674071853617</v>
      </c>
      <c r="AK891" s="199">
        <f t="shared" si="1048"/>
        <v>19867.342488056991</v>
      </c>
      <c r="AL891" s="199">
        <f t="shared" si="1049"/>
        <v>19867.342488056991</v>
      </c>
      <c r="AM891" s="199">
        <f t="shared" si="1026"/>
        <v>39734.684976113982</v>
      </c>
      <c r="AN891" s="645">
        <f t="shared" si="1027"/>
        <v>1.9238661507320763E-3</v>
      </c>
      <c r="AO891" s="199">
        <v>11</v>
      </c>
      <c r="AP891" s="250">
        <f t="shared" si="1028"/>
        <v>1.2498579706851495E-3</v>
      </c>
      <c r="AQ891" s="199">
        <v>11</v>
      </c>
      <c r="AU891" s="199">
        <v>0</v>
      </c>
      <c r="AW891" s="250">
        <f t="shared" si="1029"/>
        <v>0</v>
      </c>
      <c r="AX891" s="199">
        <v>1</v>
      </c>
      <c r="AY891" s="199">
        <f t="shared" si="1055"/>
        <v>31946.888655502396</v>
      </c>
      <c r="AZ891" s="199">
        <f t="shared" si="1030"/>
        <v>31946.888655502396</v>
      </c>
      <c r="BA891" s="252">
        <f t="shared" si="1031"/>
        <v>2.5112327616363854E-3</v>
      </c>
      <c r="BB891" s="284">
        <v>0</v>
      </c>
      <c r="BC891" s="199">
        <f t="shared" si="1056"/>
        <v>0</v>
      </c>
      <c r="BD891" s="270">
        <f t="shared" si="1067"/>
        <v>0</v>
      </c>
      <c r="BE891" s="199">
        <f t="shared" si="1057"/>
        <v>0</v>
      </c>
      <c r="BF891" s="251">
        <f t="shared" si="1068"/>
        <v>0</v>
      </c>
      <c r="BG891" s="199">
        <f t="shared" si="1058"/>
        <v>0</v>
      </c>
      <c r="BH891" s="636">
        <v>1</v>
      </c>
      <c r="BI891" s="199">
        <f t="shared" si="1032"/>
        <v>151985.17003363598</v>
      </c>
      <c r="BJ891" s="199">
        <f t="shared" si="1033"/>
        <v>303970.34006727196</v>
      </c>
      <c r="BK891" s="199">
        <f t="shared" si="1040"/>
        <v>455955.51010090794</v>
      </c>
      <c r="BL891" s="251">
        <f t="shared" si="1034"/>
        <v>1.9238661507320763E-3</v>
      </c>
      <c r="BM891" s="199">
        <f t="shared" si="1059"/>
        <v>38329.916464490132</v>
      </c>
      <c r="BN891" s="251">
        <f t="shared" si="1035"/>
        <v>1.6552049968942765E-3</v>
      </c>
      <c r="BT891" s="199">
        <f>'Detailed Budget'!$AD$12</f>
        <v>194045122715</v>
      </c>
      <c r="BU891" s="199">
        <f>'Detailed Budget'!$AD$24</f>
        <v>194045122715</v>
      </c>
      <c r="BV891" s="596">
        <f t="shared" si="1060"/>
        <v>0</v>
      </c>
      <c r="BW891" s="278"/>
      <c r="BX891" s="275">
        <f t="shared" si="1042"/>
        <v>0</v>
      </c>
      <c r="BY891" s="275">
        <f t="shared" si="1043"/>
        <v>0</v>
      </c>
      <c r="CA891" s="199">
        <f>'Detailed Budget'!$AD$96</f>
        <v>71050111380.677719</v>
      </c>
      <c r="CB891" s="275">
        <f t="shared" si="1036"/>
        <v>178423367.41707209</v>
      </c>
      <c r="CE891" s="199">
        <f>'Detailed Budget'!$AD$175</f>
        <v>4330586076.5988197</v>
      </c>
      <c r="CF891" s="275">
        <f t="shared" si="1061"/>
        <v>0</v>
      </c>
      <c r="CG891" s="199">
        <f>'Detailed Budget'!$AD$176</f>
        <v>20662817754.37001</v>
      </c>
      <c r="CH891" s="275">
        <f t="shared" si="1062"/>
        <v>0</v>
      </c>
      <c r="CI891" s="275">
        <f t="shared" si="1066"/>
        <v>0</v>
      </c>
      <c r="CJ891" s="275">
        <f>'Detailed Budget'!$AD$178</f>
        <v>46025131033.061455</v>
      </c>
      <c r="CK891" s="275">
        <f t="shared" si="1054"/>
        <v>0</v>
      </c>
      <c r="CL891" s="275">
        <f t="shared" si="1052"/>
        <v>0</v>
      </c>
      <c r="CM891" s="278">
        <f>'Detailed Budget'!$AD$189</f>
        <v>77498869683.252869</v>
      </c>
      <c r="CN891" s="275">
        <f t="shared" si="1037"/>
        <v>149097452.10360649</v>
      </c>
      <c r="CO891" s="140">
        <f>'Detailed Budget'!$AD$191</f>
        <v>2684962805.4134097</v>
      </c>
      <c r="CP891" s="616">
        <f t="shared" si="1038"/>
        <v>5165509.0573094934</v>
      </c>
      <c r="CQ891" s="616">
        <f t="shared" si="1039"/>
        <v>154262961.16091597</v>
      </c>
      <c r="CR891" s="199">
        <f>'Detailed Budget'!$AD$195</f>
        <v>18734176418</v>
      </c>
      <c r="CS891" s="275">
        <f t="shared" si="1063"/>
        <v>31008902.419772517</v>
      </c>
      <c r="CW891" s="278"/>
      <c r="DH891" s="140">
        <f>'Detailed Budget'!$AD$163</f>
        <v>4928560000</v>
      </c>
      <c r="DI891" s="616">
        <f t="shared" si="1064"/>
        <v>6160000</v>
      </c>
    </row>
    <row r="892" spans="1:113" outlineLevel="1">
      <c r="A892" s="214" t="s">
        <v>1806</v>
      </c>
      <c r="B892" s="215" t="s">
        <v>1807</v>
      </c>
      <c r="C892" s="216" t="s">
        <v>234</v>
      </c>
      <c r="D892" s="217"/>
      <c r="E892" s="216"/>
      <c r="F892" s="216"/>
      <c r="G892" s="216" t="s">
        <v>234</v>
      </c>
      <c r="H892" s="216" t="s">
        <v>234</v>
      </c>
      <c r="I892" s="217" t="s">
        <v>234</v>
      </c>
      <c r="J892" s="217"/>
      <c r="K892" s="216"/>
      <c r="L892" s="216"/>
      <c r="M892" s="217" t="s">
        <v>234</v>
      </c>
      <c r="N892" s="216"/>
      <c r="O892" s="217"/>
      <c r="P892" s="216"/>
      <c r="Q892" s="217"/>
      <c r="R892" s="217" t="s">
        <v>234</v>
      </c>
      <c r="S892" s="217"/>
      <c r="T892" s="217"/>
      <c r="U892" s="218">
        <f t="shared" si="1071"/>
        <v>6</v>
      </c>
      <c r="V892" s="867" t="s">
        <v>235</v>
      </c>
      <c r="W892" s="219">
        <v>104004</v>
      </c>
      <c r="X892" s="220">
        <v>3.35</v>
      </c>
      <c r="Y892" s="221">
        <f t="shared" si="1045"/>
        <v>1.0335000000000001</v>
      </c>
      <c r="Z892" s="199">
        <v>19</v>
      </c>
      <c r="AA892" s="221">
        <f t="shared" si="1046"/>
        <v>1.8702477386515275</v>
      </c>
      <c r="AB892" s="199">
        <f t="shared" si="1069"/>
        <v>194513.24581071347</v>
      </c>
      <c r="AC892">
        <v>12.8</v>
      </c>
      <c r="AD892" s="199">
        <f t="shared" si="1070"/>
        <v>24897.695463771328</v>
      </c>
      <c r="AE892" s="199">
        <f t="shared" si="1047"/>
        <v>23652.810690582759</v>
      </c>
      <c r="AF892" s="199">
        <f t="shared" si="1044"/>
        <v>0</v>
      </c>
      <c r="AG892" s="614"/>
      <c r="AH892" s="199">
        <f t="shared" si="1065"/>
        <v>9725.6622905356744</v>
      </c>
      <c r="AI892" s="252">
        <f t="shared" si="1024"/>
        <v>7.5343232183009031E-4</v>
      </c>
      <c r="AJ892" s="199">
        <f t="shared" si="1025"/>
        <v>34623.357754306999</v>
      </c>
      <c r="AK892" s="199">
        <f t="shared" si="1048"/>
        <v>7780.5298324285395</v>
      </c>
      <c r="AL892" s="199">
        <f t="shared" si="1049"/>
        <v>7780.5298324285395</v>
      </c>
      <c r="AM892" s="199">
        <f t="shared" si="1026"/>
        <v>15561.059664857079</v>
      </c>
      <c r="AN892" s="645">
        <f t="shared" si="1027"/>
        <v>7.5343232183009031E-4</v>
      </c>
      <c r="AO892" s="199">
        <v>10</v>
      </c>
      <c r="AP892" s="250">
        <f t="shared" si="1028"/>
        <v>1.1362345188046814E-3</v>
      </c>
      <c r="AQ892" s="199">
        <v>10</v>
      </c>
      <c r="AU892" s="199">
        <v>0</v>
      </c>
      <c r="AW892" s="250">
        <f t="shared" si="1029"/>
        <v>0</v>
      </c>
      <c r="AX892" s="199">
        <v>1</v>
      </c>
      <c r="AY892" s="199">
        <f t="shared" si="1055"/>
        <v>12511.171053039945</v>
      </c>
      <c r="AZ892" s="199">
        <f t="shared" si="1030"/>
        <v>12511.171053039945</v>
      </c>
      <c r="BA892" s="252">
        <f t="shared" si="1031"/>
        <v>9.8345923365589856E-4</v>
      </c>
      <c r="BB892" s="284">
        <v>0</v>
      </c>
      <c r="BC892" s="199">
        <f t="shared" si="1056"/>
        <v>0</v>
      </c>
      <c r="BD892" s="270">
        <f t="shared" si="1067"/>
        <v>0</v>
      </c>
      <c r="BE892" s="199">
        <f t="shared" si="1057"/>
        <v>0</v>
      </c>
      <c r="BF892" s="251">
        <f t="shared" si="1068"/>
        <v>0</v>
      </c>
      <c r="BG892" s="199">
        <f t="shared" si="1058"/>
        <v>0</v>
      </c>
      <c r="BH892" s="636">
        <v>1</v>
      </c>
      <c r="BI892" s="199">
        <f t="shared" si="1032"/>
        <v>59521.053218078319</v>
      </c>
      <c r="BJ892" s="199">
        <f t="shared" si="1033"/>
        <v>119042.10643615664</v>
      </c>
      <c r="BK892" s="199">
        <f t="shared" si="1040"/>
        <v>178563.15965423494</v>
      </c>
      <c r="BL892" s="251">
        <f t="shared" si="1034"/>
        <v>7.5343232183009009E-4</v>
      </c>
      <c r="BM892" s="199">
        <f t="shared" si="1059"/>
        <v>15010.918481207782</v>
      </c>
      <c r="BN892" s="251">
        <f t="shared" si="1035"/>
        <v>6.4821814315942756E-4</v>
      </c>
      <c r="BT892" s="199">
        <f>'Detailed Budget'!$AD$12</f>
        <v>194045122715</v>
      </c>
      <c r="BU892" s="199">
        <f>'Detailed Budget'!$AD$24</f>
        <v>194045122715</v>
      </c>
      <c r="BV892" s="596">
        <f t="shared" si="1060"/>
        <v>0</v>
      </c>
      <c r="BW892" s="278"/>
      <c r="BX892" s="275">
        <f t="shared" si="1042"/>
        <v>0</v>
      </c>
      <c r="BY892" s="275">
        <f t="shared" si="1043"/>
        <v>0</v>
      </c>
      <c r="CA892" s="199">
        <f>'Detailed Budget'!$AD$96</f>
        <v>71050111380.677719</v>
      </c>
      <c r="CB892" s="275">
        <f t="shared" si="1036"/>
        <v>69874888.089607552</v>
      </c>
      <c r="CE892" s="199">
        <f>'Detailed Budget'!$AD$175</f>
        <v>4330586076.5988197</v>
      </c>
      <c r="CF892" s="275">
        <f t="shared" si="1061"/>
        <v>0</v>
      </c>
      <c r="CG892" s="199">
        <f>'Detailed Budget'!$AD$176</f>
        <v>20662817754.37001</v>
      </c>
      <c r="CH892" s="275">
        <f t="shared" si="1062"/>
        <v>0</v>
      </c>
      <c r="CI892" s="275">
        <f t="shared" si="1066"/>
        <v>0</v>
      </c>
      <c r="CJ892" s="275">
        <f>'Detailed Budget'!$AD$178</f>
        <v>46025131033.061455</v>
      </c>
      <c r="CK892" s="275">
        <f t="shared" si="1054"/>
        <v>0</v>
      </c>
      <c r="CL892" s="275">
        <f t="shared" si="1052"/>
        <v>0</v>
      </c>
      <c r="CM892" s="278">
        <f>'Detailed Budget'!$AD$189</f>
        <v>77498869683.252869</v>
      </c>
      <c r="CN892" s="275">
        <f t="shared" si="1037"/>
        <v>58390153.324660785</v>
      </c>
      <c r="CO892" s="140">
        <f>'Detailed Budget'!$AD$191</f>
        <v>2684962805.4134097</v>
      </c>
      <c r="CP892" s="616">
        <f t="shared" si="1038"/>
        <v>2022937.7605100581</v>
      </c>
      <c r="CQ892" s="616">
        <f t="shared" si="1039"/>
        <v>60413091.085170843</v>
      </c>
      <c r="CR892" s="199">
        <f>'Detailed Budget'!$AD$195</f>
        <v>18734176418</v>
      </c>
      <c r="CS892" s="275">
        <f t="shared" si="1063"/>
        <v>12143833.051297097</v>
      </c>
      <c r="CW892" s="278"/>
      <c r="DH892" s="140">
        <f>'Detailed Budget'!$AD$163</f>
        <v>4928560000</v>
      </c>
      <c r="DI892" s="616">
        <f t="shared" si="1064"/>
        <v>5600000</v>
      </c>
    </row>
    <row r="893" spans="1:113" outlineLevel="1">
      <c r="A893" s="214" t="s">
        <v>1808</v>
      </c>
      <c r="B893" s="215" t="s">
        <v>1809</v>
      </c>
      <c r="C893" s="216" t="s">
        <v>234</v>
      </c>
      <c r="D893" s="217"/>
      <c r="E893" s="216"/>
      <c r="F893" s="216"/>
      <c r="G893" s="216" t="s">
        <v>234</v>
      </c>
      <c r="H893" s="216" t="s">
        <v>234</v>
      </c>
      <c r="I893" s="217" t="s">
        <v>234</v>
      </c>
      <c r="J893" s="217"/>
      <c r="K893" s="216"/>
      <c r="L893" s="216"/>
      <c r="M893" s="217"/>
      <c r="N893" s="216" t="s">
        <v>234</v>
      </c>
      <c r="O893" s="217"/>
      <c r="P893" s="216"/>
      <c r="Q893" s="217"/>
      <c r="R893" s="217" t="s">
        <v>234</v>
      </c>
      <c r="S893" s="217"/>
      <c r="T893" s="217"/>
      <c r="U893" s="218">
        <f t="shared" si="1071"/>
        <v>6</v>
      </c>
      <c r="V893" s="867" t="s">
        <v>235</v>
      </c>
      <c r="W893" s="219">
        <v>149408</v>
      </c>
      <c r="X893" s="220">
        <v>3.35</v>
      </c>
      <c r="Y893" s="221">
        <f t="shared" si="1045"/>
        <v>1.0335000000000001</v>
      </c>
      <c r="Z893" s="199">
        <v>19</v>
      </c>
      <c r="AA893" s="221">
        <f t="shared" si="1046"/>
        <v>1.8702477386515275</v>
      </c>
      <c r="AB893" s="199">
        <f t="shared" si="1069"/>
        <v>279429.97413644742</v>
      </c>
      <c r="AC893">
        <v>12.8</v>
      </c>
      <c r="AD893" s="199">
        <f t="shared" si="1070"/>
        <v>35767.036689465269</v>
      </c>
      <c r="AE893" s="199">
        <f t="shared" si="1047"/>
        <v>33978.684854992003</v>
      </c>
      <c r="AF893" s="199">
        <f t="shared" si="1044"/>
        <v>0</v>
      </c>
      <c r="AG893" s="614"/>
      <c r="AH893" s="199">
        <f t="shared" si="1065"/>
        <v>13971.498706822371</v>
      </c>
      <c r="AI893" s="252">
        <f t="shared" si="1024"/>
        <v>1.0823508359292923E-3</v>
      </c>
      <c r="AJ893" s="199">
        <f t="shared" si="1025"/>
        <v>49738.53539628764</v>
      </c>
      <c r="AK893" s="199">
        <f t="shared" si="1048"/>
        <v>11177.198965457897</v>
      </c>
      <c r="AL893" s="199">
        <f t="shared" si="1049"/>
        <v>11177.198965457897</v>
      </c>
      <c r="AM893" s="199">
        <f t="shared" si="1026"/>
        <v>22354.397930915795</v>
      </c>
      <c r="AN893" s="645">
        <f t="shared" si="1027"/>
        <v>1.0823508359292923E-3</v>
      </c>
      <c r="AO893" s="199">
        <v>10</v>
      </c>
      <c r="AP893" s="250">
        <f t="shared" si="1028"/>
        <v>1.1362345188046814E-3</v>
      </c>
      <c r="AQ893" s="199">
        <v>10</v>
      </c>
      <c r="AU893" s="199">
        <v>0</v>
      </c>
      <c r="AW893" s="250">
        <f t="shared" si="1029"/>
        <v>0</v>
      </c>
      <c r="AX893" s="199">
        <v>1</v>
      </c>
      <c r="AY893" s="199">
        <f t="shared" si="1055"/>
        <v>17973.049543215569</v>
      </c>
      <c r="AZ893" s="199">
        <f t="shared" si="1030"/>
        <v>17973.049543215569</v>
      </c>
      <c r="BA893" s="252">
        <f t="shared" si="1031"/>
        <v>1.412798326814935E-3</v>
      </c>
      <c r="BB893" s="284">
        <v>0</v>
      </c>
      <c r="BC893" s="199">
        <f t="shared" si="1056"/>
        <v>0</v>
      </c>
      <c r="BD893" s="270">
        <f t="shared" si="1067"/>
        <v>0</v>
      </c>
      <c r="BE893" s="199">
        <f t="shared" si="1057"/>
        <v>0</v>
      </c>
      <c r="BF893" s="251">
        <f t="shared" si="1068"/>
        <v>0</v>
      </c>
      <c r="BG893" s="199">
        <f t="shared" si="1058"/>
        <v>0</v>
      </c>
      <c r="BH893" s="636">
        <v>1</v>
      </c>
      <c r="BI893" s="199">
        <f t="shared" si="1032"/>
        <v>85505.572085752909</v>
      </c>
      <c r="BJ893" s="199">
        <f t="shared" si="1033"/>
        <v>171011.14417150582</v>
      </c>
      <c r="BK893" s="199">
        <f t="shared" si="1040"/>
        <v>256516.71625725873</v>
      </c>
      <c r="BL893" s="251">
        <f t="shared" si="1034"/>
        <v>1.0823508359292923E-3</v>
      </c>
      <c r="BM893" s="199">
        <f t="shared" si="1059"/>
        <v>21564.087039347451</v>
      </c>
      <c r="BN893" s="251">
        <f t="shared" si="1035"/>
        <v>9.3120434149805535E-4</v>
      </c>
      <c r="BT893" s="199">
        <f>'Detailed Budget'!$AD$12</f>
        <v>194045122715</v>
      </c>
      <c r="BU893" s="199">
        <f>'Detailed Budget'!$AD$24</f>
        <v>194045122715</v>
      </c>
      <c r="BV893" s="596">
        <f t="shared" si="1060"/>
        <v>0</v>
      </c>
      <c r="BW893" s="278"/>
      <c r="BX893" s="275">
        <f t="shared" si="1042"/>
        <v>0</v>
      </c>
      <c r="BY893" s="275">
        <f t="shared" si="1043"/>
        <v>0</v>
      </c>
      <c r="CA893" s="199">
        <f>'Detailed Budget'!$AD$96</f>
        <v>71050111380.677719</v>
      </c>
      <c r="CB893" s="275">
        <f t="shared" si="1036"/>
        <v>100379478.47863625</v>
      </c>
      <c r="CE893" s="199">
        <f>'Detailed Budget'!$AD$175</f>
        <v>4330586076.5988197</v>
      </c>
      <c r="CF893" s="275">
        <f t="shared" si="1061"/>
        <v>0</v>
      </c>
      <c r="CG893" s="199">
        <f>'Detailed Budget'!$AD$176</f>
        <v>20662817754.37001</v>
      </c>
      <c r="CH893" s="275">
        <f t="shared" si="1062"/>
        <v>0</v>
      </c>
      <c r="CI893" s="275">
        <f t="shared" si="1066"/>
        <v>0</v>
      </c>
      <c r="CJ893" s="275">
        <f>'Detailed Budget'!$AD$178</f>
        <v>46025131033.061455</v>
      </c>
      <c r="CK893" s="275">
        <f t="shared" si="1054"/>
        <v>0</v>
      </c>
      <c r="CL893" s="275">
        <f t="shared" si="1052"/>
        <v>0</v>
      </c>
      <c r="CM893" s="278">
        <f>'Detailed Budget'!$AD$189</f>
        <v>77498869683.252869</v>
      </c>
      <c r="CN893" s="275">
        <f t="shared" si="1037"/>
        <v>83880966.385244027</v>
      </c>
      <c r="CO893" s="140">
        <f>'Detailed Budget'!$AD$191</f>
        <v>2684962805.4134097</v>
      </c>
      <c r="CP893" s="616">
        <f t="shared" si="1038"/>
        <v>2906071.7368782619</v>
      </c>
      <c r="CQ893" s="616">
        <f t="shared" si="1039"/>
        <v>86787038.122122288</v>
      </c>
      <c r="CR893" s="199">
        <f>'Detailed Budget'!$AD$195</f>
        <v>18734176418</v>
      </c>
      <c r="CS893" s="275">
        <f t="shared" si="1063"/>
        <v>17445346.414832089</v>
      </c>
      <c r="CW893" s="278"/>
      <c r="DH893" s="140">
        <f>'Detailed Budget'!$AD$163</f>
        <v>4928560000</v>
      </c>
      <c r="DI893" s="616">
        <f t="shared" si="1064"/>
        <v>5600000</v>
      </c>
    </row>
    <row r="894" spans="1:113" outlineLevel="1">
      <c r="A894" s="214" t="s">
        <v>1810</v>
      </c>
      <c r="B894" s="215" t="s">
        <v>1811</v>
      </c>
      <c r="C894" s="216" t="s">
        <v>234</v>
      </c>
      <c r="D894" s="217"/>
      <c r="E894" s="216"/>
      <c r="F894" s="216"/>
      <c r="G894" s="216" t="s">
        <v>234</v>
      </c>
      <c r="H894" s="216" t="s">
        <v>234</v>
      </c>
      <c r="I894" s="217" t="s">
        <v>234</v>
      </c>
      <c r="J894" s="217"/>
      <c r="K894" s="216"/>
      <c r="L894" s="216"/>
      <c r="M894" s="217"/>
      <c r="N894" s="216"/>
      <c r="O894" s="217" t="s">
        <v>234</v>
      </c>
      <c r="P894" s="216"/>
      <c r="Q894" s="217"/>
      <c r="R894" s="217" t="s">
        <v>234</v>
      </c>
      <c r="S894" s="217"/>
      <c r="T894" s="217"/>
      <c r="U894" s="218">
        <f t="shared" si="1071"/>
        <v>6</v>
      </c>
      <c r="V894" s="867" t="s">
        <v>235</v>
      </c>
      <c r="W894" s="219">
        <v>124095</v>
      </c>
      <c r="X894" s="220">
        <v>3.35</v>
      </c>
      <c r="Y894" s="221">
        <f t="shared" si="1045"/>
        <v>1.0335000000000001</v>
      </c>
      <c r="Z894" s="199">
        <v>19</v>
      </c>
      <c r="AA894" s="221">
        <f t="shared" si="1046"/>
        <v>1.8702477386515275</v>
      </c>
      <c r="AB894" s="199">
        <f t="shared" si="1069"/>
        <v>232088.39312796132</v>
      </c>
      <c r="AC894">
        <v>12.8</v>
      </c>
      <c r="AD894" s="199">
        <f t="shared" si="1070"/>
        <v>29707.31432037905</v>
      </c>
      <c r="AE894" s="199">
        <f t="shared" si="1047"/>
        <v>28221.948604360095</v>
      </c>
      <c r="AF894" s="199">
        <f t="shared" si="1044"/>
        <v>0</v>
      </c>
      <c r="AG894" s="614"/>
      <c r="AH894" s="199">
        <f t="shared" si="1065"/>
        <v>11604.419656398066</v>
      </c>
      <c r="AI894" s="252">
        <f t="shared" si="1024"/>
        <v>8.9897680836799592E-4</v>
      </c>
      <c r="AJ894" s="199">
        <f t="shared" si="1025"/>
        <v>41311.733976777119</v>
      </c>
      <c r="AK894" s="199">
        <f t="shared" si="1048"/>
        <v>9283.5357251184523</v>
      </c>
      <c r="AL894" s="199">
        <f t="shared" si="1049"/>
        <v>9283.5357251184523</v>
      </c>
      <c r="AM894" s="199">
        <f t="shared" si="1026"/>
        <v>18567.071450236905</v>
      </c>
      <c r="AN894" s="645">
        <f t="shared" si="1027"/>
        <v>8.9897680836799581E-4</v>
      </c>
      <c r="AO894" s="199">
        <v>10</v>
      </c>
      <c r="AP894" s="250">
        <f t="shared" si="1028"/>
        <v>1.1362345188046814E-3</v>
      </c>
      <c r="AQ894" s="199">
        <v>10</v>
      </c>
      <c r="AU894" s="199">
        <v>0</v>
      </c>
      <c r="AW894" s="250">
        <f t="shared" si="1029"/>
        <v>0</v>
      </c>
      <c r="AX894" s="199">
        <v>1</v>
      </c>
      <c r="AY894" s="199">
        <f t="shared" si="1055"/>
        <v>14928.019805267031</v>
      </c>
      <c r="AZ894" s="199">
        <f t="shared" si="1030"/>
        <v>14928.019805267031</v>
      </c>
      <c r="BA894" s="252">
        <f t="shared" si="1031"/>
        <v>1.1734392292654971E-3</v>
      </c>
      <c r="BB894" s="284">
        <v>0</v>
      </c>
      <c r="BC894" s="199">
        <f t="shared" si="1056"/>
        <v>0</v>
      </c>
      <c r="BD894" s="270">
        <f t="shared" si="1067"/>
        <v>0</v>
      </c>
      <c r="BE894" s="199">
        <f t="shared" si="1057"/>
        <v>0</v>
      </c>
      <c r="BF894" s="251">
        <f t="shared" si="1068"/>
        <v>0</v>
      </c>
      <c r="BG894" s="199">
        <f t="shared" si="1058"/>
        <v>0</v>
      </c>
      <c r="BH894" s="636">
        <v>1</v>
      </c>
      <c r="BI894" s="199">
        <f t="shared" si="1032"/>
        <v>71019.048297156158</v>
      </c>
      <c r="BJ894" s="199">
        <f t="shared" si="1033"/>
        <v>142038.09659431232</v>
      </c>
      <c r="BK894" s="199">
        <f t="shared" si="1040"/>
        <v>213057.14489146846</v>
      </c>
      <c r="BL894" s="251">
        <f t="shared" si="1034"/>
        <v>8.9897680836799581E-4</v>
      </c>
      <c r="BM894" s="199">
        <f t="shared" si="1059"/>
        <v>17910.656599029651</v>
      </c>
      <c r="BN894" s="251">
        <f t="shared" si="1035"/>
        <v>7.734378531149684E-4</v>
      </c>
      <c r="BT894" s="199">
        <f>'Detailed Budget'!$AD$12</f>
        <v>194045122715</v>
      </c>
      <c r="BU894" s="199">
        <f>'Detailed Budget'!$AD$24</f>
        <v>194045122715</v>
      </c>
      <c r="BV894" s="596">
        <f t="shared" si="1060"/>
        <v>0</v>
      </c>
      <c r="BW894" s="278"/>
      <c r="BX894" s="275">
        <f t="shared" si="1042"/>
        <v>0</v>
      </c>
      <c r="BY894" s="275">
        <f t="shared" si="1043"/>
        <v>0</v>
      </c>
      <c r="CA894" s="199">
        <f>'Detailed Budget'!$AD$96</f>
        <v>71050111380.677719</v>
      </c>
      <c r="CB894" s="275">
        <f t="shared" si="1036"/>
        <v>83372987.937770188</v>
      </c>
      <c r="CE894" s="199">
        <f>'Detailed Budget'!$AD$175</f>
        <v>4330586076.5988197</v>
      </c>
      <c r="CF894" s="275">
        <f t="shared" si="1061"/>
        <v>0</v>
      </c>
      <c r="CG894" s="199">
        <f>'Detailed Budget'!$AD$176</f>
        <v>20662817754.37001</v>
      </c>
      <c r="CH894" s="275">
        <f t="shared" si="1062"/>
        <v>0</v>
      </c>
      <c r="CI894" s="275">
        <f t="shared" si="1066"/>
        <v>0</v>
      </c>
      <c r="CJ894" s="275">
        <f>'Detailed Budget'!$AD$178</f>
        <v>46025131033.061455</v>
      </c>
      <c r="CK894" s="275">
        <f t="shared" si="1054"/>
        <v>0</v>
      </c>
      <c r="CL894" s="275">
        <f t="shared" si="1052"/>
        <v>0</v>
      </c>
      <c r="CM894" s="278">
        <f>'Detailed Budget'!$AD$189</f>
        <v>77498869683.252869</v>
      </c>
      <c r="CN894" s="275">
        <f t="shared" si="1037"/>
        <v>69669686.519977897</v>
      </c>
      <c r="CO894" s="140">
        <f>'Detailed Budget'!$AD$191</f>
        <v>2684962805.4134097</v>
      </c>
      <c r="CP894" s="616">
        <f t="shared" si="1038"/>
        <v>2413719.2933973274</v>
      </c>
      <c r="CQ894" s="616">
        <f t="shared" si="1039"/>
        <v>72083405.81337522</v>
      </c>
      <c r="CR894" s="199">
        <f>'Detailed Budget'!$AD$195</f>
        <v>18734176418</v>
      </c>
      <c r="CS894" s="275">
        <f t="shared" si="1063"/>
        <v>14489721.188614989</v>
      </c>
      <c r="CW894" s="278"/>
      <c r="DH894" s="140">
        <f>'Detailed Budget'!$AD$163</f>
        <v>4928560000</v>
      </c>
      <c r="DI894" s="616">
        <f t="shared" si="1064"/>
        <v>5600000</v>
      </c>
    </row>
    <row r="895" spans="1:113" outlineLevel="1">
      <c r="A895" s="214" t="s">
        <v>1812</v>
      </c>
      <c r="B895" s="215" t="s">
        <v>1813</v>
      </c>
      <c r="C895" s="216" t="s">
        <v>234</v>
      </c>
      <c r="D895" s="217"/>
      <c r="E895" s="216"/>
      <c r="F895" s="216"/>
      <c r="G895" s="216" t="s">
        <v>234</v>
      </c>
      <c r="H895" s="216" t="s">
        <v>234</v>
      </c>
      <c r="I895" s="217" t="s">
        <v>234</v>
      </c>
      <c r="J895" s="217"/>
      <c r="K895" s="216"/>
      <c r="L895" s="216"/>
      <c r="M895" s="217"/>
      <c r="N895" s="216"/>
      <c r="O895" s="217" t="s">
        <v>234</v>
      </c>
      <c r="P895" s="216"/>
      <c r="Q895" s="217"/>
      <c r="R895" s="217" t="s">
        <v>234</v>
      </c>
      <c r="S895" s="217"/>
      <c r="T895" s="217"/>
      <c r="U895" s="218">
        <f t="shared" si="1071"/>
        <v>6</v>
      </c>
      <c r="V895" s="867" t="s">
        <v>235</v>
      </c>
      <c r="W895" s="219">
        <v>136457</v>
      </c>
      <c r="X895" s="220">
        <v>3.35</v>
      </c>
      <c r="Y895" s="221">
        <f t="shared" si="1045"/>
        <v>1.0335000000000001</v>
      </c>
      <c r="Z895" s="199">
        <v>19</v>
      </c>
      <c r="AA895" s="221">
        <f t="shared" si="1046"/>
        <v>1.8702477386515275</v>
      </c>
      <c r="AB895" s="199">
        <f t="shared" si="1069"/>
        <v>255208.3956731715</v>
      </c>
      <c r="AC895">
        <v>12.8</v>
      </c>
      <c r="AD895" s="199">
        <f t="shared" si="1070"/>
        <v>32666.674646165953</v>
      </c>
      <c r="AE895" s="199">
        <f t="shared" si="1047"/>
        <v>31033.340913857654</v>
      </c>
      <c r="AF895" s="199">
        <f t="shared" si="1044"/>
        <v>0</v>
      </c>
      <c r="AG895" s="614"/>
      <c r="AH895" s="199">
        <f t="shared" si="1065"/>
        <v>12760.419783658575</v>
      </c>
      <c r="AI895" s="252">
        <f t="shared" si="1024"/>
        <v>9.8853038671559384E-4</v>
      </c>
      <c r="AJ895" s="199">
        <f t="shared" si="1025"/>
        <v>45427.09442982453</v>
      </c>
      <c r="AK895" s="199">
        <f t="shared" si="1048"/>
        <v>10208.335826926861</v>
      </c>
      <c r="AL895" s="199">
        <f t="shared" si="1049"/>
        <v>10208.335826926861</v>
      </c>
      <c r="AM895" s="199">
        <f t="shared" si="1026"/>
        <v>20416.671653853722</v>
      </c>
      <c r="AN895" s="645">
        <f t="shared" si="1027"/>
        <v>9.8853038671559384E-4</v>
      </c>
      <c r="AO895" s="199">
        <v>10</v>
      </c>
      <c r="AP895" s="250">
        <f t="shared" si="1028"/>
        <v>1.1362345188046814E-3</v>
      </c>
      <c r="AQ895" s="199">
        <v>10</v>
      </c>
      <c r="AU895" s="199">
        <v>0</v>
      </c>
      <c r="AW895" s="250">
        <f t="shared" si="1029"/>
        <v>0</v>
      </c>
      <c r="AX895" s="199">
        <v>1</v>
      </c>
      <c r="AY895" s="199">
        <f t="shared" si="1055"/>
        <v>16415.107768784583</v>
      </c>
      <c r="AZ895" s="199">
        <f t="shared" si="1030"/>
        <v>16415.107768784583</v>
      </c>
      <c r="BA895" s="252">
        <f t="shared" si="1031"/>
        <v>1.2903339933750908E-3</v>
      </c>
      <c r="BB895" s="284">
        <v>0</v>
      </c>
      <c r="BC895" s="199">
        <f t="shared" si="1056"/>
        <v>0</v>
      </c>
      <c r="BD895" s="270">
        <f t="shared" si="1067"/>
        <v>0</v>
      </c>
      <c r="BE895" s="199">
        <f t="shared" si="1057"/>
        <v>0</v>
      </c>
      <c r="BF895" s="251">
        <f t="shared" si="1068"/>
        <v>0</v>
      </c>
      <c r="BG895" s="199">
        <f t="shared" si="1058"/>
        <v>0</v>
      </c>
      <c r="BH895" s="636">
        <v>1</v>
      </c>
      <c r="BI895" s="199">
        <f t="shared" si="1032"/>
        <v>78093.76907599048</v>
      </c>
      <c r="BJ895" s="199">
        <f t="shared" si="1033"/>
        <v>156187.53815198096</v>
      </c>
      <c r="BK895" s="199">
        <f t="shared" si="1040"/>
        <v>234281.30722797144</v>
      </c>
      <c r="BL895" s="251">
        <f t="shared" si="1034"/>
        <v>9.8853038671559384E-4</v>
      </c>
      <c r="BM895" s="199">
        <f t="shared" si="1059"/>
        <v>19694.866574268013</v>
      </c>
      <c r="BN895" s="251">
        <f t="shared" si="1035"/>
        <v>8.5048558864184078E-4</v>
      </c>
      <c r="BT895" s="199">
        <f>'Detailed Budget'!$AD$12</f>
        <v>194045122715</v>
      </c>
      <c r="BU895" s="199">
        <f>'Detailed Budget'!$AD$24</f>
        <v>194045122715</v>
      </c>
      <c r="BV895" s="596">
        <f t="shared" si="1060"/>
        <v>0</v>
      </c>
      <c r="BW895" s="278"/>
      <c r="BX895" s="275">
        <f t="shared" si="1042"/>
        <v>0</v>
      </c>
      <c r="BY895" s="275">
        <f t="shared" si="1043"/>
        <v>0</v>
      </c>
      <c r="CA895" s="199">
        <f>'Detailed Budget'!$AD$96</f>
        <v>71050111380.677719</v>
      </c>
      <c r="CB895" s="275">
        <f t="shared" si="1036"/>
        <v>91678373.947574869</v>
      </c>
      <c r="CE895" s="199">
        <f>'Detailed Budget'!$AD$175</f>
        <v>4330586076.5988197</v>
      </c>
      <c r="CF895" s="275">
        <f t="shared" si="1061"/>
        <v>0</v>
      </c>
      <c r="CG895" s="199">
        <f>'Detailed Budget'!$AD$176</f>
        <v>20662817754.37001</v>
      </c>
      <c r="CH895" s="275">
        <f t="shared" si="1062"/>
        <v>0</v>
      </c>
      <c r="CI895" s="275">
        <f t="shared" si="1066"/>
        <v>0</v>
      </c>
      <c r="CJ895" s="275">
        <f>'Detailed Budget'!$AD$178</f>
        <v>46025131033.061455</v>
      </c>
      <c r="CK895" s="275">
        <f t="shared" si="1054"/>
        <v>0</v>
      </c>
      <c r="CL895" s="275">
        <f t="shared" si="1052"/>
        <v>0</v>
      </c>
      <c r="CM895" s="278">
        <f>'Detailed Budget'!$AD$189</f>
        <v>77498869683.252869</v>
      </c>
      <c r="CN895" s="275">
        <f t="shared" si="1037"/>
        <v>76609987.618007377</v>
      </c>
      <c r="CO895" s="140">
        <f>'Detailed Budget'!$AD$191</f>
        <v>2684962805.4134097</v>
      </c>
      <c r="CP895" s="616">
        <f t="shared" si="1038"/>
        <v>2654167.3203523038</v>
      </c>
      <c r="CQ895" s="616">
        <f t="shared" si="1039"/>
        <v>79264154.938359678</v>
      </c>
      <c r="CR895" s="199">
        <f>'Detailed Budget'!$AD$195</f>
        <v>18734176418</v>
      </c>
      <c r="CS895" s="275">
        <f t="shared" si="1063"/>
        <v>15933147.058582822</v>
      </c>
      <c r="CW895" s="278"/>
      <c r="DH895" s="140">
        <f>'Detailed Budget'!$AD$163</f>
        <v>4928560000</v>
      </c>
      <c r="DI895" s="616">
        <f t="shared" si="1064"/>
        <v>5600000</v>
      </c>
    </row>
    <row r="896" spans="1:113" outlineLevel="1">
      <c r="A896" s="214" t="s">
        <v>1814</v>
      </c>
      <c r="B896" s="215" t="s">
        <v>1815</v>
      </c>
      <c r="C896" s="216" t="s">
        <v>234</v>
      </c>
      <c r="D896" s="217" t="s">
        <v>234</v>
      </c>
      <c r="E896" s="216"/>
      <c r="F896" s="216"/>
      <c r="G896" s="216"/>
      <c r="H896" s="216" t="s">
        <v>234</v>
      </c>
      <c r="I896" s="217" t="s">
        <v>234</v>
      </c>
      <c r="J896" s="217"/>
      <c r="K896" s="216"/>
      <c r="L896" s="216"/>
      <c r="M896" s="217" t="s">
        <v>234</v>
      </c>
      <c r="N896" s="216"/>
      <c r="O896" s="217"/>
      <c r="P896" s="216"/>
      <c r="Q896" s="217"/>
      <c r="R896" s="217" t="s">
        <v>234</v>
      </c>
      <c r="S896" s="217"/>
      <c r="T896" s="217"/>
      <c r="U896" s="218">
        <f t="shared" si="1071"/>
        <v>6</v>
      </c>
      <c r="V896" s="867" t="s">
        <v>238</v>
      </c>
      <c r="W896" s="219">
        <v>108957</v>
      </c>
      <c r="X896" s="220">
        <v>3.35</v>
      </c>
      <c r="Y896" s="221">
        <f t="shared" si="1045"/>
        <v>1.0335000000000001</v>
      </c>
      <c r="Z896" s="199">
        <v>19</v>
      </c>
      <c r="AA896" s="221">
        <f t="shared" si="1046"/>
        <v>1.8702477386515275</v>
      </c>
      <c r="AB896" s="199">
        <f t="shared" si="1069"/>
        <v>203776.58286025448</v>
      </c>
      <c r="AC896">
        <v>12.8</v>
      </c>
      <c r="AD896" s="199">
        <f t="shared" si="1070"/>
        <v>26083.402606112577</v>
      </c>
      <c r="AE896" s="199">
        <f t="shared" si="1047"/>
        <v>24779.232475806948</v>
      </c>
      <c r="AF896" s="199">
        <f t="shared" si="1044"/>
        <v>24779.232475806948</v>
      </c>
      <c r="AG896" s="614"/>
      <c r="AH896" s="199">
        <f t="shared" si="1065"/>
        <v>10188.829143012725</v>
      </c>
      <c r="AI896" s="252">
        <f t="shared" si="1024"/>
        <v>7.8931315612516004E-4</v>
      </c>
      <c r="AJ896" s="199">
        <f t="shared" si="1025"/>
        <v>36272.231749125305</v>
      </c>
      <c r="AK896" s="199">
        <f t="shared" si="1048"/>
        <v>8151.0633144101794</v>
      </c>
      <c r="AL896" s="199">
        <f t="shared" si="1049"/>
        <v>8151.0633144101794</v>
      </c>
      <c r="AM896" s="199">
        <f t="shared" si="1026"/>
        <v>16302.126628820359</v>
      </c>
      <c r="AN896" s="645">
        <f t="shared" si="1027"/>
        <v>7.8931315612515993E-4</v>
      </c>
      <c r="AO896" s="199">
        <v>11</v>
      </c>
      <c r="AP896" s="250">
        <f t="shared" si="1028"/>
        <v>1.2498579706851495E-3</v>
      </c>
      <c r="AQ896" s="199">
        <v>11</v>
      </c>
      <c r="AU896" s="199">
        <v>0</v>
      </c>
      <c r="AW896" s="250">
        <f t="shared" si="1029"/>
        <v>0</v>
      </c>
      <c r="AX896" s="199">
        <v>1</v>
      </c>
      <c r="AY896" s="199">
        <f t="shared" si="1055"/>
        <v>13106.992658225392</v>
      </c>
      <c r="AZ896" s="199">
        <f t="shared" si="1030"/>
        <v>13106.992658225392</v>
      </c>
      <c r="BA896" s="252">
        <f t="shared" si="1031"/>
        <v>1.0302946782955057E-3</v>
      </c>
      <c r="BB896" s="284">
        <v>1</v>
      </c>
      <c r="BC896" s="199">
        <f t="shared" si="1056"/>
        <v>18780.049876401055</v>
      </c>
      <c r="BD896" s="270">
        <f t="shared" si="1067"/>
        <v>1.6912767075703934E-3</v>
      </c>
      <c r="BE896" s="199">
        <f t="shared" si="1057"/>
        <v>80336.880026826737</v>
      </c>
      <c r="BF896" s="251">
        <f t="shared" si="1068"/>
        <v>1.6912767451537425E-3</v>
      </c>
      <c r="BG896" s="199">
        <f t="shared" si="1058"/>
        <v>99116.929903227792</v>
      </c>
      <c r="BH896" s="636">
        <v>0</v>
      </c>
      <c r="BI896" s="199">
        <f t="shared" si="1032"/>
        <v>62355.634355237868</v>
      </c>
      <c r="BJ896" s="199">
        <f t="shared" si="1033"/>
        <v>124711.26871047574</v>
      </c>
      <c r="BK896" s="199">
        <f t="shared" si="1040"/>
        <v>187066.90306571359</v>
      </c>
      <c r="BL896" s="251">
        <f t="shared" si="1034"/>
        <v>7.8931315612515982E-4</v>
      </c>
      <c r="BM896" s="199">
        <f t="shared" si="1059"/>
        <v>15725.785978971544</v>
      </c>
      <c r="BN896" s="251">
        <f t="shared" si="1035"/>
        <v>6.790883449119433E-4</v>
      </c>
      <c r="BT896" s="199">
        <f>'Detailed Budget'!$AD$12</f>
        <v>194045122715</v>
      </c>
      <c r="BU896" s="199">
        <f>'Detailed Budget'!$AD$24</f>
        <v>194045122715</v>
      </c>
      <c r="BV896" s="596">
        <f t="shared" si="1060"/>
        <v>0</v>
      </c>
      <c r="BW896" s="278"/>
      <c r="BX896" s="275">
        <f t="shared" si="1042"/>
        <v>0</v>
      </c>
      <c r="BY896" s="275">
        <f t="shared" si="1043"/>
        <v>0</v>
      </c>
      <c r="CA896" s="199">
        <f>'Detailed Budget'!$AD$96</f>
        <v>71050111380.677719</v>
      </c>
      <c r="CB896" s="275">
        <f t="shared" si="1036"/>
        <v>73202551.647815198</v>
      </c>
      <c r="CE896" s="199">
        <f>'Detailed Budget'!$AD$175</f>
        <v>4330586076.5988197</v>
      </c>
      <c r="CF896" s="275">
        <f t="shared" si="1061"/>
        <v>7324219.3614802388</v>
      </c>
      <c r="CG896" s="199">
        <f>'Detailed Budget'!$AD$176</f>
        <v>20662817754.37001</v>
      </c>
      <c r="CH896" s="275">
        <f t="shared" si="1062"/>
        <v>34946543.157315873</v>
      </c>
      <c r="CI896" s="275">
        <f t="shared" si="1066"/>
        <v>42270762.518796109</v>
      </c>
      <c r="CJ896" s="275">
        <f>'Detailed Budget'!$AD$178</f>
        <v>46025131033.061455</v>
      </c>
      <c r="CK896" s="275">
        <f t="shared" si="1054"/>
        <v>0</v>
      </c>
      <c r="CL896" s="275">
        <f t="shared" si="1052"/>
        <v>42270762.518796109</v>
      </c>
      <c r="CM896" s="278">
        <f>'Detailed Budget'!$AD$189</f>
        <v>77498869683.252869</v>
      </c>
      <c r="CN896" s="275">
        <f t="shared" si="1037"/>
        <v>0</v>
      </c>
      <c r="CO896" s="140">
        <f>'Detailed Budget'!$AD$191</f>
        <v>2684962805.4134097</v>
      </c>
      <c r="CP896" s="616">
        <f t="shared" si="1038"/>
        <v>0</v>
      </c>
      <c r="CQ896" s="616">
        <f t="shared" si="1039"/>
        <v>0</v>
      </c>
      <c r="CR896" s="199">
        <f>'Detailed Budget'!$AD$195</f>
        <v>18734176418</v>
      </c>
      <c r="CS896" s="275">
        <f t="shared" si="1063"/>
        <v>12722160.856987979</v>
      </c>
      <c r="CW896" s="278"/>
      <c r="DH896" s="140">
        <f>'Detailed Budget'!$AD$163</f>
        <v>4928560000</v>
      </c>
      <c r="DI896" s="616">
        <f t="shared" si="1064"/>
        <v>6160000</v>
      </c>
    </row>
    <row r="897" spans="1:113" outlineLevel="1">
      <c r="A897" s="214" t="s">
        <v>1816</v>
      </c>
      <c r="B897" s="215" t="s">
        <v>1817</v>
      </c>
      <c r="C897" s="216" t="s">
        <v>234</v>
      </c>
      <c r="D897" s="217" t="s">
        <v>234</v>
      </c>
      <c r="E897" s="216"/>
      <c r="F897" s="216"/>
      <c r="G897" s="216"/>
      <c r="H897" s="216" t="s">
        <v>234</v>
      </c>
      <c r="I897" s="217" t="s">
        <v>234</v>
      </c>
      <c r="J897" s="217"/>
      <c r="K897" s="216"/>
      <c r="L897" s="216"/>
      <c r="M897" s="217" t="s">
        <v>234</v>
      </c>
      <c r="N897" s="216"/>
      <c r="O897" s="217"/>
      <c r="P897" s="216"/>
      <c r="Q897" s="217"/>
      <c r="R897" s="217" t="s">
        <v>234</v>
      </c>
      <c r="S897" s="217"/>
      <c r="T897" s="217"/>
      <c r="U897" s="218">
        <f t="shared" si="1071"/>
        <v>6</v>
      </c>
      <c r="V897" s="867" t="s">
        <v>238</v>
      </c>
      <c r="W897" s="219">
        <v>273268</v>
      </c>
      <c r="X897" s="220">
        <v>3.35</v>
      </c>
      <c r="Y897" s="221">
        <f t="shared" si="1045"/>
        <v>1.0335000000000001</v>
      </c>
      <c r="Z897" s="199">
        <v>19</v>
      </c>
      <c r="AA897" s="221">
        <f t="shared" si="1046"/>
        <v>1.8702477386515275</v>
      </c>
      <c r="AB897" s="199">
        <f t="shared" si="1069"/>
        <v>511078.85904582561</v>
      </c>
      <c r="AC897">
        <v>12.8</v>
      </c>
      <c r="AD897" s="199">
        <f t="shared" si="1070"/>
        <v>65418.093957865683</v>
      </c>
      <c r="AE897" s="199">
        <f t="shared" si="1047"/>
        <v>62147.189259972394</v>
      </c>
      <c r="AF897" s="199">
        <f t="shared" si="1044"/>
        <v>62147.189259972394</v>
      </c>
      <c r="AG897" s="614"/>
      <c r="AH897" s="199">
        <f t="shared" si="1065"/>
        <v>25553.942952291283</v>
      </c>
      <c r="AI897" s="252">
        <f t="shared" si="1024"/>
        <v>1.9796252425086066E-3</v>
      </c>
      <c r="AJ897" s="199">
        <f t="shared" si="1025"/>
        <v>90972.036910156967</v>
      </c>
      <c r="AK897" s="199">
        <f t="shared" si="1048"/>
        <v>20443.154361833025</v>
      </c>
      <c r="AL897" s="199">
        <f t="shared" si="1049"/>
        <v>20443.154361833025</v>
      </c>
      <c r="AM897" s="199">
        <f t="shared" si="1026"/>
        <v>40886.30872366605</v>
      </c>
      <c r="AN897" s="645">
        <f t="shared" si="1027"/>
        <v>1.9796252425086061E-3</v>
      </c>
      <c r="AO897" s="199">
        <v>11</v>
      </c>
      <c r="AP897" s="250">
        <f t="shared" si="1028"/>
        <v>1.2498579706851495E-3</v>
      </c>
      <c r="AQ897" s="199">
        <v>11</v>
      </c>
      <c r="AU897" s="199">
        <v>0</v>
      </c>
      <c r="AW897" s="250">
        <f t="shared" si="1029"/>
        <v>0</v>
      </c>
      <c r="AX897" s="199">
        <v>1</v>
      </c>
      <c r="AY897" s="199">
        <f t="shared" si="1055"/>
        <v>32872.800001174182</v>
      </c>
      <c r="AZ897" s="199">
        <f t="shared" si="1030"/>
        <v>32872.800001174182</v>
      </c>
      <c r="BA897" s="252">
        <f t="shared" si="1031"/>
        <v>2.5840154019333883E-3</v>
      </c>
      <c r="BB897" s="284">
        <v>1</v>
      </c>
      <c r="BC897" s="199">
        <f t="shared" si="1056"/>
        <v>47101.027649663287</v>
      </c>
      <c r="BD897" s="270">
        <f t="shared" si="1067"/>
        <v>4.2417816507828426E-3</v>
      </c>
      <c r="BE897" s="199">
        <f t="shared" si="1057"/>
        <v>201487.7293902263</v>
      </c>
      <c r="BF897" s="251">
        <f t="shared" si="1068"/>
        <v>4.2417817450432086E-3</v>
      </c>
      <c r="BG897" s="199">
        <f t="shared" si="1058"/>
        <v>248588.75703988958</v>
      </c>
      <c r="BH897" s="636">
        <v>0</v>
      </c>
      <c r="BI897" s="199">
        <f t="shared" si="1032"/>
        <v>156390.13086802265</v>
      </c>
      <c r="BJ897" s="199">
        <f t="shared" si="1033"/>
        <v>312780.2617360453</v>
      </c>
      <c r="BK897" s="199">
        <f t="shared" si="1040"/>
        <v>469170.39260406792</v>
      </c>
      <c r="BL897" s="251">
        <f t="shared" si="1034"/>
        <v>1.9796252425086061E-3</v>
      </c>
      <c r="BM897" s="199">
        <f t="shared" si="1059"/>
        <v>39440.826040562752</v>
      </c>
      <c r="BN897" s="251">
        <f t="shared" si="1035"/>
        <v>1.7031775272575136E-3</v>
      </c>
      <c r="BT897" s="199">
        <f>'Detailed Budget'!$AD$12</f>
        <v>194045122715</v>
      </c>
      <c r="BU897" s="199">
        <f>'Detailed Budget'!$AD$24</f>
        <v>194045122715</v>
      </c>
      <c r="BV897" s="596">
        <f t="shared" si="1060"/>
        <v>0</v>
      </c>
      <c r="BW897" s="278"/>
      <c r="BX897" s="275">
        <f t="shared" si="1042"/>
        <v>0</v>
      </c>
      <c r="BY897" s="275">
        <f t="shared" si="1043"/>
        <v>0</v>
      </c>
      <c r="CA897" s="199">
        <f>'Detailed Budget'!$AD$96</f>
        <v>71050111380.677719</v>
      </c>
      <c r="CB897" s="275">
        <f t="shared" si="1036"/>
        <v>183594582.11675394</v>
      </c>
      <c r="CE897" s="199">
        <f>'Detailed Budget'!$AD$175</f>
        <v>4330586076.5988197</v>
      </c>
      <c r="CF897" s="275">
        <f t="shared" si="1061"/>
        <v>18369400.556852534</v>
      </c>
      <c r="CG897" s="199">
        <f>'Detailed Budget'!$AD$176</f>
        <v>20662817754.37001</v>
      </c>
      <c r="CH897" s="275">
        <f t="shared" si="1062"/>
        <v>87647163.151641414</v>
      </c>
      <c r="CI897" s="275">
        <f t="shared" si="1066"/>
        <v>106016563.70849395</v>
      </c>
      <c r="CJ897" s="275">
        <f>'Detailed Budget'!$AD$178</f>
        <v>46025131033.061455</v>
      </c>
      <c r="CK897" s="275">
        <f t="shared" si="1054"/>
        <v>0</v>
      </c>
      <c r="CL897" s="275">
        <f t="shared" si="1052"/>
        <v>106016563.70849395</v>
      </c>
      <c r="CM897" s="278">
        <f>'Detailed Budget'!$AD$189</f>
        <v>77498869683.252869</v>
      </c>
      <c r="CN897" s="275">
        <f t="shared" si="1037"/>
        <v>0</v>
      </c>
      <c r="CO897" s="140">
        <f>'Detailed Budget'!$AD$191</f>
        <v>2684962805.4134097</v>
      </c>
      <c r="CP897" s="616">
        <f t="shared" si="1038"/>
        <v>0</v>
      </c>
      <c r="CQ897" s="616">
        <f t="shared" si="1039"/>
        <v>0</v>
      </c>
      <c r="CR897" s="199">
        <f>'Detailed Budget'!$AD$195</f>
        <v>18734176418</v>
      </c>
      <c r="CS897" s="275">
        <f t="shared" si="1063"/>
        <v>31907628.266815264</v>
      </c>
      <c r="CW897" s="278"/>
      <c r="DH897" s="140">
        <f>'Detailed Budget'!$AD$163</f>
        <v>4928560000</v>
      </c>
      <c r="DI897" s="616">
        <f t="shared" si="1064"/>
        <v>6160000</v>
      </c>
    </row>
    <row r="898" spans="1:113" outlineLevel="1">
      <c r="A898" s="214" t="s">
        <v>1818</v>
      </c>
      <c r="B898" s="215" t="s">
        <v>1819</v>
      </c>
      <c r="C898" s="216" t="s">
        <v>234</v>
      </c>
      <c r="D898" s="217"/>
      <c r="E898" s="216"/>
      <c r="F898" s="216"/>
      <c r="G898" s="216" t="s">
        <v>234</v>
      </c>
      <c r="H898" s="216" t="s">
        <v>234</v>
      </c>
      <c r="I898" s="217" t="s">
        <v>234</v>
      </c>
      <c r="J898" s="217"/>
      <c r="K898" s="216"/>
      <c r="L898" s="216"/>
      <c r="M898" s="217"/>
      <c r="N898" s="216" t="s">
        <v>234</v>
      </c>
      <c r="O898" s="217"/>
      <c r="P898" s="216"/>
      <c r="Q898" s="217"/>
      <c r="R898" s="217" t="s">
        <v>234</v>
      </c>
      <c r="S898" s="217"/>
      <c r="T898" s="217"/>
      <c r="U898" s="218">
        <f t="shared" si="1071"/>
        <v>6</v>
      </c>
      <c r="V898" s="867" t="s">
        <v>487</v>
      </c>
      <c r="W898" s="219">
        <v>140339</v>
      </c>
      <c r="X898" s="220">
        <v>3.35</v>
      </c>
      <c r="Y898" s="221">
        <f t="shared" si="1045"/>
        <v>1.0335000000000001</v>
      </c>
      <c r="Z898" s="199">
        <v>19</v>
      </c>
      <c r="AA898" s="221">
        <f t="shared" si="1046"/>
        <v>1.8702477386515275</v>
      </c>
      <c r="AB898" s="199">
        <f t="shared" si="1069"/>
        <v>262468.69739461673</v>
      </c>
      <c r="AC898">
        <v>12.8</v>
      </c>
      <c r="AD898" s="199">
        <f t="shared" si="1070"/>
        <v>33595.993266510945</v>
      </c>
      <c r="AE898" s="199">
        <f t="shared" si="1047"/>
        <v>31916.193603185395</v>
      </c>
      <c r="AF898" s="199">
        <f t="shared" si="1044"/>
        <v>0</v>
      </c>
      <c r="AG898" s="614"/>
      <c r="AH898" s="199">
        <f t="shared" si="1065"/>
        <v>13123.434869730838</v>
      </c>
      <c r="AI898" s="252">
        <f t="shared" si="1024"/>
        <v>1.0166526154120326E-3</v>
      </c>
      <c r="AJ898" s="199">
        <f t="shared" si="1025"/>
        <v>46719.428136241782</v>
      </c>
      <c r="AK898" s="199">
        <f t="shared" si="1048"/>
        <v>10498.747895784669</v>
      </c>
      <c r="AL898" s="199">
        <f t="shared" si="1049"/>
        <v>10498.747895784669</v>
      </c>
      <c r="AM898" s="199">
        <f t="shared" si="1026"/>
        <v>20997.495791569338</v>
      </c>
      <c r="AN898" s="645">
        <f t="shared" si="1027"/>
        <v>1.0166526154120326E-3</v>
      </c>
      <c r="AO898" s="199">
        <v>10</v>
      </c>
      <c r="AP898" s="250">
        <f t="shared" si="1028"/>
        <v>1.1362345188046814E-3</v>
      </c>
      <c r="AQ898" s="199">
        <v>10</v>
      </c>
      <c r="AU898" s="199">
        <v>0</v>
      </c>
      <c r="AW898" s="250">
        <f t="shared" si="1029"/>
        <v>0</v>
      </c>
      <c r="AX898" s="199">
        <v>1</v>
      </c>
      <c r="AY898" s="199">
        <f t="shared" si="1055"/>
        <v>16882.093327300612</v>
      </c>
      <c r="AZ898" s="199">
        <f t="shared" si="1030"/>
        <v>16882.093327300612</v>
      </c>
      <c r="BA898" s="252">
        <f t="shared" si="1031"/>
        <v>1.3270420886892346E-3</v>
      </c>
      <c r="BB898" s="284">
        <v>0</v>
      </c>
      <c r="BC898" s="199">
        <f t="shared" si="1056"/>
        <v>0</v>
      </c>
      <c r="BD898" s="270">
        <f t="shared" si="1067"/>
        <v>0</v>
      </c>
      <c r="BE898" s="199">
        <f t="shared" si="1057"/>
        <v>0</v>
      </c>
      <c r="BF898" s="251">
        <f t="shared" si="1068"/>
        <v>0</v>
      </c>
      <c r="BG898" s="199">
        <f t="shared" si="1058"/>
        <v>0</v>
      </c>
      <c r="BH898" s="636">
        <v>1</v>
      </c>
      <c r="BI898" s="199">
        <f t="shared" si="1032"/>
        <v>80315.42140275272</v>
      </c>
      <c r="BJ898" s="199">
        <f t="shared" si="1033"/>
        <v>160630.84280550544</v>
      </c>
      <c r="BK898" s="199">
        <f t="shared" si="1040"/>
        <v>240946.26420825816</v>
      </c>
      <c r="BL898" s="251">
        <f t="shared" si="1034"/>
        <v>1.0166526154120326E-3</v>
      </c>
      <c r="BM898" s="199">
        <f t="shared" si="1059"/>
        <v>20255.156424120411</v>
      </c>
      <c r="BN898" s="251">
        <f t="shared" si="1035"/>
        <v>8.7468064682945769E-4</v>
      </c>
      <c r="BT898" s="199">
        <f>'Detailed Budget'!$AD$12</f>
        <v>194045122715</v>
      </c>
      <c r="BU898" s="199">
        <f>'Detailed Budget'!$AD$24</f>
        <v>194045122715</v>
      </c>
      <c r="BV898" s="596">
        <f t="shared" si="1060"/>
        <v>0</v>
      </c>
      <c r="BW898" s="278"/>
      <c r="BX898" s="275">
        <f t="shared" si="1042"/>
        <v>0</v>
      </c>
      <c r="BY898" s="275">
        <f t="shared" si="1043"/>
        <v>0</v>
      </c>
      <c r="CA898" s="199">
        <f>'Detailed Budget'!$AD$96</f>
        <v>71050111380.677719</v>
      </c>
      <c r="CB898" s="275">
        <f t="shared" si="1036"/>
        <v>94286488.208217323</v>
      </c>
      <c r="CE898" s="199">
        <f>'Detailed Budget'!$AD$175</f>
        <v>4330586076.5988197</v>
      </c>
      <c r="CF898" s="275">
        <f t="shared" si="1061"/>
        <v>0</v>
      </c>
      <c r="CG898" s="199">
        <f>'Detailed Budget'!$AD$176</f>
        <v>20662817754.37001</v>
      </c>
      <c r="CH898" s="275">
        <f t="shared" si="1062"/>
        <v>0</v>
      </c>
      <c r="CI898" s="275">
        <f t="shared" si="1066"/>
        <v>0</v>
      </c>
      <c r="CJ898" s="275">
        <f>'Detailed Budget'!$AD$178</f>
        <v>46025131033.061455</v>
      </c>
      <c r="CK898" s="275">
        <f t="shared" si="1054"/>
        <v>0</v>
      </c>
      <c r="CL898" s="275">
        <f t="shared" si="1052"/>
        <v>0</v>
      </c>
      <c r="CM898" s="278">
        <f>'Detailed Budget'!$AD$189</f>
        <v>77498869683.252869</v>
      </c>
      <c r="CN898" s="275">
        <f t="shared" si="1037"/>
        <v>78789428.554955304</v>
      </c>
      <c r="CO898" s="140">
        <f>'Detailed Budget'!$AD$191</f>
        <v>2684962805.4134097</v>
      </c>
      <c r="CP898" s="616">
        <f t="shared" si="1038"/>
        <v>2729674.4584075711</v>
      </c>
      <c r="CQ898" s="616">
        <f t="shared" si="1039"/>
        <v>81519103.01336287</v>
      </c>
      <c r="CR898" s="199">
        <f>'Detailed Budget'!$AD$195</f>
        <v>18734176418</v>
      </c>
      <c r="CS898" s="275">
        <f t="shared" si="1063"/>
        <v>16386421.547113413</v>
      </c>
      <c r="CW898" s="278"/>
      <c r="DH898" s="140">
        <f>'Detailed Budget'!$AD$163</f>
        <v>4928560000</v>
      </c>
      <c r="DI898" s="616">
        <f t="shared" si="1064"/>
        <v>5600000</v>
      </c>
    </row>
    <row r="899" spans="1:113">
      <c r="U899" s="248"/>
      <c r="V899" s="248"/>
      <c r="W899" s="199"/>
      <c r="X899" s="199"/>
      <c r="Y899" s="199"/>
      <c r="Z899" s="199"/>
      <c r="AA899" s="199"/>
      <c r="AG899" s="614"/>
    </row>
    <row r="900" spans="1:113">
      <c r="W900" s="199"/>
      <c r="X900" s="199"/>
      <c r="Y900" s="199"/>
      <c r="Z900" s="199"/>
      <c r="AA900" s="199"/>
      <c r="AG900" s="614"/>
      <c r="BG900" s="199"/>
      <c r="BH900" s="199"/>
      <c r="BI900" s="199"/>
      <c r="BJ900" s="199"/>
      <c r="CI900" s="199"/>
      <c r="CJ900" s="199"/>
    </row>
    <row r="901" spans="1:113">
      <c r="AG901" s="614"/>
      <c r="BG901" s="199"/>
      <c r="BH901" s="199"/>
      <c r="BI901" s="199"/>
      <c r="BJ901" s="199"/>
    </row>
  </sheetData>
  <autoFilter ref="A5:DN898" xr:uid="{516D074F-5C0F-4B50-BE71-78843200B4C6}"/>
  <mergeCells count="24">
    <mergeCell ref="AV3:BS3"/>
    <mergeCell ref="CE4:CL4"/>
    <mergeCell ref="DB4:DG4"/>
    <mergeCell ref="C4:C5"/>
    <mergeCell ref="D4:Q4"/>
    <mergeCell ref="S4:T4"/>
    <mergeCell ref="U4:U5"/>
    <mergeCell ref="DI4:DM4"/>
    <mergeCell ref="V3:V5"/>
    <mergeCell ref="A2:DN2"/>
    <mergeCell ref="A1:DN1"/>
    <mergeCell ref="AO3:AT4"/>
    <mergeCell ref="CW4:DA4"/>
    <mergeCell ref="BB4:BG4"/>
    <mergeCell ref="CR4:CV4"/>
    <mergeCell ref="BT3:DN3"/>
    <mergeCell ref="CB4:CD4"/>
    <mergeCell ref="AU4:AZ4"/>
    <mergeCell ref="BI4:BL4"/>
    <mergeCell ref="W3:AN4"/>
    <mergeCell ref="BW4:BZ4"/>
    <mergeCell ref="BP4:BS4"/>
    <mergeCell ref="A4:A5"/>
    <mergeCell ref="B4:B5"/>
  </mergeCells>
  <phoneticPr fontId="54" type="noConversion"/>
  <conditionalFormatting sqref="C6:C10 C35:C36 C44:C45 C68:C69 C87:C88 C103:C104 C131:C132">
    <cfRule type="cellIs" dxfId="41" priority="27" operator="greaterThan">
      <formula>0</formula>
    </cfRule>
  </conditionalFormatting>
  <conditionalFormatting sqref="C151:C153 C176:C177 C199:C200 C229:C230 C243:C244 C263:C264 C283:C285 C314:C315 C340:C341 C387:C388 C424:C425 C448:C449 C474:C475 C491:C493 C512:C513 C536:C537 C552:C553 C572:C573 C602:C604 C637:C638 C648:C649 C669:C670 C697:C698 C718:C719 C744:C746 C764:C765 C787:C788 C810:C811 C831:C832 C864:C865">
    <cfRule type="cellIs" dxfId="40" priority="42" operator="greaterThan">
      <formula>0</formula>
    </cfRule>
  </conditionalFormatting>
  <conditionalFormatting sqref="D6:D10 D35:D36 D44:D45 D68:D69 D87:D88 D103:D104 D131:D132">
    <cfRule type="cellIs" dxfId="39" priority="26" operator="greaterThan">
      <formula>0</formula>
    </cfRule>
  </conditionalFormatting>
  <conditionalFormatting sqref="D151:D153 D176:D177 D199:D200 D229:D230 D243:D244 D263:D264 D283:D285 D314:D315 D340:D341 D387:D388 D424:D425 D448:D449 D474:D475 D491:D493 D512:D513 D536:D537 D552:D553 D572:D573 D602:D604 D637:D638 D648:D649 D669:D670 D697:D698 D718:D719 D744:D746 D764:D765 D787:D788 D810:D811 D831:D832 D864:D865">
    <cfRule type="cellIs" dxfId="38" priority="41" operator="greaterThan">
      <formula>0</formula>
    </cfRule>
  </conditionalFormatting>
  <conditionalFormatting sqref="E6:E10 E35:E36 E44:E45 E68:E69 E87:E88 E103:E104 E131:E132">
    <cfRule type="cellIs" dxfId="37" priority="25" operator="greaterThan">
      <formula>0</formula>
    </cfRule>
  </conditionalFormatting>
  <conditionalFormatting sqref="E151:E153 E176:E177 E199:E200 E229:E230 E243:E244 E263:E264 E283:E285 E314:E315 E340:E341 E387:E388 E424:E425 E448:E449 E474:E475 E491:E493 E512:E513 E536:E537 E552:E553 E572:E573 E602:E604 E637:E638 E648:E649 E669:E670 E697:E698 E718:E719 E744:E746 E764:E765 E787:E788 E810:E811 E831:E832 E864:E865">
    <cfRule type="cellIs" dxfId="36" priority="40" operator="greaterThan">
      <formula>0</formula>
    </cfRule>
  </conditionalFormatting>
  <conditionalFormatting sqref="F6:F10 F35:F36 F44:F45 F68:F69 F87:F88 F103:F104 F131:F132">
    <cfRule type="cellIs" dxfId="35" priority="24" operator="greaterThan">
      <formula>0</formula>
    </cfRule>
  </conditionalFormatting>
  <conditionalFormatting sqref="F151:F153 F176:F177 F199:F200 F229:F230 F243:F244 F263:F264 F283:F285 F314:F315 F340:F341 F387:F388 F424:F425 F448:F449 F474:F475 F491:F493 F512:F513 F536:F537 F552:F553 F572:F573 F602:F604 F637:F638 F648:F649 F669:F670 F697:F698 F718:F719 F744:F746 F764:F765 F787:F788 F810:F811 F831:F832 F864:F865">
    <cfRule type="cellIs" dxfId="34" priority="39" operator="greaterThan">
      <formula>0</formula>
    </cfRule>
  </conditionalFormatting>
  <conditionalFormatting sqref="G6:G10 G35:G36 G44:G45 G68:G69 G87:G88 G103:G104 G131:G132">
    <cfRule type="cellIs" dxfId="33" priority="18" operator="greaterThan">
      <formula>0</formula>
    </cfRule>
  </conditionalFormatting>
  <conditionalFormatting sqref="G151:G153 G176:G177 G199:G200 G229:G230 G243:G244 G263:G264 G283:G285 G314:G315 G340:G341 G387:G388 G424:G425 G448:G449 G474:G475 G491:G493 G512:G513 G536:G537 G552:G553 G572:G573 G602:G604 G637:G638 G648:G649 G669:G670 G697:G698 G718:G719 G744:G746 G764:G765 G787:G788 G810:G811 G831:G832 G864:G865">
    <cfRule type="cellIs" dxfId="32" priority="33" operator="greaterThan">
      <formula>0</formula>
    </cfRule>
  </conditionalFormatting>
  <conditionalFormatting sqref="H6:H10 H35:H36 H44:H45 H68:H69 H87:H88 H103:H104 H131:H132">
    <cfRule type="cellIs" dxfId="31" priority="23" operator="greaterThan">
      <formula>0</formula>
    </cfRule>
  </conditionalFormatting>
  <conditionalFormatting sqref="H151:H153 H176:H177 H199:H200 H229:H230 H243:H244 H263:H264 H283:H285 H314:H315 H340:H341 H387:H388 H424:H425 H448:H449 H474:H475 H491:H493 H512:H513 H536:H537 H552:H553 H572:H573 H602:H604 H637:H638 H648:H649 H669:H670 H697:H698 H718:H719 H744:H746 H764:H765 H787:H788 H810:H811 H831:H832 H864:H865">
    <cfRule type="cellIs" dxfId="30" priority="38" operator="greaterThan">
      <formula>0</formula>
    </cfRule>
  </conditionalFormatting>
  <conditionalFormatting sqref="I6:J10 I35:J36 I44:J45 I68:J69 I87:J88 I103:J104 I131:J132">
    <cfRule type="cellIs" dxfId="29" priority="22" operator="greaterThan">
      <formula>0</formula>
    </cfRule>
  </conditionalFormatting>
  <conditionalFormatting sqref="I151:J153 I176:J177 I199:J200 I229:J230 I243:J244 I263:J264 I283:J285 I314:J315 I340:J341 I387:J388 I424:J425 I448:J449 I474:J475 I491:J493 I512:J513 I536:J537 I552:J553 I572:J573 I602:J604 I637:J638 I648:J649 I669:J670 I697:J698 I718:J719 I744:J746 I764:J765 I787:J788 I810:J811 I831:J832 I864:J865">
    <cfRule type="cellIs" dxfId="28" priority="37" operator="greaterThan">
      <formula>0</formula>
    </cfRule>
  </conditionalFormatting>
  <conditionalFormatting sqref="K6:L10 K35:L36 K44:L45 K68:L69 K87:L88 K103:L104 K131:L132">
    <cfRule type="cellIs" dxfId="27" priority="17" operator="greaterThan">
      <formula>0</formula>
    </cfRule>
  </conditionalFormatting>
  <conditionalFormatting sqref="K151:L153 K176:L177 K199:L200 K229:L230 K243:L244 K263:L264 K283:L285 K314:L315 K340:L341 K387:L388 K424:L425 K448:L449 K474:L475 K491:L493 K512:L513 K536:L537 K552:L553 K572:L573 K602:L604 K637:L638 K648:L649 K669:L670 K697:L698 K718:L719 K744:L746 K764:L765 K787:L788 K810:L811 K831:L832 K864:L865">
    <cfRule type="cellIs" dxfId="26" priority="32" operator="greaterThan">
      <formula>0</formula>
    </cfRule>
  </conditionalFormatting>
  <conditionalFormatting sqref="M6:M10 M35:M36 M44:M45 M68:M69 M87:M88 M103:M104 M131:M132">
    <cfRule type="cellIs" dxfId="25" priority="16" operator="greaterThan">
      <formula>0</formula>
    </cfRule>
  </conditionalFormatting>
  <conditionalFormatting sqref="M151:M153 M176:M177 M199:M200 M229:M230 M243:M244 M263:M264 M283:M285 M314:M315 M340:M341 M387:M388 M424:M425 M448:M449 M474:M475 M491:M493 M512:M513 M536:M537 M552:M553 M572:M573 M602:M604 M637:M638 M648:M649 M669:M670 M697:M698 M718:M719 M744:M746 M764:M765 M787:M788 M810:M811 M831:M832 M864:M865">
    <cfRule type="cellIs" dxfId="24" priority="31" operator="greaterThan">
      <formula>0</formula>
    </cfRule>
  </conditionalFormatting>
  <conditionalFormatting sqref="N6:N10 N35:N36 N44:N45 N68:N69 N87:N88 N103:N104 N131:N132">
    <cfRule type="cellIs" dxfId="23" priority="15" operator="greaterThan">
      <formula>0</formula>
    </cfRule>
  </conditionalFormatting>
  <conditionalFormatting sqref="N151:N153 N176:N177 N199:N200 N229:N230 N243:N244 N263:N264 N283:N285 N314:N315 N340:N341 N387:N388 N424:N425 N448:N449 N474:N475 N491:N493 N512:N513 N536:N537 N552:N553 N572:N573 N602:N604 N637:N638 N648:N649 N669:N670 N697:N698 N718:N719 N744:N746 N764:N765 N787:N788 N810:N811 N831:N832 N864:N865">
    <cfRule type="cellIs" dxfId="22" priority="30" operator="greaterThan">
      <formula>0</formula>
    </cfRule>
  </conditionalFormatting>
  <conditionalFormatting sqref="O6:O10 O35:O36 O44:O45 O68:O69 O87:O88 O103:O104 O131:O132">
    <cfRule type="cellIs" dxfId="21" priority="14" operator="greaterThan">
      <formula>0</formula>
    </cfRule>
  </conditionalFormatting>
  <conditionalFormatting sqref="O151:O153 O176:O177 O199:O200 O229:O230 O243:O244 O263:O264 O283:O285 O314:O315 O340:O341 O387:O388 O424:O425 O448:O449 O474:O475 O491:O493 O512:O513 O536:O537 O552:O553 O572:O573 O602:O604 O637:O638 O648:O649 O669:O670 O697:O698 O718:O719 O744:O746 O764:O765 O787:O788 O810:O811 O831:O832 O864:O865">
    <cfRule type="cellIs" dxfId="20" priority="29" operator="greaterThan">
      <formula>0</formula>
    </cfRule>
  </conditionalFormatting>
  <conditionalFormatting sqref="P6:P10 P35:P36 P44:P45 P68:P69 P87:P88 P103:P104 P131:P132">
    <cfRule type="cellIs" dxfId="19" priority="13" operator="greaterThan">
      <formula>0</formula>
    </cfRule>
  </conditionalFormatting>
  <conditionalFormatting sqref="P151:P153 P176:P177 P199:P200 P229:P230 P243:P244 P263:P264 P283:P285 P314:P315 P340:P341 P387:P388 P424:P425 P448:P449 P474:P475 P491:P493 P512:P513 P536:P537 P552:P553 P572:P573 P602:P604 P637:P638 P648:P649 P669:P670 P697:P698 P718:P719 P744:P746 P764:P765 P787:P788 P810:P811 P831:P832 P864:P865">
    <cfRule type="cellIs" dxfId="18" priority="28" operator="greaterThan">
      <formula>0</formula>
    </cfRule>
  </conditionalFormatting>
  <conditionalFormatting sqref="Q6:R10 Q35:R36 Q44:R45 Q68:R69 Q87:R88 Q103:R104 Q131:R132">
    <cfRule type="cellIs" dxfId="17" priority="21" operator="greaterThan">
      <formula>0</formula>
    </cfRule>
  </conditionalFormatting>
  <conditionalFormatting sqref="Q151:R153 Q176:R177 Q199:R200 Q229:R230 Q243:R244 Q263:R264 Q283:R285 Q314:R315 Q340:R341 Q387:R388 Q424:R425 Q448:R449 Q474:R475 Q491:R493 Q512:R513 Q536:R537 Q552:R553 Q572:R573 Q602:R604 Q637:R638 Q648:R649 Q669:R670 Q697:R698 Q718:R719 Q744:R746 Q764:R765 Q787:R788 Q810:R811 Q831:R832 Q864:R865">
    <cfRule type="cellIs" dxfId="16" priority="36" operator="greaterThan">
      <formula>0</formula>
    </cfRule>
  </conditionalFormatting>
  <conditionalFormatting sqref="S6:S10 S35:S36 S44:S45 S68:S69 S87:S88 S103:S104 S131:S132">
    <cfRule type="cellIs" dxfId="15" priority="20" operator="greaterThan">
      <formula>0</formula>
    </cfRule>
  </conditionalFormatting>
  <conditionalFormatting sqref="S151:S153 S176:S177 S199:S200 S229:S230 S243:S244 S263:S264 S283:S285 S314:S315 S340:S341 S387:S388 S424:S425 S448:S449 S474:S475 S491:S493 S512:S513 S536:S537 S552:S553 S572:S573 S602:S604 S637:S638 S648:S649 S669:S670 S697:S698 S718:S719 S744:S746 S764:S765 S787:S788 S810:S811 S831:S832 S864:S865">
    <cfRule type="cellIs" dxfId="14" priority="35" operator="greaterThan">
      <formula>0</formula>
    </cfRule>
  </conditionalFormatting>
  <conditionalFormatting sqref="T6:T10 T35:T36 T44:T45 T68:T69 T87:T88 T103:T104 T131:T132">
    <cfRule type="cellIs" dxfId="13" priority="19" operator="greaterThan">
      <formula>0</formula>
    </cfRule>
  </conditionalFormatting>
  <conditionalFormatting sqref="T151:T153 T176:T177 T199:T200 T229:T230 T243:T244 T263:T264 T283:T285 T314:T315 T340:T341 T387:T388 T424:T425 T448:T449 T474:T475 T491:T493 T512:T513 T536:T537 T552:T553 T572:T573 T602:T604 T637:T638 T648:T649 T669:T670 T697:T698 T718:T719 T744:T746 T764:T765 T787:T788 T810:T811 T831:T832 T864:T865">
    <cfRule type="cellIs" dxfId="12" priority="34" operator="greaterThan">
      <formula>0</formula>
    </cfRule>
  </conditionalFormatting>
  <conditionalFormatting sqref="CO6:CO898">
    <cfRule type="expression" dxfId="11" priority="1">
      <formula>$B6=LvlTopHdr</formula>
    </cfRule>
    <cfRule type="expression" dxfId="10" priority="2">
      <formula>$B6=Lvl1Hdr</formula>
    </cfRule>
    <cfRule type="expression" dxfId="9" priority="3">
      <formula>$B6=Lvl2Hdr</formula>
    </cfRule>
    <cfRule type="expression" dxfId="8" priority="4">
      <formula>$B6=Lvl3Hdr</formula>
    </cfRule>
    <cfRule type="expression" dxfId="7" priority="5">
      <formula>$B6=Lvl4Hdr</formula>
    </cfRule>
    <cfRule type="expression" dxfId="6" priority="6">
      <formula>$B6=LvlBottomHdr</formula>
    </cfRule>
  </conditionalFormatting>
  <conditionalFormatting sqref="DH6:DH898">
    <cfRule type="expression" dxfId="5" priority="7">
      <formula>$B6=LvlTopHdr</formula>
    </cfRule>
    <cfRule type="expression" dxfId="4" priority="8">
      <formula>$B6=Lvl1Hdr</formula>
    </cfRule>
    <cfRule type="expression" dxfId="3" priority="9">
      <formula>$B6=Lvl2Hdr</formula>
    </cfRule>
    <cfRule type="expression" dxfId="2" priority="12">
      <formula>$B6=LvlBottomHdr</formula>
    </cfRule>
    <cfRule type="expression" dxfId="1" priority="11">
      <formula>$B6=Lvl4Hdr</formula>
    </cfRule>
    <cfRule type="expression" dxfId="0" priority="10">
      <formula>$B6=Lvl3Hdr</formula>
    </cfRule>
  </conditionalFormatting>
  <dataValidations disablePrompts="1" count="2">
    <dataValidation type="list" allowBlank="1" showInputMessage="1" showErrorMessage="1" sqref="C833:T863 C812:T830 C789:T809 C699:T717 C154:T175 C178:T198 C201:T228 C450:T473 C538:T551 C605:T636 C671:T696 C231:T242 C639:T647 C554:T571 C426:T447 C766:T786 C650:T668 C574:T600 C316:T339 C342:T386 C720:T742 C265:T281 C245:T262 C514:T535 C476:T489 C105:T130 C70:T86 C133:T149 C46:T67 C89:T102 C37:T43 C11:T34 C286:T313 C494:T511 C747:T763 C866:T898 C389:T423" xr:uid="{0E6D1D71-1438-40E6-9116-2EF1FBC51D42}">
      <formula1>"X"</formula1>
    </dataValidation>
    <dataValidation type="list" allowBlank="1" showInputMessage="1" showErrorMessage="1" sqref="BW5:BW898 BB5:BB898 CW5:CW898 CM6:CM898" xr:uid="{8F67A97C-58D7-4D94-950B-95BE3C8E3DDA}">
      <formula1>"0,1"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2F304-28C1-4277-B88F-E1EB584E32E4}">
  <dimension ref="A1:L64"/>
  <sheetViews>
    <sheetView topLeftCell="C55" workbookViewId="0">
      <selection activeCell="G64" sqref="G64"/>
    </sheetView>
  </sheetViews>
  <sheetFormatPr defaultColWidth="8.453125" defaultRowHeight="14.5"/>
  <cols>
    <col min="1" max="1" width="6.453125" customWidth="1"/>
    <col min="4" max="4" width="75.6328125" customWidth="1"/>
    <col min="5" max="5" width="22.453125" customWidth="1"/>
    <col min="6" max="6" width="23.81640625" style="687" customWidth="1"/>
    <col min="7" max="7" width="18.81640625" style="687" customWidth="1"/>
    <col min="8" max="8" width="15" bestFit="1" customWidth="1"/>
    <col min="9" max="9" width="18.81640625" bestFit="1" customWidth="1"/>
    <col min="10" max="10" width="43.90625" hidden="1" customWidth="1"/>
    <col min="11" max="12" width="17.1796875" hidden="1" customWidth="1"/>
    <col min="15" max="15" width="10.36328125" bestFit="1" customWidth="1"/>
  </cols>
  <sheetData>
    <row r="1" spans="1:12" s="600" customFormat="1" ht="25.5" customHeight="1">
      <c r="A1" s="599"/>
      <c r="B1" s="934" t="s">
        <v>2421</v>
      </c>
      <c r="C1" s="935"/>
      <c r="D1" s="935"/>
      <c r="E1" s="935"/>
      <c r="F1" s="935"/>
      <c r="G1" s="935"/>
    </row>
    <row r="2" spans="1:12" s="600" customFormat="1" ht="31.5" customHeight="1">
      <c r="A2" s="599"/>
      <c r="B2" s="934" t="s">
        <v>2247</v>
      </c>
      <c r="C2" s="935"/>
      <c r="D2" s="935"/>
      <c r="E2" s="655" t="s">
        <v>2422</v>
      </c>
      <c r="F2" s="656" t="s">
        <v>2423</v>
      </c>
      <c r="G2" s="656" t="s">
        <v>227</v>
      </c>
      <c r="H2" s="657" t="s">
        <v>2424</v>
      </c>
      <c r="J2" s="658" t="s">
        <v>2425</v>
      </c>
      <c r="K2" s="600" t="s">
        <v>2426</v>
      </c>
      <c r="L2" s="600" t="s">
        <v>2427</v>
      </c>
    </row>
    <row r="3" spans="1:12" s="602" customFormat="1">
      <c r="A3" s="601">
        <f>'[2]Kano Budget'!A2</f>
        <v>1</v>
      </c>
      <c r="B3" s="936" t="str">
        <f>'[3]Kwara Budget'!B4</f>
        <v xml:space="preserve"> COORDINATION AND PLANNING</v>
      </c>
      <c r="C3" s="936"/>
      <c r="D3" s="936"/>
      <c r="E3" s="936"/>
      <c r="F3" s="660"/>
      <c r="G3" s="660"/>
    </row>
    <row r="4" spans="1:12" s="602" customFormat="1" ht="16.5" customHeight="1">
      <c r="A4" s="601"/>
      <c r="B4" s="661" t="s">
        <v>2428</v>
      </c>
      <c r="C4" s="659"/>
      <c r="D4" s="659"/>
      <c r="E4" s="659"/>
      <c r="F4" s="660">
        <v>775200</v>
      </c>
      <c r="G4" s="662">
        <f>SUM(E4:F4)</f>
        <v>775200</v>
      </c>
      <c r="J4" s="937" t="s">
        <v>2429</v>
      </c>
    </row>
    <row r="5" spans="1:12" s="602" customFormat="1" ht="16.5" customHeight="1">
      <c r="A5" s="601"/>
      <c r="B5" s="661" t="s">
        <v>2430</v>
      </c>
      <c r="C5" s="659"/>
      <c r="D5" s="659"/>
      <c r="E5" s="659"/>
      <c r="F5" s="660">
        <v>888700</v>
      </c>
      <c r="G5" s="662">
        <f t="shared" ref="G5:G8" si="0">SUM(E5:F5)</f>
        <v>888700</v>
      </c>
      <c r="J5" s="937"/>
    </row>
    <row r="6" spans="1:12" s="602" customFormat="1" ht="16.5" customHeight="1">
      <c r="A6" s="601"/>
      <c r="B6" s="661" t="s">
        <v>2431</v>
      </c>
      <c r="C6" s="659"/>
      <c r="D6" s="659"/>
      <c r="E6" s="659"/>
      <c r="F6" s="660">
        <v>10738000</v>
      </c>
      <c r="G6" s="662">
        <f t="shared" si="0"/>
        <v>10738000</v>
      </c>
      <c r="J6" s="937"/>
    </row>
    <row r="7" spans="1:12" s="602" customFormat="1" ht="16.5" customHeight="1">
      <c r="A7" s="601"/>
      <c r="B7" s="661" t="s">
        <v>2432</v>
      </c>
      <c r="C7" s="659"/>
      <c r="D7" s="659"/>
      <c r="E7" s="659"/>
      <c r="F7" s="660">
        <v>3806400</v>
      </c>
      <c r="G7" s="662">
        <f t="shared" si="0"/>
        <v>3806400</v>
      </c>
      <c r="J7" s="937"/>
    </row>
    <row r="8" spans="1:12" s="602" customFormat="1" ht="16.5" customHeight="1">
      <c r="A8" s="601"/>
      <c r="B8" s="661" t="s">
        <v>2433</v>
      </c>
      <c r="C8" s="659"/>
      <c r="D8" s="659"/>
      <c r="E8" s="659"/>
      <c r="F8" s="660">
        <v>161200</v>
      </c>
      <c r="G8" s="662">
        <f t="shared" si="0"/>
        <v>161200</v>
      </c>
      <c r="J8" s="937"/>
    </row>
    <row r="9" spans="1:12" s="602" customFormat="1" ht="16.5" customHeight="1">
      <c r="A9" s="601"/>
      <c r="B9" s="938" t="s">
        <v>227</v>
      </c>
      <c r="C9" s="938"/>
      <c r="D9" s="938"/>
      <c r="E9" s="608">
        <f>SUM(E4:E8)</f>
        <v>0</v>
      </c>
      <c r="F9" s="608">
        <f t="shared" ref="F9:G9" si="1">SUM(F4:F8)</f>
        <v>16369500</v>
      </c>
      <c r="G9" s="608">
        <f t="shared" si="1"/>
        <v>16369500</v>
      </c>
      <c r="H9" s="663">
        <v>30.009</v>
      </c>
      <c r="I9" s="664">
        <f>G9/$G$59</f>
        <v>1.8865623942254002E-2</v>
      </c>
    </row>
    <row r="10" spans="1:12" s="606" customFormat="1" ht="16.5" customHeight="1">
      <c r="A10" s="603"/>
      <c r="B10" s="933"/>
      <c r="C10" s="933"/>
      <c r="D10" s="933"/>
      <c r="E10" s="933"/>
      <c r="F10" s="662"/>
      <c r="G10" s="662"/>
    </row>
    <row r="11" spans="1:12" s="599" customFormat="1" ht="16.5" customHeight="1">
      <c r="A11" s="603">
        <f>'[2]Kano Budget'!A116</f>
        <v>2</v>
      </c>
      <c r="B11" s="940" t="str">
        <f>'[3]Kwara Budget'!B8</f>
        <v>PROCUREMENT (NON-SMC DRUGS)</v>
      </c>
      <c r="C11" s="940"/>
      <c r="D11" s="940"/>
      <c r="E11" s="940"/>
      <c r="F11" s="666"/>
      <c r="G11" s="666"/>
    </row>
    <row r="12" spans="1:12" s="606" customFormat="1" ht="16.5" customHeight="1">
      <c r="A12" s="603"/>
      <c r="B12" s="941" t="str">
        <f>'[3]Kwara Budget'!B9:C9</f>
        <v>2.1  Printing of SMC training and implementation tools</v>
      </c>
      <c r="C12" s="941"/>
      <c r="D12" s="941"/>
      <c r="E12" s="604"/>
      <c r="F12" s="667">
        <f>'[3]Kwara Budget'!F16</f>
        <v>24333061.927479453</v>
      </c>
      <c r="G12" s="662">
        <f t="shared" ref="G12:G15" si="2">SUM(E12:F12)</f>
        <v>24333061.927479453</v>
      </c>
      <c r="J12" s="606" t="s">
        <v>2434</v>
      </c>
    </row>
    <row r="13" spans="1:12" s="606" customFormat="1" ht="16.5" customHeight="1">
      <c r="A13" s="603"/>
      <c r="B13" s="941" t="str">
        <f>'[3]Kwara Budget'!B18:C18</f>
        <v>2.2 Production of visibility materials</v>
      </c>
      <c r="C13" s="941"/>
      <c r="D13" s="941"/>
      <c r="E13" s="604"/>
      <c r="F13" s="667">
        <f>'[3]Kwara Budget'!F25</f>
        <v>16474804.239287673</v>
      </c>
      <c r="G13" s="662">
        <f t="shared" si="2"/>
        <v>16474804.239287673</v>
      </c>
      <c r="J13" s="606" t="s">
        <v>2434</v>
      </c>
    </row>
    <row r="14" spans="1:12" s="606" customFormat="1" ht="16.5" customHeight="1">
      <c r="A14" s="603"/>
      <c r="B14" s="941" t="str">
        <f>'[3]Kwara Budget'!B27:C27</f>
        <v>2.3  Procurement of PPEs</v>
      </c>
      <c r="C14" s="941"/>
      <c r="D14" s="941"/>
      <c r="E14" s="604"/>
      <c r="F14" s="667">
        <f>'[3]Kwara Budget'!F30</f>
        <v>0</v>
      </c>
      <c r="G14" s="662">
        <f t="shared" si="2"/>
        <v>0</v>
      </c>
    </row>
    <row r="15" spans="1:12" s="606" customFormat="1" ht="16.5" customHeight="1">
      <c r="A15" s="603"/>
      <c r="B15" s="641" t="s">
        <v>2435</v>
      </c>
      <c r="C15" s="641"/>
      <c r="D15" s="641"/>
      <c r="E15" s="604"/>
      <c r="F15" s="667">
        <f>'[3]Kwara Budget'!F42</f>
        <v>1108000</v>
      </c>
      <c r="G15" s="662">
        <f t="shared" si="2"/>
        <v>1108000</v>
      </c>
      <c r="J15" s="606" t="s">
        <v>2434</v>
      </c>
    </row>
    <row r="16" spans="1:12" s="599" customFormat="1" ht="16.5" customHeight="1">
      <c r="A16" s="603"/>
      <c r="B16" s="938" t="s">
        <v>227</v>
      </c>
      <c r="C16" s="938"/>
      <c r="D16" s="938"/>
      <c r="E16" s="608">
        <f>SUM(E12:E15)</f>
        <v>0</v>
      </c>
      <c r="F16" s="608">
        <f>SUM(F12:F15)</f>
        <v>41915866.166767128</v>
      </c>
      <c r="G16" s="608">
        <f>SUM(G12:G15)</f>
        <v>41915866.166767128</v>
      </c>
      <c r="H16" s="599">
        <v>30.012</v>
      </c>
      <c r="I16" s="664">
        <f>G16/$G$59</f>
        <v>4.8307460112775369E-2</v>
      </c>
    </row>
    <row r="17" spans="1:10" s="606" customFormat="1" ht="16.5" customHeight="1">
      <c r="A17" s="603"/>
      <c r="B17" s="942"/>
      <c r="C17" s="942"/>
      <c r="D17" s="942"/>
      <c r="E17" s="942"/>
      <c r="F17" s="662"/>
      <c r="G17" s="662"/>
    </row>
    <row r="18" spans="1:10" s="599" customFormat="1" ht="16.5" customHeight="1">
      <c r="A18" s="603">
        <f>'[2]Kano Budget'!A149</f>
        <v>3</v>
      </c>
      <c r="B18" s="938" t="str">
        <f>'[3]Kwara Budget'!B46:D46</f>
        <v>TRAINING FOR SMC DELIVERY</v>
      </c>
      <c r="C18" s="938"/>
      <c r="D18" s="938"/>
      <c r="E18" s="938"/>
      <c r="F18" s="666"/>
      <c r="G18" s="666"/>
    </row>
    <row r="19" spans="1:10" s="606" customFormat="1" ht="27" customHeight="1">
      <c r="A19" s="603"/>
      <c r="B19" s="943" t="str">
        <f>'[3]Kwara Budget'!B48</f>
        <v>3.1 Conduct training of State trainers/supervisors (5/LGA) - 3days non-residential/Residential for far LGAs with one day arrival</v>
      </c>
      <c r="C19" s="943"/>
      <c r="D19" s="943"/>
      <c r="E19" s="610">
        <f>'[3]Kwara Budget'!F66</f>
        <v>8115200</v>
      </c>
      <c r="F19" s="662"/>
      <c r="G19" s="662">
        <f t="shared" ref="G19:G24" si="3">SUM(E19:F19)</f>
        <v>8115200</v>
      </c>
      <c r="J19" s="606" t="s">
        <v>2434</v>
      </c>
    </row>
    <row r="20" spans="1:10" s="606" customFormat="1" ht="16.5" customHeight="1">
      <c r="A20" s="603"/>
      <c r="B20" s="939" t="str">
        <f>'[3]Kwara Budget'!B68</f>
        <v>3.2 Training of Health Facility Workers</v>
      </c>
      <c r="C20" s="939"/>
      <c r="D20" s="939"/>
      <c r="E20" s="604">
        <f>'[3]Kwara Budget'!F96</f>
        <v>19123448</v>
      </c>
      <c r="F20" s="662"/>
      <c r="G20" s="662">
        <f t="shared" si="3"/>
        <v>19123448</v>
      </c>
      <c r="J20" s="606" t="s">
        <v>2434</v>
      </c>
    </row>
    <row r="21" spans="1:10" s="606" customFormat="1" ht="16.5" customHeight="1">
      <c r="A21" s="603"/>
      <c r="B21" s="939" t="str">
        <f>'[3]Kwara Budget'!B98</f>
        <v>3.3 Training of Participants - Community Drug Distributors (CDDs)</v>
      </c>
      <c r="C21" s="939"/>
      <c r="D21" s="939"/>
      <c r="E21" s="604">
        <f>'[3]Kwara Budget'!F128</f>
        <v>69000814.246575356</v>
      </c>
      <c r="F21" s="662"/>
      <c r="G21" s="662">
        <f t="shared" si="3"/>
        <v>69000814.246575356</v>
      </c>
      <c r="J21" s="606" t="s">
        <v>2434</v>
      </c>
    </row>
    <row r="22" spans="1:10" s="606" customFormat="1" ht="16.5" customHeight="1">
      <c r="A22" s="603"/>
      <c r="B22" s="939" t="str">
        <f>'[3]Kwara Budget'!B130</f>
        <v>3.4 Training of Health Educators on SMC SBC</v>
      </c>
      <c r="C22" s="939"/>
      <c r="D22" s="939"/>
      <c r="E22" s="604">
        <f>'[3]Kwara Budget'!F148</f>
        <v>1734400</v>
      </c>
      <c r="F22" s="662"/>
      <c r="G22" s="662">
        <f t="shared" si="3"/>
        <v>1734400</v>
      </c>
      <c r="J22" s="606" t="s">
        <v>2434</v>
      </c>
    </row>
    <row r="23" spans="1:10" s="606" customFormat="1" ht="16.5" customHeight="1">
      <c r="A23" s="603"/>
      <c r="B23" s="939" t="str">
        <f>'[3]Kwara Budget'!B151</f>
        <v>3.5 1-day orientation for Town Announcers</v>
      </c>
      <c r="C23" s="939"/>
      <c r="D23" s="939"/>
      <c r="E23" s="604">
        <f>'[3]Kwara Budget'!F161</f>
        <v>4318500</v>
      </c>
      <c r="F23" s="662"/>
      <c r="G23" s="662">
        <f t="shared" si="3"/>
        <v>4318500</v>
      </c>
      <c r="J23" s="606" t="s">
        <v>2434</v>
      </c>
    </row>
    <row r="24" spans="1:10" s="606" customFormat="1" ht="16.5" customHeight="1">
      <c r="A24" s="603"/>
      <c r="B24" s="939" t="str">
        <f>'[3]Kwara Budget'!B163</f>
        <v>3.6 1-day orientation for Lead Mothers</v>
      </c>
      <c r="C24" s="939"/>
      <c r="D24" s="939"/>
      <c r="E24" s="668">
        <f>'[3]Kwara Budget'!F168</f>
        <v>0</v>
      </c>
      <c r="F24" s="662"/>
      <c r="G24" s="669">
        <f t="shared" si="3"/>
        <v>0</v>
      </c>
      <c r="J24" s="606" t="s">
        <v>2434</v>
      </c>
    </row>
    <row r="25" spans="1:10" s="599" customFormat="1" ht="16.5" customHeight="1">
      <c r="A25" s="603"/>
      <c r="B25" s="938" t="s">
        <v>227</v>
      </c>
      <c r="C25" s="938"/>
      <c r="D25" s="938"/>
      <c r="E25" s="608">
        <f>SUM(E19:E24)</f>
        <v>102292362.24657536</v>
      </c>
      <c r="F25" s="608">
        <f>SUM(F19:F24)</f>
        <v>0</v>
      </c>
      <c r="G25" s="608">
        <f>SUM(G19:G24)</f>
        <v>102292362.24657536</v>
      </c>
      <c r="H25" s="599">
        <v>30.007999999999999</v>
      </c>
      <c r="I25" s="664">
        <f>G25/$G$59</f>
        <v>0.11789054267440736</v>
      </c>
    </row>
    <row r="26" spans="1:10" s="606" customFormat="1" ht="16.5" customHeight="1">
      <c r="A26" s="603"/>
      <c r="B26" s="942"/>
      <c r="C26" s="942"/>
      <c r="D26" s="942"/>
      <c r="E26" s="942"/>
      <c r="F26" s="662"/>
      <c r="G26" s="662"/>
    </row>
    <row r="27" spans="1:10" s="599" customFormat="1" ht="16.5" customHeight="1">
      <c r="A27" s="603">
        <f>'[2]Kano Budget'!A284</f>
        <v>4</v>
      </c>
      <c r="B27" s="944" t="str">
        <f>'[3]Kwara Budget'!B171</f>
        <v>LOGISTICS (OTHER PSM COST)</v>
      </c>
      <c r="C27" s="944"/>
      <c r="D27" s="944"/>
      <c r="E27" s="944"/>
      <c r="F27" s="666"/>
      <c r="G27" s="666"/>
    </row>
    <row r="28" spans="1:10" s="606" customFormat="1" ht="16.5" customHeight="1">
      <c r="A28" s="603"/>
      <c r="B28" s="945" t="str">
        <f>'[3]Kwara Budget'!B172</f>
        <v>4.1 Support Commodity Management Review Meetings to develop and review distribution plan for each cycle</v>
      </c>
      <c r="C28" s="945"/>
      <c r="D28" s="945"/>
      <c r="E28" s="610">
        <f>'[3]Kwara Budget'!F185</f>
        <v>1726800</v>
      </c>
      <c r="F28" s="662"/>
      <c r="G28" s="662">
        <f t="shared" ref="G28:G31" si="4">SUM(E28:F28)</f>
        <v>1726800</v>
      </c>
      <c r="J28" s="606" t="s">
        <v>2434</v>
      </c>
    </row>
    <row r="29" spans="1:10" s="606" customFormat="1" ht="16.5" customHeight="1">
      <c r="A29" s="603"/>
      <c r="B29" s="939" t="str">
        <f>'[3]Kwara Budget'!B187</f>
        <v>4.2 Packaging materials</v>
      </c>
      <c r="C29" s="939"/>
      <c r="D29" s="939"/>
      <c r="E29" s="610">
        <f>'[3]Kwara Budget'!F189</f>
        <v>0</v>
      </c>
      <c r="F29" s="662"/>
      <c r="G29" s="662">
        <f t="shared" si="4"/>
        <v>0</v>
      </c>
      <c r="J29" s="606" t="s">
        <v>2434</v>
      </c>
    </row>
    <row r="30" spans="1:10" s="606" customFormat="1" ht="16.5" customHeight="1">
      <c r="A30" s="603"/>
      <c r="B30" s="941" t="str">
        <f>'[3]Kwara Budget'!B191</f>
        <v>4.3 Last Mile Distribution</v>
      </c>
      <c r="C30" s="941"/>
      <c r="D30" s="941"/>
      <c r="E30" s="610">
        <f>'[3]Kwara Budget'!F194</f>
        <v>0</v>
      </c>
      <c r="F30" s="662"/>
      <c r="G30" s="662">
        <f t="shared" si="4"/>
        <v>0</v>
      </c>
      <c r="J30" s="606" t="s">
        <v>2434</v>
      </c>
    </row>
    <row r="31" spans="1:10" s="606" customFormat="1" ht="16.5" customHeight="1">
      <c r="A31" s="603"/>
      <c r="B31" s="941" t="str">
        <f>'[3]Kwara Budget'!B196</f>
        <v>4.4 Reverse logistics</v>
      </c>
      <c r="C31" s="941"/>
      <c r="D31" s="941"/>
      <c r="E31" s="610">
        <f>'[3]Kwara Budget'!F199</f>
        <v>0</v>
      </c>
      <c r="F31" s="662"/>
      <c r="G31" s="662">
        <f t="shared" si="4"/>
        <v>0</v>
      </c>
      <c r="J31" s="606" t="s">
        <v>2434</v>
      </c>
    </row>
    <row r="32" spans="1:10" s="599" customFormat="1" ht="16.5" customHeight="1">
      <c r="A32" s="603"/>
      <c r="B32" s="938" t="s">
        <v>227</v>
      </c>
      <c r="C32" s="938"/>
      <c r="D32" s="938"/>
      <c r="E32" s="608">
        <f>SUM(E28:E31)</f>
        <v>1726800</v>
      </c>
      <c r="F32" s="608">
        <f>SUM(F28:F31)</f>
        <v>0</v>
      </c>
      <c r="G32" s="608">
        <f>SUM(G28:G31)</f>
        <v>1726800</v>
      </c>
      <c r="H32" s="599">
        <v>30.009</v>
      </c>
      <c r="I32" s="664">
        <f>G32/$G$59</f>
        <v>1.9901132852856965E-3</v>
      </c>
    </row>
    <row r="33" spans="1:12" s="606" customFormat="1" ht="16.5" customHeight="1">
      <c r="A33" s="603"/>
      <c r="B33" s="933"/>
      <c r="C33" s="933"/>
      <c r="D33" s="933"/>
      <c r="E33" s="933"/>
      <c r="F33" s="662"/>
      <c r="G33" s="662"/>
    </row>
    <row r="34" spans="1:12" s="599" customFormat="1" ht="16.5" customHeight="1">
      <c r="A34" s="603">
        <f>'[2]Kano Budget'!A324</f>
        <v>5</v>
      </c>
      <c r="B34" s="946" t="str">
        <f>'[3]Kwara Budget'!B201:F201</f>
        <v>ADMINISTRATION OF SPAQ TO ELIGIBLE CHILDREN (SMC CAMPAIGN PERSONNEL)</v>
      </c>
      <c r="C34" s="946"/>
      <c r="D34" s="946"/>
      <c r="E34" s="609"/>
      <c r="F34" s="666"/>
      <c r="G34" s="666"/>
    </row>
    <row r="35" spans="1:12" s="606" customFormat="1" ht="16.5" customHeight="1">
      <c r="A35" s="603"/>
      <c r="B35" s="642" t="str">
        <f>'[3]Kwara Budget'!B203</f>
        <v>5.1 Distribution Allowance for CDDs</v>
      </c>
      <c r="C35" s="642"/>
      <c r="D35" s="642"/>
      <c r="E35" s="607">
        <f>'[3]Kwara Budget'!F207</f>
        <v>446946575.34246582</v>
      </c>
      <c r="F35" s="662"/>
      <c r="G35" s="662">
        <f t="shared" ref="G35:G42" si="5">SUM(E35:F35)</f>
        <v>446946575.34246582</v>
      </c>
      <c r="J35" s="606" t="s">
        <v>2434</v>
      </c>
    </row>
    <row r="36" spans="1:12" s="606" customFormat="1" ht="16.5" customHeight="1">
      <c r="A36" s="603"/>
      <c r="B36" s="642" t="str">
        <f>'[3]Kwara Budget'!B208</f>
        <v>5.2 Transport Allowance for  CDD Recorder Provisioning and Reconciliation days</v>
      </c>
      <c r="C36" s="642"/>
      <c r="D36" s="642"/>
      <c r="E36" s="607">
        <f>'[3]Kwara Budget'!F212</f>
        <v>26816794.520547949</v>
      </c>
      <c r="F36" s="662"/>
      <c r="G36" s="662">
        <f t="shared" si="5"/>
        <v>26816794.520547949</v>
      </c>
      <c r="J36" s="606" t="s">
        <v>2434</v>
      </c>
    </row>
    <row r="37" spans="1:12" s="606" customFormat="1" ht="16.5" customHeight="1">
      <c r="A37" s="603"/>
      <c r="B37" s="642" t="str">
        <f>'[3]Kwara Budget'!B215</f>
        <v xml:space="preserve">5.3 Distribution Allowances for Town Announcers </v>
      </c>
      <c r="C37" s="642"/>
      <c r="D37" s="642"/>
      <c r="E37" s="607">
        <f>'[3]Kwara Budget'!F218</f>
        <v>66624000</v>
      </c>
      <c r="F37" s="662"/>
      <c r="G37" s="662">
        <f t="shared" si="5"/>
        <v>66624000</v>
      </c>
    </row>
    <row r="38" spans="1:12" s="606" customFormat="1" ht="16.5" customHeight="1">
      <c r="A38" s="603"/>
      <c r="B38" s="642" t="str">
        <f>'[3]Kwara Budget'!B221</f>
        <v>5.4 Distribution Allowances for Lead Mothers</v>
      </c>
      <c r="C38" s="642"/>
      <c r="D38" s="642"/>
      <c r="E38" s="607">
        <f>'[3]Kwara Budget'!F224</f>
        <v>0</v>
      </c>
      <c r="F38" s="662"/>
      <c r="G38" s="662">
        <f t="shared" si="5"/>
        <v>0</v>
      </c>
    </row>
    <row r="39" spans="1:12" s="606" customFormat="1" ht="16.5" customHeight="1">
      <c r="A39" s="603"/>
      <c r="B39" s="642" t="str">
        <f>'[3]Kwara Budget'!B227</f>
        <v>5.5 Distribution/Monitoring Allowance for health facility workers</v>
      </c>
      <c r="C39" s="642"/>
      <c r="D39" s="642"/>
      <c r="E39" s="607">
        <f>'[3]Kwara Budget'!F234</f>
        <v>114916000</v>
      </c>
      <c r="F39" s="662"/>
      <c r="G39" s="662">
        <f t="shared" si="5"/>
        <v>114916000</v>
      </c>
      <c r="J39" s="606" t="s">
        <v>2436</v>
      </c>
    </row>
    <row r="40" spans="1:12" s="606" customFormat="1" ht="16.5" customHeight="1">
      <c r="A40" s="603"/>
      <c r="B40" s="642" t="str">
        <f>'[3]Kwara Budget'!B237</f>
        <v>5.6 Distribution/Monitoring Allowance for LGA team</v>
      </c>
      <c r="C40" s="642"/>
      <c r="D40" s="642"/>
      <c r="E40" s="607">
        <f>'[3]Kwara Budget'!F242</f>
        <v>13992000</v>
      </c>
      <c r="F40" s="662"/>
      <c r="G40" s="662">
        <f t="shared" si="5"/>
        <v>13992000</v>
      </c>
      <c r="J40" s="606" t="s">
        <v>2436</v>
      </c>
    </row>
    <row r="41" spans="1:12" s="606" customFormat="1" ht="16.5" customHeight="1">
      <c r="A41" s="603"/>
      <c r="B41" s="642" t="str">
        <f>'[3]Kwara Budget'!B244</f>
        <v>5.7 Allowance for State team</v>
      </c>
      <c r="C41" s="642"/>
      <c r="D41" s="642"/>
      <c r="E41" s="607">
        <f>'[3]Kwara Budget'!F252</f>
        <v>8968000</v>
      </c>
      <c r="F41" s="662"/>
      <c r="G41" s="662">
        <f t="shared" si="5"/>
        <v>8968000</v>
      </c>
      <c r="J41" s="606" t="s">
        <v>2436</v>
      </c>
    </row>
    <row r="42" spans="1:12" s="606" customFormat="1" ht="16.5" customHeight="1">
      <c r="A42" s="603"/>
      <c r="B42" s="642" t="str">
        <f>'[3]Kwara Budget'!B254:C254</f>
        <v>5.8 Allowance LGA TAs  (10-days per cycle) to provide compliance oversight functions during campaign and  conduct post review after the campaign</v>
      </c>
      <c r="C42" s="642"/>
      <c r="D42" s="642"/>
      <c r="E42" s="607">
        <f>'[3]Kwara Budget'!F257</f>
        <v>11000000</v>
      </c>
      <c r="F42" s="662"/>
      <c r="G42" s="662">
        <f t="shared" si="5"/>
        <v>11000000</v>
      </c>
      <c r="J42" s="606" t="s">
        <v>2436</v>
      </c>
    </row>
    <row r="43" spans="1:12" s="599" customFormat="1" ht="16.5" customHeight="1">
      <c r="A43" s="603"/>
      <c r="B43" s="938" t="s">
        <v>2437</v>
      </c>
      <c r="C43" s="938"/>
      <c r="D43" s="938"/>
      <c r="E43" s="608">
        <f>SUM(E35:E42)</f>
        <v>689263369.86301374</v>
      </c>
      <c r="F43" s="608">
        <f>SUM(F35:F42)</f>
        <v>0</v>
      </c>
      <c r="G43" s="608">
        <f>SUM(G35:G42)</f>
        <v>689263369.86301374</v>
      </c>
      <c r="H43" s="599">
        <v>30.010999999999999</v>
      </c>
      <c r="I43" s="670">
        <f>G43/$G$59</f>
        <v>0.79436656788578441</v>
      </c>
      <c r="L43" s="671"/>
    </row>
    <row r="44" spans="1:12" s="606" customFormat="1" ht="16.5" customHeight="1">
      <c r="A44" s="603"/>
      <c r="B44" s="933"/>
      <c r="C44" s="933"/>
      <c r="D44" s="933"/>
      <c r="E44" s="933"/>
      <c r="F44" s="662"/>
      <c r="G44" s="662"/>
    </row>
    <row r="45" spans="1:12" s="599" customFormat="1" ht="16.5" customHeight="1">
      <c r="A45" s="603">
        <f>'[2]Kano Budget'!A374</f>
        <v>6</v>
      </c>
      <c r="B45" s="940" t="str">
        <f>'[3]Kwara Budget'!B259</f>
        <v>NON-SMC PERSONNEL COST</v>
      </c>
      <c r="C45" s="940"/>
      <c r="D45" s="940"/>
      <c r="E45" s="940"/>
      <c r="F45" s="666"/>
      <c r="G45" s="666"/>
    </row>
    <row r="46" spans="1:12" s="606" customFormat="1" ht="16.5" customHeight="1">
      <c r="A46" s="603"/>
      <c r="B46" s="939"/>
      <c r="C46" s="939"/>
      <c r="D46" s="939"/>
      <c r="E46" s="607">
        <v>0</v>
      </c>
      <c r="F46" s="662"/>
      <c r="G46" s="662"/>
    </row>
    <row r="47" spans="1:12" s="606" customFormat="1" ht="16.5" customHeight="1">
      <c r="A47" s="603"/>
      <c r="B47" s="951" t="str">
        <f>'[3]Kwara Budget'!B260</f>
        <v>6.1 Biodata capturing  for SMC Personnel</v>
      </c>
      <c r="C47" s="951"/>
      <c r="D47" s="951"/>
      <c r="E47" s="604">
        <f>'[3]Kwara Budget'!F265</f>
        <v>0</v>
      </c>
      <c r="F47" s="662"/>
      <c r="G47" s="662">
        <f t="shared" ref="G47:G49" si="6">SUM(E47:F47)</f>
        <v>0</v>
      </c>
      <c r="J47" s="606" t="s">
        <v>2436</v>
      </c>
    </row>
    <row r="48" spans="1:12" s="606" customFormat="1" ht="16.5" customHeight="1">
      <c r="A48" s="603"/>
      <c r="B48" s="939" t="str">
        <f>'[3]Kwara Budget'!B268:C268</f>
        <v>6.2 End of Cycle Review Meetings at state level (4cycles)</v>
      </c>
      <c r="C48" s="939"/>
      <c r="D48" s="939"/>
      <c r="E48" s="607">
        <f>'[3]Kwara Budget'!F277</f>
        <v>4923200</v>
      </c>
      <c r="F48" s="662"/>
      <c r="G48" s="662">
        <f t="shared" si="6"/>
        <v>4923200</v>
      </c>
      <c r="J48" s="606" t="s">
        <v>2436</v>
      </c>
    </row>
    <row r="49" spans="1:12" s="606" customFormat="1" ht="16.5" customHeight="1">
      <c r="A49" s="603"/>
      <c r="B49" s="951" t="str">
        <f>'[3]Kwara Budget'!B280:C280</f>
        <v>6.3 Allowance for SMEP personnels and TAs</v>
      </c>
      <c r="C49" s="951"/>
      <c r="D49" s="951"/>
      <c r="E49" s="607">
        <f>'[3]Kwara Budget'!F291</f>
        <v>11198200</v>
      </c>
      <c r="F49" s="662"/>
      <c r="G49" s="662">
        <f t="shared" si="6"/>
        <v>11198200</v>
      </c>
      <c r="J49" s="606" t="s">
        <v>2436</v>
      </c>
    </row>
    <row r="50" spans="1:12" s="606" customFormat="1" ht="16.5" customHeight="1">
      <c r="A50" s="603"/>
      <c r="B50" s="939"/>
      <c r="C50" s="939"/>
      <c r="D50" s="939"/>
      <c r="E50" s="607"/>
      <c r="F50" s="662"/>
      <c r="G50" s="662">
        <f t="shared" ref="G50" si="7">SUM(E50:F50)</f>
        <v>0</v>
      </c>
    </row>
    <row r="51" spans="1:12" s="599" customFormat="1" ht="16.5" customHeight="1">
      <c r="B51" s="938" t="s">
        <v>227</v>
      </c>
      <c r="C51" s="938"/>
      <c r="D51" s="938"/>
      <c r="E51" s="608">
        <f>SUM(E46:E50)</f>
        <v>16121400</v>
      </c>
      <c r="F51" s="608">
        <f>SUM(F46:F50)</f>
        <v>0</v>
      </c>
      <c r="G51" s="608">
        <f>SUM(G46:G50)</f>
        <v>16121400</v>
      </c>
      <c r="H51" s="599">
        <v>30.009</v>
      </c>
      <c r="I51" s="664">
        <f>G51/$G$59</f>
        <v>1.8579692099493183E-2</v>
      </c>
    </row>
    <row r="52" spans="1:12" s="599" customFormat="1" ht="16.5" customHeight="1">
      <c r="A52" s="672">
        <v>7</v>
      </c>
      <c r="B52" s="947" t="s">
        <v>2438</v>
      </c>
      <c r="C52" s="948"/>
      <c r="D52" s="949"/>
      <c r="E52" s="608"/>
      <c r="F52" s="608"/>
      <c r="G52" s="608"/>
      <c r="I52" s="664"/>
    </row>
    <row r="53" spans="1:12" s="599" customFormat="1" ht="16.5" customHeight="1">
      <c r="A53" s="672"/>
      <c r="B53" s="641"/>
      <c r="C53" s="665"/>
      <c r="D53" s="665"/>
      <c r="E53" s="673"/>
      <c r="F53" s="674"/>
      <c r="G53" s="662">
        <f t="shared" ref="G53:G55" si="8">SUM(E53:F53)</f>
        <v>0</v>
      </c>
      <c r="J53" s="606" t="s">
        <v>2439</v>
      </c>
    </row>
    <row r="54" spans="1:12" s="599" customFormat="1" ht="18.75" customHeight="1">
      <c r="A54" s="672"/>
      <c r="B54" s="641"/>
      <c r="C54" s="665"/>
      <c r="D54" s="665"/>
      <c r="E54" s="673"/>
      <c r="F54" s="674"/>
      <c r="G54" s="662">
        <f t="shared" si="8"/>
        <v>0</v>
      </c>
      <c r="J54" s="606" t="s">
        <v>2439</v>
      </c>
    </row>
    <row r="55" spans="1:12" s="599" customFormat="1" ht="18.75" customHeight="1">
      <c r="B55" s="642"/>
      <c r="C55" s="643"/>
      <c r="D55" s="643"/>
      <c r="E55" s="673"/>
      <c r="F55" s="674"/>
      <c r="G55" s="662">
        <f t="shared" si="8"/>
        <v>0</v>
      </c>
      <c r="J55" s="606" t="s">
        <v>2439</v>
      </c>
    </row>
    <row r="56" spans="1:12" s="599" customFormat="1" ht="46.25" customHeight="1">
      <c r="B56" s="643"/>
      <c r="C56" s="643"/>
      <c r="D56" s="643"/>
      <c r="E56" s="608">
        <f>SUM(E53:E55)</f>
        <v>0</v>
      </c>
      <c r="F56" s="608">
        <f>SUM(F54:F55)</f>
        <v>0</v>
      </c>
      <c r="G56" s="608">
        <f>SUM(G53:G55)</f>
        <v>0</v>
      </c>
      <c r="I56" s="664">
        <f>G56/$G$59</f>
        <v>0</v>
      </c>
      <c r="J56" s="675" t="s">
        <v>2440</v>
      </c>
      <c r="K56" s="599" t="s">
        <v>2441</v>
      </c>
      <c r="L56" s="599" t="s">
        <v>2442</v>
      </c>
    </row>
    <row r="57" spans="1:12" s="606" customFormat="1">
      <c r="B57" s="950"/>
      <c r="C57" s="950"/>
      <c r="D57" s="950"/>
      <c r="E57" s="950"/>
      <c r="F57" s="662"/>
      <c r="G57" s="662"/>
    </row>
    <row r="58" spans="1:12" s="606" customFormat="1">
      <c r="B58" s="605"/>
      <c r="C58" s="605"/>
      <c r="D58" s="676"/>
      <c r="E58" s="604"/>
      <c r="F58" s="662"/>
      <c r="G58" s="662"/>
    </row>
    <row r="59" spans="1:12" ht="20.25" customHeight="1">
      <c r="B59" s="3"/>
      <c r="C59" s="3"/>
      <c r="D59" s="677" t="s">
        <v>2443</v>
      </c>
      <c r="E59" s="678">
        <f>E9+E16+E25+E32+E43+E51+E56</f>
        <v>809403932.1095891</v>
      </c>
      <c r="F59" s="678">
        <f>F9+F16+F25+F32+F43+F51+F56</f>
        <v>58285366.166767128</v>
      </c>
      <c r="G59" s="678">
        <f>G9+G16+G25+G32+G43+G51+G56</f>
        <v>867689298.27635622</v>
      </c>
      <c r="H59" s="679"/>
      <c r="I59" s="664">
        <f>SUM(I3:I58)</f>
        <v>1</v>
      </c>
      <c r="J59" s="680"/>
      <c r="L59" s="606"/>
    </row>
    <row r="60" spans="1:12" ht="20.25" customHeight="1">
      <c r="B60" s="3"/>
      <c r="C60" s="3"/>
      <c r="D60" s="677" t="s">
        <v>2444</v>
      </c>
      <c r="E60" s="681">
        <f>E59/1000</f>
        <v>809403.93210958911</v>
      </c>
      <c r="F60" s="681">
        <f>F59/1000</f>
        <v>58285.366166767126</v>
      </c>
      <c r="G60" s="681">
        <f>G59/1000</f>
        <v>867689.29827635619</v>
      </c>
      <c r="H60" s="612"/>
    </row>
    <row r="61" spans="1:12" ht="20.25" customHeight="1">
      <c r="B61" s="3"/>
      <c r="C61" s="3"/>
      <c r="D61" s="677" t="s">
        <v>2445</v>
      </c>
      <c r="E61" s="681">
        <f>'[3]Quantifications_Personnel&amp;Tools'!C9</f>
        <v>652542</v>
      </c>
      <c r="F61" s="682">
        <f>'[3]Quantifications_Personnel&amp;Tools'!C9</f>
        <v>652542</v>
      </c>
      <c r="G61" s="682">
        <f>'[3]Quantifications_Personnel&amp;Tools'!C9</f>
        <v>652542</v>
      </c>
    </row>
    <row r="62" spans="1:12" ht="20.25" customHeight="1">
      <c r="B62" s="3"/>
      <c r="C62" s="3"/>
      <c r="D62" s="677" t="s">
        <v>2446</v>
      </c>
      <c r="E62" s="683"/>
      <c r="F62" s="683"/>
      <c r="G62" s="683">
        <f>G59/G61</f>
        <v>1329.7064377103025</v>
      </c>
      <c r="H62" s="684"/>
    </row>
    <row r="63" spans="1:12" ht="20.25" customHeight="1">
      <c r="B63" s="3"/>
      <c r="C63" s="3"/>
      <c r="D63" s="677" t="s">
        <v>2447</v>
      </c>
      <c r="E63" s="685"/>
      <c r="F63" s="685"/>
      <c r="G63" s="685">
        <f>G60/G61</f>
        <v>1.3297064377103025</v>
      </c>
      <c r="I63" s="612"/>
    </row>
    <row r="64" spans="1:12">
      <c r="D64" s="686" t="s">
        <v>2448</v>
      </c>
      <c r="G64" s="746">
        <f>G63*1600</f>
        <v>2127.5303003364838</v>
      </c>
      <c r="H64" s="745">
        <v>2128</v>
      </c>
    </row>
  </sheetData>
  <mergeCells count="40">
    <mergeCell ref="B50:D50"/>
    <mergeCell ref="B51:D51"/>
    <mergeCell ref="B52:D52"/>
    <mergeCell ref="B57:E57"/>
    <mergeCell ref="B44:E44"/>
    <mergeCell ref="B45:E45"/>
    <mergeCell ref="B46:D46"/>
    <mergeCell ref="B47:D47"/>
    <mergeCell ref="B48:D48"/>
    <mergeCell ref="B49:D49"/>
    <mergeCell ref="B43:D43"/>
    <mergeCell ref="B24:D24"/>
    <mergeCell ref="B25:D25"/>
    <mergeCell ref="B26:E26"/>
    <mergeCell ref="B27:E27"/>
    <mergeCell ref="B28:D28"/>
    <mergeCell ref="B29:D29"/>
    <mergeCell ref="B30:D30"/>
    <mergeCell ref="B31:D31"/>
    <mergeCell ref="B32:D32"/>
    <mergeCell ref="B33:E33"/>
    <mergeCell ref="B34:D34"/>
    <mergeCell ref="B23:D23"/>
    <mergeCell ref="B11:E11"/>
    <mergeCell ref="B12:D12"/>
    <mergeCell ref="B13:D13"/>
    <mergeCell ref="B14:D14"/>
    <mergeCell ref="B16:D16"/>
    <mergeCell ref="B17:E17"/>
    <mergeCell ref="B18:E18"/>
    <mergeCell ref="B19:D19"/>
    <mergeCell ref="B20:D20"/>
    <mergeCell ref="B21:D21"/>
    <mergeCell ref="B22:D22"/>
    <mergeCell ref="B10:E10"/>
    <mergeCell ref="B1:G1"/>
    <mergeCell ref="B2:D2"/>
    <mergeCell ref="B3:E3"/>
    <mergeCell ref="J4:J8"/>
    <mergeCell ref="B9:D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499984740745262"/>
    <pageSetUpPr autoPageBreaks="0"/>
  </sheetPr>
  <dimension ref="B2:B3"/>
  <sheetViews>
    <sheetView showRowColHeaders="0" zoomScale="60" zoomScaleNormal="60" workbookViewId="0"/>
  </sheetViews>
  <sheetFormatPr defaultColWidth="12.26953125" defaultRowHeight="14.5"/>
  <cols>
    <col min="1" max="16384" width="12.26953125" style="2"/>
  </cols>
  <sheetData>
    <row r="2" spans="2:2" ht="36">
      <c r="B2" s="1" t="s">
        <v>20</v>
      </c>
    </row>
    <row r="3" spans="2:2" ht="36">
      <c r="B3" s="1" t="s">
        <v>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AE49"/>
  <sheetViews>
    <sheetView showRowColHeaders="0" topLeftCell="W13" zoomScale="60" zoomScaleNormal="60" workbookViewId="0">
      <selection activeCell="X13" sqref="X13"/>
    </sheetView>
  </sheetViews>
  <sheetFormatPr defaultColWidth="9.1796875" defaultRowHeight="14.5" outlineLevelCol="1"/>
  <cols>
    <col min="1" max="3" width="2.7265625" style="2" customWidth="1"/>
    <col min="4" max="4" width="15.81640625" style="2" customWidth="1"/>
    <col min="5" max="5" width="5.453125" style="2" hidden="1" customWidth="1"/>
    <col min="6" max="6" width="73.1796875" style="2" customWidth="1"/>
    <col min="7" max="7" width="15.7265625" style="2" customWidth="1"/>
    <col min="8" max="12" width="15.7265625" style="2" customWidth="1" outlineLevel="1"/>
    <col min="13" max="13" width="15.7265625" style="2" customWidth="1"/>
    <col min="14" max="18" width="15.7265625" style="2" customWidth="1" outlineLevel="1"/>
    <col min="19" max="21" width="2.7265625" style="2" customWidth="1"/>
    <col min="22" max="16384" width="9.1796875" style="2"/>
  </cols>
  <sheetData>
    <row r="1" spans="1:3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</row>
    <row r="2" spans="1:31">
      <c r="A2" s="10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0"/>
    </row>
    <row r="3" spans="1:31">
      <c r="A3" s="10"/>
      <c r="B3" s="12"/>
      <c r="T3" s="12"/>
      <c r="U3" s="10"/>
    </row>
    <row r="4" spans="1:31" ht="23.5">
      <c r="A4" s="10"/>
      <c r="B4" s="12"/>
      <c r="D4" s="65" t="s">
        <v>156</v>
      </c>
      <c r="E4" s="65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T4" s="12"/>
      <c r="U4" s="10"/>
    </row>
    <row r="5" spans="1:31" ht="15" customHeight="1">
      <c r="A5" s="10"/>
      <c r="B5" s="12"/>
      <c r="D5" s="64"/>
      <c r="E5" s="64"/>
      <c r="T5" s="12"/>
      <c r="U5" s="10"/>
    </row>
    <row r="6" spans="1:31" ht="30" customHeight="1">
      <c r="A6" s="10"/>
      <c r="B6" s="12"/>
      <c r="G6" s="67" t="str">
        <f>LCU</f>
        <v>NGN</v>
      </c>
      <c r="H6" s="68"/>
      <c r="I6" s="68"/>
      <c r="J6" s="68"/>
      <c r="K6" s="68"/>
      <c r="L6" s="69"/>
      <c r="M6" s="68" t="str">
        <f>ACU</f>
        <v>USD</v>
      </c>
      <c r="N6" s="68"/>
      <c r="O6" s="68"/>
      <c r="P6" s="68"/>
      <c r="Q6" s="68"/>
      <c r="R6" s="70"/>
      <c r="T6" s="12"/>
      <c r="U6" s="10"/>
    </row>
    <row r="7" spans="1:31" ht="30" customHeight="1">
      <c r="A7" s="10"/>
      <c r="B7" s="12"/>
      <c r="G7" s="159" t="s">
        <v>22</v>
      </c>
      <c r="H7" s="155" t="str">
        <f>LEFT(TblDetailBudget[[#Headers],[2021 Quant]], 4)</f>
        <v>2021</v>
      </c>
      <c r="I7" s="149">
        <f>H7+1</f>
        <v>2022</v>
      </c>
      <c r="J7" s="149">
        <f t="shared" ref="J7:L7" si="0">I7+1</f>
        <v>2023</v>
      </c>
      <c r="K7" s="149">
        <f t="shared" si="0"/>
        <v>2024</v>
      </c>
      <c r="L7" s="149">
        <f t="shared" si="0"/>
        <v>2025</v>
      </c>
      <c r="M7" s="159" t="s">
        <v>22</v>
      </c>
      <c r="N7" s="155" t="str">
        <f>H7</f>
        <v>2021</v>
      </c>
      <c r="O7" s="155">
        <f t="shared" ref="O7:R7" si="1">I7</f>
        <v>2022</v>
      </c>
      <c r="P7" s="155">
        <f t="shared" si="1"/>
        <v>2023</v>
      </c>
      <c r="Q7" s="155">
        <f t="shared" si="1"/>
        <v>2024</v>
      </c>
      <c r="R7" s="155">
        <f t="shared" si="1"/>
        <v>2025</v>
      </c>
      <c r="T7" s="12"/>
      <c r="U7" s="10"/>
    </row>
    <row r="8" spans="1:31" ht="30" customHeight="1">
      <c r="A8" s="10"/>
      <c r="B8" s="12"/>
      <c r="G8" s="160">
        <f>SUMIFS(TblDetailBudget[Total Cost (LCU)], TblDetailBudget[Level], LvlBottomHdr)</f>
        <v>634005460581.37439</v>
      </c>
      <c r="H8" s="156">
        <f>SUMIFS(TblDetailBudget[2021 Cost (LCU)], TblDetailBudget[Level], LvlBottomHdr)</f>
        <v>0</v>
      </c>
      <c r="I8" s="84">
        <f>SUMIFS(TblDetailBudget[2022 Cost (LCU)], TblDetailBudget[Level], LvlBottomHdr)</f>
        <v>0</v>
      </c>
      <c r="J8" s="84">
        <f>SUMIFS(TblDetailBudget[2023 Cost (LCU)], TblDetailBudget[Level], LvlBottomHdr)</f>
        <v>0</v>
      </c>
      <c r="K8" s="84">
        <f>SUMIFS(TblDetailBudget[2024 Cost (LCU)], TblDetailBudget[Level], LvlBottomHdr)</f>
        <v>0</v>
      </c>
      <c r="L8" s="150">
        <f>SUMIFS(TblDetailBudget[2025 Cost (LCU)], TblDetailBudget[Level], LvlBottomHdr)</f>
        <v>634005460581.37439</v>
      </c>
      <c r="M8" s="160">
        <f>SUMIFS(TblDetailBudget[Total Cost (USD)], TblDetailBudget[Level], LvlBottomHdr)</f>
        <v>396253412.86335897</v>
      </c>
      <c r="N8" s="156">
        <f>SUMIFS(TblDetailBudget[2021 Cost (USD)], TblDetailBudget[Level], LvlBottomHdr)</f>
        <v>0</v>
      </c>
      <c r="O8" s="84">
        <f>SUMIFS(TblDetailBudget[2022 Cost (USD)], TblDetailBudget[Level], LvlBottomHdr)</f>
        <v>0</v>
      </c>
      <c r="P8" s="84">
        <f>SUMIFS(TblDetailBudget[2023 Cost (USD)], TblDetailBudget[Level], LvlBottomHdr)</f>
        <v>0</v>
      </c>
      <c r="Q8" s="84">
        <f>SUMIFS(TblDetailBudget[2024 Cost (USD)], TblDetailBudget[Level], LvlBottomHdr)</f>
        <v>0</v>
      </c>
      <c r="R8" s="84">
        <f>SUMIFS(TblDetailBudget[2025 Cost (USD)], TblDetailBudget[Level], LvlBottomHdr)</f>
        <v>396253412.86335897</v>
      </c>
      <c r="T8" s="12"/>
      <c r="U8" s="10"/>
      <c r="W8" s="77" t="str">
        <f t="shared" ref="W8:W12" si="2">D9</f>
        <v>Objective 1</v>
      </c>
      <c r="X8" s="77"/>
      <c r="Y8" s="77"/>
      <c r="Z8" s="77"/>
      <c r="AA8" s="78" t="e">
        <f t="shared" ref="AA8:AE12" si="3">H9/H$8</f>
        <v>#DIV/0!</v>
      </c>
      <c r="AB8" s="78" t="e">
        <f t="shared" si="3"/>
        <v>#DIV/0!</v>
      </c>
      <c r="AC8" s="78" t="e">
        <f t="shared" si="3"/>
        <v>#DIV/0!</v>
      </c>
      <c r="AD8" s="78" t="e">
        <f t="shared" si="3"/>
        <v>#DIV/0!</v>
      </c>
      <c r="AE8" s="78">
        <f t="shared" si="3"/>
        <v>0.73196359599984018</v>
      </c>
    </row>
    <row r="9" spans="1:31" ht="30" customHeight="1">
      <c r="A9" s="10"/>
      <c r="B9" s="12"/>
      <c r="D9" s="74" t="str">
        <f>"Objective "&amp;$E9</f>
        <v>Objective 1</v>
      </c>
      <c r="E9" s="75">
        <v>1</v>
      </c>
      <c r="F9" s="153" t="str">
        <f>INDEX(TblDetailBudget[Row Title], MATCH(TEXT(E9, 0), TblDetailBudget[Numbering], 0))</f>
        <v>Improve access and utilization of vector control interventions to at least 80% of targeted population by 2025</v>
      </c>
      <c r="G9" s="161">
        <f>SUMIFS(TblDetailBudget[Total Cost (LCU)], TblDetailBudget[Level], LvlBottomHdr, TblDetailBudget[Lvl 1 Header], $E9)</f>
        <v>464068916810.67773</v>
      </c>
      <c r="H9" s="157">
        <f>SUMIFS(TblDetailBudget[2021 Cost (LCU)], TblDetailBudget[Level], LvlBottomHdr, TblDetailBudget[Lvl 1 Header], $E9)</f>
        <v>0</v>
      </c>
      <c r="I9" s="80">
        <f>SUMIFS(TblDetailBudget[2022 Cost (LCU)], TblDetailBudget[Level], LvlBottomHdr, TblDetailBudget[Lvl 1 Header], $E9)</f>
        <v>0</v>
      </c>
      <c r="J9" s="80">
        <f>SUMIFS(TblDetailBudget[2023 Cost (LCU)], TblDetailBudget[Level], LvlBottomHdr, TblDetailBudget[Lvl 1 Header], $E9)</f>
        <v>0</v>
      </c>
      <c r="K9" s="80">
        <f>SUMIFS(TblDetailBudget[2024 Cost (LCU)], TblDetailBudget[Level], LvlBottomHdr, TblDetailBudget[Lvl 1 Header], $E9)</f>
        <v>0</v>
      </c>
      <c r="L9" s="151">
        <f>SUMIFS(TblDetailBudget[2025 Cost (LCU)], TblDetailBudget[Level], LvlBottomHdr, TblDetailBudget[Lvl 1 Header], $E9)</f>
        <v>464068916810.67773</v>
      </c>
      <c r="M9" s="161">
        <f>SUMIFS(TblDetailBudget[Total Cost (USD)], TblDetailBudget[Level], LvlBottomHdr, TblDetailBudget[Lvl 1 Header], $E9)</f>
        <v>290043073.00667357</v>
      </c>
      <c r="N9" s="157">
        <f>SUMIFS(TblDetailBudget[2021 Cost (USD)], TblDetailBudget[Level], LvlBottomHdr, TblDetailBudget[Lvl 1 Header], $E9)</f>
        <v>0</v>
      </c>
      <c r="O9" s="80">
        <f>SUMIFS(TblDetailBudget[2022 Cost (USD)], TblDetailBudget[Level], LvlBottomHdr, TblDetailBudget[Lvl 1 Header], $E9)</f>
        <v>0</v>
      </c>
      <c r="P9" s="80">
        <f>SUMIFS(TblDetailBudget[2023 Cost (USD)], TblDetailBudget[Level], LvlBottomHdr, TblDetailBudget[Lvl 1 Header], $E9)</f>
        <v>0</v>
      </c>
      <c r="Q9" s="80">
        <f>SUMIFS(TblDetailBudget[2024 Cost (USD)], TblDetailBudget[Level], LvlBottomHdr, TblDetailBudget[Lvl 1 Header], $E9)</f>
        <v>0</v>
      </c>
      <c r="R9" s="80">
        <f>SUMIFS(TblDetailBudget[2025 Cost (USD)], TblDetailBudget[Level], LvlBottomHdr, TblDetailBudget[Lvl 1 Header], $E9)</f>
        <v>290043073.00667357</v>
      </c>
      <c r="T9" s="12"/>
      <c r="U9" s="10"/>
      <c r="W9" s="77" t="str">
        <f t="shared" si="2"/>
        <v>Objective 2</v>
      </c>
      <c r="X9" s="77"/>
      <c r="Y9" s="77"/>
      <c r="Z9" s="77"/>
      <c r="AA9" s="78" t="e">
        <f t="shared" si="3"/>
        <v>#DIV/0!</v>
      </c>
      <c r="AB9" s="78" t="e">
        <f t="shared" si="3"/>
        <v>#DIV/0!</v>
      </c>
      <c r="AC9" s="78" t="e">
        <f t="shared" si="3"/>
        <v>#DIV/0!</v>
      </c>
      <c r="AD9" s="78" t="e">
        <f t="shared" si="3"/>
        <v>#DIV/0!</v>
      </c>
      <c r="AE9" s="78">
        <f t="shared" si="3"/>
        <v>0.26803640400015966</v>
      </c>
    </row>
    <row r="10" spans="1:31" ht="30" customHeight="1">
      <c r="A10" s="10"/>
      <c r="B10" s="12"/>
      <c r="D10" s="71" t="str">
        <f t="shared" ref="D10:D14" si="4">"Objective "&amp;$E10</f>
        <v>Objective 2</v>
      </c>
      <c r="E10" s="72">
        <v>2</v>
      </c>
      <c r="F10" s="154" t="str">
        <f>INDEX(TblDetailBudget[Row Title], MATCH(TEXT(E10, 0), TblDetailBudget[Numbering], 0))</f>
        <v>Ensure provision of chemoprevention, diagnosis and appropriate treatment for 80% of the target populations at risk by 2025</v>
      </c>
      <c r="G10" s="162">
        <f>SUMIFS(TblDetailBudget[Total Cost (LCU)], TblDetailBudget[Level], LvlBottomHdr, TblDetailBudget[Lvl 1 Header], $E10)</f>
        <v>169936543770.69656</v>
      </c>
      <c r="H10" s="158">
        <f>SUMIFS(TblDetailBudget[2021 Cost (LCU)], TblDetailBudget[Level], LvlBottomHdr, TblDetailBudget[Lvl 1 Header], $E10)</f>
        <v>0</v>
      </c>
      <c r="I10" s="81">
        <f>SUMIFS(TblDetailBudget[2022 Cost (LCU)], TblDetailBudget[Level], LvlBottomHdr, TblDetailBudget[Lvl 1 Header], $E10)</f>
        <v>0</v>
      </c>
      <c r="J10" s="81">
        <f>SUMIFS(TblDetailBudget[2023 Cost (LCU)], TblDetailBudget[Level], LvlBottomHdr, TblDetailBudget[Lvl 1 Header], $E10)</f>
        <v>0</v>
      </c>
      <c r="K10" s="81">
        <f>SUMIFS(TblDetailBudget[2024 Cost (LCU)], TblDetailBudget[Level], LvlBottomHdr, TblDetailBudget[Lvl 1 Header], $E10)</f>
        <v>0</v>
      </c>
      <c r="L10" s="152">
        <f>SUMIFS(TblDetailBudget[2025 Cost (LCU)], TblDetailBudget[Level], LvlBottomHdr, TblDetailBudget[Lvl 1 Header], $E10)</f>
        <v>169936543770.69656</v>
      </c>
      <c r="M10" s="162">
        <f>SUMIFS(TblDetailBudget[Total Cost (USD)], TblDetailBudget[Level], LvlBottomHdr, TblDetailBudget[Lvl 1 Header], $E10)</f>
        <v>106210339.85668537</v>
      </c>
      <c r="N10" s="158">
        <f>SUMIFS(TblDetailBudget[2021 Cost (USD)], TblDetailBudget[Level], LvlBottomHdr, TblDetailBudget[Lvl 1 Header], $E10)</f>
        <v>0</v>
      </c>
      <c r="O10" s="81">
        <f>SUMIFS(TblDetailBudget[2022 Cost (USD)], TblDetailBudget[Level], LvlBottomHdr, TblDetailBudget[Lvl 1 Header], $E10)</f>
        <v>0</v>
      </c>
      <c r="P10" s="81">
        <f>SUMIFS(TblDetailBudget[2023 Cost (USD)], TblDetailBudget[Level], LvlBottomHdr, TblDetailBudget[Lvl 1 Header], $E10)</f>
        <v>0</v>
      </c>
      <c r="Q10" s="81">
        <f>SUMIFS(TblDetailBudget[2024 Cost (USD)], TblDetailBudget[Level], LvlBottomHdr, TblDetailBudget[Lvl 1 Header], $E10)</f>
        <v>0</v>
      </c>
      <c r="R10" s="81">
        <f>SUMIFS(TblDetailBudget[2025 Cost (USD)], TblDetailBudget[Level], LvlBottomHdr, TblDetailBudget[Lvl 1 Header], $E10)</f>
        <v>106210339.85668537</v>
      </c>
      <c r="T10" s="12"/>
      <c r="U10" s="10"/>
      <c r="W10" s="77" t="str">
        <f t="shared" si="2"/>
        <v>Objective 3</v>
      </c>
      <c r="X10" s="77"/>
      <c r="Y10" s="77"/>
      <c r="Z10" s="77"/>
      <c r="AA10" s="78" t="e">
        <f t="shared" si="3"/>
        <v>#DIV/0!</v>
      </c>
      <c r="AB10" s="78" t="e">
        <f t="shared" si="3"/>
        <v>#DIV/0!</v>
      </c>
      <c r="AC10" s="78" t="e">
        <f t="shared" si="3"/>
        <v>#DIV/0!</v>
      </c>
      <c r="AD10" s="78" t="e">
        <f t="shared" si="3"/>
        <v>#DIV/0!</v>
      </c>
      <c r="AE10" s="78">
        <f t="shared" si="3"/>
        <v>0</v>
      </c>
    </row>
    <row r="11" spans="1:31" ht="30" customHeight="1">
      <c r="A11" s="10"/>
      <c r="B11" s="12"/>
      <c r="D11" s="74" t="str">
        <f t="shared" si="4"/>
        <v>Objective 3</v>
      </c>
      <c r="E11" s="75">
        <v>3</v>
      </c>
      <c r="F11" s="153" t="str">
        <f>INDEX(TblDetailBudget[Row Title], MATCH(TEXT(E11, 0), TblDetailBudget[Numbering], 0))</f>
        <v>To improve generation of evidence for decision making and impact through reporting of quality malaria data and information from at least 80% of health facilities (public and private) and other data sources including surveillance, surveys and operations research by 2025</v>
      </c>
      <c r="G11" s="161">
        <f>SUMIFS(TblDetailBudget[Total Cost (LCU)], TblDetailBudget[Level], LvlBottomHdr, TblDetailBudget[Lvl 1 Header], $E11)</f>
        <v>0</v>
      </c>
      <c r="H11" s="157">
        <f>SUMIFS(TblDetailBudget[2021 Cost (LCU)], TblDetailBudget[Level], LvlBottomHdr, TblDetailBudget[Lvl 1 Header], $E11)</f>
        <v>0</v>
      </c>
      <c r="I11" s="80">
        <f>SUMIFS(TblDetailBudget[2022 Cost (LCU)], TblDetailBudget[Level], LvlBottomHdr, TblDetailBudget[Lvl 1 Header], $E11)</f>
        <v>0</v>
      </c>
      <c r="J11" s="80">
        <f>SUMIFS(TblDetailBudget[2023 Cost (LCU)], TblDetailBudget[Level], LvlBottomHdr, TblDetailBudget[Lvl 1 Header], $E11)</f>
        <v>0</v>
      </c>
      <c r="K11" s="80">
        <f>SUMIFS(TblDetailBudget[2024 Cost (LCU)], TblDetailBudget[Level], LvlBottomHdr, TblDetailBudget[Lvl 1 Header], $E11)</f>
        <v>0</v>
      </c>
      <c r="L11" s="151">
        <f>SUMIFS(TblDetailBudget[2025 Cost (LCU)], TblDetailBudget[Level], LvlBottomHdr, TblDetailBudget[Lvl 1 Header], $E11)</f>
        <v>0</v>
      </c>
      <c r="M11" s="161">
        <f>SUMIFS(TblDetailBudget[Total Cost (USD)], TblDetailBudget[Level], LvlBottomHdr, TblDetailBudget[Lvl 1 Header], $E11)</f>
        <v>0</v>
      </c>
      <c r="N11" s="157">
        <f>SUMIFS(TblDetailBudget[2021 Cost (USD)], TblDetailBudget[Level], LvlBottomHdr, TblDetailBudget[Lvl 1 Header], $E11)</f>
        <v>0</v>
      </c>
      <c r="O11" s="80">
        <f>SUMIFS(TblDetailBudget[2022 Cost (USD)], TblDetailBudget[Level], LvlBottomHdr, TblDetailBudget[Lvl 1 Header], $E11)</f>
        <v>0</v>
      </c>
      <c r="P11" s="80">
        <f>SUMIFS(TblDetailBudget[2023 Cost (USD)], TblDetailBudget[Level], LvlBottomHdr, TblDetailBudget[Lvl 1 Header], $E11)</f>
        <v>0</v>
      </c>
      <c r="Q11" s="80">
        <f>SUMIFS(TblDetailBudget[2024 Cost (USD)], TblDetailBudget[Level], LvlBottomHdr, TblDetailBudget[Lvl 1 Header], $E11)</f>
        <v>0</v>
      </c>
      <c r="R11" s="80">
        <f>SUMIFS(TblDetailBudget[2025 Cost (USD)], TblDetailBudget[Level], LvlBottomHdr, TblDetailBudget[Lvl 1 Header], $E11)</f>
        <v>0</v>
      </c>
      <c r="T11" s="12"/>
      <c r="U11" s="10"/>
      <c r="W11" s="77" t="str">
        <f t="shared" si="2"/>
        <v>Objective 4</v>
      </c>
      <c r="X11" s="77"/>
      <c r="Y11" s="77"/>
      <c r="Z11" s="77"/>
      <c r="AA11" s="78" t="e">
        <f t="shared" si="3"/>
        <v>#DIV/0!</v>
      </c>
      <c r="AB11" s="78" t="e">
        <f t="shared" si="3"/>
        <v>#DIV/0!</v>
      </c>
      <c r="AC11" s="78" t="e">
        <f t="shared" si="3"/>
        <v>#DIV/0!</v>
      </c>
      <c r="AD11" s="78" t="e">
        <f t="shared" si="3"/>
        <v>#DIV/0!</v>
      </c>
      <c r="AE11" s="78">
        <f t="shared" si="3"/>
        <v>0</v>
      </c>
    </row>
    <row r="12" spans="1:31" ht="30" customHeight="1">
      <c r="A12" s="10"/>
      <c r="B12" s="12"/>
      <c r="D12" s="71" t="str">
        <f t="shared" si="4"/>
        <v>Objective 4</v>
      </c>
      <c r="E12" s="72">
        <v>4</v>
      </c>
      <c r="F12" s="154" t="str">
        <f>INDEX(TblDetailBudget[Row Title], MATCH(TEXT(E12, 0), TblDetailBudget[Numbering], 0))</f>
        <v>Strengthen coordination, collaboration, and strategic partnership to promote efficiency and effectiveness of malaria control activities towards achieving at least 75% improvement from baseline using a standardized OCA tool</v>
      </c>
      <c r="G12" s="162">
        <f>SUMIFS(TblDetailBudget[Total Cost (LCU)], TblDetailBudget[Level], LvlBottomHdr, TblDetailBudget[Lvl 1 Header], $E12)</f>
        <v>0</v>
      </c>
      <c r="H12" s="158">
        <f>SUMIFS(TblDetailBudget[2021 Cost (LCU)], TblDetailBudget[Level], LvlBottomHdr, TblDetailBudget[Lvl 1 Header], $E12)</f>
        <v>0</v>
      </c>
      <c r="I12" s="81">
        <f>SUMIFS(TblDetailBudget[2022 Cost (LCU)], TblDetailBudget[Level], LvlBottomHdr, TblDetailBudget[Lvl 1 Header], $E12)</f>
        <v>0</v>
      </c>
      <c r="J12" s="81">
        <f>SUMIFS(TblDetailBudget[2023 Cost (LCU)], TblDetailBudget[Level], LvlBottomHdr, TblDetailBudget[Lvl 1 Header], $E12)</f>
        <v>0</v>
      </c>
      <c r="K12" s="81">
        <f>SUMIFS(TblDetailBudget[2024 Cost (LCU)], TblDetailBudget[Level], LvlBottomHdr, TblDetailBudget[Lvl 1 Header], $E12)</f>
        <v>0</v>
      </c>
      <c r="L12" s="152">
        <f>SUMIFS(TblDetailBudget[2025 Cost (LCU)], TblDetailBudget[Level], LvlBottomHdr, TblDetailBudget[Lvl 1 Header], $E12)</f>
        <v>0</v>
      </c>
      <c r="M12" s="162">
        <f>SUMIFS(TblDetailBudget[Total Cost (USD)], TblDetailBudget[Level], LvlBottomHdr, TblDetailBudget[Lvl 1 Header], $E12)</f>
        <v>0</v>
      </c>
      <c r="N12" s="158">
        <f>SUMIFS(TblDetailBudget[2021 Cost (USD)], TblDetailBudget[Level], LvlBottomHdr, TblDetailBudget[Lvl 1 Header], $E12)</f>
        <v>0</v>
      </c>
      <c r="O12" s="81">
        <f>SUMIFS(TblDetailBudget[2022 Cost (USD)], TblDetailBudget[Level], LvlBottomHdr, TblDetailBudget[Lvl 1 Header], $E12)</f>
        <v>0</v>
      </c>
      <c r="P12" s="81">
        <f>SUMIFS(TblDetailBudget[2023 Cost (USD)], TblDetailBudget[Level], LvlBottomHdr, TblDetailBudget[Lvl 1 Header], $E12)</f>
        <v>0</v>
      </c>
      <c r="Q12" s="81">
        <f>SUMIFS(TblDetailBudget[2024 Cost (USD)], TblDetailBudget[Level], LvlBottomHdr, TblDetailBudget[Lvl 1 Header], $E12)</f>
        <v>0</v>
      </c>
      <c r="R12" s="81">
        <f>SUMIFS(TblDetailBudget[2025 Cost (USD)], TblDetailBudget[Level], LvlBottomHdr, TblDetailBudget[Lvl 1 Header], $E12)</f>
        <v>0</v>
      </c>
      <c r="T12" s="12"/>
      <c r="U12" s="10"/>
      <c r="W12" s="77" t="str">
        <f t="shared" si="2"/>
        <v>Objective 5</v>
      </c>
      <c r="X12" s="77"/>
      <c r="Y12" s="77"/>
      <c r="Z12" s="77"/>
      <c r="AA12" s="78" t="e">
        <f t="shared" si="3"/>
        <v>#DIV/0!</v>
      </c>
      <c r="AB12" s="78" t="e">
        <f t="shared" si="3"/>
        <v>#DIV/0!</v>
      </c>
      <c r="AC12" s="78" t="e">
        <f t="shared" si="3"/>
        <v>#DIV/0!</v>
      </c>
      <c r="AD12" s="78" t="e">
        <f t="shared" si="3"/>
        <v>#DIV/0!</v>
      </c>
      <c r="AE12" s="78">
        <f t="shared" si="3"/>
        <v>0</v>
      </c>
    </row>
    <row r="13" spans="1:31" ht="30" customHeight="1">
      <c r="A13" s="10"/>
      <c r="B13" s="12"/>
      <c r="D13" s="74" t="str">
        <f t="shared" si="4"/>
        <v>Objective 5</v>
      </c>
      <c r="E13" s="75">
        <v>5</v>
      </c>
      <c r="F13" s="153" t="str">
        <f>INDEX(TblDetailBudget[Row Title], MATCH(TEXT(E13, 0), TblDetailBudget[Numbering], 0))</f>
        <v>Improve funding for malaria control by at least 25% annually through predictable and innovative sources to ensure sustainability at federal and sub-national levels</v>
      </c>
      <c r="G13" s="161">
        <f>SUMIFS(TblDetailBudget[Total Cost (LCU)], TblDetailBudget[Level], LvlBottomHdr, TblDetailBudget[Lvl 1 Header], $E13)</f>
        <v>0</v>
      </c>
      <c r="H13" s="157">
        <f>SUMIFS(TblDetailBudget[2021 Cost (LCU)], TblDetailBudget[Level], LvlBottomHdr, TblDetailBudget[Lvl 1 Header], $E13)</f>
        <v>0</v>
      </c>
      <c r="I13" s="80">
        <f>SUMIFS(TblDetailBudget[2022 Cost (LCU)], TblDetailBudget[Level], LvlBottomHdr, TblDetailBudget[Lvl 1 Header], $E13)</f>
        <v>0</v>
      </c>
      <c r="J13" s="80">
        <f>SUMIFS(TblDetailBudget[2023 Cost (LCU)], TblDetailBudget[Level], LvlBottomHdr, TblDetailBudget[Lvl 1 Header], $E13)</f>
        <v>0</v>
      </c>
      <c r="K13" s="80">
        <f>SUMIFS(TblDetailBudget[2024 Cost (LCU)], TblDetailBudget[Level], LvlBottomHdr, TblDetailBudget[Lvl 1 Header], $E13)</f>
        <v>0</v>
      </c>
      <c r="L13" s="151">
        <f>SUMIFS(TblDetailBudget[2025 Cost (LCU)], TblDetailBudget[Level], LvlBottomHdr, TblDetailBudget[Lvl 1 Header], $E13)</f>
        <v>0</v>
      </c>
      <c r="M13" s="161">
        <f>SUMIFS(TblDetailBudget[Total Cost (USD)], TblDetailBudget[Level], LvlBottomHdr, TblDetailBudget[Lvl 1 Header], $E13)</f>
        <v>0</v>
      </c>
      <c r="N13" s="157">
        <f>SUMIFS(TblDetailBudget[2021 Cost (USD)], TblDetailBudget[Level], LvlBottomHdr, TblDetailBudget[Lvl 1 Header], $E13)</f>
        <v>0</v>
      </c>
      <c r="O13" s="80">
        <f>SUMIFS(TblDetailBudget[2022 Cost (USD)], TblDetailBudget[Level], LvlBottomHdr, TblDetailBudget[Lvl 1 Header], $E13)</f>
        <v>0</v>
      </c>
      <c r="P13" s="80">
        <f>SUMIFS(TblDetailBudget[2023 Cost (USD)], TblDetailBudget[Level], LvlBottomHdr, TblDetailBudget[Lvl 1 Header], $E13)</f>
        <v>0</v>
      </c>
      <c r="Q13" s="80">
        <f>SUMIFS(TblDetailBudget[2024 Cost (USD)], TblDetailBudget[Level], LvlBottomHdr, TblDetailBudget[Lvl 1 Header], $E13)</f>
        <v>0</v>
      </c>
      <c r="R13" s="80">
        <f>SUMIFS(TblDetailBudget[2025 Cost (USD)], TblDetailBudget[Level], LvlBottomHdr, TblDetailBudget[Lvl 1 Header], $E13)</f>
        <v>0</v>
      </c>
      <c r="T13" s="12"/>
      <c r="U13" s="10"/>
      <c r="W13" s="77" t="str">
        <f>D14</f>
        <v>Objective 6</v>
      </c>
      <c r="X13" s="77"/>
      <c r="Y13" s="77"/>
      <c r="Z13" s="77"/>
      <c r="AA13" s="78" t="e">
        <f>H14/H$8</f>
        <v>#DIV/0!</v>
      </c>
      <c r="AB13" s="78" t="e">
        <f>I14/I$8</f>
        <v>#DIV/0!</v>
      </c>
      <c r="AC13" s="78" t="e">
        <f>J14/J$8</f>
        <v>#DIV/0!</v>
      </c>
      <c r="AD13" s="78" t="e">
        <f>K14/K$8</f>
        <v>#DIV/0!</v>
      </c>
      <c r="AE13" s="78">
        <f>L14/L$8</f>
        <v>0</v>
      </c>
    </row>
    <row r="14" spans="1:31" ht="30" customHeight="1">
      <c r="A14" s="10"/>
      <c r="B14" s="12"/>
      <c r="D14" s="71" t="str">
        <f t="shared" si="4"/>
        <v>Objective 6</v>
      </c>
      <c r="E14" s="72">
        <v>6</v>
      </c>
      <c r="F14" s="154" t="e">
        <f>INDEX(TblDetailBudget[Row Title], MATCH(TEXT(E14, 0), TblDetailBudget[Numbering], 0))</f>
        <v>#N/A</v>
      </c>
      <c r="G14" s="162">
        <f>SUMIFS(TblDetailBudget[Total Cost (LCU)], TblDetailBudget[Level], LvlBottomHdr, TblDetailBudget[Lvl 1 Header], $E14)</f>
        <v>0</v>
      </c>
      <c r="H14" s="158">
        <f>SUMIFS(TblDetailBudget[2021 Cost (LCU)], TblDetailBudget[Level], LvlBottomHdr, TblDetailBudget[Lvl 1 Header], $E14)</f>
        <v>0</v>
      </c>
      <c r="I14" s="81">
        <f>SUMIFS(TblDetailBudget[2022 Cost (LCU)], TblDetailBudget[Level], LvlBottomHdr, TblDetailBudget[Lvl 1 Header], $E14)</f>
        <v>0</v>
      </c>
      <c r="J14" s="81">
        <f>SUMIFS(TblDetailBudget[2023 Cost (LCU)], TblDetailBudget[Level], LvlBottomHdr, TblDetailBudget[Lvl 1 Header], $E14)</f>
        <v>0</v>
      </c>
      <c r="K14" s="81">
        <f>SUMIFS(TblDetailBudget[2024 Cost (LCU)], TblDetailBudget[Level], LvlBottomHdr, TblDetailBudget[Lvl 1 Header], $E14)</f>
        <v>0</v>
      </c>
      <c r="L14" s="152">
        <f>SUMIFS(TblDetailBudget[2025 Cost (LCU)], TblDetailBudget[Level], LvlBottomHdr, TblDetailBudget[Lvl 1 Header], $E14)</f>
        <v>0</v>
      </c>
      <c r="M14" s="162">
        <f>SUMIFS(TblDetailBudget[Total Cost (USD)], TblDetailBudget[Level], LvlBottomHdr, TblDetailBudget[Lvl 1 Header], $E14)</f>
        <v>0</v>
      </c>
      <c r="N14" s="158">
        <f>SUMIFS(TblDetailBudget[2021 Cost (USD)], TblDetailBudget[Level], LvlBottomHdr, TblDetailBudget[Lvl 1 Header], $E14)</f>
        <v>0</v>
      </c>
      <c r="O14" s="81">
        <f>SUMIFS(TblDetailBudget[2022 Cost (USD)], TblDetailBudget[Level], LvlBottomHdr, TblDetailBudget[Lvl 1 Header], $E14)</f>
        <v>0</v>
      </c>
      <c r="P14" s="81">
        <f>SUMIFS(TblDetailBudget[2023 Cost (USD)], TblDetailBudget[Level], LvlBottomHdr, TblDetailBudget[Lvl 1 Header], $E14)</f>
        <v>0</v>
      </c>
      <c r="Q14" s="81">
        <f>SUMIFS(TblDetailBudget[2024 Cost (USD)], TblDetailBudget[Level], LvlBottomHdr, TblDetailBudget[Lvl 1 Header], $E14)</f>
        <v>0</v>
      </c>
      <c r="R14" s="81">
        <f>SUMIFS(TblDetailBudget[2025 Cost (USD)], TblDetailBudget[Level], LvlBottomHdr, TblDetailBudget[Lvl 1 Header], $E14)</f>
        <v>0</v>
      </c>
      <c r="T14" s="12"/>
      <c r="U14" s="10"/>
      <c r="W14" s="77"/>
      <c r="X14" s="77"/>
      <c r="Y14" s="77"/>
      <c r="Z14" s="77"/>
      <c r="AA14" s="78" t="e">
        <f>SUM(AA8:AA13)</f>
        <v>#DIV/0!</v>
      </c>
      <c r="AB14" s="78" t="e">
        <f t="shared" ref="AB14:AE14" si="5">SUM(AB8:AB13)</f>
        <v>#DIV/0!</v>
      </c>
      <c r="AC14" s="78" t="e">
        <f t="shared" si="5"/>
        <v>#DIV/0!</v>
      </c>
      <c r="AD14" s="78" t="e">
        <f t="shared" si="5"/>
        <v>#DIV/0!</v>
      </c>
      <c r="AE14" s="78">
        <f t="shared" si="5"/>
        <v>0.99999999999999978</v>
      </c>
    </row>
    <row r="15" spans="1:31">
      <c r="A15" s="10"/>
      <c r="B15" s="12"/>
      <c r="T15" s="12"/>
      <c r="U15" s="10"/>
    </row>
    <row r="16" spans="1:31">
      <c r="A16" s="10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0"/>
    </row>
    <row r="17" spans="1:21" ht="15" thickBot="1">
      <c r="A17" s="10"/>
      <c r="B17" s="12"/>
      <c r="T17" s="12"/>
      <c r="U17" s="10"/>
    </row>
    <row r="18" spans="1:21" ht="15" thickBot="1">
      <c r="A18" s="10"/>
      <c r="B18" s="12"/>
      <c r="D18" s="952" t="str">
        <f>H$7&amp;"-"&amp;L$7&amp;" Budget by Objective"</f>
        <v>2021-2025 Budget by Objective</v>
      </c>
      <c r="E18" s="953"/>
      <c r="F18" s="954"/>
      <c r="H18" s="952" t="str">
        <f>H$7&amp;"-"&amp;L$7&amp;" Budget by Year ("&amp;G$6&amp;", millions)"</f>
        <v>2021-2025 Budget by Year (NGN, millions)</v>
      </c>
      <c r="I18" s="953"/>
      <c r="J18" s="953"/>
      <c r="K18" s="953"/>
      <c r="L18" s="954"/>
      <c r="N18" s="952" t="str">
        <f>N$7&amp;"-"&amp;R$7&amp;" Budget by Objective and Year ("&amp;G$6&amp;", millions)"</f>
        <v>2021-2025 Budget by Objective and Year (NGN, millions)</v>
      </c>
      <c r="O18" s="953"/>
      <c r="P18" s="953"/>
      <c r="Q18" s="953"/>
      <c r="R18" s="954"/>
      <c r="T18" s="12"/>
      <c r="U18" s="10"/>
    </row>
    <row r="19" spans="1:21">
      <c r="A19" s="10"/>
      <c r="B19" s="12"/>
      <c r="T19" s="12"/>
      <c r="U19" s="10"/>
    </row>
    <row r="20" spans="1:21">
      <c r="A20" s="10"/>
      <c r="B20" s="12"/>
      <c r="T20" s="12"/>
      <c r="U20" s="10"/>
    </row>
    <row r="21" spans="1:21">
      <c r="A21" s="10"/>
      <c r="B21" s="12"/>
      <c r="T21" s="12"/>
      <c r="U21" s="10"/>
    </row>
    <row r="22" spans="1:21">
      <c r="A22" s="10"/>
      <c r="B22" s="12"/>
      <c r="T22" s="12"/>
      <c r="U22" s="10"/>
    </row>
    <row r="23" spans="1:21">
      <c r="A23" s="10"/>
      <c r="B23" s="12"/>
      <c r="T23" s="12"/>
      <c r="U23" s="10"/>
    </row>
    <row r="24" spans="1:21">
      <c r="A24" s="10"/>
      <c r="B24" s="12"/>
      <c r="T24" s="12"/>
      <c r="U24" s="10"/>
    </row>
    <row r="25" spans="1:21">
      <c r="A25" s="10"/>
      <c r="B25" s="12"/>
      <c r="T25" s="12"/>
      <c r="U25" s="10"/>
    </row>
    <row r="26" spans="1:21">
      <c r="A26" s="10"/>
      <c r="B26" s="12"/>
      <c r="T26" s="12"/>
      <c r="U26" s="10"/>
    </row>
    <row r="27" spans="1:21">
      <c r="A27" s="10"/>
      <c r="B27" s="12"/>
      <c r="T27" s="12"/>
      <c r="U27" s="10"/>
    </row>
    <row r="28" spans="1:21">
      <c r="A28" s="10"/>
      <c r="B28" s="12"/>
      <c r="T28" s="12"/>
      <c r="U28" s="10"/>
    </row>
    <row r="29" spans="1:21">
      <c r="A29" s="10"/>
      <c r="B29" s="12"/>
      <c r="T29" s="12"/>
      <c r="U29" s="10"/>
    </row>
    <row r="30" spans="1:21">
      <c r="A30" s="10"/>
      <c r="B30" s="12"/>
      <c r="T30" s="12"/>
      <c r="U30" s="10"/>
    </row>
    <row r="31" spans="1:21">
      <c r="A31" s="10"/>
      <c r="B31" s="12"/>
      <c r="T31" s="12"/>
      <c r="U31" s="10"/>
    </row>
    <row r="32" spans="1:21">
      <c r="A32" s="10"/>
      <c r="B32" s="12"/>
      <c r="T32" s="12"/>
      <c r="U32" s="10"/>
    </row>
    <row r="33" spans="1:21">
      <c r="A33" s="10"/>
      <c r="B33" s="12"/>
      <c r="T33" s="12"/>
      <c r="U33" s="10"/>
    </row>
    <row r="34" spans="1:21">
      <c r="A34" s="10"/>
      <c r="B34" s="12"/>
      <c r="T34" s="12"/>
      <c r="U34" s="10"/>
    </row>
    <row r="35" spans="1:21">
      <c r="A35" s="10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0"/>
    </row>
    <row r="36" spans="1:21">
      <c r="A36" s="10"/>
      <c r="B36" s="12"/>
      <c r="T36" s="12"/>
      <c r="U36" s="10"/>
    </row>
    <row r="37" spans="1:21" ht="23.5">
      <c r="A37" s="10"/>
      <c r="B37" s="12"/>
      <c r="D37" s="65" t="str">
        <f>"National Strategy Plan Budget by Funder ("&amp;H7&amp;"-"&amp;L7&amp;") ("&amp;ACU&amp;")"</f>
        <v>National Strategy Plan Budget by Funder (2021-2025) (USD)</v>
      </c>
      <c r="E37" s="65"/>
      <c r="F37" s="66"/>
      <c r="G37" s="66"/>
      <c r="H37" s="66"/>
      <c r="I37" s="66"/>
      <c r="J37" s="66"/>
      <c r="K37" s="66"/>
      <c r="L37" s="66"/>
      <c r="M37" s="66"/>
      <c r="N37" s="66"/>
      <c r="T37" s="12"/>
      <c r="U37" s="10"/>
    </row>
    <row r="38" spans="1:21" ht="23.5">
      <c r="A38" s="10"/>
      <c r="B38" s="12"/>
      <c r="D38" s="64"/>
      <c r="E38" s="64"/>
      <c r="T38" s="12"/>
      <c r="U38" s="10"/>
    </row>
    <row r="39" spans="1:21" ht="30" customHeight="1">
      <c r="A39" s="10"/>
      <c r="B39" s="12"/>
      <c r="G39" s="146" t="s">
        <v>23</v>
      </c>
      <c r="H39" s="146" t="s">
        <v>24</v>
      </c>
      <c r="I39" s="147" t="s">
        <v>25</v>
      </c>
      <c r="J39" s="147" t="s">
        <v>26</v>
      </c>
      <c r="K39" s="147" t="s">
        <v>27</v>
      </c>
      <c r="L39" s="147" t="s">
        <v>28</v>
      </c>
      <c r="M39" s="147" t="s">
        <v>29</v>
      </c>
      <c r="N39" s="83" t="s">
        <v>30</v>
      </c>
      <c r="T39" s="12"/>
      <c r="U39" s="10"/>
    </row>
    <row r="40" spans="1:21" ht="30" customHeight="1">
      <c r="A40" s="10"/>
      <c r="B40" s="12"/>
      <c r="G40" s="84">
        <f>SUMIFS(TblDetailBudget[Total Cost (USD)], TblDetailBudget[Level], LvlBottomHdr)</f>
        <v>396253412.86335897</v>
      </c>
      <c r="H40" s="84">
        <f>SUM(I40:M40)</f>
        <v>0</v>
      </c>
      <c r="I40" s="183"/>
      <c r="J40" s="183"/>
      <c r="K40" s="183"/>
      <c r="L40" s="183"/>
      <c r="M40" s="183"/>
      <c r="N40" s="84">
        <f t="shared" ref="N40:N46" si="6">G40-H40</f>
        <v>396253412.86335897</v>
      </c>
      <c r="T40" s="12"/>
      <c r="U40" s="10"/>
    </row>
    <row r="41" spans="1:21" ht="30" customHeight="1">
      <c r="A41" s="10"/>
      <c r="B41" s="12"/>
      <c r="D41" s="74" t="str">
        <f>"Objective "&amp;$E41</f>
        <v>Objective 1</v>
      </c>
      <c r="E41" s="75">
        <v>1</v>
      </c>
      <c r="F41" s="76" t="str">
        <f>INDEX(TblDetailBudget[Row Title], MATCH(TEXT(E41, 0), TblDetailBudget[Numbering], 0))</f>
        <v>Improve access and utilization of vector control interventions to at least 80% of targeted population by 2025</v>
      </c>
      <c r="G41" s="148">
        <f>SUMIFS(TblDetailBudget[Total Cost (USD)], TblDetailBudget[Level], LvlBottomHdr, TblDetailBudget[Lvl 1 Header], $E41)</f>
        <v>290043073.00667357</v>
      </c>
      <c r="H41" s="148">
        <f t="shared" ref="H41:H46" si="7">SUM(I41:M41)</f>
        <v>0</v>
      </c>
      <c r="I41" s="184"/>
      <c r="J41" s="184"/>
      <c r="K41" s="184"/>
      <c r="L41" s="184"/>
      <c r="M41" s="184"/>
      <c r="N41" s="148">
        <f t="shared" si="6"/>
        <v>290043073.00667357</v>
      </c>
      <c r="T41" s="12"/>
      <c r="U41" s="10"/>
    </row>
    <row r="42" spans="1:21" ht="30" customHeight="1">
      <c r="A42" s="10"/>
      <c r="B42" s="12"/>
      <c r="D42" s="71" t="str">
        <f t="shared" ref="D42:D46" si="8">"Objective "&amp;$E42</f>
        <v>Objective 2</v>
      </c>
      <c r="E42" s="72">
        <v>2</v>
      </c>
      <c r="F42" s="73" t="str">
        <f>INDEX(TblDetailBudget[Row Title], MATCH(TEXT(E42, 0), TblDetailBudget[Numbering], 0))</f>
        <v>Ensure provision of chemoprevention, diagnosis and appropriate treatment for 80% of the target populations at risk by 2025</v>
      </c>
      <c r="G42" s="84">
        <f>SUMIFS(TblDetailBudget[Total Cost (USD)], TblDetailBudget[Level], LvlBottomHdr, TblDetailBudget[Lvl 1 Header], $E42)</f>
        <v>106210339.85668537</v>
      </c>
      <c r="H42" s="84">
        <f t="shared" si="7"/>
        <v>0</v>
      </c>
      <c r="I42" s="183"/>
      <c r="J42" s="183"/>
      <c r="K42" s="183"/>
      <c r="L42" s="183"/>
      <c r="M42" s="183"/>
      <c r="N42" s="84">
        <f t="shared" si="6"/>
        <v>106210339.85668537</v>
      </c>
      <c r="T42" s="12"/>
      <c r="U42" s="10"/>
    </row>
    <row r="43" spans="1:21" ht="30" customHeight="1">
      <c r="A43" s="10"/>
      <c r="B43" s="12"/>
      <c r="D43" s="74" t="str">
        <f t="shared" si="8"/>
        <v>Objective 3</v>
      </c>
      <c r="E43" s="75">
        <v>3</v>
      </c>
      <c r="F43" s="76" t="str">
        <f>INDEX(TblDetailBudget[Row Title], MATCH(TEXT(E43, 0), TblDetailBudget[Numbering], 0))</f>
        <v>To improve generation of evidence for decision making and impact through reporting of quality malaria data and information from at least 80% of health facilities (public and private) and other data sources including surveillance, surveys and operations research by 2025</v>
      </c>
      <c r="G43" s="148">
        <f>SUMIFS(TblDetailBudget[Total Cost (USD)], TblDetailBudget[Level], LvlBottomHdr, TblDetailBudget[Lvl 1 Header], $E43)</f>
        <v>0</v>
      </c>
      <c r="H43" s="148">
        <f t="shared" si="7"/>
        <v>0</v>
      </c>
      <c r="I43" s="184"/>
      <c r="J43" s="184"/>
      <c r="K43" s="184"/>
      <c r="L43" s="184"/>
      <c r="M43" s="184"/>
      <c r="N43" s="148">
        <f t="shared" si="6"/>
        <v>0</v>
      </c>
      <c r="T43" s="12"/>
      <c r="U43" s="10"/>
    </row>
    <row r="44" spans="1:21" ht="30" customHeight="1">
      <c r="A44" s="10"/>
      <c r="B44" s="12"/>
      <c r="D44" s="71" t="str">
        <f t="shared" si="8"/>
        <v>Objective 4</v>
      </c>
      <c r="E44" s="72">
        <v>4</v>
      </c>
      <c r="F44" s="73" t="str">
        <f>INDEX(TblDetailBudget[Row Title], MATCH(TEXT(E44, 0), TblDetailBudget[Numbering], 0))</f>
        <v>Strengthen coordination, collaboration, and strategic partnership to promote efficiency and effectiveness of malaria control activities towards achieving at least 75% improvement from baseline using a standardized OCA tool</v>
      </c>
      <c r="G44" s="84">
        <f>SUMIFS(TblDetailBudget[Total Cost (USD)], TblDetailBudget[Level], LvlBottomHdr, TblDetailBudget[Lvl 1 Header], $E44)</f>
        <v>0</v>
      </c>
      <c r="H44" s="84">
        <f t="shared" si="7"/>
        <v>0</v>
      </c>
      <c r="I44" s="183"/>
      <c r="J44" s="183"/>
      <c r="K44" s="183"/>
      <c r="L44" s="183"/>
      <c r="M44" s="183"/>
      <c r="N44" s="84">
        <f t="shared" si="6"/>
        <v>0</v>
      </c>
      <c r="T44" s="12"/>
      <c r="U44" s="10"/>
    </row>
    <row r="45" spans="1:21" ht="30" customHeight="1">
      <c r="A45" s="10"/>
      <c r="B45" s="12"/>
      <c r="D45" s="74" t="str">
        <f t="shared" si="8"/>
        <v>Objective 5</v>
      </c>
      <c r="E45" s="75">
        <v>5</v>
      </c>
      <c r="F45" s="76" t="str">
        <f>INDEX(TblDetailBudget[Row Title], MATCH(TEXT(E45, 0), TblDetailBudget[Numbering], 0))</f>
        <v>Improve funding for malaria control by at least 25% annually through predictable and innovative sources to ensure sustainability at federal and sub-national levels</v>
      </c>
      <c r="G45" s="148">
        <f>SUMIFS(TblDetailBudget[Total Cost (USD)], TblDetailBudget[Level], LvlBottomHdr, TblDetailBudget[Lvl 1 Header], $E45)</f>
        <v>0</v>
      </c>
      <c r="H45" s="148">
        <f t="shared" si="7"/>
        <v>0</v>
      </c>
      <c r="I45" s="184"/>
      <c r="J45" s="184"/>
      <c r="K45" s="184"/>
      <c r="L45" s="184"/>
      <c r="M45" s="184"/>
      <c r="N45" s="148">
        <f t="shared" si="6"/>
        <v>0</v>
      </c>
      <c r="T45" s="12"/>
      <c r="U45" s="10"/>
    </row>
    <row r="46" spans="1:21" ht="30" customHeight="1">
      <c r="A46" s="10"/>
      <c r="B46" s="12"/>
      <c r="D46" s="71" t="str">
        <f t="shared" si="8"/>
        <v>Objective 6</v>
      </c>
      <c r="E46" s="72">
        <v>6</v>
      </c>
      <c r="F46" s="73" t="e">
        <f>INDEX(TblDetailBudget[Row Title], MATCH(TEXT(E46, 0), TblDetailBudget[Numbering], 0))</f>
        <v>#N/A</v>
      </c>
      <c r="G46" s="84">
        <f>SUMIFS(TblDetailBudget[Total Cost (USD)], TblDetailBudget[Level], LvlBottomHdr, TblDetailBudget[Lvl 1 Header], $E46)</f>
        <v>0</v>
      </c>
      <c r="H46" s="84">
        <f t="shared" si="7"/>
        <v>0</v>
      </c>
      <c r="I46" s="183"/>
      <c r="J46" s="183"/>
      <c r="K46" s="183"/>
      <c r="L46" s="183"/>
      <c r="M46" s="183"/>
      <c r="N46" s="84">
        <f t="shared" si="6"/>
        <v>0</v>
      </c>
      <c r="T46" s="12"/>
      <c r="U46" s="10"/>
    </row>
    <row r="47" spans="1:21">
      <c r="A47" s="10"/>
      <c r="B47" s="12"/>
      <c r="T47" s="12"/>
      <c r="U47" s="10"/>
    </row>
    <row r="48" spans="1:21">
      <c r="A48" s="10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0"/>
    </row>
    <row r="49" spans="1:2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</row>
  </sheetData>
  <mergeCells count="3">
    <mergeCell ref="H18:L18"/>
    <mergeCell ref="N18:R18"/>
    <mergeCell ref="D18:F18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 tint="-0.499984740745262"/>
    <pageSetUpPr autoPageBreaks="0"/>
  </sheetPr>
  <dimension ref="B2:B3"/>
  <sheetViews>
    <sheetView showRowColHeaders="0" topLeftCell="A37" zoomScale="60" zoomScaleNormal="60" workbookViewId="0">
      <selection activeCell="A38" sqref="A38"/>
    </sheetView>
  </sheetViews>
  <sheetFormatPr defaultColWidth="12.26953125" defaultRowHeight="14.5"/>
  <cols>
    <col min="1" max="16384" width="12.26953125" style="2"/>
  </cols>
  <sheetData>
    <row r="2" spans="2:2" ht="36">
      <c r="B2" s="1" t="s">
        <v>20</v>
      </c>
    </row>
    <row r="3" spans="2:2" ht="36">
      <c r="B3" s="1" t="s">
        <v>21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7" tint="-0.499984740745262"/>
    <pageSetUpPr autoPageBreaks="0"/>
  </sheetPr>
  <dimension ref="B2:B3"/>
  <sheetViews>
    <sheetView showRowColHeaders="0" zoomScale="60" zoomScaleNormal="60" workbookViewId="0"/>
  </sheetViews>
  <sheetFormatPr defaultColWidth="12.26953125" defaultRowHeight="14.5"/>
  <cols>
    <col min="1" max="16384" width="12.26953125" style="2"/>
  </cols>
  <sheetData>
    <row r="2" spans="2:2" ht="36">
      <c r="B2" s="1" t="s">
        <v>20</v>
      </c>
    </row>
    <row r="3" spans="2:2" ht="36">
      <c r="B3" s="1" t="s">
        <v>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1" tint="0.499984740745262"/>
  </sheetPr>
  <dimension ref="A1:I16"/>
  <sheetViews>
    <sheetView zoomScale="60" zoomScaleNormal="60" zoomScalePageLayoutView="80" workbookViewId="0">
      <selection activeCell="H3" sqref="H3"/>
    </sheetView>
  </sheetViews>
  <sheetFormatPr defaultColWidth="10" defaultRowHeight="14.5"/>
  <cols>
    <col min="2" max="2" width="17.453125" customWidth="1"/>
    <col min="3" max="3" width="36.1796875" style="5" customWidth="1"/>
    <col min="5" max="5" width="15" customWidth="1"/>
    <col min="6" max="6" width="15" bestFit="1" customWidth="1"/>
    <col min="9" max="9" width="52.81640625" customWidth="1"/>
  </cols>
  <sheetData>
    <row r="1" spans="1:9" s="4" customFormat="1" ht="15" customHeight="1">
      <c r="A1" s="4" t="s">
        <v>90</v>
      </c>
      <c r="B1" s="4" t="s">
        <v>91</v>
      </c>
      <c r="C1" s="4" t="s">
        <v>92</v>
      </c>
      <c r="E1" s="955" t="s">
        <v>93</v>
      </c>
      <c r="F1" s="956"/>
      <c r="H1" s="4" t="s">
        <v>94</v>
      </c>
    </row>
    <row r="2" spans="1:9" ht="15" customHeight="1">
      <c r="A2" t="s">
        <v>31</v>
      </c>
      <c r="B2" t="s">
        <v>95</v>
      </c>
      <c r="C2" t="s">
        <v>95</v>
      </c>
      <c r="E2" s="3" t="s">
        <v>96</v>
      </c>
      <c r="F2" s="3" t="s">
        <v>65</v>
      </c>
      <c r="H2" t="str">
        <f>ACU</f>
        <v>USD</v>
      </c>
      <c r="I2" t="s">
        <v>97</v>
      </c>
    </row>
    <row r="3" spans="1:9" ht="15" customHeight="1">
      <c r="A3" t="s">
        <v>32</v>
      </c>
      <c r="B3" t="s">
        <v>98</v>
      </c>
      <c r="C3" t="s">
        <v>98</v>
      </c>
      <c r="E3" s="3" t="s">
        <v>99</v>
      </c>
      <c r="F3" s="3" t="s">
        <v>67</v>
      </c>
      <c r="H3" t="str">
        <f>LCU</f>
        <v>NGN</v>
      </c>
      <c r="I3" t="s">
        <v>75</v>
      </c>
    </row>
    <row r="4" spans="1:9" ht="15" customHeight="1">
      <c r="A4" t="s">
        <v>33</v>
      </c>
      <c r="C4"/>
      <c r="E4" s="3" t="s">
        <v>100</v>
      </c>
      <c r="F4" s="3" t="s">
        <v>68</v>
      </c>
    </row>
    <row r="5" spans="1:9" ht="15" customHeight="1">
      <c r="A5" t="s">
        <v>34</v>
      </c>
      <c r="C5"/>
      <c r="E5" s="3" t="s">
        <v>101</v>
      </c>
      <c r="F5" s="3" t="s">
        <v>69</v>
      </c>
    </row>
    <row r="6" spans="1:9" ht="15" customHeight="1">
      <c r="C6"/>
      <c r="E6" s="3" t="s">
        <v>102</v>
      </c>
      <c r="F6" s="3" t="s">
        <v>70</v>
      </c>
    </row>
    <row r="7" spans="1:9" ht="15" customHeight="1">
      <c r="C7"/>
      <c r="E7" s="3" t="s">
        <v>103</v>
      </c>
      <c r="F7" s="3" t="s">
        <v>71</v>
      </c>
    </row>
    <row r="8" spans="1:9" ht="15" customHeight="1">
      <c r="C8"/>
    </row>
    <row r="9" spans="1:9" ht="15" customHeight="1">
      <c r="C9"/>
    </row>
    <row r="10" spans="1:9" ht="15" customHeight="1">
      <c r="C10"/>
    </row>
    <row r="11" spans="1:9" ht="15" customHeight="1">
      <c r="C11"/>
    </row>
    <row r="12" spans="1:9" ht="15" customHeight="1">
      <c r="C12"/>
    </row>
    <row r="13" spans="1:9" ht="15" customHeight="1">
      <c r="C13"/>
    </row>
    <row r="14" spans="1:9" ht="15" customHeight="1"/>
    <row r="16" spans="1:9" ht="15" customHeight="1"/>
  </sheetData>
  <mergeCells count="1">
    <mergeCell ref="E1:F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13B43-6F38-4464-89B2-A9663E4BF3F4}">
  <dimension ref="A1:AD583"/>
  <sheetViews>
    <sheetView topLeftCell="A438" zoomScale="55" workbookViewId="0">
      <selection activeCell="D561" sqref="D561:F561"/>
    </sheetView>
  </sheetViews>
  <sheetFormatPr defaultColWidth="9" defaultRowHeight="11.5"/>
  <cols>
    <col min="1" max="1" width="9.7265625" style="285" customWidth="1"/>
    <col min="2" max="2" width="47.26953125" style="285" customWidth="1"/>
    <col min="3" max="3" width="13.26953125" style="287" customWidth="1"/>
    <col min="4" max="4" width="26" style="287" customWidth="1"/>
    <col min="5" max="5" width="24" style="287" customWidth="1"/>
    <col min="6" max="6" width="17.26953125" style="285" customWidth="1"/>
    <col min="7" max="7" width="18.26953125" style="288" customWidth="1"/>
    <col min="8" max="8" width="19.453125" style="289" customWidth="1"/>
    <col min="9" max="9" width="20.7265625" style="285" customWidth="1"/>
    <col min="10" max="10" width="32" style="285" customWidth="1"/>
    <col min="11" max="11" width="30.26953125" style="289" customWidth="1"/>
    <col min="12" max="12" width="23.54296875" style="289" customWidth="1"/>
    <col min="13" max="13" width="22.7265625" style="285" customWidth="1"/>
    <col min="14" max="14" width="29" style="289" customWidth="1"/>
    <col min="15" max="15" width="25.54296875" style="285" customWidth="1"/>
    <col min="16" max="16" width="28.26953125" style="289" customWidth="1"/>
    <col min="17" max="17" width="17.7265625" style="285" customWidth="1"/>
    <col min="18" max="18" width="24.7265625" style="289" customWidth="1"/>
    <col min="19" max="19" width="26" style="285" customWidth="1"/>
    <col min="20" max="20" width="22.7265625" style="285" customWidth="1"/>
    <col min="21" max="21" width="40.26953125" style="285" customWidth="1"/>
    <col min="22" max="22" width="9" style="285"/>
    <col min="23" max="23" width="30.453125" style="285" customWidth="1"/>
    <col min="24" max="26" width="9" style="285"/>
    <col min="27" max="27" width="21.453125" style="285" customWidth="1"/>
    <col min="28" max="256" width="9" style="285"/>
    <col min="257" max="257" width="9.7265625" style="285" customWidth="1"/>
    <col min="258" max="258" width="47.26953125" style="285" customWidth="1"/>
    <col min="259" max="259" width="13.26953125" style="285" customWidth="1"/>
    <col min="260" max="260" width="26" style="285" customWidth="1"/>
    <col min="261" max="261" width="24" style="285" customWidth="1"/>
    <col min="262" max="262" width="17.26953125" style="285" customWidth="1"/>
    <col min="263" max="263" width="18.26953125" style="285" customWidth="1"/>
    <col min="264" max="264" width="19.453125" style="285" customWidth="1"/>
    <col min="265" max="265" width="20.7265625" style="285" customWidth="1"/>
    <col min="266" max="266" width="32" style="285" customWidth="1"/>
    <col min="267" max="267" width="30.26953125" style="285" customWidth="1"/>
    <col min="268" max="268" width="23.54296875" style="285" customWidth="1"/>
    <col min="269" max="269" width="22.7265625" style="285" customWidth="1"/>
    <col min="270" max="270" width="29" style="285" customWidth="1"/>
    <col min="271" max="271" width="25.54296875" style="285" customWidth="1"/>
    <col min="272" max="272" width="28.26953125" style="285" customWidth="1"/>
    <col min="273" max="273" width="17.7265625" style="285" customWidth="1"/>
    <col min="274" max="274" width="24.7265625" style="285" customWidth="1"/>
    <col min="275" max="275" width="26" style="285" customWidth="1"/>
    <col min="276" max="276" width="22.7265625" style="285" customWidth="1"/>
    <col min="277" max="277" width="40.26953125" style="285" customWidth="1"/>
    <col min="278" max="278" width="9" style="285"/>
    <col min="279" max="279" width="30.453125" style="285" customWidth="1"/>
    <col min="280" max="282" width="9" style="285"/>
    <col min="283" max="283" width="21.453125" style="285" customWidth="1"/>
    <col min="284" max="512" width="9" style="285"/>
    <col min="513" max="513" width="9.7265625" style="285" customWidth="1"/>
    <col min="514" max="514" width="47.26953125" style="285" customWidth="1"/>
    <col min="515" max="515" width="13.26953125" style="285" customWidth="1"/>
    <col min="516" max="516" width="26" style="285" customWidth="1"/>
    <col min="517" max="517" width="24" style="285" customWidth="1"/>
    <col min="518" max="518" width="17.26953125" style="285" customWidth="1"/>
    <col min="519" max="519" width="18.26953125" style="285" customWidth="1"/>
    <col min="520" max="520" width="19.453125" style="285" customWidth="1"/>
    <col min="521" max="521" width="20.7265625" style="285" customWidth="1"/>
    <col min="522" max="522" width="32" style="285" customWidth="1"/>
    <col min="523" max="523" width="30.26953125" style="285" customWidth="1"/>
    <col min="524" max="524" width="23.54296875" style="285" customWidth="1"/>
    <col min="525" max="525" width="22.7265625" style="285" customWidth="1"/>
    <col min="526" max="526" width="29" style="285" customWidth="1"/>
    <col min="527" max="527" width="25.54296875" style="285" customWidth="1"/>
    <col min="528" max="528" width="28.26953125" style="285" customWidth="1"/>
    <col min="529" max="529" width="17.7265625" style="285" customWidth="1"/>
    <col min="530" max="530" width="24.7265625" style="285" customWidth="1"/>
    <col min="531" max="531" width="26" style="285" customWidth="1"/>
    <col min="532" max="532" width="22.7265625" style="285" customWidth="1"/>
    <col min="533" max="533" width="40.26953125" style="285" customWidth="1"/>
    <col min="534" max="534" width="9" style="285"/>
    <col min="535" max="535" width="30.453125" style="285" customWidth="1"/>
    <col min="536" max="538" width="9" style="285"/>
    <col min="539" max="539" width="21.453125" style="285" customWidth="1"/>
    <col min="540" max="768" width="9" style="285"/>
    <col min="769" max="769" width="9.7265625" style="285" customWidth="1"/>
    <col min="770" max="770" width="47.26953125" style="285" customWidth="1"/>
    <col min="771" max="771" width="13.26953125" style="285" customWidth="1"/>
    <col min="772" max="772" width="26" style="285" customWidth="1"/>
    <col min="773" max="773" width="24" style="285" customWidth="1"/>
    <col min="774" max="774" width="17.26953125" style="285" customWidth="1"/>
    <col min="775" max="775" width="18.26953125" style="285" customWidth="1"/>
    <col min="776" max="776" width="19.453125" style="285" customWidth="1"/>
    <col min="777" max="777" width="20.7265625" style="285" customWidth="1"/>
    <col min="778" max="778" width="32" style="285" customWidth="1"/>
    <col min="779" max="779" width="30.26953125" style="285" customWidth="1"/>
    <col min="780" max="780" width="23.54296875" style="285" customWidth="1"/>
    <col min="781" max="781" width="22.7265625" style="285" customWidth="1"/>
    <col min="782" max="782" width="29" style="285" customWidth="1"/>
    <col min="783" max="783" width="25.54296875" style="285" customWidth="1"/>
    <col min="784" max="784" width="28.26953125" style="285" customWidth="1"/>
    <col min="785" max="785" width="17.7265625" style="285" customWidth="1"/>
    <col min="786" max="786" width="24.7265625" style="285" customWidth="1"/>
    <col min="787" max="787" width="26" style="285" customWidth="1"/>
    <col min="788" max="788" width="22.7265625" style="285" customWidth="1"/>
    <col min="789" max="789" width="40.26953125" style="285" customWidth="1"/>
    <col min="790" max="790" width="9" style="285"/>
    <col min="791" max="791" width="30.453125" style="285" customWidth="1"/>
    <col min="792" max="794" width="9" style="285"/>
    <col min="795" max="795" width="21.453125" style="285" customWidth="1"/>
    <col min="796" max="1024" width="9" style="285"/>
    <col min="1025" max="1025" width="9.7265625" style="285" customWidth="1"/>
    <col min="1026" max="1026" width="47.26953125" style="285" customWidth="1"/>
    <col min="1027" max="1027" width="13.26953125" style="285" customWidth="1"/>
    <col min="1028" max="1028" width="26" style="285" customWidth="1"/>
    <col min="1029" max="1029" width="24" style="285" customWidth="1"/>
    <col min="1030" max="1030" width="17.26953125" style="285" customWidth="1"/>
    <col min="1031" max="1031" width="18.26953125" style="285" customWidth="1"/>
    <col min="1032" max="1032" width="19.453125" style="285" customWidth="1"/>
    <col min="1033" max="1033" width="20.7265625" style="285" customWidth="1"/>
    <col min="1034" max="1034" width="32" style="285" customWidth="1"/>
    <col min="1035" max="1035" width="30.26953125" style="285" customWidth="1"/>
    <col min="1036" max="1036" width="23.54296875" style="285" customWidth="1"/>
    <col min="1037" max="1037" width="22.7265625" style="285" customWidth="1"/>
    <col min="1038" max="1038" width="29" style="285" customWidth="1"/>
    <col min="1039" max="1039" width="25.54296875" style="285" customWidth="1"/>
    <col min="1040" max="1040" width="28.26953125" style="285" customWidth="1"/>
    <col min="1041" max="1041" width="17.7265625" style="285" customWidth="1"/>
    <col min="1042" max="1042" width="24.7265625" style="285" customWidth="1"/>
    <col min="1043" max="1043" width="26" style="285" customWidth="1"/>
    <col min="1044" max="1044" width="22.7265625" style="285" customWidth="1"/>
    <col min="1045" max="1045" width="40.26953125" style="285" customWidth="1"/>
    <col min="1046" max="1046" width="9" style="285"/>
    <col min="1047" max="1047" width="30.453125" style="285" customWidth="1"/>
    <col min="1048" max="1050" width="9" style="285"/>
    <col min="1051" max="1051" width="21.453125" style="285" customWidth="1"/>
    <col min="1052" max="1280" width="9" style="285"/>
    <col min="1281" max="1281" width="9.7265625" style="285" customWidth="1"/>
    <col min="1282" max="1282" width="47.26953125" style="285" customWidth="1"/>
    <col min="1283" max="1283" width="13.26953125" style="285" customWidth="1"/>
    <col min="1284" max="1284" width="26" style="285" customWidth="1"/>
    <col min="1285" max="1285" width="24" style="285" customWidth="1"/>
    <col min="1286" max="1286" width="17.26953125" style="285" customWidth="1"/>
    <col min="1287" max="1287" width="18.26953125" style="285" customWidth="1"/>
    <col min="1288" max="1288" width="19.453125" style="285" customWidth="1"/>
    <col min="1289" max="1289" width="20.7265625" style="285" customWidth="1"/>
    <col min="1290" max="1290" width="32" style="285" customWidth="1"/>
    <col min="1291" max="1291" width="30.26953125" style="285" customWidth="1"/>
    <col min="1292" max="1292" width="23.54296875" style="285" customWidth="1"/>
    <col min="1293" max="1293" width="22.7265625" style="285" customWidth="1"/>
    <col min="1294" max="1294" width="29" style="285" customWidth="1"/>
    <col min="1295" max="1295" width="25.54296875" style="285" customWidth="1"/>
    <col min="1296" max="1296" width="28.26953125" style="285" customWidth="1"/>
    <col min="1297" max="1297" width="17.7265625" style="285" customWidth="1"/>
    <col min="1298" max="1298" width="24.7265625" style="285" customWidth="1"/>
    <col min="1299" max="1299" width="26" style="285" customWidth="1"/>
    <col min="1300" max="1300" width="22.7265625" style="285" customWidth="1"/>
    <col min="1301" max="1301" width="40.26953125" style="285" customWidth="1"/>
    <col min="1302" max="1302" width="9" style="285"/>
    <col min="1303" max="1303" width="30.453125" style="285" customWidth="1"/>
    <col min="1304" max="1306" width="9" style="285"/>
    <col min="1307" max="1307" width="21.453125" style="285" customWidth="1"/>
    <col min="1308" max="1536" width="9" style="285"/>
    <col min="1537" max="1537" width="9.7265625" style="285" customWidth="1"/>
    <col min="1538" max="1538" width="47.26953125" style="285" customWidth="1"/>
    <col min="1539" max="1539" width="13.26953125" style="285" customWidth="1"/>
    <col min="1540" max="1540" width="26" style="285" customWidth="1"/>
    <col min="1541" max="1541" width="24" style="285" customWidth="1"/>
    <col min="1542" max="1542" width="17.26953125" style="285" customWidth="1"/>
    <col min="1543" max="1543" width="18.26953125" style="285" customWidth="1"/>
    <col min="1544" max="1544" width="19.453125" style="285" customWidth="1"/>
    <col min="1545" max="1545" width="20.7265625" style="285" customWidth="1"/>
    <col min="1546" max="1546" width="32" style="285" customWidth="1"/>
    <col min="1547" max="1547" width="30.26953125" style="285" customWidth="1"/>
    <col min="1548" max="1548" width="23.54296875" style="285" customWidth="1"/>
    <col min="1549" max="1549" width="22.7265625" style="285" customWidth="1"/>
    <col min="1550" max="1550" width="29" style="285" customWidth="1"/>
    <col min="1551" max="1551" width="25.54296875" style="285" customWidth="1"/>
    <col min="1552" max="1552" width="28.26953125" style="285" customWidth="1"/>
    <col min="1553" max="1553" width="17.7265625" style="285" customWidth="1"/>
    <col min="1554" max="1554" width="24.7265625" style="285" customWidth="1"/>
    <col min="1555" max="1555" width="26" style="285" customWidth="1"/>
    <col min="1556" max="1556" width="22.7265625" style="285" customWidth="1"/>
    <col min="1557" max="1557" width="40.26953125" style="285" customWidth="1"/>
    <col min="1558" max="1558" width="9" style="285"/>
    <col min="1559" max="1559" width="30.453125" style="285" customWidth="1"/>
    <col min="1560" max="1562" width="9" style="285"/>
    <col min="1563" max="1563" width="21.453125" style="285" customWidth="1"/>
    <col min="1564" max="1792" width="9" style="285"/>
    <col min="1793" max="1793" width="9.7265625" style="285" customWidth="1"/>
    <col min="1794" max="1794" width="47.26953125" style="285" customWidth="1"/>
    <col min="1795" max="1795" width="13.26953125" style="285" customWidth="1"/>
    <col min="1796" max="1796" width="26" style="285" customWidth="1"/>
    <col min="1797" max="1797" width="24" style="285" customWidth="1"/>
    <col min="1798" max="1798" width="17.26953125" style="285" customWidth="1"/>
    <col min="1799" max="1799" width="18.26953125" style="285" customWidth="1"/>
    <col min="1800" max="1800" width="19.453125" style="285" customWidth="1"/>
    <col min="1801" max="1801" width="20.7265625" style="285" customWidth="1"/>
    <col min="1802" max="1802" width="32" style="285" customWidth="1"/>
    <col min="1803" max="1803" width="30.26953125" style="285" customWidth="1"/>
    <col min="1804" max="1804" width="23.54296875" style="285" customWidth="1"/>
    <col min="1805" max="1805" width="22.7265625" style="285" customWidth="1"/>
    <col min="1806" max="1806" width="29" style="285" customWidth="1"/>
    <col min="1807" max="1807" width="25.54296875" style="285" customWidth="1"/>
    <col min="1808" max="1808" width="28.26953125" style="285" customWidth="1"/>
    <col min="1809" max="1809" width="17.7265625" style="285" customWidth="1"/>
    <col min="1810" max="1810" width="24.7265625" style="285" customWidth="1"/>
    <col min="1811" max="1811" width="26" style="285" customWidth="1"/>
    <col min="1812" max="1812" width="22.7265625" style="285" customWidth="1"/>
    <col min="1813" max="1813" width="40.26953125" style="285" customWidth="1"/>
    <col min="1814" max="1814" width="9" style="285"/>
    <col min="1815" max="1815" width="30.453125" style="285" customWidth="1"/>
    <col min="1816" max="1818" width="9" style="285"/>
    <col min="1819" max="1819" width="21.453125" style="285" customWidth="1"/>
    <col min="1820" max="2048" width="9" style="285"/>
    <col min="2049" max="2049" width="9.7265625" style="285" customWidth="1"/>
    <col min="2050" max="2050" width="47.26953125" style="285" customWidth="1"/>
    <col min="2051" max="2051" width="13.26953125" style="285" customWidth="1"/>
    <col min="2052" max="2052" width="26" style="285" customWidth="1"/>
    <col min="2053" max="2053" width="24" style="285" customWidth="1"/>
    <col min="2054" max="2054" width="17.26953125" style="285" customWidth="1"/>
    <col min="2055" max="2055" width="18.26953125" style="285" customWidth="1"/>
    <col min="2056" max="2056" width="19.453125" style="285" customWidth="1"/>
    <col min="2057" max="2057" width="20.7265625" style="285" customWidth="1"/>
    <col min="2058" max="2058" width="32" style="285" customWidth="1"/>
    <col min="2059" max="2059" width="30.26953125" style="285" customWidth="1"/>
    <col min="2060" max="2060" width="23.54296875" style="285" customWidth="1"/>
    <col min="2061" max="2061" width="22.7265625" style="285" customWidth="1"/>
    <col min="2062" max="2062" width="29" style="285" customWidth="1"/>
    <col min="2063" max="2063" width="25.54296875" style="285" customWidth="1"/>
    <col min="2064" max="2064" width="28.26953125" style="285" customWidth="1"/>
    <col min="2065" max="2065" width="17.7265625" style="285" customWidth="1"/>
    <col min="2066" max="2066" width="24.7265625" style="285" customWidth="1"/>
    <col min="2067" max="2067" width="26" style="285" customWidth="1"/>
    <col min="2068" max="2068" width="22.7265625" style="285" customWidth="1"/>
    <col min="2069" max="2069" width="40.26953125" style="285" customWidth="1"/>
    <col min="2070" max="2070" width="9" style="285"/>
    <col min="2071" max="2071" width="30.453125" style="285" customWidth="1"/>
    <col min="2072" max="2074" width="9" style="285"/>
    <col min="2075" max="2075" width="21.453125" style="285" customWidth="1"/>
    <col min="2076" max="2304" width="9" style="285"/>
    <col min="2305" max="2305" width="9.7265625" style="285" customWidth="1"/>
    <col min="2306" max="2306" width="47.26953125" style="285" customWidth="1"/>
    <col min="2307" max="2307" width="13.26953125" style="285" customWidth="1"/>
    <col min="2308" max="2308" width="26" style="285" customWidth="1"/>
    <col min="2309" max="2309" width="24" style="285" customWidth="1"/>
    <col min="2310" max="2310" width="17.26953125" style="285" customWidth="1"/>
    <col min="2311" max="2311" width="18.26953125" style="285" customWidth="1"/>
    <col min="2312" max="2312" width="19.453125" style="285" customWidth="1"/>
    <col min="2313" max="2313" width="20.7265625" style="285" customWidth="1"/>
    <col min="2314" max="2314" width="32" style="285" customWidth="1"/>
    <col min="2315" max="2315" width="30.26953125" style="285" customWidth="1"/>
    <col min="2316" max="2316" width="23.54296875" style="285" customWidth="1"/>
    <col min="2317" max="2317" width="22.7265625" style="285" customWidth="1"/>
    <col min="2318" max="2318" width="29" style="285" customWidth="1"/>
    <col min="2319" max="2319" width="25.54296875" style="285" customWidth="1"/>
    <col min="2320" max="2320" width="28.26953125" style="285" customWidth="1"/>
    <col min="2321" max="2321" width="17.7265625" style="285" customWidth="1"/>
    <col min="2322" max="2322" width="24.7265625" style="285" customWidth="1"/>
    <col min="2323" max="2323" width="26" style="285" customWidth="1"/>
    <col min="2324" max="2324" width="22.7265625" style="285" customWidth="1"/>
    <col min="2325" max="2325" width="40.26953125" style="285" customWidth="1"/>
    <col min="2326" max="2326" width="9" style="285"/>
    <col min="2327" max="2327" width="30.453125" style="285" customWidth="1"/>
    <col min="2328" max="2330" width="9" style="285"/>
    <col min="2331" max="2331" width="21.453125" style="285" customWidth="1"/>
    <col min="2332" max="2560" width="9" style="285"/>
    <col min="2561" max="2561" width="9.7265625" style="285" customWidth="1"/>
    <col min="2562" max="2562" width="47.26953125" style="285" customWidth="1"/>
    <col min="2563" max="2563" width="13.26953125" style="285" customWidth="1"/>
    <col min="2564" max="2564" width="26" style="285" customWidth="1"/>
    <col min="2565" max="2565" width="24" style="285" customWidth="1"/>
    <col min="2566" max="2566" width="17.26953125" style="285" customWidth="1"/>
    <col min="2567" max="2567" width="18.26953125" style="285" customWidth="1"/>
    <col min="2568" max="2568" width="19.453125" style="285" customWidth="1"/>
    <col min="2569" max="2569" width="20.7265625" style="285" customWidth="1"/>
    <col min="2570" max="2570" width="32" style="285" customWidth="1"/>
    <col min="2571" max="2571" width="30.26953125" style="285" customWidth="1"/>
    <col min="2572" max="2572" width="23.54296875" style="285" customWidth="1"/>
    <col min="2573" max="2573" width="22.7265625" style="285" customWidth="1"/>
    <col min="2574" max="2574" width="29" style="285" customWidth="1"/>
    <col min="2575" max="2575" width="25.54296875" style="285" customWidth="1"/>
    <col min="2576" max="2576" width="28.26953125" style="285" customWidth="1"/>
    <col min="2577" max="2577" width="17.7265625" style="285" customWidth="1"/>
    <col min="2578" max="2578" width="24.7265625" style="285" customWidth="1"/>
    <col min="2579" max="2579" width="26" style="285" customWidth="1"/>
    <col min="2580" max="2580" width="22.7265625" style="285" customWidth="1"/>
    <col min="2581" max="2581" width="40.26953125" style="285" customWidth="1"/>
    <col min="2582" max="2582" width="9" style="285"/>
    <col min="2583" max="2583" width="30.453125" style="285" customWidth="1"/>
    <col min="2584" max="2586" width="9" style="285"/>
    <col min="2587" max="2587" width="21.453125" style="285" customWidth="1"/>
    <col min="2588" max="2816" width="9" style="285"/>
    <col min="2817" max="2817" width="9.7265625" style="285" customWidth="1"/>
    <col min="2818" max="2818" width="47.26953125" style="285" customWidth="1"/>
    <col min="2819" max="2819" width="13.26953125" style="285" customWidth="1"/>
    <col min="2820" max="2820" width="26" style="285" customWidth="1"/>
    <col min="2821" max="2821" width="24" style="285" customWidth="1"/>
    <col min="2822" max="2822" width="17.26953125" style="285" customWidth="1"/>
    <col min="2823" max="2823" width="18.26953125" style="285" customWidth="1"/>
    <col min="2824" max="2824" width="19.453125" style="285" customWidth="1"/>
    <col min="2825" max="2825" width="20.7265625" style="285" customWidth="1"/>
    <col min="2826" max="2826" width="32" style="285" customWidth="1"/>
    <col min="2827" max="2827" width="30.26953125" style="285" customWidth="1"/>
    <col min="2828" max="2828" width="23.54296875" style="285" customWidth="1"/>
    <col min="2829" max="2829" width="22.7265625" style="285" customWidth="1"/>
    <col min="2830" max="2830" width="29" style="285" customWidth="1"/>
    <col min="2831" max="2831" width="25.54296875" style="285" customWidth="1"/>
    <col min="2832" max="2832" width="28.26953125" style="285" customWidth="1"/>
    <col min="2833" max="2833" width="17.7265625" style="285" customWidth="1"/>
    <col min="2834" max="2834" width="24.7265625" style="285" customWidth="1"/>
    <col min="2835" max="2835" width="26" style="285" customWidth="1"/>
    <col min="2836" max="2836" width="22.7265625" style="285" customWidth="1"/>
    <col min="2837" max="2837" width="40.26953125" style="285" customWidth="1"/>
    <col min="2838" max="2838" width="9" style="285"/>
    <col min="2839" max="2839" width="30.453125" style="285" customWidth="1"/>
    <col min="2840" max="2842" width="9" style="285"/>
    <col min="2843" max="2843" width="21.453125" style="285" customWidth="1"/>
    <col min="2844" max="3072" width="9" style="285"/>
    <col min="3073" max="3073" width="9.7265625" style="285" customWidth="1"/>
    <col min="3074" max="3074" width="47.26953125" style="285" customWidth="1"/>
    <col min="3075" max="3075" width="13.26953125" style="285" customWidth="1"/>
    <col min="3076" max="3076" width="26" style="285" customWidth="1"/>
    <col min="3077" max="3077" width="24" style="285" customWidth="1"/>
    <col min="3078" max="3078" width="17.26953125" style="285" customWidth="1"/>
    <col min="3079" max="3079" width="18.26953125" style="285" customWidth="1"/>
    <col min="3080" max="3080" width="19.453125" style="285" customWidth="1"/>
    <col min="3081" max="3081" width="20.7265625" style="285" customWidth="1"/>
    <col min="3082" max="3082" width="32" style="285" customWidth="1"/>
    <col min="3083" max="3083" width="30.26953125" style="285" customWidth="1"/>
    <col min="3084" max="3084" width="23.54296875" style="285" customWidth="1"/>
    <col min="3085" max="3085" width="22.7265625" style="285" customWidth="1"/>
    <col min="3086" max="3086" width="29" style="285" customWidth="1"/>
    <col min="3087" max="3087" width="25.54296875" style="285" customWidth="1"/>
    <col min="3088" max="3088" width="28.26953125" style="285" customWidth="1"/>
    <col min="3089" max="3089" width="17.7265625" style="285" customWidth="1"/>
    <col min="3090" max="3090" width="24.7265625" style="285" customWidth="1"/>
    <col min="3091" max="3091" width="26" style="285" customWidth="1"/>
    <col min="3092" max="3092" width="22.7265625" style="285" customWidth="1"/>
    <col min="3093" max="3093" width="40.26953125" style="285" customWidth="1"/>
    <col min="3094" max="3094" width="9" style="285"/>
    <col min="3095" max="3095" width="30.453125" style="285" customWidth="1"/>
    <col min="3096" max="3098" width="9" style="285"/>
    <col min="3099" max="3099" width="21.453125" style="285" customWidth="1"/>
    <col min="3100" max="3328" width="9" style="285"/>
    <col min="3329" max="3329" width="9.7265625" style="285" customWidth="1"/>
    <col min="3330" max="3330" width="47.26953125" style="285" customWidth="1"/>
    <col min="3331" max="3331" width="13.26953125" style="285" customWidth="1"/>
    <col min="3332" max="3332" width="26" style="285" customWidth="1"/>
    <col min="3333" max="3333" width="24" style="285" customWidth="1"/>
    <col min="3334" max="3334" width="17.26953125" style="285" customWidth="1"/>
    <col min="3335" max="3335" width="18.26953125" style="285" customWidth="1"/>
    <col min="3336" max="3336" width="19.453125" style="285" customWidth="1"/>
    <col min="3337" max="3337" width="20.7265625" style="285" customWidth="1"/>
    <col min="3338" max="3338" width="32" style="285" customWidth="1"/>
    <col min="3339" max="3339" width="30.26953125" style="285" customWidth="1"/>
    <col min="3340" max="3340" width="23.54296875" style="285" customWidth="1"/>
    <col min="3341" max="3341" width="22.7265625" style="285" customWidth="1"/>
    <col min="3342" max="3342" width="29" style="285" customWidth="1"/>
    <col min="3343" max="3343" width="25.54296875" style="285" customWidth="1"/>
    <col min="3344" max="3344" width="28.26953125" style="285" customWidth="1"/>
    <col min="3345" max="3345" width="17.7265625" style="285" customWidth="1"/>
    <col min="3346" max="3346" width="24.7265625" style="285" customWidth="1"/>
    <col min="3347" max="3347" width="26" style="285" customWidth="1"/>
    <col min="3348" max="3348" width="22.7265625" style="285" customWidth="1"/>
    <col min="3349" max="3349" width="40.26953125" style="285" customWidth="1"/>
    <col min="3350" max="3350" width="9" style="285"/>
    <col min="3351" max="3351" width="30.453125" style="285" customWidth="1"/>
    <col min="3352" max="3354" width="9" style="285"/>
    <col min="3355" max="3355" width="21.453125" style="285" customWidth="1"/>
    <col min="3356" max="3584" width="9" style="285"/>
    <col min="3585" max="3585" width="9.7265625" style="285" customWidth="1"/>
    <col min="3586" max="3586" width="47.26953125" style="285" customWidth="1"/>
    <col min="3587" max="3587" width="13.26953125" style="285" customWidth="1"/>
    <col min="3588" max="3588" width="26" style="285" customWidth="1"/>
    <col min="3589" max="3589" width="24" style="285" customWidth="1"/>
    <col min="3590" max="3590" width="17.26953125" style="285" customWidth="1"/>
    <col min="3591" max="3591" width="18.26953125" style="285" customWidth="1"/>
    <col min="3592" max="3592" width="19.453125" style="285" customWidth="1"/>
    <col min="3593" max="3593" width="20.7265625" style="285" customWidth="1"/>
    <col min="3594" max="3594" width="32" style="285" customWidth="1"/>
    <col min="3595" max="3595" width="30.26953125" style="285" customWidth="1"/>
    <col min="3596" max="3596" width="23.54296875" style="285" customWidth="1"/>
    <col min="3597" max="3597" width="22.7265625" style="285" customWidth="1"/>
    <col min="3598" max="3598" width="29" style="285" customWidth="1"/>
    <col min="3599" max="3599" width="25.54296875" style="285" customWidth="1"/>
    <col min="3600" max="3600" width="28.26953125" style="285" customWidth="1"/>
    <col min="3601" max="3601" width="17.7265625" style="285" customWidth="1"/>
    <col min="3602" max="3602" width="24.7265625" style="285" customWidth="1"/>
    <col min="3603" max="3603" width="26" style="285" customWidth="1"/>
    <col min="3604" max="3604" width="22.7265625" style="285" customWidth="1"/>
    <col min="3605" max="3605" width="40.26953125" style="285" customWidth="1"/>
    <col min="3606" max="3606" width="9" style="285"/>
    <col min="3607" max="3607" width="30.453125" style="285" customWidth="1"/>
    <col min="3608" max="3610" width="9" style="285"/>
    <col min="3611" max="3611" width="21.453125" style="285" customWidth="1"/>
    <col min="3612" max="3840" width="9" style="285"/>
    <col min="3841" max="3841" width="9.7265625" style="285" customWidth="1"/>
    <col min="3842" max="3842" width="47.26953125" style="285" customWidth="1"/>
    <col min="3843" max="3843" width="13.26953125" style="285" customWidth="1"/>
    <col min="3844" max="3844" width="26" style="285" customWidth="1"/>
    <col min="3845" max="3845" width="24" style="285" customWidth="1"/>
    <col min="3846" max="3846" width="17.26953125" style="285" customWidth="1"/>
    <col min="3847" max="3847" width="18.26953125" style="285" customWidth="1"/>
    <col min="3848" max="3848" width="19.453125" style="285" customWidth="1"/>
    <col min="3849" max="3849" width="20.7265625" style="285" customWidth="1"/>
    <col min="3850" max="3850" width="32" style="285" customWidth="1"/>
    <col min="3851" max="3851" width="30.26953125" style="285" customWidth="1"/>
    <col min="3852" max="3852" width="23.54296875" style="285" customWidth="1"/>
    <col min="3853" max="3853" width="22.7265625" style="285" customWidth="1"/>
    <col min="3854" max="3854" width="29" style="285" customWidth="1"/>
    <col min="3855" max="3855" width="25.54296875" style="285" customWidth="1"/>
    <col min="3856" max="3856" width="28.26953125" style="285" customWidth="1"/>
    <col min="3857" max="3857" width="17.7265625" style="285" customWidth="1"/>
    <col min="3858" max="3858" width="24.7265625" style="285" customWidth="1"/>
    <col min="3859" max="3859" width="26" style="285" customWidth="1"/>
    <col min="3860" max="3860" width="22.7265625" style="285" customWidth="1"/>
    <col min="3861" max="3861" width="40.26953125" style="285" customWidth="1"/>
    <col min="3862" max="3862" width="9" style="285"/>
    <col min="3863" max="3863" width="30.453125" style="285" customWidth="1"/>
    <col min="3864" max="3866" width="9" style="285"/>
    <col min="3867" max="3867" width="21.453125" style="285" customWidth="1"/>
    <col min="3868" max="4096" width="9" style="285"/>
    <col min="4097" max="4097" width="9.7265625" style="285" customWidth="1"/>
    <col min="4098" max="4098" width="47.26953125" style="285" customWidth="1"/>
    <col min="4099" max="4099" width="13.26953125" style="285" customWidth="1"/>
    <col min="4100" max="4100" width="26" style="285" customWidth="1"/>
    <col min="4101" max="4101" width="24" style="285" customWidth="1"/>
    <col min="4102" max="4102" width="17.26953125" style="285" customWidth="1"/>
    <col min="4103" max="4103" width="18.26953125" style="285" customWidth="1"/>
    <col min="4104" max="4104" width="19.453125" style="285" customWidth="1"/>
    <col min="4105" max="4105" width="20.7265625" style="285" customWidth="1"/>
    <col min="4106" max="4106" width="32" style="285" customWidth="1"/>
    <col min="4107" max="4107" width="30.26953125" style="285" customWidth="1"/>
    <col min="4108" max="4108" width="23.54296875" style="285" customWidth="1"/>
    <col min="4109" max="4109" width="22.7265625" style="285" customWidth="1"/>
    <col min="4110" max="4110" width="29" style="285" customWidth="1"/>
    <col min="4111" max="4111" width="25.54296875" style="285" customWidth="1"/>
    <col min="4112" max="4112" width="28.26953125" style="285" customWidth="1"/>
    <col min="4113" max="4113" width="17.7265625" style="285" customWidth="1"/>
    <col min="4114" max="4114" width="24.7265625" style="285" customWidth="1"/>
    <col min="4115" max="4115" width="26" style="285" customWidth="1"/>
    <col min="4116" max="4116" width="22.7265625" style="285" customWidth="1"/>
    <col min="4117" max="4117" width="40.26953125" style="285" customWidth="1"/>
    <col min="4118" max="4118" width="9" style="285"/>
    <col min="4119" max="4119" width="30.453125" style="285" customWidth="1"/>
    <col min="4120" max="4122" width="9" style="285"/>
    <col min="4123" max="4123" width="21.453125" style="285" customWidth="1"/>
    <col min="4124" max="4352" width="9" style="285"/>
    <col min="4353" max="4353" width="9.7265625" style="285" customWidth="1"/>
    <col min="4354" max="4354" width="47.26953125" style="285" customWidth="1"/>
    <col min="4355" max="4355" width="13.26953125" style="285" customWidth="1"/>
    <col min="4356" max="4356" width="26" style="285" customWidth="1"/>
    <col min="4357" max="4357" width="24" style="285" customWidth="1"/>
    <col min="4358" max="4358" width="17.26953125" style="285" customWidth="1"/>
    <col min="4359" max="4359" width="18.26953125" style="285" customWidth="1"/>
    <col min="4360" max="4360" width="19.453125" style="285" customWidth="1"/>
    <col min="4361" max="4361" width="20.7265625" style="285" customWidth="1"/>
    <col min="4362" max="4362" width="32" style="285" customWidth="1"/>
    <col min="4363" max="4363" width="30.26953125" style="285" customWidth="1"/>
    <col min="4364" max="4364" width="23.54296875" style="285" customWidth="1"/>
    <col min="4365" max="4365" width="22.7265625" style="285" customWidth="1"/>
    <col min="4366" max="4366" width="29" style="285" customWidth="1"/>
    <col min="4367" max="4367" width="25.54296875" style="285" customWidth="1"/>
    <col min="4368" max="4368" width="28.26953125" style="285" customWidth="1"/>
    <col min="4369" max="4369" width="17.7265625" style="285" customWidth="1"/>
    <col min="4370" max="4370" width="24.7265625" style="285" customWidth="1"/>
    <col min="4371" max="4371" width="26" style="285" customWidth="1"/>
    <col min="4372" max="4372" width="22.7265625" style="285" customWidth="1"/>
    <col min="4373" max="4373" width="40.26953125" style="285" customWidth="1"/>
    <col min="4374" max="4374" width="9" style="285"/>
    <col min="4375" max="4375" width="30.453125" style="285" customWidth="1"/>
    <col min="4376" max="4378" width="9" style="285"/>
    <col min="4379" max="4379" width="21.453125" style="285" customWidth="1"/>
    <col min="4380" max="4608" width="9" style="285"/>
    <col min="4609" max="4609" width="9.7265625" style="285" customWidth="1"/>
    <col min="4610" max="4610" width="47.26953125" style="285" customWidth="1"/>
    <col min="4611" max="4611" width="13.26953125" style="285" customWidth="1"/>
    <col min="4612" max="4612" width="26" style="285" customWidth="1"/>
    <col min="4613" max="4613" width="24" style="285" customWidth="1"/>
    <col min="4614" max="4614" width="17.26953125" style="285" customWidth="1"/>
    <col min="4615" max="4615" width="18.26953125" style="285" customWidth="1"/>
    <col min="4616" max="4616" width="19.453125" style="285" customWidth="1"/>
    <col min="4617" max="4617" width="20.7265625" style="285" customWidth="1"/>
    <col min="4618" max="4618" width="32" style="285" customWidth="1"/>
    <col min="4619" max="4619" width="30.26953125" style="285" customWidth="1"/>
    <col min="4620" max="4620" width="23.54296875" style="285" customWidth="1"/>
    <col min="4621" max="4621" width="22.7265625" style="285" customWidth="1"/>
    <col min="4622" max="4622" width="29" style="285" customWidth="1"/>
    <col min="4623" max="4623" width="25.54296875" style="285" customWidth="1"/>
    <col min="4624" max="4624" width="28.26953125" style="285" customWidth="1"/>
    <col min="4625" max="4625" width="17.7265625" style="285" customWidth="1"/>
    <col min="4626" max="4626" width="24.7265625" style="285" customWidth="1"/>
    <col min="4627" max="4627" width="26" style="285" customWidth="1"/>
    <col min="4628" max="4628" width="22.7265625" style="285" customWidth="1"/>
    <col min="4629" max="4629" width="40.26953125" style="285" customWidth="1"/>
    <col min="4630" max="4630" width="9" style="285"/>
    <col min="4631" max="4631" width="30.453125" style="285" customWidth="1"/>
    <col min="4632" max="4634" width="9" style="285"/>
    <col min="4635" max="4635" width="21.453125" style="285" customWidth="1"/>
    <col min="4636" max="4864" width="9" style="285"/>
    <col min="4865" max="4865" width="9.7265625" style="285" customWidth="1"/>
    <col min="4866" max="4866" width="47.26953125" style="285" customWidth="1"/>
    <col min="4867" max="4867" width="13.26953125" style="285" customWidth="1"/>
    <col min="4868" max="4868" width="26" style="285" customWidth="1"/>
    <col min="4869" max="4869" width="24" style="285" customWidth="1"/>
    <col min="4870" max="4870" width="17.26953125" style="285" customWidth="1"/>
    <col min="4871" max="4871" width="18.26953125" style="285" customWidth="1"/>
    <col min="4872" max="4872" width="19.453125" style="285" customWidth="1"/>
    <col min="4873" max="4873" width="20.7265625" style="285" customWidth="1"/>
    <col min="4874" max="4874" width="32" style="285" customWidth="1"/>
    <col min="4875" max="4875" width="30.26953125" style="285" customWidth="1"/>
    <col min="4876" max="4876" width="23.54296875" style="285" customWidth="1"/>
    <col min="4877" max="4877" width="22.7265625" style="285" customWidth="1"/>
    <col min="4878" max="4878" width="29" style="285" customWidth="1"/>
    <col min="4879" max="4879" width="25.54296875" style="285" customWidth="1"/>
    <col min="4880" max="4880" width="28.26953125" style="285" customWidth="1"/>
    <col min="4881" max="4881" width="17.7265625" style="285" customWidth="1"/>
    <col min="4882" max="4882" width="24.7265625" style="285" customWidth="1"/>
    <col min="4883" max="4883" width="26" style="285" customWidth="1"/>
    <col min="4884" max="4884" width="22.7265625" style="285" customWidth="1"/>
    <col min="4885" max="4885" width="40.26953125" style="285" customWidth="1"/>
    <col min="4886" max="4886" width="9" style="285"/>
    <col min="4887" max="4887" width="30.453125" style="285" customWidth="1"/>
    <col min="4888" max="4890" width="9" style="285"/>
    <col min="4891" max="4891" width="21.453125" style="285" customWidth="1"/>
    <col min="4892" max="5120" width="9" style="285"/>
    <col min="5121" max="5121" width="9.7265625" style="285" customWidth="1"/>
    <col min="5122" max="5122" width="47.26953125" style="285" customWidth="1"/>
    <col min="5123" max="5123" width="13.26953125" style="285" customWidth="1"/>
    <col min="5124" max="5124" width="26" style="285" customWidth="1"/>
    <col min="5125" max="5125" width="24" style="285" customWidth="1"/>
    <col min="5126" max="5126" width="17.26953125" style="285" customWidth="1"/>
    <col min="5127" max="5127" width="18.26953125" style="285" customWidth="1"/>
    <col min="5128" max="5128" width="19.453125" style="285" customWidth="1"/>
    <col min="5129" max="5129" width="20.7265625" style="285" customWidth="1"/>
    <col min="5130" max="5130" width="32" style="285" customWidth="1"/>
    <col min="5131" max="5131" width="30.26953125" style="285" customWidth="1"/>
    <col min="5132" max="5132" width="23.54296875" style="285" customWidth="1"/>
    <col min="5133" max="5133" width="22.7265625" style="285" customWidth="1"/>
    <col min="5134" max="5134" width="29" style="285" customWidth="1"/>
    <col min="5135" max="5135" width="25.54296875" style="285" customWidth="1"/>
    <col min="5136" max="5136" width="28.26953125" style="285" customWidth="1"/>
    <col min="5137" max="5137" width="17.7265625" style="285" customWidth="1"/>
    <col min="5138" max="5138" width="24.7265625" style="285" customWidth="1"/>
    <col min="5139" max="5139" width="26" style="285" customWidth="1"/>
    <col min="5140" max="5140" width="22.7265625" style="285" customWidth="1"/>
    <col min="5141" max="5141" width="40.26953125" style="285" customWidth="1"/>
    <col min="5142" max="5142" width="9" style="285"/>
    <col min="5143" max="5143" width="30.453125" style="285" customWidth="1"/>
    <col min="5144" max="5146" width="9" style="285"/>
    <col min="5147" max="5147" width="21.453125" style="285" customWidth="1"/>
    <col min="5148" max="5376" width="9" style="285"/>
    <col min="5377" max="5377" width="9.7265625" style="285" customWidth="1"/>
    <col min="5378" max="5378" width="47.26953125" style="285" customWidth="1"/>
    <col min="5379" max="5379" width="13.26953125" style="285" customWidth="1"/>
    <col min="5380" max="5380" width="26" style="285" customWidth="1"/>
    <col min="5381" max="5381" width="24" style="285" customWidth="1"/>
    <col min="5382" max="5382" width="17.26953125" style="285" customWidth="1"/>
    <col min="5383" max="5383" width="18.26953125" style="285" customWidth="1"/>
    <col min="5384" max="5384" width="19.453125" style="285" customWidth="1"/>
    <col min="5385" max="5385" width="20.7265625" style="285" customWidth="1"/>
    <col min="5386" max="5386" width="32" style="285" customWidth="1"/>
    <col min="5387" max="5387" width="30.26953125" style="285" customWidth="1"/>
    <col min="5388" max="5388" width="23.54296875" style="285" customWidth="1"/>
    <col min="5389" max="5389" width="22.7265625" style="285" customWidth="1"/>
    <col min="5390" max="5390" width="29" style="285" customWidth="1"/>
    <col min="5391" max="5391" width="25.54296875" style="285" customWidth="1"/>
    <col min="5392" max="5392" width="28.26953125" style="285" customWidth="1"/>
    <col min="5393" max="5393" width="17.7265625" style="285" customWidth="1"/>
    <col min="5394" max="5394" width="24.7265625" style="285" customWidth="1"/>
    <col min="5395" max="5395" width="26" style="285" customWidth="1"/>
    <col min="5396" max="5396" width="22.7265625" style="285" customWidth="1"/>
    <col min="5397" max="5397" width="40.26953125" style="285" customWidth="1"/>
    <col min="5398" max="5398" width="9" style="285"/>
    <col min="5399" max="5399" width="30.453125" style="285" customWidth="1"/>
    <col min="5400" max="5402" width="9" style="285"/>
    <col min="5403" max="5403" width="21.453125" style="285" customWidth="1"/>
    <col min="5404" max="5632" width="9" style="285"/>
    <col min="5633" max="5633" width="9.7265625" style="285" customWidth="1"/>
    <col min="5634" max="5634" width="47.26953125" style="285" customWidth="1"/>
    <col min="5635" max="5635" width="13.26953125" style="285" customWidth="1"/>
    <col min="5636" max="5636" width="26" style="285" customWidth="1"/>
    <col min="5637" max="5637" width="24" style="285" customWidth="1"/>
    <col min="5638" max="5638" width="17.26953125" style="285" customWidth="1"/>
    <col min="5639" max="5639" width="18.26953125" style="285" customWidth="1"/>
    <col min="5640" max="5640" width="19.453125" style="285" customWidth="1"/>
    <col min="5641" max="5641" width="20.7265625" style="285" customWidth="1"/>
    <col min="5642" max="5642" width="32" style="285" customWidth="1"/>
    <col min="5643" max="5643" width="30.26953125" style="285" customWidth="1"/>
    <col min="5644" max="5644" width="23.54296875" style="285" customWidth="1"/>
    <col min="5645" max="5645" width="22.7265625" style="285" customWidth="1"/>
    <col min="5646" max="5646" width="29" style="285" customWidth="1"/>
    <col min="5647" max="5647" width="25.54296875" style="285" customWidth="1"/>
    <col min="5648" max="5648" width="28.26953125" style="285" customWidth="1"/>
    <col min="5649" max="5649" width="17.7265625" style="285" customWidth="1"/>
    <col min="5650" max="5650" width="24.7265625" style="285" customWidth="1"/>
    <col min="5651" max="5651" width="26" style="285" customWidth="1"/>
    <col min="5652" max="5652" width="22.7265625" style="285" customWidth="1"/>
    <col min="5653" max="5653" width="40.26953125" style="285" customWidth="1"/>
    <col min="5654" max="5654" width="9" style="285"/>
    <col min="5655" max="5655" width="30.453125" style="285" customWidth="1"/>
    <col min="5656" max="5658" width="9" style="285"/>
    <col min="5659" max="5659" width="21.453125" style="285" customWidth="1"/>
    <col min="5660" max="5888" width="9" style="285"/>
    <col min="5889" max="5889" width="9.7265625" style="285" customWidth="1"/>
    <col min="5890" max="5890" width="47.26953125" style="285" customWidth="1"/>
    <col min="5891" max="5891" width="13.26953125" style="285" customWidth="1"/>
    <col min="5892" max="5892" width="26" style="285" customWidth="1"/>
    <col min="5893" max="5893" width="24" style="285" customWidth="1"/>
    <col min="5894" max="5894" width="17.26953125" style="285" customWidth="1"/>
    <col min="5895" max="5895" width="18.26953125" style="285" customWidth="1"/>
    <col min="5896" max="5896" width="19.453125" style="285" customWidth="1"/>
    <col min="5897" max="5897" width="20.7265625" style="285" customWidth="1"/>
    <col min="5898" max="5898" width="32" style="285" customWidth="1"/>
    <col min="5899" max="5899" width="30.26953125" style="285" customWidth="1"/>
    <col min="5900" max="5900" width="23.54296875" style="285" customWidth="1"/>
    <col min="5901" max="5901" width="22.7265625" style="285" customWidth="1"/>
    <col min="5902" max="5902" width="29" style="285" customWidth="1"/>
    <col min="5903" max="5903" width="25.54296875" style="285" customWidth="1"/>
    <col min="5904" max="5904" width="28.26953125" style="285" customWidth="1"/>
    <col min="5905" max="5905" width="17.7265625" style="285" customWidth="1"/>
    <col min="5906" max="5906" width="24.7265625" style="285" customWidth="1"/>
    <col min="5907" max="5907" width="26" style="285" customWidth="1"/>
    <col min="5908" max="5908" width="22.7265625" style="285" customWidth="1"/>
    <col min="5909" max="5909" width="40.26953125" style="285" customWidth="1"/>
    <col min="5910" max="5910" width="9" style="285"/>
    <col min="5911" max="5911" width="30.453125" style="285" customWidth="1"/>
    <col min="5912" max="5914" width="9" style="285"/>
    <col min="5915" max="5915" width="21.453125" style="285" customWidth="1"/>
    <col min="5916" max="6144" width="9" style="285"/>
    <col min="6145" max="6145" width="9.7265625" style="285" customWidth="1"/>
    <col min="6146" max="6146" width="47.26953125" style="285" customWidth="1"/>
    <col min="6147" max="6147" width="13.26953125" style="285" customWidth="1"/>
    <col min="6148" max="6148" width="26" style="285" customWidth="1"/>
    <col min="6149" max="6149" width="24" style="285" customWidth="1"/>
    <col min="6150" max="6150" width="17.26953125" style="285" customWidth="1"/>
    <col min="6151" max="6151" width="18.26953125" style="285" customWidth="1"/>
    <col min="6152" max="6152" width="19.453125" style="285" customWidth="1"/>
    <col min="6153" max="6153" width="20.7265625" style="285" customWidth="1"/>
    <col min="6154" max="6154" width="32" style="285" customWidth="1"/>
    <col min="6155" max="6155" width="30.26953125" style="285" customWidth="1"/>
    <col min="6156" max="6156" width="23.54296875" style="285" customWidth="1"/>
    <col min="6157" max="6157" width="22.7265625" style="285" customWidth="1"/>
    <col min="6158" max="6158" width="29" style="285" customWidth="1"/>
    <col min="6159" max="6159" width="25.54296875" style="285" customWidth="1"/>
    <col min="6160" max="6160" width="28.26953125" style="285" customWidth="1"/>
    <col min="6161" max="6161" width="17.7265625" style="285" customWidth="1"/>
    <col min="6162" max="6162" width="24.7265625" style="285" customWidth="1"/>
    <col min="6163" max="6163" width="26" style="285" customWidth="1"/>
    <col min="6164" max="6164" width="22.7265625" style="285" customWidth="1"/>
    <col min="6165" max="6165" width="40.26953125" style="285" customWidth="1"/>
    <col min="6166" max="6166" width="9" style="285"/>
    <col min="6167" max="6167" width="30.453125" style="285" customWidth="1"/>
    <col min="6168" max="6170" width="9" style="285"/>
    <col min="6171" max="6171" width="21.453125" style="285" customWidth="1"/>
    <col min="6172" max="6400" width="9" style="285"/>
    <col min="6401" max="6401" width="9.7265625" style="285" customWidth="1"/>
    <col min="6402" max="6402" width="47.26953125" style="285" customWidth="1"/>
    <col min="6403" max="6403" width="13.26953125" style="285" customWidth="1"/>
    <col min="6404" max="6404" width="26" style="285" customWidth="1"/>
    <col min="6405" max="6405" width="24" style="285" customWidth="1"/>
    <col min="6406" max="6406" width="17.26953125" style="285" customWidth="1"/>
    <col min="6407" max="6407" width="18.26953125" style="285" customWidth="1"/>
    <col min="6408" max="6408" width="19.453125" style="285" customWidth="1"/>
    <col min="6409" max="6409" width="20.7265625" style="285" customWidth="1"/>
    <col min="6410" max="6410" width="32" style="285" customWidth="1"/>
    <col min="6411" max="6411" width="30.26953125" style="285" customWidth="1"/>
    <col min="6412" max="6412" width="23.54296875" style="285" customWidth="1"/>
    <col min="6413" max="6413" width="22.7265625" style="285" customWidth="1"/>
    <col min="6414" max="6414" width="29" style="285" customWidth="1"/>
    <col min="6415" max="6415" width="25.54296875" style="285" customWidth="1"/>
    <col min="6416" max="6416" width="28.26953125" style="285" customWidth="1"/>
    <col min="6417" max="6417" width="17.7265625" style="285" customWidth="1"/>
    <col min="6418" max="6418" width="24.7265625" style="285" customWidth="1"/>
    <col min="6419" max="6419" width="26" style="285" customWidth="1"/>
    <col min="6420" max="6420" width="22.7265625" style="285" customWidth="1"/>
    <col min="6421" max="6421" width="40.26953125" style="285" customWidth="1"/>
    <col min="6422" max="6422" width="9" style="285"/>
    <col min="6423" max="6423" width="30.453125" style="285" customWidth="1"/>
    <col min="6424" max="6426" width="9" style="285"/>
    <col min="6427" max="6427" width="21.453125" style="285" customWidth="1"/>
    <col min="6428" max="6656" width="9" style="285"/>
    <col min="6657" max="6657" width="9.7265625" style="285" customWidth="1"/>
    <col min="6658" max="6658" width="47.26953125" style="285" customWidth="1"/>
    <col min="6659" max="6659" width="13.26953125" style="285" customWidth="1"/>
    <col min="6660" max="6660" width="26" style="285" customWidth="1"/>
    <col min="6661" max="6661" width="24" style="285" customWidth="1"/>
    <col min="6662" max="6662" width="17.26953125" style="285" customWidth="1"/>
    <col min="6663" max="6663" width="18.26953125" style="285" customWidth="1"/>
    <col min="6664" max="6664" width="19.453125" style="285" customWidth="1"/>
    <col min="6665" max="6665" width="20.7265625" style="285" customWidth="1"/>
    <col min="6666" max="6666" width="32" style="285" customWidth="1"/>
    <col min="6667" max="6667" width="30.26953125" style="285" customWidth="1"/>
    <col min="6668" max="6668" width="23.54296875" style="285" customWidth="1"/>
    <col min="6669" max="6669" width="22.7265625" style="285" customWidth="1"/>
    <col min="6670" max="6670" width="29" style="285" customWidth="1"/>
    <col min="6671" max="6671" width="25.54296875" style="285" customWidth="1"/>
    <col min="6672" max="6672" width="28.26953125" style="285" customWidth="1"/>
    <col min="6673" max="6673" width="17.7265625" style="285" customWidth="1"/>
    <col min="6674" max="6674" width="24.7265625" style="285" customWidth="1"/>
    <col min="6675" max="6675" width="26" style="285" customWidth="1"/>
    <col min="6676" max="6676" width="22.7265625" style="285" customWidth="1"/>
    <col min="6677" max="6677" width="40.26953125" style="285" customWidth="1"/>
    <col min="6678" max="6678" width="9" style="285"/>
    <col min="6679" max="6679" width="30.453125" style="285" customWidth="1"/>
    <col min="6680" max="6682" width="9" style="285"/>
    <col min="6683" max="6683" width="21.453125" style="285" customWidth="1"/>
    <col min="6684" max="6912" width="9" style="285"/>
    <col min="6913" max="6913" width="9.7265625" style="285" customWidth="1"/>
    <col min="6914" max="6914" width="47.26953125" style="285" customWidth="1"/>
    <col min="6915" max="6915" width="13.26953125" style="285" customWidth="1"/>
    <col min="6916" max="6916" width="26" style="285" customWidth="1"/>
    <col min="6917" max="6917" width="24" style="285" customWidth="1"/>
    <col min="6918" max="6918" width="17.26953125" style="285" customWidth="1"/>
    <col min="6919" max="6919" width="18.26953125" style="285" customWidth="1"/>
    <col min="6920" max="6920" width="19.453125" style="285" customWidth="1"/>
    <col min="6921" max="6921" width="20.7265625" style="285" customWidth="1"/>
    <col min="6922" max="6922" width="32" style="285" customWidth="1"/>
    <col min="6923" max="6923" width="30.26953125" style="285" customWidth="1"/>
    <col min="6924" max="6924" width="23.54296875" style="285" customWidth="1"/>
    <col min="6925" max="6925" width="22.7265625" style="285" customWidth="1"/>
    <col min="6926" max="6926" width="29" style="285" customWidth="1"/>
    <col min="6927" max="6927" width="25.54296875" style="285" customWidth="1"/>
    <col min="6928" max="6928" width="28.26953125" style="285" customWidth="1"/>
    <col min="6929" max="6929" width="17.7265625" style="285" customWidth="1"/>
    <col min="6930" max="6930" width="24.7265625" style="285" customWidth="1"/>
    <col min="6931" max="6931" width="26" style="285" customWidth="1"/>
    <col min="6932" max="6932" width="22.7265625" style="285" customWidth="1"/>
    <col min="6933" max="6933" width="40.26953125" style="285" customWidth="1"/>
    <col min="6934" max="6934" width="9" style="285"/>
    <col min="6935" max="6935" width="30.453125" style="285" customWidth="1"/>
    <col min="6936" max="6938" width="9" style="285"/>
    <col min="6939" max="6939" width="21.453125" style="285" customWidth="1"/>
    <col min="6940" max="7168" width="9" style="285"/>
    <col min="7169" max="7169" width="9.7265625" style="285" customWidth="1"/>
    <col min="7170" max="7170" width="47.26953125" style="285" customWidth="1"/>
    <col min="7171" max="7171" width="13.26953125" style="285" customWidth="1"/>
    <col min="7172" max="7172" width="26" style="285" customWidth="1"/>
    <col min="7173" max="7173" width="24" style="285" customWidth="1"/>
    <col min="7174" max="7174" width="17.26953125" style="285" customWidth="1"/>
    <col min="7175" max="7175" width="18.26953125" style="285" customWidth="1"/>
    <col min="7176" max="7176" width="19.453125" style="285" customWidth="1"/>
    <col min="7177" max="7177" width="20.7265625" style="285" customWidth="1"/>
    <col min="7178" max="7178" width="32" style="285" customWidth="1"/>
    <col min="7179" max="7179" width="30.26953125" style="285" customWidth="1"/>
    <col min="7180" max="7180" width="23.54296875" style="285" customWidth="1"/>
    <col min="7181" max="7181" width="22.7265625" style="285" customWidth="1"/>
    <col min="7182" max="7182" width="29" style="285" customWidth="1"/>
    <col min="7183" max="7183" width="25.54296875" style="285" customWidth="1"/>
    <col min="7184" max="7184" width="28.26953125" style="285" customWidth="1"/>
    <col min="7185" max="7185" width="17.7265625" style="285" customWidth="1"/>
    <col min="7186" max="7186" width="24.7265625" style="285" customWidth="1"/>
    <col min="7187" max="7187" width="26" style="285" customWidth="1"/>
    <col min="7188" max="7188" width="22.7265625" style="285" customWidth="1"/>
    <col min="7189" max="7189" width="40.26953125" style="285" customWidth="1"/>
    <col min="7190" max="7190" width="9" style="285"/>
    <col min="7191" max="7191" width="30.453125" style="285" customWidth="1"/>
    <col min="7192" max="7194" width="9" style="285"/>
    <col min="7195" max="7195" width="21.453125" style="285" customWidth="1"/>
    <col min="7196" max="7424" width="9" style="285"/>
    <col min="7425" max="7425" width="9.7265625" style="285" customWidth="1"/>
    <col min="7426" max="7426" width="47.26953125" style="285" customWidth="1"/>
    <col min="7427" max="7427" width="13.26953125" style="285" customWidth="1"/>
    <col min="7428" max="7428" width="26" style="285" customWidth="1"/>
    <col min="7429" max="7429" width="24" style="285" customWidth="1"/>
    <col min="7430" max="7430" width="17.26953125" style="285" customWidth="1"/>
    <col min="7431" max="7431" width="18.26953125" style="285" customWidth="1"/>
    <col min="7432" max="7432" width="19.453125" style="285" customWidth="1"/>
    <col min="7433" max="7433" width="20.7265625" style="285" customWidth="1"/>
    <col min="7434" max="7434" width="32" style="285" customWidth="1"/>
    <col min="7435" max="7435" width="30.26953125" style="285" customWidth="1"/>
    <col min="7436" max="7436" width="23.54296875" style="285" customWidth="1"/>
    <col min="7437" max="7437" width="22.7265625" style="285" customWidth="1"/>
    <col min="7438" max="7438" width="29" style="285" customWidth="1"/>
    <col min="7439" max="7439" width="25.54296875" style="285" customWidth="1"/>
    <col min="7440" max="7440" width="28.26953125" style="285" customWidth="1"/>
    <col min="7441" max="7441" width="17.7265625" style="285" customWidth="1"/>
    <col min="7442" max="7442" width="24.7265625" style="285" customWidth="1"/>
    <col min="7443" max="7443" width="26" style="285" customWidth="1"/>
    <col min="7444" max="7444" width="22.7265625" style="285" customWidth="1"/>
    <col min="7445" max="7445" width="40.26953125" style="285" customWidth="1"/>
    <col min="7446" max="7446" width="9" style="285"/>
    <col min="7447" max="7447" width="30.453125" style="285" customWidth="1"/>
    <col min="7448" max="7450" width="9" style="285"/>
    <col min="7451" max="7451" width="21.453125" style="285" customWidth="1"/>
    <col min="7452" max="7680" width="9" style="285"/>
    <col min="7681" max="7681" width="9.7265625" style="285" customWidth="1"/>
    <col min="7682" max="7682" width="47.26953125" style="285" customWidth="1"/>
    <col min="7683" max="7683" width="13.26953125" style="285" customWidth="1"/>
    <col min="7684" max="7684" width="26" style="285" customWidth="1"/>
    <col min="7685" max="7685" width="24" style="285" customWidth="1"/>
    <col min="7686" max="7686" width="17.26953125" style="285" customWidth="1"/>
    <col min="7687" max="7687" width="18.26953125" style="285" customWidth="1"/>
    <col min="7688" max="7688" width="19.453125" style="285" customWidth="1"/>
    <col min="7689" max="7689" width="20.7265625" style="285" customWidth="1"/>
    <col min="7690" max="7690" width="32" style="285" customWidth="1"/>
    <col min="7691" max="7691" width="30.26953125" style="285" customWidth="1"/>
    <col min="7692" max="7692" width="23.54296875" style="285" customWidth="1"/>
    <col min="7693" max="7693" width="22.7265625" style="285" customWidth="1"/>
    <col min="7694" max="7694" width="29" style="285" customWidth="1"/>
    <col min="7695" max="7695" width="25.54296875" style="285" customWidth="1"/>
    <col min="7696" max="7696" width="28.26953125" style="285" customWidth="1"/>
    <col min="7697" max="7697" width="17.7265625" style="285" customWidth="1"/>
    <col min="7698" max="7698" width="24.7265625" style="285" customWidth="1"/>
    <col min="7699" max="7699" width="26" style="285" customWidth="1"/>
    <col min="7700" max="7700" width="22.7265625" style="285" customWidth="1"/>
    <col min="7701" max="7701" width="40.26953125" style="285" customWidth="1"/>
    <col min="7702" max="7702" width="9" style="285"/>
    <col min="7703" max="7703" width="30.453125" style="285" customWidth="1"/>
    <col min="7704" max="7706" width="9" style="285"/>
    <col min="7707" max="7707" width="21.453125" style="285" customWidth="1"/>
    <col min="7708" max="7936" width="9" style="285"/>
    <col min="7937" max="7937" width="9.7265625" style="285" customWidth="1"/>
    <col min="7938" max="7938" width="47.26953125" style="285" customWidth="1"/>
    <col min="7939" max="7939" width="13.26953125" style="285" customWidth="1"/>
    <col min="7940" max="7940" width="26" style="285" customWidth="1"/>
    <col min="7941" max="7941" width="24" style="285" customWidth="1"/>
    <col min="7942" max="7942" width="17.26953125" style="285" customWidth="1"/>
    <col min="7943" max="7943" width="18.26953125" style="285" customWidth="1"/>
    <col min="7944" max="7944" width="19.453125" style="285" customWidth="1"/>
    <col min="7945" max="7945" width="20.7265625" style="285" customWidth="1"/>
    <col min="7946" max="7946" width="32" style="285" customWidth="1"/>
    <col min="7947" max="7947" width="30.26953125" style="285" customWidth="1"/>
    <col min="7948" max="7948" width="23.54296875" style="285" customWidth="1"/>
    <col min="7949" max="7949" width="22.7265625" style="285" customWidth="1"/>
    <col min="7950" max="7950" width="29" style="285" customWidth="1"/>
    <col min="7951" max="7951" width="25.54296875" style="285" customWidth="1"/>
    <col min="7952" max="7952" width="28.26953125" style="285" customWidth="1"/>
    <col min="7953" max="7953" width="17.7265625" style="285" customWidth="1"/>
    <col min="7954" max="7954" width="24.7265625" style="285" customWidth="1"/>
    <col min="7955" max="7955" width="26" style="285" customWidth="1"/>
    <col min="7956" max="7956" width="22.7265625" style="285" customWidth="1"/>
    <col min="7957" max="7957" width="40.26953125" style="285" customWidth="1"/>
    <col min="7958" max="7958" width="9" style="285"/>
    <col min="7959" max="7959" width="30.453125" style="285" customWidth="1"/>
    <col min="7960" max="7962" width="9" style="285"/>
    <col min="7963" max="7963" width="21.453125" style="285" customWidth="1"/>
    <col min="7964" max="8192" width="9" style="285"/>
    <col min="8193" max="8193" width="9.7265625" style="285" customWidth="1"/>
    <col min="8194" max="8194" width="47.26953125" style="285" customWidth="1"/>
    <col min="8195" max="8195" width="13.26953125" style="285" customWidth="1"/>
    <col min="8196" max="8196" width="26" style="285" customWidth="1"/>
    <col min="8197" max="8197" width="24" style="285" customWidth="1"/>
    <col min="8198" max="8198" width="17.26953125" style="285" customWidth="1"/>
    <col min="8199" max="8199" width="18.26953125" style="285" customWidth="1"/>
    <col min="8200" max="8200" width="19.453125" style="285" customWidth="1"/>
    <col min="8201" max="8201" width="20.7265625" style="285" customWidth="1"/>
    <col min="8202" max="8202" width="32" style="285" customWidth="1"/>
    <col min="8203" max="8203" width="30.26953125" style="285" customWidth="1"/>
    <col min="8204" max="8204" width="23.54296875" style="285" customWidth="1"/>
    <col min="8205" max="8205" width="22.7265625" style="285" customWidth="1"/>
    <col min="8206" max="8206" width="29" style="285" customWidth="1"/>
    <col min="8207" max="8207" width="25.54296875" style="285" customWidth="1"/>
    <col min="8208" max="8208" width="28.26953125" style="285" customWidth="1"/>
    <col min="8209" max="8209" width="17.7265625" style="285" customWidth="1"/>
    <col min="8210" max="8210" width="24.7265625" style="285" customWidth="1"/>
    <col min="8211" max="8211" width="26" style="285" customWidth="1"/>
    <col min="8212" max="8212" width="22.7265625" style="285" customWidth="1"/>
    <col min="8213" max="8213" width="40.26953125" style="285" customWidth="1"/>
    <col min="8214" max="8214" width="9" style="285"/>
    <col min="8215" max="8215" width="30.453125" style="285" customWidth="1"/>
    <col min="8216" max="8218" width="9" style="285"/>
    <col min="8219" max="8219" width="21.453125" style="285" customWidth="1"/>
    <col min="8220" max="8448" width="9" style="285"/>
    <col min="8449" max="8449" width="9.7265625" style="285" customWidth="1"/>
    <col min="8450" max="8450" width="47.26953125" style="285" customWidth="1"/>
    <col min="8451" max="8451" width="13.26953125" style="285" customWidth="1"/>
    <col min="8452" max="8452" width="26" style="285" customWidth="1"/>
    <col min="8453" max="8453" width="24" style="285" customWidth="1"/>
    <col min="8454" max="8454" width="17.26953125" style="285" customWidth="1"/>
    <col min="8455" max="8455" width="18.26953125" style="285" customWidth="1"/>
    <col min="8456" max="8456" width="19.453125" style="285" customWidth="1"/>
    <col min="8457" max="8457" width="20.7265625" style="285" customWidth="1"/>
    <col min="8458" max="8458" width="32" style="285" customWidth="1"/>
    <col min="8459" max="8459" width="30.26953125" style="285" customWidth="1"/>
    <col min="8460" max="8460" width="23.54296875" style="285" customWidth="1"/>
    <col min="8461" max="8461" width="22.7265625" style="285" customWidth="1"/>
    <col min="8462" max="8462" width="29" style="285" customWidth="1"/>
    <col min="8463" max="8463" width="25.54296875" style="285" customWidth="1"/>
    <col min="8464" max="8464" width="28.26953125" style="285" customWidth="1"/>
    <col min="8465" max="8465" width="17.7265625" style="285" customWidth="1"/>
    <col min="8466" max="8466" width="24.7265625" style="285" customWidth="1"/>
    <col min="8467" max="8467" width="26" style="285" customWidth="1"/>
    <col min="8468" max="8468" width="22.7265625" style="285" customWidth="1"/>
    <col min="8469" max="8469" width="40.26953125" style="285" customWidth="1"/>
    <col min="8470" max="8470" width="9" style="285"/>
    <col min="8471" max="8471" width="30.453125" style="285" customWidth="1"/>
    <col min="8472" max="8474" width="9" style="285"/>
    <col min="8475" max="8475" width="21.453125" style="285" customWidth="1"/>
    <col min="8476" max="8704" width="9" style="285"/>
    <col min="8705" max="8705" width="9.7265625" style="285" customWidth="1"/>
    <col min="8706" max="8706" width="47.26953125" style="285" customWidth="1"/>
    <col min="8707" max="8707" width="13.26953125" style="285" customWidth="1"/>
    <col min="8708" max="8708" width="26" style="285" customWidth="1"/>
    <col min="8709" max="8709" width="24" style="285" customWidth="1"/>
    <col min="8710" max="8710" width="17.26953125" style="285" customWidth="1"/>
    <col min="8711" max="8711" width="18.26953125" style="285" customWidth="1"/>
    <col min="8712" max="8712" width="19.453125" style="285" customWidth="1"/>
    <col min="8713" max="8713" width="20.7265625" style="285" customWidth="1"/>
    <col min="8714" max="8714" width="32" style="285" customWidth="1"/>
    <col min="8715" max="8715" width="30.26953125" style="285" customWidth="1"/>
    <col min="8716" max="8716" width="23.54296875" style="285" customWidth="1"/>
    <col min="8717" max="8717" width="22.7265625" style="285" customWidth="1"/>
    <col min="8718" max="8718" width="29" style="285" customWidth="1"/>
    <col min="8719" max="8719" width="25.54296875" style="285" customWidth="1"/>
    <col min="8720" max="8720" width="28.26953125" style="285" customWidth="1"/>
    <col min="8721" max="8721" width="17.7265625" style="285" customWidth="1"/>
    <col min="8722" max="8722" width="24.7265625" style="285" customWidth="1"/>
    <col min="8723" max="8723" width="26" style="285" customWidth="1"/>
    <col min="8724" max="8724" width="22.7265625" style="285" customWidth="1"/>
    <col min="8725" max="8725" width="40.26953125" style="285" customWidth="1"/>
    <col min="8726" max="8726" width="9" style="285"/>
    <col min="8727" max="8727" width="30.453125" style="285" customWidth="1"/>
    <col min="8728" max="8730" width="9" style="285"/>
    <col min="8731" max="8731" width="21.453125" style="285" customWidth="1"/>
    <col min="8732" max="8960" width="9" style="285"/>
    <col min="8961" max="8961" width="9.7265625" style="285" customWidth="1"/>
    <col min="8962" max="8962" width="47.26953125" style="285" customWidth="1"/>
    <col min="8963" max="8963" width="13.26953125" style="285" customWidth="1"/>
    <col min="8964" max="8964" width="26" style="285" customWidth="1"/>
    <col min="8965" max="8965" width="24" style="285" customWidth="1"/>
    <col min="8966" max="8966" width="17.26953125" style="285" customWidth="1"/>
    <col min="8967" max="8967" width="18.26953125" style="285" customWidth="1"/>
    <col min="8968" max="8968" width="19.453125" style="285" customWidth="1"/>
    <col min="8969" max="8969" width="20.7265625" style="285" customWidth="1"/>
    <col min="8970" max="8970" width="32" style="285" customWidth="1"/>
    <col min="8971" max="8971" width="30.26953125" style="285" customWidth="1"/>
    <col min="8972" max="8972" width="23.54296875" style="285" customWidth="1"/>
    <col min="8973" max="8973" width="22.7265625" style="285" customWidth="1"/>
    <col min="8974" max="8974" width="29" style="285" customWidth="1"/>
    <col min="8975" max="8975" width="25.54296875" style="285" customWidth="1"/>
    <col min="8976" max="8976" width="28.26953125" style="285" customWidth="1"/>
    <col min="8977" max="8977" width="17.7265625" style="285" customWidth="1"/>
    <col min="8978" max="8978" width="24.7265625" style="285" customWidth="1"/>
    <col min="8979" max="8979" width="26" style="285" customWidth="1"/>
    <col min="8980" max="8980" width="22.7265625" style="285" customWidth="1"/>
    <col min="8981" max="8981" width="40.26953125" style="285" customWidth="1"/>
    <col min="8982" max="8982" width="9" style="285"/>
    <col min="8983" max="8983" width="30.453125" style="285" customWidth="1"/>
    <col min="8984" max="8986" width="9" style="285"/>
    <col min="8987" max="8987" width="21.453125" style="285" customWidth="1"/>
    <col min="8988" max="9216" width="9" style="285"/>
    <col min="9217" max="9217" width="9.7265625" style="285" customWidth="1"/>
    <col min="9218" max="9218" width="47.26953125" style="285" customWidth="1"/>
    <col min="9219" max="9219" width="13.26953125" style="285" customWidth="1"/>
    <col min="9220" max="9220" width="26" style="285" customWidth="1"/>
    <col min="9221" max="9221" width="24" style="285" customWidth="1"/>
    <col min="9222" max="9222" width="17.26953125" style="285" customWidth="1"/>
    <col min="9223" max="9223" width="18.26953125" style="285" customWidth="1"/>
    <col min="9224" max="9224" width="19.453125" style="285" customWidth="1"/>
    <col min="9225" max="9225" width="20.7265625" style="285" customWidth="1"/>
    <col min="9226" max="9226" width="32" style="285" customWidth="1"/>
    <col min="9227" max="9227" width="30.26953125" style="285" customWidth="1"/>
    <col min="9228" max="9228" width="23.54296875" style="285" customWidth="1"/>
    <col min="9229" max="9229" width="22.7265625" style="285" customWidth="1"/>
    <col min="9230" max="9230" width="29" style="285" customWidth="1"/>
    <col min="9231" max="9231" width="25.54296875" style="285" customWidth="1"/>
    <col min="9232" max="9232" width="28.26953125" style="285" customWidth="1"/>
    <col min="9233" max="9233" width="17.7265625" style="285" customWidth="1"/>
    <col min="9234" max="9234" width="24.7265625" style="285" customWidth="1"/>
    <col min="9235" max="9235" width="26" style="285" customWidth="1"/>
    <col min="9236" max="9236" width="22.7265625" style="285" customWidth="1"/>
    <col min="9237" max="9237" width="40.26953125" style="285" customWidth="1"/>
    <col min="9238" max="9238" width="9" style="285"/>
    <col min="9239" max="9239" width="30.453125" style="285" customWidth="1"/>
    <col min="9240" max="9242" width="9" style="285"/>
    <col min="9243" max="9243" width="21.453125" style="285" customWidth="1"/>
    <col min="9244" max="9472" width="9" style="285"/>
    <col min="9473" max="9473" width="9.7265625" style="285" customWidth="1"/>
    <col min="9474" max="9474" width="47.26953125" style="285" customWidth="1"/>
    <col min="9475" max="9475" width="13.26953125" style="285" customWidth="1"/>
    <col min="9476" max="9476" width="26" style="285" customWidth="1"/>
    <col min="9477" max="9477" width="24" style="285" customWidth="1"/>
    <col min="9478" max="9478" width="17.26953125" style="285" customWidth="1"/>
    <col min="9479" max="9479" width="18.26953125" style="285" customWidth="1"/>
    <col min="9480" max="9480" width="19.453125" style="285" customWidth="1"/>
    <col min="9481" max="9481" width="20.7265625" style="285" customWidth="1"/>
    <col min="9482" max="9482" width="32" style="285" customWidth="1"/>
    <col min="9483" max="9483" width="30.26953125" style="285" customWidth="1"/>
    <col min="9484" max="9484" width="23.54296875" style="285" customWidth="1"/>
    <col min="9485" max="9485" width="22.7265625" style="285" customWidth="1"/>
    <col min="9486" max="9486" width="29" style="285" customWidth="1"/>
    <col min="9487" max="9487" width="25.54296875" style="285" customWidth="1"/>
    <col min="9488" max="9488" width="28.26953125" style="285" customWidth="1"/>
    <col min="9489" max="9489" width="17.7265625" style="285" customWidth="1"/>
    <col min="9490" max="9490" width="24.7265625" style="285" customWidth="1"/>
    <col min="9491" max="9491" width="26" style="285" customWidth="1"/>
    <col min="9492" max="9492" width="22.7265625" style="285" customWidth="1"/>
    <col min="9493" max="9493" width="40.26953125" style="285" customWidth="1"/>
    <col min="9494" max="9494" width="9" style="285"/>
    <col min="9495" max="9495" width="30.453125" style="285" customWidth="1"/>
    <col min="9496" max="9498" width="9" style="285"/>
    <col min="9499" max="9499" width="21.453125" style="285" customWidth="1"/>
    <col min="9500" max="9728" width="9" style="285"/>
    <col min="9729" max="9729" width="9.7265625" style="285" customWidth="1"/>
    <col min="9730" max="9730" width="47.26953125" style="285" customWidth="1"/>
    <col min="9731" max="9731" width="13.26953125" style="285" customWidth="1"/>
    <col min="9732" max="9732" width="26" style="285" customWidth="1"/>
    <col min="9733" max="9733" width="24" style="285" customWidth="1"/>
    <col min="9734" max="9734" width="17.26953125" style="285" customWidth="1"/>
    <col min="9735" max="9735" width="18.26953125" style="285" customWidth="1"/>
    <col min="9736" max="9736" width="19.453125" style="285" customWidth="1"/>
    <col min="9737" max="9737" width="20.7265625" style="285" customWidth="1"/>
    <col min="9738" max="9738" width="32" style="285" customWidth="1"/>
    <col min="9739" max="9739" width="30.26953125" style="285" customWidth="1"/>
    <col min="9740" max="9740" width="23.54296875" style="285" customWidth="1"/>
    <col min="9741" max="9741" width="22.7265625" style="285" customWidth="1"/>
    <col min="9742" max="9742" width="29" style="285" customWidth="1"/>
    <col min="9743" max="9743" width="25.54296875" style="285" customWidth="1"/>
    <col min="9744" max="9744" width="28.26953125" style="285" customWidth="1"/>
    <col min="9745" max="9745" width="17.7265625" style="285" customWidth="1"/>
    <col min="9746" max="9746" width="24.7265625" style="285" customWidth="1"/>
    <col min="9747" max="9747" width="26" style="285" customWidth="1"/>
    <col min="9748" max="9748" width="22.7265625" style="285" customWidth="1"/>
    <col min="9749" max="9749" width="40.26953125" style="285" customWidth="1"/>
    <col min="9750" max="9750" width="9" style="285"/>
    <col min="9751" max="9751" width="30.453125" style="285" customWidth="1"/>
    <col min="9752" max="9754" width="9" style="285"/>
    <col min="9755" max="9755" width="21.453125" style="285" customWidth="1"/>
    <col min="9756" max="9984" width="9" style="285"/>
    <col min="9985" max="9985" width="9.7265625" style="285" customWidth="1"/>
    <col min="9986" max="9986" width="47.26953125" style="285" customWidth="1"/>
    <col min="9987" max="9987" width="13.26953125" style="285" customWidth="1"/>
    <col min="9988" max="9988" width="26" style="285" customWidth="1"/>
    <col min="9989" max="9989" width="24" style="285" customWidth="1"/>
    <col min="9990" max="9990" width="17.26953125" style="285" customWidth="1"/>
    <col min="9991" max="9991" width="18.26953125" style="285" customWidth="1"/>
    <col min="9992" max="9992" width="19.453125" style="285" customWidth="1"/>
    <col min="9993" max="9993" width="20.7265625" style="285" customWidth="1"/>
    <col min="9994" max="9994" width="32" style="285" customWidth="1"/>
    <col min="9995" max="9995" width="30.26953125" style="285" customWidth="1"/>
    <col min="9996" max="9996" width="23.54296875" style="285" customWidth="1"/>
    <col min="9997" max="9997" width="22.7265625" style="285" customWidth="1"/>
    <col min="9998" max="9998" width="29" style="285" customWidth="1"/>
    <col min="9999" max="9999" width="25.54296875" style="285" customWidth="1"/>
    <col min="10000" max="10000" width="28.26953125" style="285" customWidth="1"/>
    <col min="10001" max="10001" width="17.7265625" style="285" customWidth="1"/>
    <col min="10002" max="10002" width="24.7265625" style="285" customWidth="1"/>
    <col min="10003" max="10003" width="26" style="285" customWidth="1"/>
    <col min="10004" max="10004" width="22.7265625" style="285" customWidth="1"/>
    <col min="10005" max="10005" width="40.26953125" style="285" customWidth="1"/>
    <col min="10006" max="10006" width="9" style="285"/>
    <col min="10007" max="10007" width="30.453125" style="285" customWidth="1"/>
    <col min="10008" max="10010" width="9" style="285"/>
    <col min="10011" max="10011" width="21.453125" style="285" customWidth="1"/>
    <col min="10012" max="10240" width="9" style="285"/>
    <col min="10241" max="10241" width="9.7265625" style="285" customWidth="1"/>
    <col min="10242" max="10242" width="47.26953125" style="285" customWidth="1"/>
    <col min="10243" max="10243" width="13.26953125" style="285" customWidth="1"/>
    <col min="10244" max="10244" width="26" style="285" customWidth="1"/>
    <col min="10245" max="10245" width="24" style="285" customWidth="1"/>
    <col min="10246" max="10246" width="17.26953125" style="285" customWidth="1"/>
    <col min="10247" max="10247" width="18.26953125" style="285" customWidth="1"/>
    <col min="10248" max="10248" width="19.453125" style="285" customWidth="1"/>
    <col min="10249" max="10249" width="20.7265625" style="285" customWidth="1"/>
    <col min="10250" max="10250" width="32" style="285" customWidth="1"/>
    <col min="10251" max="10251" width="30.26953125" style="285" customWidth="1"/>
    <col min="10252" max="10252" width="23.54296875" style="285" customWidth="1"/>
    <col min="10253" max="10253" width="22.7265625" style="285" customWidth="1"/>
    <col min="10254" max="10254" width="29" style="285" customWidth="1"/>
    <col min="10255" max="10255" width="25.54296875" style="285" customWidth="1"/>
    <col min="10256" max="10256" width="28.26953125" style="285" customWidth="1"/>
    <col min="10257" max="10257" width="17.7265625" style="285" customWidth="1"/>
    <col min="10258" max="10258" width="24.7265625" style="285" customWidth="1"/>
    <col min="10259" max="10259" width="26" style="285" customWidth="1"/>
    <col min="10260" max="10260" width="22.7265625" style="285" customWidth="1"/>
    <col min="10261" max="10261" width="40.26953125" style="285" customWidth="1"/>
    <col min="10262" max="10262" width="9" style="285"/>
    <col min="10263" max="10263" width="30.453125" style="285" customWidth="1"/>
    <col min="10264" max="10266" width="9" style="285"/>
    <col min="10267" max="10267" width="21.453125" style="285" customWidth="1"/>
    <col min="10268" max="10496" width="9" style="285"/>
    <col min="10497" max="10497" width="9.7265625" style="285" customWidth="1"/>
    <col min="10498" max="10498" width="47.26953125" style="285" customWidth="1"/>
    <col min="10499" max="10499" width="13.26953125" style="285" customWidth="1"/>
    <col min="10500" max="10500" width="26" style="285" customWidth="1"/>
    <col min="10501" max="10501" width="24" style="285" customWidth="1"/>
    <col min="10502" max="10502" width="17.26953125" style="285" customWidth="1"/>
    <col min="10503" max="10503" width="18.26953125" style="285" customWidth="1"/>
    <col min="10504" max="10504" width="19.453125" style="285" customWidth="1"/>
    <col min="10505" max="10505" width="20.7265625" style="285" customWidth="1"/>
    <col min="10506" max="10506" width="32" style="285" customWidth="1"/>
    <col min="10507" max="10507" width="30.26953125" style="285" customWidth="1"/>
    <col min="10508" max="10508" width="23.54296875" style="285" customWidth="1"/>
    <col min="10509" max="10509" width="22.7265625" style="285" customWidth="1"/>
    <col min="10510" max="10510" width="29" style="285" customWidth="1"/>
    <col min="10511" max="10511" width="25.54296875" style="285" customWidth="1"/>
    <col min="10512" max="10512" width="28.26953125" style="285" customWidth="1"/>
    <col min="10513" max="10513" width="17.7265625" style="285" customWidth="1"/>
    <col min="10514" max="10514" width="24.7265625" style="285" customWidth="1"/>
    <col min="10515" max="10515" width="26" style="285" customWidth="1"/>
    <col min="10516" max="10516" width="22.7265625" style="285" customWidth="1"/>
    <col min="10517" max="10517" width="40.26953125" style="285" customWidth="1"/>
    <col min="10518" max="10518" width="9" style="285"/>
    <col min="10519" max="10519" width="30.453125" style="285" customWidth="1"/>
    <col min="10520" max="10522" width="9" style="285"/>
    <col min="10523" max="10523" width="21.453125" style="285" customWidth="1"/>
    <col min="10524" max="10752" width="9" style="285"/>
    <col min="10753" max="10753" width="9.7265625" style="285" customWidth="1"/>
    <col min="10754" max="10754" width="47.26953125" style="285" customWidth="1"/>
    <col min="10755" max="10755" width="13.26953125" style="285" customWidth="1"/>
    <col min="10756" max="10756" width="26" style="285" customWidth="1"/>
    <col min="10757" max="10757" width="24" style="285" customWidth="1"/>
    <col min="10758" max="10758" width="17.26953125" style="285" customWidth="1"/>
    <col min="10759" max="10759" width="18.26953125" style="285" customWidth="1"/>
    <col min="10760" max="10760" width="19.453125" style="285" customWidth="1"/>
    <col min="10761" max="10761" width="20.7265625" style="285" customWidth="1"/>
    <col min="10762" max="10762" width="32" style="285" customWidth="1"/>
    <col min="10763" max="10763" width="30.26953125" style="285" customWidth="1"/>
    <col min="10764" max="10764" width="23.54296875" style="285" customWidth="1"/>
    <col min="10765" max="10765" width="22.7265625" style="285" customWidth="1"/>
    <col min="10766" max="10766" width="29" style="285" customWidth="1"/>
    <col min="10767" max="10767" width="25.54296875" style="285" customWidth="1"/>
    <col min="10768" max="10768" width="28.26953125" style="285" customWidth="1"/>
    <col min="10769" max="10769" width="17.7265625" style="285" customWidth="1"/>
    <col min="10770" max="10770" width="24.7265625" style="285" customWidth="1"/>
    <col min="10771" max="10771" width="26" style="285" customWidth="1"/>
    <col min="10772" max="10772" width="22.7265625" style="285" customWidth="1"/>
    <col min="10773" max="10773" width="40.26953125" style="285" customWidth="1"/>
    <col min="10774" max="10774" width="9" style="285"/>
    <col min="10775" max="10775" width="30.453125" style="285" customWidth="1"/>
    <col min="10776" max="10778" width="9" style="285"/>
    <col min="10779" max="10779" width="21.453125" style="285" customWidth="1"/>
    <col min="10780" max="11008" width="9" style="285"/>
    <col min="11009" max="11009" width="9.7265625" style="285" customWidth="1"/>
    <col min="11010" max="11010" width="47.26953125" style="285" customWidth="1"/>
    <col min="11011" max="11011" width="13.26953125" style="285" customWidth="1"/>
    <col min="11012" max="11012" width="26" style="285" customWidth="1"/>
    <col min="11013" max="11013" width="24" style="285" customWidth="1"/>
    <col min="11014" max="11014" width="17.26953125" style="285" customWidth="1"/>
    <col min="11015" max="11015" width="18.26953125" style="285" customWidth="1"/>
    <col min="11016" max="11016" width="19.453125" style="285" customWidth="1"/>
    <col min="11017" max="11017" width="20.7265625" style="285" customWidth="1"/>
    <col min="11018" max="11018" width="32" style="285" customWidth="1"/>
    <col min="11019" max="11019" width="30.26953125" style="285" customWidth="1"/>
    <col min="11020" max="11020" width="23.54296875" style="285" customWidth="1"/>
    <col min="11021" max="11021" width="22.7265625" style="285" customWidth="1"/>
    <col min="11022" max="11022" width="29" style="285" customWidth="1"/>
    <col min="11023" max="11023" width="25.54296875" style="285" customWidth="1"/>
    <col min="11024" max="11024" width="28.26953125" style="285" customWidth="1"/>
    <col min="11025" max="11025" width="17.7265625" style="285" customWidth="1"/>
    <col min="11026" max="11026" width="24.7265625" style="285" customWidth="1"/>
    <col min="11027" max="11027" width="26" style="285" customWidth="1"/>
    <col min="11028" max="11028" width="22.7265625" style="285" customWidth="1"/>
    <col min="11029" max="11029" width="40.26953125" style="285" customWidth="1"/>
    <col min="11030" max="11030" width="9" style="285"/>
    <col min="11031" max="11031" width="30.453125" style="285" customWidth="1"/>
    <col min="11032" max="11034" width="9" style="285"/>
    <col min="11035" max="11035" width="21.453125" style="285" customWidth="1"/>
    <col min="11036" max="11264" width="9" style="285"/>
    <col min="11265" max="11265" width="9.7265625" style="285" customWidth="1"/>
    <col min="11266" max="11266" width="47.26953125" style="285" customWidth="1"/>
    <col min="11267" max="11267" width="13.26953125" style="285" customWidth="1"/>
    <col min="11268" max="11268" width="26" style="285" customWidth="1"/>
    <col min="11269" max="11269" width="24" style="285" customWidth="1"/>
    <col min="11270" max="11270" width="17.26953125" style="285" customWidth="1"/>
    <col min="11271" max="11271" width="18.26953125" style="285" customWidth="1"/>
    <col min="11272" max="11272" width="19.453125" style="285" customWidth="1"/>
    <col min="11273" max="11273" width="20.7265625" style="285" customWidth="1"/>
    <col min="11274" max="11274" width="32" style="285" customWidth="1"/>
    <col min="11275" max="11275" width="30.26953125" style="285" customWidth="1"/>
    <col min="11276" max="11276" width="23.54296875" style="285" customWidth="1"/>
    <col min="11277" max="11277" width="22.7265625" style="285" customWidth="1"/>
    <col min="11278" max="11278" width="29" style="285" customWidth="1"/>
    <col min="11279" max="11279" width="25.54296875" style="285" customWidth="1"/>
    <col min="11280" max="11280" width="28.26953125" style="285" customWidth="1"/>
    <col min="11281" max="11281" width="17.7265625" style="285" customWidth="1"/>
    <col min="11282" max="11282" width="24.7265625" style="285" customWidth="1"/>
    <col min="11283" max="11283" width="26" style="285" customWidth="1"/>
    <col min="11284" max="11284" width="22.7265625" style="285" customWidth="1"/>
    <col min="11285" max="11285" width="40.26953125" style="285" customWidth="1"/>
    <col min="11286" max="11286" width="9" style="285"/>
    <col min="11287" max="11287" width="30.453125" style="285" customWidth="1"/>
    <col min="11288" max="11290" width="9" style="285"/>
    <col min="11291" max="11291" width="21.453125" style="285" customWidth="1"/>
    <col min="11292" max="11520" width="9" style="285"/>
    <col min="11521" max="11521" width="9.7265625" style="285" customWidth="1"/>
    <col min="11522" max="11522" width="47.26953125" style="285" customWidth="1"/>
    <col min="11523" max="11523" width="13.26953125" style="285" customWidth="1"/>
    <col min="11524" max="11524" width="26" style="285" customWidth="1"/>
    <col min="11525" max="11525" width="24" style="285" customWidth="1"/>
    <col min="11526" max="11526" width="17.26953125" style="285" customWidth="1"/>
    <col min="11527" max="11527" width="18.26953125" style="285" customWidth="1"/>
    <col min="11528" max="11528" width="19.453125" style="285" customWidth="1"/>
    <col min="11529" max="11529" width="20.7265625" style="285" customWidth="1"/>
    <col min="11530" max="11530" width="32" style="285" customWidth="1"/>
    <col min="11531" max="11531" width="30.26953125" style="285" customWidth="1"/>
    <col min="11532" max="11532" width="23.54296875" style="285" customWidth="1"/>
    <col min="11533" max="11533" width="22.7265625" style="285" customWidth="1"/>
    <col min="11534" max="11534" width="29" style="285" customWidth="1"/>
    <col min="11535" max="11535" width="25.54296875" style="285" customWidth="1"/>
    <col min="11536" max="11536" width="28.26953125" style="285" customWidth="1"/>
    <col min="11537" max="11537" width="17.7265625" style="285" customWidth="1"/>
    <col min="11538" max="11538" width="24.7265625" style="285" customWidth="1"/>
    <col min="11539" max="11539" width="26" style="285" customWidth="1"/>
    <col min="11540" max="11540" width="22.7265625" style="285" customWidth="1"/>
    <col min="11541" max="11541" width="40.26953125" style="285" customWidth="1"/>
    <col min="11542" max="11542" width="9" style="285"/>
    <col min="11543" max="11543" width="30.453125" style="285" customWidth="1"/>
    <col min="11544" max="11546" width="9" style="285"/>
    <col min="11547" max="11547" width="21.453125" style="285" customWidth="1"/>
    <col min="11548" max="11776" width="9" style="285"/>
    <col min="11777" max="11777" width="9.7265625" style="285" customWidth="1"/>
    <col min="11778" max="11778" width="47.26953125" style="285" customWidth="1"/>
    <col min="11779" max="11779" width="13.26953125" style="285" customWidth="1"/>
    <col min="11780" max="11780" width="26" style="285" customWidth="1"/>
    <col min="11781" max="11781" width="24" style="285" customWidth="1"/>
    <col min="11782" max="11782" width="17.26953125" style="285" customWidth="1"/>
    <col min="11783" max="11783" width="18.26953125" style="285" customWidth="1"/>
    <col min="11784" max="11784" width="19.453125" style="285" customWidth="1"/>
    <col min="11785" max="11785" width="20.7265625" style="285" customWidth="1"/>
    <col min="11786" max="11786" width="32" style="285" customWidth="1"/>
    <col min="11787" max="11787" width="30.26953125" style="285" customWidth="1"/>
    <col min="11788" max="11788" width="23.54296875" style="285" customWidth="1"/>
    <col min="11789" max="11789" width="22.7265625" style="285" customWidth="1"/>
    <col min="11790" max="11790" width="29" style="285" customWidth="1"/>
    <col min="11791" max="11791" width="25.54296875" style="285" customWidth="1"/>
    <col min="11792" max="11792" width="28.26953125" style="285" customWidth="1"/>
    <col min="11793" max="11793" width="17.7265625" style="285" customWidth="1"/>
    <col min="11794" max="11794" width="24.7265625" style="285" customWidth="1"/>
    <col min="11795" max="11795" width="26" style="285" customWidth="1"/>
    <col min="11796" max="11796" width="22.7265625" style="285" customWidth="1"/>
    <col min="11797" max="11797" width="40.26953125" style="285" customWidth="1"/>
    <col min="11798" max="11798" width="9" style="285"/>
    <col min="11799" max="11799" width="30.453125" style="285" customWidth="1"/>
    <col min="11800" max="11802" width="9" style="285"/>
    <col min="11803" max="11803" width="21.453125" style="285" customWidth="1"/>
    <col min="11804" max="12032" width="9" style="285"/>
    <col min="12033" max="12033" width="9.7265625" style="285" customWidth="1"/>
    <col min="12034" max="12034" width="47.26953125" style="285" customWidth="1"/>
    <col min="12035" max="12035" width="13.26953125" style="285" customWidth="1"/>
    <col min="12036" max="12036" width="26" style="285" customWidth="1"/>
    <col min="12037" max="12037" width="24" style="285" customWidth="1"/>
    <col min="12038" max="12038" width="17.26953125" style="285" customWidth="1"/>
    <col min="12039" max="12039" width="18.26953125" style="285" customWidth="1"/>
    <col min="12040" max="12040" width="19.453125" style="285" customWidth="1"/>
    <col min="12041" max="12041" width="20.7265625" style="285" customWidth="1"/>
    <col min="12042" max="12042" width="32" style="285" customWidth="1"/>
    <col min="12043" max="12043" width="30.26953125" style="285" customWidth="1"/>
    <col min="12044" max="12044" width="23.54296875" style="285" customWidth="1"/>
    <col min="12045" max="12045" width="22.7265625" style="285" customWidth="1"/>
    <col min="12046" max="12046" width="29" style="285" customWidth="1"/>
    <col min="12047" max="12047" width="25.54296875" style="285" customWidth="1"/>
    <col min="12048" max="12048" width="28.26953125" style="285" customWidth="1"/>
    <col min="12049" max="12049" width="17.7265625" style="285" customWidth="1"/>
    <col min="12050" max="12050" width="24.7265625" style="285" customWidth="1"/>
    <col min="12051" max="12051" width="26" style="285" customWidth="1"/>
    <col min="12052" max="12052" width="22.7265625" style="285" customWidth="1"/>
    <col min="12053" max="12053" width="40.26953125" style="285" customWidth="1"/>
    <col min="12054" max="12054" width="9" style="285"/>
    <col min="12055" max="12055" width="30.453125" style="285" customWidth="1"/>
    <col min="12056" max="12058" width="9" style="285"/>
    <col min="12059" max="12059" width="21.453125" style="285" customWidth="1"/>
    <col min="12060" max="12288" width="9" style="285"/>
    <col min="12289" max="12289" width="9.7265625" style="285" customWidth="1"/>
    <col min="12290" max="12290" width="47.26953125" style="285" customWidth="1"/>
    <col min="12291" max="12291" width="13.26953125" style="285" customWidth="1"/>
    <col min="12292" max="12292" width="26" style="285" customWidth="1"/>
    <col min="12293" max="12293" width="24" style="285" customWidth="1"/>
    <col min="12294" max="12294" width="17.26953125" style="285" customWidth="1"/>
    <col min="12295" max="12295" width="18.26953125" style="285" customWidth="1"/>
    <col min="12296" max="12296" width="19.453125" style="285" customWidth="1"/>
    <col min="12297" max="12297" width="20.7265625" style="285" customWidth="1"/>
    <col min="12298" max="12298" width="32" style="285" customWidth="1"/>
    <col min="12299" max="12299" width="30.26953125" style="285" customWidth="1"/>
    <col min="12300" max="12300" width="23.54296875" style="285" customWidth="1"/>
    <col min="12301" max="12301" width="22.7265625" style="285" customWidth="1"/>
    <col min="12302" max="12302" width="29" style="285" customWidth="1"/>
    <col min="12303" max="12303" width="25.54296875" style="285" customWidth="1"/>
    <col min="12304" max="12304" width="28.26953125" style="285" customWidth="1"/>
    <col min="12305" max="12305" width="17.7265625" style="285" customWidth="1"/>
    <col min="12306" max="12306" width="24.7265625" style="285" customWidth="1"/>
    <col min="12307" max="12307" width="26" style="285" customWidth="1"/>
    <col min="12308" max="12308" width="22.7265625" style="285" customWidth="1"/>
    <col min="12309" max="12309" width="40.26953125" style="285" customWidth="1"/>
    <col min="12310" max="12310" width="9" style="285"/>
    <col min="12311" max="12311" width="30.453125" style="285" customWidth="1"/>
    <col min="12312" max="12314" width="9" style="285"/>
    <col min="12315" max="12315" width="21.453125" style="285" customWidth="1"/>
    <col min="12316" max="12544" width="9" style="285"/>
    <col min="12545" max="12545" width="9.7265625" style="285" customWidth="1"/>
    <col min="12546" max="12546" width="47.26953125" style="285" customWidth="1"/>
    <col min="12547" max="12547" width="13.26953125" style="285" customWidth="1"/>
    <col min="12548" max="12548" width="26" style="285" customWidth="1"/>
    <col min="12549" max="12549" width="24" style="285" customWidth="1"/>
    <col min="12550" max="12550" width="17.26953125" style="285" customWidth="1"/>
    <col min="12551" max="12551" width="18.26953125" style="285" customWidth="1"/>
    <col min="12552" max="12552" width="19.453125" style="285" customWidth="1"/>
    <col min="12553" max="12553" width="20.7265625" style="285" customWidth="1"/>
    <col min="12554" max="12554" width="32" style="285" customWidth="1"/>
    <col min="12555" max="12555" width="30.26953125" style="285" customWidth="1"/>
    <col min="12556" max="12556" width="23.54296875" style="285" customWidth="1"/>
    <col min="12557" max="12557" width="22.7265625" style="285" customWidth="1"/>
    <col min="12558" max="12558" width="29" style="285" customWidth="1"/>
    <col min="12559" max="12559" width="25.54296875" style="285" customWidth="1"/>
    <col min="12560" max="12560" width="28.26953125" style="285" customWidth="1"/>
    <col min="12561" max="12561" width="17.7265625" style="285" customWidth="1"/>
    <col min="12562" max="12562" width="24.7265625" style="285" customWidth="1"/>
    <col min="12563" max="12563" width="26" style="285" customWidth="1"/>
    <col min="12564" max="12564" width="22.7265625" style="285" customWidth="1"/>
    <col min="12565" max="12565" width="40.26953125" style="285" customWidth="1"/>
    <col min="12566" max="12566" width="9" style="285"/>
    <col min="12567" max="12567" width="30.453125" style="285" customWidth="1"/>
    <col min="12568" max="12570" width="9" style="285"/>
    <col min="12571" max="12571" width="21.453125" style="285" customWidth="1"/>
    <col min="12572" max="12800" width="9" style="285"/>
    <col min="12801" max="12801" width="9.7265625" style="285" customWidth="1"/>
    <col min="12802" max="12802" width="47.26953125" style="285" customWidth="1"/>
    <col min="12803" max="12803" width="13.26953125" style="285" customWidth="1"/>
    <col min="12804" max="12804" width="26" style="285" customWidth="1"/>
    <col min="12805" max="12805" width="24" style="285" customWidth="1"/>
    <col min="12806" max="12806" width="17.26953125" style="285" customWidth="1"/>
    <col min="12807" max="12807" width="18.26953125" style="285" customWidth="1"/>
    <col min="12808" max="12808" width="19.453125" style="285" customWidth="1"/>
    <col min="12809" max="12809" width="20.7265625" style="285" customWidth="1"/>
    <col min="12810" max="12810" width="32" style="285" customWidth="1"/>
    <col min="12811" max="12811" width="30.26953125" style="285" customWidth="1"/>
    <col min="12812" max="12812" width="23.54296875" style="285" customWidth="1"/>
    <col min="12813" max="12813" width="22.7265625" style="285" customWidth="1"/>
    <col min="12814" max="12814" width="29" style="285" customWidth="1"/>
    <col min="12815" max="12815" width="25.54296875" style="285" customWidth="1"/>
    <col min="12816" max="12816" width="28.26953125" style="285" customWidth="1"/>
    <col min="12817" max="12817" width="17.7265625" style="285" customWidth="1"/>
    <col min="12818" max="12818" width="24.7265625" style="285" customWidth="1"/>
    <col min="12819" max="12819" width="26" style="285" customWidth="1"/>
    <col min="12820" max="12820" width="22.7265625" style="285" customWidth="1"/>
    <col min="12821" max="12821" width="40.26953125" style="285" customWidth="1"/>
    <col min="12822" max="12822" width="9" style="285"/>
    <col min="12823" max="12823" width="30.453125" style="285" customWidth="1"/>
    <col min="12824" max="12826" width="9" style="285"/>
    <col min="12827" max="12827" width="21.453125" style="285" customWidth="1"/>
    <col min="12828" max="13056" width="9" style="285"/>
    <col min="13057" max="13057" width="9.7265625" style="285" customWidth="1"/>
    <col min="13058" max="13058" width="47.26953125" style="285" customWidth="1"/>
    <col min="13059" max="13059" width="13.26953125" style="285" customWidth="1"/>
    <col min="13060" max="13060" width="26" style="285" customWidth="1"/>
    <col min="13061" max="13061" width="24" style="285" customWidth="1"/>
    <col min="13062" max="13062" width="17.26953125" style="285" customWidth="1"/>
    <col min="13063" max="13063" width="18.26953125" style="285" customWidth="1"/>
    <col min="13064" max="13064" width="19.453125" style="285" customWidth="1"/>
    <col min="13065" max="13065" width="20.7265625" style="285" customWidth="1"/>
    <col min="13066" max="13066" width="32" style="285" customWidth="1"/>
    <col min="13067" max="13067" width="30.26953125" style="285" customWidth="1"/>
    <col min="13068" max="13068" width="23.54296875" style="285" customWidth="1"/>
    <col min="13069" max="13069" width="22.7265625" style="285" customWidth="1"/>
    <col min="13070" max="13070" width="29" style="285" customWidth="1"/>
    <col min="13071" max="13071" width="25.54296875" style="285" customWidth="1"/>
    <col min="13072" max="13072" width="28.26953125" style="285" customWidth="1"/>
    <col min="13073" max="13073" width="17.7265625" style="285" customWidth="1"/>
    <col min="13074" max="13074" width="24.7265625" style="285" customWidth="1"/>
    <col min="13075" max="13075" width="26" style="285" customWidth="1"/>
    <col min="13076" max="13076" width="22.7265625" style="285" customWidth="1"/>
    <col min="13077" max="13077" width="40.26953125" style="285" customWidth="1"/>
    <col min="13078" max="13078" width="9" style="285"/>
    <col min="13079" max="13079" width="30.453125" style="285" customWidth="1"/>
    <col min="13080" max="13082" width="9" style="285"/>
    <col min="13083" max="13083" width="21.453125" style="285" customWidth="1"/>
    <col min="13084" max="13312" width="9" style="285"/>
    <col min="13313" max="13313" width="9.7265625" style="285" customWidth="1"/>
    <col min="13314" max="13314" width="47.26953125" style="285" customWidth="1"/>
    <col min="13315" max="13315" width="13.26953125" style="285" customWidth="1"/>
    <col min="13316" max="13316" width="26" style="285" customWidth="1"/>
    <col min="13317" max="13317" width="24" style="285" customWidth="1"/>
    <col min="13318" max="13318" width="17.26953125" style="285" customWidth="1"/>
    <col min="13319" max="13319" width="18.26953125" style="285" customWidth="1"/>
    <col min="13320" max="13320" width="19.453125" style="285" customWidth="1"/>
    <col min="13321" max="13321" width="20.7265625" style="285" customWidth="1"/>
    <col min="13322" max="13322" width="32" style="285" customWidth="1"/>
    <col min="13323" max="13323" width="30.26953125" style="285" customWidth="1"/>
    <col min="13324" max="13324" width="23.54296875" style="285" customWidth="1"/>
    <col min="13325" max="13325" width="22.7265625" style="285" customWidth="1"/>
    <col min="13326" max="13326" width="29" style="285" customWidth="1"/>
    <col min="13327" max="13327" width="25.54296875" style="285" customWidth="1"/>
    <col min="13328" max="13328" width="28.26953125" style="285" customWidth="1"/>
    <col min="13329" max="13329" width="17.7265625" style="285" customWidth="1"/>
    <col min="13330" max="13330" width="24.7265625" style="285" customWidth="1"/>
    <col min="13331" max="13331" width="26" style="285" customWidth="1"/>
    <col min="13332" max="13332" width="22.7265625" style="285" customWidth="1"/>
    <col min="13333" max="13333" width="40.26953125" style="285" customWidth="1"/>
    <col min="13334" max="13334" width="9" style="285"/>
    <col min="13335" max="13335" width="30.453125" style="285" customWidth="1"/>
    <col min="13336" max="13338" width="9" style="285"/>
    <col min="13339" max="13339" width="21.453125" style="285" customWidth="1"/>
    <col min="13340" max="13568" width="9" style="285"/>
    <col min="13569" max="13569" width="9.7265625" style="285" customWidth="1"/>
    <col min="13570" max="13570" width="47.26953125" style="285" customWidth="1"/>
    <col min="13571" max="13571" width="13.26953125" style="285" customWidth="1"/>
    <col min="13572" max="13572" width="26" style="285" customWidth="1"/>
    <col min="13573" max="13573" width="24" style="285" customWidth="1"/>
    <col min="13574" max="13574" width="17.26953125" style="285" customWidth="1"/>
    <col min="13575" max="13575" width="18.26953125" style="285" customWidth="1"/>
    <col min="13576" max="13576" width="19.453125" style="285" customWidth="1"/>
    <col min="13577" max="13577" width="20.7265625" style="285" customWidth="1"/>
    <col min="13578" max="13578" width="32" style="285" customWidth="1"/>
    <col min="13579" max="13579" width="30.26953125" style="285" customWidth="1"/>
    <col min="13580" max="13580" width="23.54296875" style="285" customWidth="1"/>
    <col min="13581" max="13581" width="22.7265625" style="285" customWidth="1"/>
    <col min="13582" max="13582" width="29" style="285" customWidth="1"/>
    <col min="13583" max="13583" width="25.54296875" style="285" customWidth="1"/>
    <col min="13584" max="13584" width="28.26953125" style="285" customWidth="1"/>
    <col min="13585" max="13585" width="17.7265625" style="285" customWidth="1"/>
    <col min="13586" max="13586" width="24.7265625" style="285" customWidth="1"/>
    <col min="13587" max="13587" width="26" style="285" customWidth="1"/>
    <col min="13588" max="13588" width="22.7265625" style="285" customWidth="1"/>
    <col min="13589" max="13589" width="40.26953125" style="285" customWidth="1"/>
    <col min="13590" max="13590" width="9" style="285"/>
    <col min="13591" max="13591" width="30.453125" style="285" customWidth="1"/>
    <col min="13592" max="13594" width="9" style="285"/>
    <col min="13595" max="13595" width="21.453125" style="285" customWidth="1"/>
    <col min="13596" max="13824" width="9" style="285"/>
    <col min="13825" max="13825" width="9.7265625" style="285" customWidth="1"/>
    <col min="13826" max="13826" width="47.26953125" style="285" customWidth="1"/>
    <col min="13827" max="13827" width="13.26953125" style="285" customWidth="1"/>
    <col min="13828" max="13828" width="26" style="285" customWidth="1"/>
    <col min="13829" max="13829" width="24" style="285" customWidth="1"/>
    <col min="13830" max="13830" width="17.26953125" style="285" customWidth="1"/>
    <col min="13831" max="13831" width="18.26953125" style="285" customWidth="1"/>
    <col min="13832" max="13832" width="19.453125" style="285" customWidth="1"/>
    <col min="13833" max="13833" width="20.7265625" style="285" customWidth="1"/>
    <col min="13834" max="13834" width="32" style="285" customWidth="1"/>
    <col min="13835" max="13835" width="30.26953125" style="285" customWidth="1"/>
    <col min="13836" max="13836" width="23.54296875" style="285" customWidth="1"/>
    <col min="13837" max="13837" width="22.7265625" style="285" customWidth="1"/>
    <col min="13838" max="13838" width="29" style="285" customWidth="1"/>
    <col min="13839" max="13839" width="25.54296875" style="285" customWidth="1"/>
    <col min="13840" max="13840" width="28.26953125" style="285" customWidth="1"/>
    <col min="13841" max="13841" width="17.7265625" style="285" customWidth="1"/>
    <col min="13842" max="13842" width="24.7265625" style="285" customWidth="1"/>
    <col min="13843" max="13843" width="26" style="285" customWidth="1"/>
    <col min="13844" max="13844" width="22.7265625" style="285" customWidth="1"/>
    <col min="13845" max="13845" width="40.26953125" style="285" customWidth="1"/>
    <col min="13846" max="13846" width="9" style="285"/>
    <col min="13847" max="13847" width="30.453125" style="285" customWidth="1"/>
    <col min="13848" max="13850" width="9" style="285"/>
    <col min="13851" max="13851" width="21.453125" style="285" customWidth="1"/>
    <col min="13852" max="14080" width="9" style="285"/>
    <col min="14081" max="14081" width="9.7265625" style="285" customWidth="1"/>
    <col min="14082" max="14082" width="47.26953125" style="285" customWidth="1"/>
    <col min="14083" max="14083" width="13.26953125" style="285" customWidth="1"/>
    <col min="14084" max="14084" width="26" style="285" customWidth="1"/>
    <col min="14085" max="14085" width="24" style="285" customWidth="1"/>
    <col min="14086" max="14086" width="17.26953125" style="285" customWidth="1"/>
    <col min="14087" max="14087" width="18.26953125" style="285" customWidth="1"/>
    <col min="14088" max="14088" width="19.453125" style="285" customWidth="1"/>
    <col min="14089" max="14089" width="20.7265625" style="285" customWidth="1"/>
    <col min="14090" max="14090" width="32" style="285" customWidth="1"/>
    <col min="14091" max="14091" width="30.26953125" style="285" customWidth="1"/>
    <col min="14092" max="14092" width="23.54296875" style="285" customWidth="1"/>
    <col min="14093" max="14093" width="22.7265625" style="285" customWidth="1"/>
    <col min="14094" max="14094" width="29" style="285" customWidth="1"/>
    <col min="14095" max="14095" width="25.54296875" style="285" customWidth="1"/>
    <col min="14096" max="14096" width="28.26953125" style="285" customWidth="1"/>
    <col min="14097" max="14097" width="17.7265625" style="285" customWidth="1"/>
    <col min="14098" max="14098" width="24.7265625" style="285" customWidth="1"/>
    <col min="14099" max="14099" width="26" style="285" customWidth="1"/>
    <col min="14100" max="14100" width="22.7265625" style="285" customWidth="1"/>
    <col min="14101" max="14101" width="40.26953125" style="285" customWidth="1"/>
    <col min="14102" max="14102" width="9" style="285"/>
    <col min="14103" max="14103" width="30.453125" style="285" customWidth="1"/>
    <col min="14104" max="14106" width="9" style="285"/>
    <col min="14107" max="14107" width="21.453125" style="285" customWidth="1"/>
    <col min="14108" max="14336" width="9" style="285"/>
    <col min="14337" max="14337" width="9.7265625" style="285" customWidth="1"/>
    <col min="14338" max="14338" width="47.26953125" style="285" customWidth="1"/>
    <col min="14339" max="14339" width="13.26953125" style="285" customWidth="1"/>
    <col min="14340" max="14340" width="26" style="285" customWidth="1"/>
    <col min="14341" max="14341" width="24" style="285" customWidth="1"/>
    <col min="14342" max="14342" width="17.26953125" style="285" customWidth="1"/>
    <col min="14343" max="14343" width="18.26953125" style="285" customWidth="1"/>
    <col min="14344" max="14344" width="19.453125" style="285" customWidth="1"/>
    <col min="14345" max="14345" width="20.7265625" style="285" customWidth="1"/>
    <col min="14346" max="14346" width="32" style="285" customWidth="1"/>
    <col min="14347" max="14347" width="30.26953125" style="285" customWidth="1"/>
    <col min="14348" max="14348" width="23.54296875" style="285" customWidth="1"/>
    <col min="14349" max="14349" width="22.7265625" style="285" customWidth="1"/>
    <col min="14350" max="14350" width="29" style="285" customWidth="1"/>
    <col min="14351" max="14351" width="25.54296875" style="285" customWidth="1"/>
    <col min="14352" max="14352" width="28.26953125" style="285" customWidth="1"/>
    <col min="14353" max="14353" width="17.7265625" style="285" customWidth="1"/>
    <col min="14354" max="14354" width="24.7265625" style="285" customWidth="1"/>
    <col min="14355" max="14355" width="26" style="285" customWidth="1"/>
    <col min="14356" max="14356" width="22.7265625" style="285" customWidth="1"/>
    <col min="14357" max="14357" width="40.26953125" style="285" customWidth="1"/>
    <col min="14358" max="14358" width="9" style="285"/>
    <col min="14359" max="14359" width="30.453125" style="285" customWidth="1"/>
    <col min="14360" max="14362" width="9" style="285"/>
    <col min="14363" max="14363" width="21.453125" style="285" customWidth="1"/>
    <col min="14364" max="14592" width="9" style="285"/>
    <col min="14593" max="14593" width="9.7265625" style="285" customWidth="1"/>
    <col min="14594" max="14594" width="47.26953125" style="285" customWidth="1"/>
    <col min="14595" max="14595" width="13.26953125" style="285" customWidth="1"/>
    <col min="14596" max="14596" width="26" style="285" customWidth="1"/>
    <col min="14597" max="14597" width="24" style="285" customWidth="1"/>
    <col min="14598" max="14598" width="17.26953125" style="285" customWidth="1"/>
    <col min="14599" max="14599" width="18.26953125" style="285" customWidth="1"/>
    <col min="14600" max="14600" width="19.453125" style="285" customWidth="1"/>
    <col min="14601" max="14601" width="20.7265625" style="285" customWidth="1"/>
    <col min="14602" max="14602" width="32" style="285" customWidth="1"/>
    <col min="14603" max="14603" width="30.26953125" style="285" customWidth="1"/>
    <col min="14604" max="14604" width="23.54296875" style="285" customWidth="1"/>
    <col min="14605" max="14605" width="22.7265625" style="285" customWidth="1"/>
    <col min="14606" max="14606" width="29" style="285" customWidth="1"/>
    <col min="14607" max="14607" width="25.54296875" style="285" customWidth="1"/>
    <col min="14608" max="14608" width="28.26953125" style="285" customWidth="1"/>
    <col min="14609" max="14609" width="17.7265625" style="285" customWidth="1"/>
    <col min="14610" max="14610" width="24.7265625" style="285" customWidth="1"/>
    <col min="14611" max="14611" width="26" style="285" customWidth="1"/>
    <col min="14612" max="14612" width="22.7265625" style="285" customWidth="1"/>
    <col min="14613" max="14613" width="40.26953125" style="285" customWidth="1"/>
    <col min="14614" max="14614" width="9" style="285"/>
    <col min="14615" max="14615" width="30.453125" style="285" customWidth="1"/>
    <col min="14616" max="14618" width="9" style="285"/>
    <col min="14619" max="14619" width="21.453125" style="285" customWidth="1"/>
    <col min="14620" max="14848" width="9" style="285"/>
    <col min="14849" max="14849" width="9.7265625" style="285" customWidth="1"/>
    <col min="14850" max="14850" width="47.26953125" style="285" customWidth="1"/>
    <col min="14851" max="14851" width="13.26953125" style="285" customWidth="1"/>
    <col min="14852" max="14852" width="26" style="285" customWidth="1"/>
    <col min="14853" max="14853" width="24" style="285" customWidth="1"/>
    <col min="14854" max="14854" width="17.26953125" style="285" customWidth="1"/>
    <col min="14855" max="14855" width="18.26953125" style="285" customWidth="1"/>
    <col min="14856" max="14856" width="19.453125" style="285" customWidth="1"/>
    <col min="14857" max="14857" width="20.7265625" style="285" customWidth="1"/>
    <col min="14858" max="14858" width="32" style="285" customWidth="1"/>
    <col min="14859" max="14859" width="30.26953125" style="285" customWidth="1"/>
    <col min="14860" max="14860" width="23.54296875" style="285" customWidth="1"/>
    <col min="14861" max="14861" width="22.7265625" style="285" customWidth="1"/>
    <col min="14862" max="14862" width="29" style="285" customWidth="1"/>
    <col min="14863" max="14863" width="25.54296875" style="285" customWidth="1"/>
    <col min="14864" max="14864" width="28.26953125" style="285" customWidth="1"/>
    <col min="14865" max="14865" width="17.7265625" style="285" customWidth="1"/>
    <col min="14866" max="14866" width="24.7265625" style="285" customWidth="1"/>
    <col min="14867" max="14867" width="26" style="285" customWidth="1"/>
    <col min="14868" max="14868" width="22.7265625" style="285" customWidth="1"/>
    <col min="14869" max="14869" width="40.26953125" style="285" customWidth="1"/>
    <col min="14870" max="14870" width="9" style="285"/>
    <col min="14871" max="14871" width="30.453125" style="285" customWidth="1"/>
    <col min="14872" max="14874" width="9" style="285"/>
    <col min="14875" max="14875" width="21.453125" style="285" customWidth="1"/>
    <col min="14876" max="15104" width="9" style="285"/>
    <col min="15105" max="15105" width="9.7265625" style="285" customWidth="1"/>
    <col min="15106" max="15106" width="47.26953125" style="285" customWidth="1"/>
    <col min="15107" max="15107" width="13.26953125" style="285" customWidth="1"/>
    <col min="15108" max="15108" width="26" style="285" customWidth="1"/>
    <col min="15109" max="15109" width="24" style="285" customWidth="1"/>
    <col min="15110" max="15110" width="17.26953125" style="285" customWidth="1"/>
    <col min="15111" max="15111" width="18.26953125" style="285" customWidth="1"/>
    <col min="15112" max="15112" width="19.453125" style="285" customWidth="1"/>
    <col min="15113" max="15113" width="20.7265625" style="285" customWidth="1"/>
    <col min="15114" max="15114" width="32" style="285" customWidth="1"/>
    <col min="15115" max="15115" width="30.26953125" style="285" customWidth="1"/>
    <col min="15116" max="15116" width="23.54296875" style="285" customWidth="1"/>
    <col min="15117" max="15117" width="22.7265625" style="285" customWidth="1"/>
    <col min="15118" max="15118" width="29" style="285" customWidth="1"/>
    <col min="15119" max="15119" width="25.54296875" style="285" customWidth="1"/>
    <col min="15120" max="15120" width="28.26953125" style="285" customWidth="1"/>
    <col min="15121" max="15121" width="17.7265625" style="285" customWidth="1"/>
    <col min="15122" max="15122" width="24.7265625" style="285" customWidth="1"/>
    <col min="15123" max="15123" width="26" style="285" customWidth="1"/>
    <col min="15124" max="15124" width="22.7265625" style="285" customWidth="1"/>
    <col min="15125" max="15125" width="40.26953125" style="285" customWidth="1"/>
    <col min="15126" max="15126" width="9" style="285"/>
    <col min="15127" max="15127" width="30.453125" style="285" customWidth="1"/>
    <col min="15128" max="15130" width="9" style="285"/>
    <col min="15131" max="15131" width="21.453125" style="285" customWidth="1"/>
    <col min="15132" max="15360" width="9" style="285"/>
    <col min="15361" max="15361" width="9.7265625" style="285" customWidth="1"/>
    <col min="15362" max="15362" width="47.26953125" style="285" customWidth="1"/>
    <col min="15363" max="15363" width="13.26953125" style="285" customWidth="1"/>
    <col min="15364" max="15364" width="26" style="285" customWidth="1"/>
    <col min="15365" max="15365" width="24" style="285" customWidth="1"/>
    <col min="15366" max="15366" width="17.26953125" style="285" customWidth="1"/>
    <col min="15367" max="15367" width="18.26953125" style="285" customWidth="1"/>
    <col min="15368" max="15368" width="19.453125" style="285" customWidth="1"/>
    <col min="15369" max="15369" width="20.7265625" style="285" customWidth="1"/>
    <col min="15370" max="15370" width="32" style="285" customWidth="1"/>
    <col min="15371" max="15371" width="30.26953125" style="285" customWidth="1"/>
    <col min="15372" max="15372" width="23.54296875" style="285" customWidth="1"/>
    <col min="15373" max="15373" width="22.7265625" style="285" customWidth="1"/>
    <col min="15374" max="15374" width="29" style="285" customWidth="1"/>
    <col min="15375" max="15375" width="25.54296875" style="285" customWidth="1"/>
    <col min="15376" max="15376" width="28.26953125" style="285" customWidth="1"/>
    <col min="15377" max="15377" width="17.7265625" style="285" customWidth="1"/>
    <col min="15378" max="15378" width="24.7265625" style="285" customWidth="1"/>
    <col min="15379" max="15379" width="26" style="285" customWidth="1"/>
    <col min="15380" max="15380" width="22.7265625" style="285" customWidth="1"/>
    <col min="15381" max="15381" width="40.26953125" style="285" customWidth="1"/>
    <col min="15382" max="15382" width="9" style="285"/>
    <col min="15383" max="15383" width="30.453125" style="285" customWidth="1"/>
    <col min="15384" max="15386" width="9" style="285"/>
    <col min="15387" max="15387" width="21.453125" style="285" customWidth="1"/>
    <col min="15388" max="15616" width="9" style="285"/>
    <col min="15617" max="15617" width="9.7265625" style="285" customWidth="1"/>
    <col min="15618" max="15618" width="47.26953125" style="285" customWidth="1"/>
    <col min="15619" max="15619" width="13.26953125" style="285" customWidth="1"/>
    <col min="15620" max="15620" width="26" style="285" customWidth="1"/>
    <col min="15621" max="15621" width="24" style="285" customWidth="1"/>
    <col min="15622" max="15622" width="17.26953125" style="285" customWidth="1"/>
    <col min="15623" max="15623" width="18.26953125" style="285" customWidth="1"/>
    <col min="15624" max="15624" width="19.453125" style="285" customWidth="1"/>
    <col min="15625" max="15625" width="20.7265625" style="285" customWidth="1"/>
    <col min="15626" max="15626" width="32" style="285" customWidth="1"/>
    <col min="15627" max="15627" width="30.26953125" style="285" customWidth="1"/>
    <col min="15628" max="15628" width="23.54296875" style="285" customWidth="1"/>
    <col min="15629" max="15629" width="22.7265625" style="285" customWidth="1"/>
    <col min="15630" max="15630" width="29" style="285" customWidth="1"/>
    <col min="15631" max="15631" width="25.54296875" style="285" customWidth="1"/>
    <col min="15632" max="15632" width="28.26953125" style="285" customWidth="1"/>
    <col min="15633" max="15633" width="17.7265625" style="285" customWidth="1"/>
    <col min="15634" max="15634" width="24.7265625" style="285" customWidth="1"/>
    <col min="15635" max="15635" width="26" style="285" customWidth="1"/>
    <col min="15636" max="15636" width="22.7265625" style="285" customWidth="1"/>
    <col min="15637" max="15637" width="40.26953125" style="285" customWidth="1"/>
    <col min="15638" max="15638" width="9" style="285"/>
    <col min="15639" max="15639" width="30.453125" style="285" customWidth="1"/>
    <col min="15640" max="15642" width="9" style="285"/>
    <col min="15643" max="15643" width="21.453125" style="285" customWidth="1"/>
    <col min="15644" max="15872" width="9" style="285"/>
    <col min="15873" max="15873" width="9.7265625" style="285" customWidth="1"/>
    <col min="15874" max="15874" width="47.26953125" style="285" customWidth="1"/>
    <col min="15875" max="15875" width="13.26953125" style="285" customWidth="1"/>
    <col min="15876" max="15876" width="26" style="285" customWidth="1"/>
    <col min="15877" max="15877" width="24" style="285" customWidth="1"/>
    <col min="15878" max="15878" width="17.26953125" style="285" customWidth="1"/>
    <col min="15879" max="15879" width="18.26953125" style="285" customWidth="1"/>
    <col min="15880" max="15880" width="19.453125" style="285" customWidth="1"/>
    <col min="15881" max="15881" width="20.7265625" style="285" customWidth="1"/>
    <col min="15882" max="15882" width="32" style="285" customWidth="1"/>
    <col min="15883" max="15883" width="30.26953125" style="285" customWidth="1"/>
    <col min="15884" max="15884" width="23.54296875" style="285" customWidth="1"/>
    <col min="15885" max="15885" width="22.7265625" style="285" customWidth="1"/>
    <col min="15886" max="15886" width="29" style="285" customWidth="1"/>
    <col min="15887" max="15887" width="25.54296875" style="285" customWidth="1"/>
    <col min="15888" max="15888" width="28.26953125" style="285" customWidth="1"/>
    <col min="15889" max="15889" width="17.7265625" style="285" customWidth="1"/>
    <col min="15890" max="15890" width="24.7265625" style="285" customWidth="1"/>
    <col min="15891" max="15891" width="26" style="285" customWidth="1"/>
    <col min="15892" max="15892" width="22.7265625" style="285" customWidth="1"/>
    <col min="15893" max="15893" width="40.26953125" style="285" customWidth="1"/>
    <col min="15894" max="15894" width="9" style="285"/>
    <col min="15895" max="15895" width="30.453125" style="285" customWidth="1"/>
    <col min="15896" max="15898" width="9" style="285"/>
    <col min="15899" max="15899" width="21.453125" style="285" customWidth="1"/>
    <col min="15900" max="16128" width="9" style="285"/>
    <col min="16129" max="16129" width="9.7265625" style="285" customWidth="1"/>
    <col min="16130" max="16130" width="47.26953125" style="285" customWidth="1"/>
    <col min="16131" max="16131" width="13.26953125" style="285" customWidth="1"/>
    <col min="16132" max="16132" width="26" style="285" customWidth="1"/>
    <col min="16133" max="16133" width="24" style="285" customWidth="1"/>
    <col min="16134" max="16134" width="17.26953125" style="285" customWidth="1"/>
    <col min="16135" max="16135" width="18.26953125" style="285" customWidth="1"/>
    <col min="16136" max="16136" width="19.453125" style="285" customWidth="1"/>
    <col min="16137" max="16137" width="20.7265625" style="285" customWidth="1"/>
    <col min="16138" max="16138" width="32" style="285" customWidth="1"/>
    <col min="16139" max="16139" width="30.26953125" style="285" customWidth="1"/>
    <col min="16140" max="16140" width="23.54296875" style="285" customWidth="1"/>
    <col min="16141" max="16141" width="22.7265625" style="285" customWidth="1"/>
    <col min="16142" max="16142" width="29" style="285" customWidth="1"/>
    <col min="16143" max="16143" width="25.54296875" style="285" customWidth="1"/>
    <col min="16144" max="16144" width="28.26953125" style="285" customWidth="1"/>
    <col min="16145" max="16145" width="17.7265625" style="285" customWidth="1"/>
    <col min="16146" max="16146" width="24.7265625" style="285" customWidth="1"/>
    <col min="16147" max="16147" width="26" style="285" customWidth="1"/>
    <col min="16148" max="16148" width="22.7265625" style="285" customWidth="1"/>
    <col min="16149" max="16149" width="40.26953125" style="285" customWidth="1"/>
    <col min="16150" max="16150" width="9" style="285"/>
    <col min="16151" max="16151" width="30.453125" style="285" customWidth="1"/>
    <col min="16152" max="16154" width="9" style="285"/>
    <col min="16155" max="16155" width="21.453125" style="285" customWidth="1"/>
    <col min="16156" max="16384" width="9" style="285"/>
  </cols>
  <sheetData>
    <row r="1" spans="1:7">
      <c r="B1" s="286" t="s">
        <v>1899</v>
      </c>
    </row>
    <row r="2" spans="1:7">
      <c r="B2" s="290" t="s">
        <v>1900</v>
      </c>
      <c r="C2" s="290" t="s">
        <v>1901</v>
      </c>
      <c r="D2" s="291" t="s">
        <v>1902</v>
      </c>
      <c r="E2" s="292"/>
      <c r="G2" s="285"/>
    </row>
    <row r="3" spans="1:7">
      <c r="B3" s="293" t="s">
        <v>1903</v>
      </c>
      <c r="C3" s="294">
        <v>23</v>
      </c>
      <c r="D3" s="295">
        <f t="shared" ref="D3:D36" si="0">SUM(C3:C3)</f>
        <v>23</v>
      </c>
      <c r="E3" s="296"/>
      <c r="G3" s="285"/>
    </row>
    <row r="4" spans="1:7">
      <c r="A4" s="297"/>
      <c r="B4" s="293" t="s">
        <v>1839</v>
      </c>
      <c r="C4" s="298">
        <f>'[4] Micro quantification'!C29</f>
        <v>9811519</v>
      </c>
      <c r="D4" s="295">
        <f t="shared" si="0"/>
        <v>9811519</v>
      </c>
      <c r="E4" s="299"/>
      <c r="G4" s="285"/>
    </row>
    <row r="5" spans="1:7">
      <c r="A5" s="297"/>
      <c r="B5" s="293" t="s">
        <v>1904</v>
      </c>
      <c r="C5" s="298">
        <f>C4/5</f>
        <v>1962303.8</v>
      </c>
      <c r="D5" s="295">
        <f t="shared" si="0"/>
        <v>1962303.8</v>
      </c>
      <c r="E5" s="299"/>
      <c r="G5" s="285"/>
    </row>
    <row r="6" spans="1:7">
      <c r="A6" s="297"/>
      <c r="B6" s="293" t="s">
        <v>1905</v>
      </c>
      <c r="C6" s="298">
        <f>'[4] Micro quantification'!E29</f>
        <v>5450843.888888889</v>
      </c>
      <c r="D6" s="295">
        <f t="shared" si="0"/>
        <v>5450843.888888889</v>
      </c>
      <c r="E6" s="299"/>
      <c r="G6" s="285"/>
    </row>
    <row r="7" spans="1:7">
      <c r="A7" s="297"/>
      <c r="B7" s="293" t="s">
        <v>1906</v>
      </c>
      <c r="C7" s="298">
        <f>C6/50</f>
        <v>109016.87777777779</v>
      </c>
      <c r="D7" s="295">
        <f t="shared" si="0"/>
        <v>109016.87777777779</v>
      </c>
      <c r="E7" s="299"/>
      <c r="G7" s="285"/>
    </row>
    <row r="8" spans="1:7">
      <c r="A8" s="297"/>
      <c r="B8" s="293" t="s">
        <v>1907</v>
      </c>
      <c r="C8" s="300">
        <f>'[4] Micro quantification'!G29</f>
        <v>255</v>
      </c>
      <c r="D8" s="295">
        <f t="shared" si="0"/>
        <v>255</v>
      </c>
      <c r="E8" s="299"/>
      <c r="G8" s="285"/>
    </row>
    <row r="9" spans="1:7">
      <c r="A9" s="297"/>
      <c r="B9" s="293" t="s">
        <v>1908</v>
      </c>
      <c r="C9" s="298">
        <f>'[4] Micro quantification'!H29</f>
        <v>2269</v>
      </c>
      <c r="D9" s="295">
        <f t="shared" si="0"/>
        <v>2269</v>
      </c>
      <c r="E9" s="299"/>
      <c r="G9" s="285"/>
    </row>
    <row r="10" spans="1:7">
      <c r="A10" s="297"/>
      <c r="B10" s="293" t="s">
        <v>1909</v>
      </c>
      <c r="C10" s="298">
        <v>6</v>
      </c>
      <c r="D10" s="295">
        <f t="shared" si="0"/>
        <v>6</v>
      </c>
      <c r="E10" s="299"/>
      <c r="G10" s="285"/>
    </row>
    <row r="11" spans="1:7">
      <c r="A11" s="297"/>
      <c r="B11" s="293" t="s">
        <v>1910</v>
      </c>
      <c r="C11" s="298">
        <v>4</v>
      </c>
      <c r="D11" s="295">
        <f t="shared" si="0"/>
        <v>4</v>
      </c>
      <c r="E11" s="299"/>
      <c r="G11" s="285"/>
    </row>
    <row r="12" spans="1:7">
      <c r="A12" s="297"/>
      <c r="B12" s="293" t="s">
        <v>1911</v>
      </c>
      <c r="C12" s="298">
        <v>1</v>
      </c>
      <c r="D12" s="295">
        <f t="shared" si="0"/>
        <v>1</v>
      </c>
      <c r="E12" s="299"/>
      <c r="G12" s="285"/>
    </row>
    <row r="13" spans="1:7" ht="23">
      <c r="A13" s="297"/>
      <c r="B13" s="293" t="s">
        <v>1912</v>
      </c>
      <c r="C13" s="298">
        <v>5</v>
      </c>
      <c r="D13" s="295">
        <f t="shared" si="0"/>
        <v>5</v>
      </c>
      <c r="E13" s="299"/>
      <c r="G13" s="285"/>
    </row>
    <row r="14" spans="1:7">
      <c r="A14" s="297"/>
      <c r="B14" s="293" t="s">
        <v>1913</v>
      </c>
      <c r="C14" s="298">
        <f>C3</f>
        <v>23</v>
      </c>
      <c r="D14" s="295">
        <f t="shared" si="0"/>
        <v>23</v>
      </c>
      <c r="E14" s="299"/>
      <c r="G14" s="285"/>
    </row>
    <row r="15" spans="1:7">
      <c r="A15" s="297"/>
      <c r="B15" s="293" t="s">
        <v>1914</v>
      </c>
      <c r="C15" s="298"/>
      <c r="D15" s="295">
        <f t="shared" si="0"/>
        <v>0</v>
      </c>
      <c r="E15" s="299"/>
      <c r="G15" s="285"/>
    </row>
    <row r="16" spans="1:7" ht="15" customHeight="1">
      <c r="A16" s="297"/>
      <c r="B16" s="293" t="s">
        <v>1915</v>
      </c>
      <c r="C16" s="298">
        <f>C3</f>
        <v>23</v>
      </c>
      <c r="D16" s="295">
        <f t="shared" si="0"/>
        <v>23</v>
      </c>
      <c r="E16" s="285"/>
      <c r="G16" s="285"/>
    </row>
    <row r="17" spans="1:8">
      <c r="A17" s="297"/>
      <c r="B17" s="293" t="s">
        <v>1916</v>
      </c>
      <c r="C17" s="298">
        <v>3</v>
      </c>
      <c r="D17" s="295">
        <f t="shared" si="0"/>
        <v>3</v>
      </c>
      <c r="E17" s="299"/>
      <c r="G17" s="285"/>
    </row>
    <row r="18" spans="1:8">
      <c r="A18" s="297"/>
      <c r="B18" s="293" t="s">
        <v>1917</v>
      </c>
      <c r="C18" s="298">
        <v>6</v>
      </c>
      <c r="D18" s="295">
        <f t="shared" si="0"/>
        <v>6</v>
      </c>
      <c r="E18" s="299"/>
      <c r="G18" s="285"/>
    </row>
    <row r="19" spans="1:8">
      <c r="A19" s="297"/>
      <c r="B19" s="293" t="s">
        <v>1918</v>
      </c>
      <c r="C19" s="298">
        <f>C3</f>
        <v>23</v>
      </c>
      <c r="D19" s="295">
        <f t="shared" si="0"/>
        <v>23</v>
      </c>
      <c r="E19" s="299"/>
      <c r="G19" s="285"/>
    </row>
    <row r="20" spans="1:8">
      <c r="A20" s="297"/>
      <c r="B20" s="301" t="s">
        <v>1919</v>
      </c>
      <c r="C20" s="298">
        <f>'[4] Micro quantification'!I29</f>
        <v>4538</v>
      </c>
      <c r="D20" s="295">
        <f t="shared" si="0"/>
        <v>4538</v>
      </c>
      <c r="E20" s="302"/>
      <c r="G20" s="285"/>
    </row>
    <row r="21" spans="1:8">
      <c r="A21" s="297"/>
      <c r="B21" s="301" t="s">
        <v>1920</v>
      </c>
      <c r="C21" s="298">
        <f>'[4] Micro quantification'!J29</f>
        <v>2269</v>
      </c>
      <c r="D21" s="295">
        <f t="shared" si="0"/>
        <v>2269</v>
      </c>
      <c r="E21" s="302"/>
      <c r="G21" s="285"/>
    </row>
    <row r="22" spans="1:8">
      <c r="A22" s="297"/>
      <c r="B22" s="293" t="s">
        <v>1921</v>
      </c>
      <c r="C22" s="303">
        <f>C3*4</f>
        <v>92</v>
      </c>
      <c r="D22" s="295">
        <f t="shared" si="0"/>
        <v>92</v>
      </c>
      <c r="E22" s="299"/>
      <c r="G22" s="285"/>
    </row>
    <row r="23" spans="1:8">
      <c r="A23" s="297"/>
      <c r="B23" s="293" t="s">
        <v>1922</v>
      </c>
      <c r="C23" s="303">
        <f>C3</f>
        <v>23</v>
      </c>
      <c r="D23" s="295">
        <f t="shared" si="0"/>
        <v>23</v>
      </c>
      <c r="E23" s="299"/>
      <c r="G23" s="285"/>
      <c r="H23" s="304"/>
    </row>
    <row r="24" spans="1:8">
      <c r="A24" s="297"/>
      <c r="B24" s="293" t="s">
        <v>1923</v>
      </c>
      <c r="C24" s="303">
        <f>C23*2</f>
        <v>46</v>
      </c>
      <c r="D24" s="295">
        <f t="shared" si="0"/>
        <v>46</v>
      </c>
      <c r="E24" s="299"/>
      <c r="G24" s="285"/>
    </row>
    <row r="25" spans="1:8">
      <c r="A25" s="297"/>
      <c r="B25" s="293" t="s">
        <v>1924</v>
      </c>
      <c r="C25" s="303">
        <f>C8</f>
        <v>255</v>
      </c>
      <c r="D25" s="295">
        <f t="shared" si="0"/>
        <v>255</v>
      </c>
      <c r="E25" s="299"/>
      <c r="G25" s="285"/>
    </row>
    <row r="26" spans="1:8">
      <c r="A26" s="297"/>
      <c r="B26" s="293" t="s">
        <v>1925</v>
      </c>
      <c r="C26" s="303">
        <f>'[4] Micro quantification'!U29</f>
        <v>1275</v>
      </c>
      <c r="D26" s="295">
        <f t="shared" si="0"/>
        <v>1275</v>
      </c>
      <c r="E26" s="299"/>
      <c r="G26" s="285"/>
    </row>
    <row r="27" spans="1:8">
      <c r="A27" s="297"/>
      <c r="B27" s="293" t="s">
        <v>1926</v>
      </c>
      <c r="C27" s="303"/>
      <c r="D27" s="295">
        <f t="shared" si="0"/>
        <v>0</v>
      </c>
      <c r="E27" s="299"/>
      <c r="G27" s="285"/>
    </row>
    <row r="28" spans="1:8">
      <c r="A28" s="297"/>
      <c r="B28" s="293" t="s">
        <v>1927</v>
      </c>
      <c r="C28" s="303"/>
      <c r="D28" s="295">
        <f t="shared" si="0"/>
        <v>0</v>
      </c>
      <c r="E28" s="299"/>
      <c r="G28" s="285"/>
    </row>
    <row r="29" spans="1:8">
      <c r="A29" s="297"/>
      <c r="B29" s="293" t="s">
        <v>1928</v>
      </c>
      <c r="C29" s="303">
        <f>C9</f>
        <v>2269</v>
      </c>
      <c r="D29" s="295">
        <v>2269</v>
      </c>
      <c r="E29" s="302"/>
      <c r="G29" s="285"/>
    </row>
    <row r="30" spans="1:8">
      <c r="A30" s="297"/>
      <c r="B30" s="293" t="s">
        <v>1929</v>
      </c>
      <c r="C30" s="303"/>
      <c r="D30" s="295">
        <f t="shared" si="0"/>
        <v>0</v>
      </c>
      <c r="E30" s="299"/>
      <c r="G30" s="285"/>
    </row>
    <row r="31" spans="1:8">
      <c r="A31" s="297"/>
      <c r="B31" s="293" t="s">
        <v>1930</v>
      </c>
      <c r="C31" s="303">
        <f>C20/2</f>
        <v>2269</v>
      </c>
      <c r="D31" s="295">
        <f t="shared" si="0"/>
        <v>2269</v>
      </c>
      <c r="E31" s="299"/>
      <c r="G31" s="285"/>
    </row>
    <row r="32" spans="1:8">
      <c r="A32" s="297"/>
      <c r="B32" s="293" t="s">
        <v>1931</v>
      </c>
      <c r="C32" s="303">
        <f>C3*4</f>
        <v>92</v>
      </c>
      <c r="D32" s="295">
        <f t="shared" si="0"/>
        <v>92</v>
      </c>
      <c r="E32" s="299"/>
      <c r="G32" s="285"/>
    </row>
    <row r="33" spans="1:11">
      <c r="A33" s="297"/>
      <c r="B33" s="293" t="s">
        <v>1932</v>
      </c>
      <c r="C33" s="303">
        <f>'[4] Micro quantification'!M29</f>
        <v>792</v>
      </c>
      <c r="D33" s="295">
        <f t="shared" si="0"/>
        <v>792</v>
      </c>
      <c r="E33" s="302"/>
      <c r="G33" s="285"/>
    </row>
    <row r="34" spans="1:11" ht="15" customHeight="1">
      <c r="A34" s="297"/>
      <c r="B34" s="293" t="s">
        <v>1933</v>
      </c>
      <c r="C34" s="303"/>
      <c r="D34" s="295">
        <f>SUM(C34:C34)</f>
        <v>0</v>
      </c>
      <c r="E34" s="302"/>
      <c r="G34" s="285"/>
    </row>
    <row r="35" spans="1:11">
      <c r="A35" s="297"/>
      <c r="B35" s="293" t="s">
        <v>1934</v>
      </c>
      <c r="C35" s="303">
        <f>'[4] Micro quantification'!R29</f>
        <v>135</v>
      </c>
      <c r="D35" s="295">
        <f>SUM(C35:C35)</f>
        <v>135</v>
      </c>
      <c r="E35" s="285"/>
      <c r="G35" s="285"/>
    </row>
    <row r="36" spans="1:11">
      <c r="A36" s="297"/>
      <c r="B36" s="293" t="s">
        <v>1935</v>
      </c>
      <c r="C36" s="303">
        <f>C35+C34+C33+C32+C30+C29+C28+C27+C26+C25+C24+C23+C22+C21+C20+C19+C18+C17+C16+C15+C14+C13+C12+C11+C10</f>
        <v>11880</v>
      </c>
      <c r="D36" s="295">
        <f t="shared" si="0"/>
        <v>11880</v>
      </c>
      <c r="E36" s="302"/>
      <c r="G36" s="285"/>
    </row>
    <row r="37" spans="1:11">
      <c r="A37" s="297"/>
      <c r="B37" s="305" t="s">
        <v>1936</v>
      </c>
      <c r="C37" s="305"/>
      <c r="D37" s="305"/>
      <c r="E37" s="306"/>
      <c r="G37" s="285"/>
    </row>
    <row r="38" spans="1:11" ht="12" thickBot="1">
      <c r="A38" s="307"/>
      <c r="B38" s="308"/>
      <c r="C38" s="308"/>
      <c r="D38" s="308"/>
      <c r="E38" s="308"/>
      <c r="F38" s="309"/>
      <c r="G38" s="309"/>
      <c r="H38" s="310"/>
    </row>
    <row r="39" spans="1:11">
      <c r="A39" s="292">
        <v>1</v>
      </c>
      <c r="B39" s="957" t="s">
        <v>1937</v>
      </c>
      <c r="C39" s="958"/>
      <c r="D39" s="959"/>
      <c r="E39" s="311" t="s">
        <v>1938</v>
      </c>
      <c r="F39" s="311" t="str">
        <f>C2</f>
        <v>KADUNA</v>
      </c>
      <c r="G39" s="312" t="str">
        <f>D2</f>
        <v xml:space="preserve">Total </v>
      </c>
      <c r="H39" s="313"/>
      <c r="I39" s="314"/>
      <c r="J39" s="314"/>
    </row>
    <row r="40" spans="1:11">
      <c r="A40" s="307"/>
      <c r="B40" s="960" t="s">
        <v>1939</v>
      </c>
      <c r="C40" s="961"/>
      <c r="D40" s="962"/>
      <c r="E40" s="276"/>
      <c r="F40" s="306">
        <f>C13+C14+C16</f>
        <v>51</v>
      </c>
      <c r="G40" s="318">
        <f>SUM(F40:F40)</f>
        <v>51</v>
      </c>
      <c r="H40" s="304"/>
      <c r="I40" s="296"/>
      <c r="J40" s="296"/>
    </row>
    <row r="41" spans="1:11">
      <c r="A41" s="307"/>
      <c r="B41" s="960" t="s">
        <v>1940</v>
      </c>
      <c r="C41" s="961"/>
      <c r="D41" s="962"/>
      <c r="E41" s="276"/>
      <c r="F41" s="299">
        <f>C32</f>
        <v>92</v>
      </c>
      <c r="G41" s="318">
        <f>SUM(F41:F41)</f>
        <v>92</v>
      </c>
      <c r="H41" s="310"/>
      <c r="I41" s="296"/>
      <c r="J41" s="296"/>
    </row>
    <row r="42" spans="1:11">
      <c r="A42" s="307"/>
      <c r="B42" s="960" t="s">
        <v>1941</v>
      </c>
      <c r="C42" s="961"/>
      <c r="D42" s="962"/>
      <c r="E42" s="276"/>
      <c r="F42" s="319">
        <v>4</v>
      </c>
      <c r="G42" s="318">
        <f t="shared" ref="G42:G61" si="1">SUM(F42:F42)</f>
        <v>4</v>
      </c>
      <c r="H42" s="320"/>
      <c r="I42" s="321"/>
      <c r="J42" s="321"/>
    </row>
    <row r="43" spans="1:11">
      <c r="A43" s="307"/>
      <c r="B43" s="963" t="s">
        <v>1942</v>
      </c>
      <c r="C43" s="964"/>
      <c r="D43" s="965"/>
      <c r="E43" s="276"/>
      <c r="F43" s="322">
        <f>C10+C11+2+2+2</f>
        <v>16</v>
      </c>
      <c r="G43" s="318">
        <f t="shared" si="1"/>
        <v>16</v>
      </c>
      <c r="H43" s="323"/>
      <c r="I43" s="296"/>
      <c r="J43" s="296"/>
    </row>
    <row r="44" spans="1:11">
      <c r="A44" s="307"/>
      <c r="B44" s="960" t="s">
        <v>1943</v>
      </c>
      <c r="C44" s="961"/>
      <c r="D44" s="962"/>
      <c r="E44" s="276"/>
      <c r="F44" s="322">
        <f>3+14+4+1+2+2</f>
        <v>26</v>
      </c>
      <c r="G44" s="318">
        <f t="shared" si="1"/>
        <v>26</v>
      </c>
      <c r="I44" s="296"/>
      <c r="J44" s="296"/>
    </row>
    <row r="45" spans="1:11">
      <c r="A45" s="307"/>
      <c r="B45" s="315" t="s">
        <v>1944</v>
      </c>
      <c r="C45" s="316"/>
      <c r="D45" s="317"/>
      <c r="E45" s="276"/>
      <c r="F45" s="322">
        <v>4</v>
      </c>
      <c r="G45" s="318">
        <f t="shared" si="1"/>
        <v>4</v>
      </c>
      <c r="I45" s="296"/>
      <c r="J45" s="296"/>
    </row>
    <row r="46" spans="1:11">
      <c r="A46" s="307">
        <v>4.4000000000000004</v>
      </c>
      <c r="B46" s="960" t="s">
        <v>1945</v>
      </c>
      <c r="C46" s="961"/>
      <c r="D46" s="962"/>
      <c r="E46" s="324">
        <v>2000</v>
      </c>
      <c r="F46" s="324">
        <f>(+$E$46*(F40+F41+F43+F44+F45)*F42*2)</f>
        <v>3024000</v>
      </c>
      <c r="G46" s="318">
        <f t="shared" si="1"/>
        <v>3024000</v>
      </c>
      <c r="H46" s="325"/>
      <c r="I46" s="325"/>
      <c r="J46" s="325"/>
    </row>
    <row r="47" spans="1:11">
      <c r="A47" s="307">
        <v>4.4000000000000004</v>
      </c>
      <c r="B47" s="960" t="s">
        <v>1946</v>
      </c>
      <c r="C47" s="961"/>
      <c r="D47" s="962"/>
      <c r="E47" s="324">
        <v>4500</v>
      </c>
      <c r="F47" s="324">
        <f>(+$E$47*(F40+F41+F43+F44+F45)*F42)</f>
        <v>3402000</v>
      </c>
      <c r="G47" s="318">
        <f t="shared" si="1"/>
        <v>3402000</v>
      </c>
      <c r="H47" s="326"/>
      <c r="I47" s="326"/>
      <c r="J47" s="326"/>
      <c r="K47" s="304"/>
    </row>
    <row r="48" spans="1:11">
      <c r="A48" s="327">
        <v>4.4000000000000004</v>
      </c>
      <c r="B48" s="960" t="s">
        <v>1947</v>
      </c>
      <c r="C48" s="961"/>
      <c r="D48" s="962"/>
      <c r="E48" s="324">
        <v>220000</v>
      </c>
      <c r="F48" s="324">
        <f>E48*4*(F42/2)+E48*2*(F42/2)</f>
        <v>2640000</v>
      </c>
      <c r="G48" s="318">
        <f t="shared" si="1"/>
        <v>2640000</v>
      </c>
      <c r="H48" s="328"/>
      <c r="I48" s="304"/>
      <c r="J48" s="304"/>
      <c r="K48" s="304"/>
    </row>
    <row r="49" spans="1:11">
      <c r="A49" s="327">
        <v>4.4000000000000004</v>
      </c>
      <c r="B49" s="960" t="s">
        <v>1948</v>
      </c>
      <c r="C49" s="961"/>
      <c r="D49" s="962"/>
      <c r="E49" s="324">
        <v>120000</v>
      </c>
      <c r="F49" s="324">
        <f>((E49*(F42/2)*2))</f>
        <v>480000</v>
      </c>
      <c r="G49" s="318">
        <f t="shared" si="1"/>
        <v>480000</v>
      </c>
      <c r="H49" s="328"/>
      <c r="I49" s="296"/>
      <c r="J49" s="296"/>
      <c r="K49" s="304"/>
    </row>
    <row r="50" spans="1:11">
      <c r="A50" s="307">
        <v>4.4000000000000004</v>
      </c>
      <c r="B50" s="960" t="s">
        <v>1949</v>
      </c>
      <c r="C50" s="961"/>
      <c r="D50" s="962"/>
      <c r="E50" s="324"/>
      <c r="F50" s="324"/>
      <c r="G50" s="318">
        <f t="shared" si="1"/>
        <v>0</v>
      </c>
      <c r="H50" s="329"/>
      <c r="I50" s="296"/>
      <c r="J50" s="296"/>
    </row>
    <row r="51" spans="1:11">
      <c r="A51" s="307">
        <v>4.4000000000000004</v>
      </c>
      <c r="B51" s="960" t="s">
        <v>1950</v>
      </c>
      <c r="C51" s="961"/>
      <c r="D51" s="962"/>
      <c r="E51" s="324">
        <v>20000</v>
      </c>
      <c r="F51" s="324">
        <f>$E$51</f>
        <v>20000</v>
      </c>
      <c r="G51" s="318">
        <f t="shared" si="1"/>
        <v>20000</v>
      </c>
      <c r="H51" s="329"/>
      <c r="I51" s="296"/>
      <c r="J51" s="296"/>
    </row>
    <row r="52" spans="1:11">
      <c r="A52" s="307">
        <v>4.4000000000000004</v>
      </c>
      <c r="B52" s="960" t="s">
        <v>1951</v>
      </c>
      <c r="C52" s="961"/>
      <c r="D52" s="962"/>
      <c r="E52" s="324">
        <v>5000</v>
      </c>
      <c r="F52" s="324">
        <f>($E$52*(F40+F41))</f>
        <v>715000</v>
      </c>
      <c r="G52" s="318">
        <f t="shared" si="1"/>
        <v>715000</v>
      </c>
      <c r="H52" s="328"/>
      <c r="I52" s="296"/>
      <c r="J52" s="296"/>
    </row>
    <row r="53" spans="1:11">
      <c r="A53" s="307">
        <v>4.3</v>
      </c>
      <c r="B53" s="960" t="s">
        <v>1952</v>
      </c>
      <c r="C53" s="961"/>
      <c r="D53" s="962"/>
      <c r="E53" s="324">
        <v>5000</v>
      </c>
      <c r="F53" s="324">
        <f>($E$53*F45*F42)</f>
        <v>80000</v>
      </c>
      <c r="G53" s="318">
        <f t="shared" si="1"/>
        <v>80000</v>
      </c>
      <c r="H53" s="328"/>
      <c r="I53" s="296"/>
      <c r="J53" s="296"/>
    </row>
    <row r="54" spans="1:11">
      <c r="A54" s="307">
        <v>4.4000000000000004</v>
      </c>
      <c r="B54" s="960" t="s">
        <v>1953</v>
      </c>
      <c r="C54" s="961"/>
      <c r="D54" s="962"/>
      <c r="E54" s="324">
        <v>21000</v>
      </c>
      <c r="F54" s="324">
        <f>$E$54*(F40+F41)*1</f>
        <v>3003000</v>
      </c>
      <c r="G54" s="318">
        <f t="shared" si="1"/>
        <v>3003000</v>
      </c>
      <c r="H54" s="329"/>
      <c r="I54" s="296"/>
      <c r="J54" s="296"/>
    </row>
    <row r="55" spans="1:11">
      <c r="A55" s="307">
        <v>4.4000000000000004</v>
      </c>
      <c r="B55" s="960" t="s">
        <v>1954</v>
      </c>
      <c r="C55" s="961"/>
      <c r="D55" s="962"/>
      <c r="E55" s="324">
        <f>21000-4500</f>
        <v>16500</v>
      </c>
      <c r="F55" s="324">
        <f>$E$55*(F40+F41)*F42</f>
        <v>9438000</v>
      </c>
      <c r="G55" s="318">
        <f t="shared" si="1"/>
        <v>9438000</v>
      </c>
      <c r="H55" s="329"/>
      <c r="I55" s="296"/>
      <c r="J55" s="296"/>
    </row>
    <row r="56" spans="1:11">
      <c r="A56" s="307">
        <v>4.3</v>
      </c>
      <c r="B56" s="960" t="s">
        <v>1955</v>
      </c>
      <c r="C56" s="961"/>
      <c r="D56" s="962"/>
      <c r="E56" s="324">
        <v>5000</v>
      </c>
      <c r="F56" s="324">
        <f>(+$E$56*F43*F42)</f>
        <v>320000</v>
      </c>
      <c r="G56" s="318">
        <f t="shared" si="1"/>
        <v>320000</v>
      </c>
      <c r="H56" s="329"/>
      <c r="I56" s="296"/>
      <c r="J56" s="296"/>
    </row>
    <row r="57" spans="1:11">
      <c r="A57" s="307">
        <v>4.3</v>
      </c>
      <c r="B57" s="960" t="s">
        <v>1956</v>
      </c>
      <c r="C57" s="961"/>
      <c r="D57" s="962"/>
      <c r="E57" s="324">
        <v>5000</v>
      </c>
      <c r="F57" s="324">
        <f>(E57*F45*F42)</f>
        <v>80000</v>
      </c>
      <c r="G57" s="318">
        <f t="shared" si="1"/>
        <v>80000</v>
      </c>
      <c r="H57" s="328"/>
      <c r="I57" s="296"/>
      <c r="J57" s="296"/>
    </row>
    <row r="58" spans="1:11">
      <c r="A58" s="307">
        <v>4.3</v>
      </c>
      <c r="B58" s="960" t="s">
        <v>1957</v>
      </c>
      <c r="C58" s="961"/>
      <c r="D58" s="962"/>
      <c r="E58" s="324">
        <v>15000</v>
      </c>
      <c r="F58" s="324">
        <f>($E$58*F42*(F43-4))</f>
        <v>720000</v>
      </c>
      <c r="G58" s="318">
        <f t="shared" si="1"/>
        <v>720000</v>
      </c>
      <c r="H58" s="330"/>
      <c r="I58" s="296"/>
      <c r="J58" s="296"/>
    </row>
    <row r="59" spans="1:11">
      <c r="A59" s="307">
        <v>4.3</v>
      </c>
      <c r="B59" s="960" t="s">
        <v>1958</v>
      </c>
      <c r="C59" s="961"/>
      <c r="D59" s="962"/>
      <c r="E59" s="324">
        <v>15000</v>
      </c>
      <c r="F59" s="324">
        <f>($E$59*F42*4)</f>
        <v>240000</v>
      </c>
      <c r="G59" s="318">
        <f t="shared" si="1"/>
        <v>240000</v>
      </c>
      <c r="I59" s="296"/>
      <c r="J59" s="296"/>
    </row>
    <row r="60" spans="1:11">
      <c r="A60" s="307">
        <v>4.3</v>
      </c>
      <c r="B60" s="960" t="s">
        <v>1959</v>
      </c>
      <c r="C60" s="961"/>
      <c r="D60" s="962"/>
      <c r="E60" s="324">
        <f>45000-4500</f>
        <v>40500</v>
      </c>
      <c r="F60" s="324">
        <f>($E$60*(F42)*F43)</f>
        <v>2592000</v>
      </c>
      <c r="G60" s="318">
        <f t="shared" si="1"/>
        <v>2592000</v>
      </c>
      <c r="H60" s="328"/>
      <c r="I60" s="296"/>
      <c r="J60" s="296"/>
    </row>
    <row r="61" spans="1:11" ht="12" thickBot="1">
      <c r="A61" s="307">
        <v>4.4000000000000004</v>
      </c>
      <c r="B61" s="960" t="s">
        <v>1960</v>
      </c>
      <c r="C61" s="961"/>
      <c r="D61" s="962"/>
      <c r="E61" s="324">
        <v>1000</v>
      </c>
      <c r="F61" s="331">
        <f>+$E$61*(F40+F41+5)</f>
        <v>148000</v>
      </c>
      <c r="G61" s="318">
        <f t="shared" si="1"/>
        <v>148000</v>
      </c>
      <c r="H61" s="329"/>
      <c r="I61" s="296"/>
      <c r="J61" s="296"/>
    </row>
    <row r="62" spans="1:11" ht="12" thickBot="1">
      <c r="A62" s="307"/>
      <c r="B62" s="966" t="s">
        <v>227</v>
      </c>
      <c r="C62" s="967"/>
      <c r="D62" s="967"/>
      <c r="E62" s="968"/>
      <c r="F62" s="332">
        <f>SUM(F46:F61)</f>
        <v>26902000</v>
      </c>
      <c r="G62" s="333">
        <f>SUM(G46:G61)</f>
        <v>26902000</v>
      </c>
      <c r="H62" s="329"/>
      <c r="I62" s="334"/>
      <c r="J62" s="334"/>
    </row>
    <row r="63" spans="1:11">
      <c r="G63" s="304"/>
      <c r="H63" s="285"/>
      <c r="I63" s="289"/>
      <c r="J63" s="289"/>
    </row>
    <row r="64" spans="1:11">
      <c r="A64" s="292">
        <v>2</v>
      </c>
      <c r="B64" s="969" t="s">
        <v>1961</v>
      </c>
      <c r="C64" s="970"/>
      <c r="D64" s="971"/>
      <c r="E64" s="290" t="s">
        <v>1938</v>
      </c>
      <c r="F64" s="290" t="str">
        <f>F39</f>
        <v>KADUNA</v>
      </c>
      <c r="G64" s="335" t="str">
        <f>G39</f>
        <v xml:space="preserve">Total </v>
      </c>
      <c r="H64" s="285"/>
      <c r="I64" s="289"/>
      <c r="J64" s="289"/>
    </row>
    <row r="65" spans="1:10">
      <c r="A65" s="307"/>
      <c r="B65" s="960" t="s">
        <v>1962</v>
      </c>
      <c r="C65" s="961"/>
      <c r="D65" s="962"/>
      <c r="E65" s="276"/>
      <c r="F65" s="336">
        <f>C16</f>
        <v>23</v>
      </c>
      <c r="G65" s="337">
        <f>SUM(F65:F65)</f>
        <v>23</v>
      </c>
      <c r="H65" s="338"/>
      <c r="I65" s="289"/>
      <c r="J65" s="289"/>
    </row>
    <row r="66" spans="1:10">
      <c r="A66" s="307"/>
      <c r="B66" s="960" t="s">
        <v>1941</v>
      </c>
      <c r="C66" s="961"/>
      <c r="D66" s="962"/>
      <c r="E66" s="276"/>
      <c r="F66" s="319">
        <v>1</v>
      </c>
      <c r="G66" s="337">
        <f t="shared" ref="G66:G72" si="2">SUM(F66:F66)</f>
        <v>1</v>
      </c>
      <c r="H66" s="285"/>
      <c r="I66" s="289"/>
      <c r="J66" s="289"/>
    </row>
    <row r="67" spans="1:10">
      <c r="A67" s="307"/>
      <c r="B67" s="960" t="s">
        <v>1963</v>
      </c>
      <c r="C67" s="961"/>
      <c r="D67" s="962"/>
      <c r="E67" s="276"/>
      <c r="F67" s="285">
        <f>1+1+2</f>
        <v>4</v>
      </c>
      <c r="G67" s="337">
        <f t="shared" si="2"/>
        <v>4</v>
      </c>
      <c r="H67" s="338"/>
      <c r="I67" s="289"/>
      <c r="J67" s="289"/>
    </row>
    <row r="68" spans="1:10">
      <c r="A68" s="307"/>
      <c r="B68" s="960" t="s">
        <v>1964</v>
      </c>
      <c r="C68" s="961"/>
      <c r="D68" s="962"/>
      <c r="E68" s="276"/>
      <c r="F68" s="285">
        <v>3</v>
      </c>
      <c r="G68" s="337">
        <f t="shared" si="2"/>
        <v>3</v>
      </c>
      <c r="H68" s="339"/>
      <c r="I68" s="289"/>
      <c r="J68" s="289"/>
    </row>
    <row r="69" spans="1:10">
      <c r="A69" s="307">
        <v>4.4000000000000004</v>
      </c>
      <c r="B69" s="960" t="s">
        <v>1965</v>
      </c>
      <c r="C69" s="961"/>
      <c r="D69" s="962"/>
      <c r="E69" s="324">
        <v>2000</v>
      </c>
      <c r="F69" s="324">
        <f>(E69*(F65+F67+F68)*F66*2)</f>
        <v>120000</v>
      </c>
      <c r="G69" s="337">
        <f t="shared" si="2"/>
        <v>120000</v>
      </c>
      <c r="H69" s="285"/>
      <c r="I69" s="289"/>
      <c r="J69" s="289"/>
    </row>
    <row r="70" spans="1:10">
      <c r="A70" s="307">
        <v>4.4000000000000004</v>
      </c>
      <c r="B70" s="960" t="s">
        <v>1946</v>
      </c>
      <c r="C70" s="961"/>
      <c r="D70" s="962"/>
      <c r="E70" s="324">
        <v>4500</v>
      </c>
      <c r="F70" s="324">
        <f>(E70*(F65+F67+F68)*F66)</f>
        <v>135000</v>
      </c>
      <c r="G70" s="337">
        <f>SUM(F70:F70)</f>
        <v>135000</v>
      </c>
      <c r="H70" s="285"/>
      <c r="I70" s="289"/>
      <c r="J70" s="289"/>
    </row>
    <row r="71" spans="1:10">
      <c r="A71" s="307">
        <v>4.4000000000000004</v>
      </c>
      <c r="B71" s="960" t="s">
        <v>1966</v>
      </c>
      <c r="C71" s="961"/>
      <c r="D71" s="962"/>
      <c r="E71" s="340">
        <v>120000</v>
      </c>
      <c r="F71" s="324">
        <f>E71*F66</f>
        <v>120000</v>
      </c>
      <c r="G71" s="337">
        <f t="shared" si="2"/>
        <v>120000</v>
      </c>
      <c r="H71" s="323"/>
      <c r="I71" s="341"/>
      <c r="J71" s="341"/>
    </row>
    <row r="72" spans="1:10" ht="12" thickBot="1">
      <c r="A72" s="307">
        <v>4.4000000000000004</v>
      </c>
      <c r="B72" s="960" t="s">
        <v>1967</v>
      </c>
      <c r="C72" s="961"/>
      <c r="D72" s="962"/>
      <c r="E72" s="324">
        <v>5000</v>
      </c>
      <c r="F72" s="324">
        <f>(E72*F66*(F65))</f>
        <v>115000</v>
      </c>
      <c r="G72" s="337">
        <f t="shared" si="2"/>
        <v>115000</v>
      </c>
      <c r="H72" s="285"/>
      <c r="I72" s="341"/>
      <c r="J72" s="341"/>
    </row>
    <row r="73" spans="1:10" ht="12" thickBot="1">
      <c r="A73" s="307"/>
      <c r="B73" s="966" t="s">
        <v>227</v>
      </c>
      <c r="C73" s="967"/>
      <c r="D73" s="967"/>
      <c r="E73" s="968"/>
      <c r="F73" s="332">
        <f>SUM(F69:F72)</f>
        <v>490000</v>
      </c>
      <c r="G73" s="333">
        <f>SUM(G69:G72)</f>
        <v>490000</v>
      </c>
      <c r="H73" s="285"/>
      <c r="I73" s="341"/>
      <c r="J73" s="341"/>
    </row>
    <row r="74" spans="1:10">
      <c r="A74" s="307"/>
      <c r="B74" s="342"/>
      <c r="C74" s="342"/>
      <c r="D74" s="342"/>
      <c r="E74" s="343"/>
      <c r="F74" s="344"/>
      <c r="G74" s="345"/>
      <c r="H74" s="285"/>
      <c r="I74" s="341"/>
      <c r="J74" s="341"/>
    </row>
    <row r="75" spans="1:10">
      <c r="A75" s="292">
        <v>3</v>
      </c>
      <c r="B75" s="969" t="s">
        <v>1968</v>
      </c>
      <c r="C75" s="970"/>
      <c r="D75" s="971"/>
      <c r="E75" s="290" t="s">
        <v>1938</v>
      </c>
      <c r="F75" s="290" t="str">
        <f>F64</f>
        <v>KADUNA</v>
      </c>
      <c r="G75" s="335" t="str">
        <f>G64</f>
        <v xml:space="preserve">Total </v>
      </c>
      <c r="H75" s="285"/>
      <c r="I75" s="341"/>
      <c r="J75" s="341"/>
    </row>
    <row r="76" spans="1:10">
      <c r="A76" s="307"/>
      <c r="B76" s="960" t="s">
        <v>1969</v>
      </c>
      <c r="C76" s="961"/>
      <c r="D76" s="962"/>
      <c r="E76" s="276"/>
      <c r="F76" s="336">
        <f>C35</f>
        <v>135</v>
      </c>
      <c r="G76" s="337">
        <f>SUM(F76:F76)</f>
        <v>135</v>
      </c>
      <c r="H76" s="285"/>
      <c r="I76" s="341"/>
      <c r="J76" s="341"/>
    </row>
    <row r="77" spans="1:10">
      <c r="A77" s="307"/>
      <c r="B77" s="960" t="s">
        <v>1962</v>
      </c>
      <c r="C77" s="961"/>
      <c r="D77" s="962"/>
      <c r="E77" s="276"/>
      <c r="F77" s="336">
        <f>C16</f>
        <v>23</v>
      </c>
      <c r="G77" s="337">
        <f>SUM(F77:F77)</f>
        <v>23</v>
      </c>
      <c r="H77" s="285"/>
      <c r="I77" s="341"/>
      <c r="J77" s="341"/>
    </row>
    <row r="78" spans="1:10" ht="12.75" customHeight="1">
      <c r="A78" s="307"/>
      <c r="B78" s="960" t="s">
        <v>1970</v>
      </c>
      <c r="C78" s="961"/>
      <c r="D78" s="962"/>
      <c r="E78" s="276"/>
      <c r="F78" s="336">
        <v>3</v>
      </c>
      <c r="G78" s="337">
        <f>SUM(F78:F78)</f>
        <v>3</v>
      </c>
      <c r="H78" s="285"/>
      <c r="I78" s="341"/>
      <c r="J78" s="341"/>
    </row>
    <row r="79" spans="1:10">
      <c r="A79" s="307"/>
      <c r="B79" s="960" t="s">
        <v>1941</v>
      </c>
      <c r="C79" s="961"/>
      <c r="D79" s="962"/>
      <c r="E79" s="276"/>
      <c r="F79" s="319">
        <v>2</v>
      </c>
      <c r="G79" s="337">
        <f t="shared" ref="G79:G89" si="3">SUM(F79:F79)</f>
        <v>2</v>
      </c>
      <c r="H79" s="285"/>
      <c r="I79" s="341"/>
      <c r="J79" s="341"/>
    </row>
    <row r="80" spans="1:10">
      <c r="A80" s="307"/>
      <c r="B80" s="960" t="s">
        <v>1971</v>
      </c>
      <c r="C80" s="961"/>
      <c r="D80" s="962"/>
      <c r="E80" s="276"/>
      <c r="F80" s="346">
        <f>4+2+4</f>
        <v>10</v>
      </c>
      <c r="G80" s="337">
        <f t="shared" si="3"/>
        <v>10</v>
      </c>
      <c r="H80" s="323"/>
      <c r="I80" s="341"/>
      <c r="J80" s="341"/>
    </row>
    <row r="81" spans="1:10">
      <c r="A81" s="307"/>
      <c r="B81" s="960" t="s">
        <v>1972</v>
      </c>
      <c r="C81" s="961"/>
      <c r="D81" s="962"/>
      <c r="E81" s="276"/>
      <c r="F81" s="347">
        <f>2+3+2+1</f>
        <v>8</v>
      </c>
      <c r="G81" s="337">
        <f t="shared" si="3"/>
        <v>8</v>
      </c>
      <c r="H81" s="285"/>
      <c r="I81" s="341"/>
      <c r="J81" s="341"/>
    </row>
    <row r="82" spans="1:10">
      <c r="A82" s="307">
        <v>4.4000000000000004</v>
      </c>
      <c r="B82" s="960" t="s">
        <v>1965</v>
      </c>
      <c r="C82" s="961"/>
      <c r="D82" s="962"/>
      <c r="E82" s="324">
        <v>2000</v>
      </c>
      <c r="F82" s="324">
        <f>(E82*2*(F76+F80+F81)*F79)+(E82*2*(F77)*1)</f>
        <v>1316000</v>
      </c>
      <c r="G82" s="337">
        <f t="shared" si="3"/>
        <v>1316000</v>
      </c>
      <c r="H82" s="341"/>
      <c r="I82" s="341"/>
      <c r="J82" s="341"/>
    </row>
    <row r="83" spans="1:10">
      <c r="A83" s="307">
        <v>4.4000000000000004</v>
      </c>
      <c r="B83" s="960" t="s">
        <v>1946</v>
      </c>
      <c r="C83" s="961"/>
      <c r="D83" s="962"/>
      <c r="E83" s="324">
        <v>4500</v>
      </c>
      <c r="F83" s="324">
        <f>(E83*(F76+F80+F81)*F79)+(E83*(F77)*1)</f>
        <v>1480500</v>
      </c>
      <c r="G83" s="337">
        <f t="shared" si="3"/>
        <v>1480500</v>
      </c>
      <c r="H83" s="341"/>
      <c r="I83" s="341"/>
      <c r="J83" s="341"/>
    </row>
    <row r="84" spans="1:10">
      <c r="A84" s="307">
        <v>4.4000000000000004</v>
      </c>
      <c r="B84" s="960" t="s">
        <v>1973</v>
      </c>
      <c r="C84" s="961"/>
      <c r="D84" s="962"/>
      <c r="E84" s="324">
        <v>220000</v>
      </c>
      <c r="F84" s="324">
        <f>(E84*F79*F78)</f>
        <v>1320000</v>
      </c>
      <c r="G84" s="337">
        <f t="shared" si="3"/>
        <v>1320000</v>
      </c>
      <c r="H84" s="285"/>
      <c r="I84" s="341"/>
      <c r="J84" s="341"/>
    </row>
    <row r="85" spans="1:10">
      <c r="A85" s="307">
        <v>4.3</v>
      </c>
      <c r="B85" s="960" t="s">
        <v>1974</v>
      </c>
      <c r="C85" s="961"/>
      <c r="D85" s="962"/>
      <c r="E85" s="324">
        <f>45000-4500</f>
        <v>40500</v>
      </c>
      <c r="F85" s="324">
        <f>(E85*F79*(F80-6))</f>
        <v>324000</v>
      </c>
      <c r="G85" s="337">
        <f t="shared" si="3"/>
        <v>324000</v>
      </c>
      <c r="H85" s="338"/>
      <c r="I85" s="341"/>
      <c r="J85" s="341"/>
    </row>
    <row r="86" spans="1:10">
      <c r="A86" s="307">
        <v>4.4000000000000004</v>
      </c>
      <c r="B86" s="960" t="s">
        <v>1967</v>
      </c>
      <c r="C86" s="961"/>
      <c r="D86" s="962"/>
      <c r="E86" s="324">
        <v>5000</v>
      </c>
      <c r="F86" s="324">
        <f>(E86*F79*(F76))+(E86*1*(F77))</f>
        <v>1465000</v>
      </c>
      <c r="G86" s="337">
        <f t="shared" si="3"/>
        <v>1465000</v>
      </c>
      <c r="H86" s="285"/>
      <c r="I86" s="341"/>
      <c r="J86" s="341"/>
    </row>
    <row r="87" spans="1:10">
      <c r="A87" s="307">
        <v>4.3</v>
      </c>
      <c r="B87" s="960" t="s">
        <v>1975</v>
      </c>
      <c r="C87" s="961"/>
      <c r="D87" s="962"/>
      <c r="E87" s="324">
        <v>15000</v>
      </c>
      <c r="F87" s="324">
        <f>(E87*F79*(F80-6))</f>
        <v>120000</v>
      </c>
      <c r="G87" s="337">
        <f t="shared" si="3"/>
        <v>120000</v>
      </c>
      <c r="H87" s="285"/>
      <c r="I87" s="341"/>
      <c r="J87" s="341"/>
    </row>
    <row r="88" spans="1:10">
      <c r="A88" s="307">
        <v>4.3</v>
      </c>
      <c r="B88" s="960" t="s">
        <v>1976</v>
      </c>
      <c r="C88" s="961"/>
      <c r="D88" s="962"/>
      <c r="E88" s="324">
        <v>5000</v>
      </c>
      <c r="F88" s="324">
        <f>(E88*(F80-6)*F79)</f>
        <v>40000</v>
      </c>
      <c r="G88" s="337">
        <f t="shared" si="3"/>
        <v>40000</v>
      </c>
      <c r="H88" s="285"/>
      <c r="I88" s="341"/>
      <c r="J88" s="341"/>
    </row>
    <row r="89" spans="1:10" ht="12" thickBot="1">
      <c r="A89" s="307">
        <v>4.4000000000000004</v>
      </c>
      <c r="B89" s="960" t="s">
        <v>1960</v>
      </c>
      <c r="C89" s="961"/>
      <c r="D89" s="962"/>
      <c r="E89" s="324">
        <v>1000</v>
      </c>
      <c r="F89" s="324">
        <f>E89*F76</f>
        <v>135000</v>
      </c>
      <c r="G89" s="337">
        <f t="shared" si="3"/>
        <v>135000</v>
      </c>
      <c r="H89" s="285"/>
      <c r="I89" s="341"/>
      <c r="J89" s="341"/>
    </row>
    <row r="90" spans="1:10" ht="12" thickBot="1">
      <c r="A90" s="307"/>
      <c r="B90" s="966" t="s">
        <v>227</v>
      </c>
      <c r="C90" s="967"/>
      <c r="D90" s="967"/>
      <c r="E90" s="968"/>
      <c r="F90" s="332">
        <f>SUM(F82:F89)</f>
        <v>6200500</v>
      </c>
      <c r="G90" s="333">
        <f>SUM(G82:G89)</f>
        <v>6200500</v>
      </c>
      <c r="H90" s="285"/>
      <c r="I90" s="341"/>
      <c r="J90" s="341"/>
    </row>
    <row r="91" spans="1:10">
      <c r="G91" s="304"/>
      <c r="H91" s="285"/>
      <c r="I91" s="341"/>
      <c r="J91" s="341"/>
    </row>
    <row r="92" spans="1:10">
      <c r="A92" s="292">
        <v>4</v>
      </c>
      <c r="B92" s="969" t="s">
        <v>1977</v>
      </c>
      <c r="C92" s="970"/>
      <c r="D92" s="971"/>
      <c r="E92" s="290" t="s">
        <v>1938</v>
      </c>
      <c r="F92" s="290" t="str">
        <f>F64</f>
        <v>KADUNA</v>
      </c>
      <c r="G92" s="335" t="str">
        <f>G64</f>
        <v xml:space="preserve">Total </v>
      </c>
      <c r="H92" s="285"/>
      <c r="I92" s="289"/>
      <c r="J92" s="289"/>
    </row>
    <row r="93" spans="1:10">
      <c r="A93" s="307"/>
      <c r="B93" s="960" t="s">
        <v>1969</v>
      </c>
      <c r="C93" s="961"/>
      <c r="D93" s="962"/>
      <c r="E93" s="276"/>
      <c r="F93" s="336">
        <f>C35</f>
        <v>135</v>
      </c>
      <c r="G93" s="337">
        <f>SUM(F93:F93)</f>
        <v>135</v>
      </c>
      <c r="H93" s="348"/>
      <c r="I93" s="289"/>
      <c r="J93" s="289"/>
    </row>
    <row r="94" spans="1:10">
      <c r="A94" s="307"/>
      <c r="B94" s="960" t="s">
        <v>1941</v>
      </c>
      <c r="C94" s="961"/>
      <c r="D94" s="962"/>
      <c r="E94" s="276"/>
      <c r="F94" s="319">
        <v>1</v>
      </c>
      <c r="G94" s="337">
        <f t="shared" ref="G94:G104" si="4">SUM(F94:F94)</f>
        <v>1</v>
      </c>
      <c r="H94" s="285"/>
      <c r="I94" s="289"/>
      <c r="J94" s="289"/>
    </row>
    <row r="95" spans="1:10">
      <c r="A95" s="307"/>
      <c r="B95" s="315" t="s">
        <v>1978</v>
      </c>
      <c r="C95" s="316"/>
      <c r="D95" s="317"/>
      <c r="E95" s="276"/>
      <c r="F95" s="319">
        <v>2</v>
      </c>
      <c r="G95" s="337">
        <f t="shared" si="4"/>
        <v>2</v>
      </c>
      <c r="H95" s="285"/>
      <c r="I95" s="289"/>
      <c r="J95" s="289"/>
    </row>
    <row r="96" spans="1:10">
      <c r="A96" s="307"/>
      <c r="B96" s="960" t="s">
        <v>1979</v>
      </c>
      <c r="C96" s="961"/>
      <c r="D96" s="962"/>
      <c r="E96" s="276"/>
      <c r="F96" s="347">
        <f>4+2</f>
        <v>6</v>
      </c>
      <c r="G96" s="337">
        <f t="shared" si="4"/>
        <v>6</v>
      </c>
      <c r="H96" s="338"/>
      <c r="I96" s="289"/>
      <c r="J96" s="289"/>
    </row>
    <row r="97" spans="1:10">
      <c r="A97" s="307"/>
      <c r="B97" s="960" t="s">
        <v>1980</v>
      </c>
      <c r="C97" s="961"/>
      <c r="D97" s="962"/>
      <c r="E97" s="276"/>
      <c r="F97" s="347">
        <f>4+1+2+1</f>
        <v>8</v>
      </c>
      <c r="G97" s="337">
        <f t="shared" si="4"/>
        <v>8</v>
      </c>
      <c r="H97" s="338"/>
      <c r="I97" s="289"/>
      <c r="J97" s="289"/>
    </row>
    <row r="98" spans="1:10">
      <c r="A98" s="307">
        <v>4.4000000000000004</v>
      </c>
      <c r="B98" s="960" t="s">
        <v>1965</v>
      </c>
      <c r="C98" s="961"/>
      <c r="D98" s="962"/>
      <c r="E98" s="324">
        <v>2000</v>
      </c>
      <c r="F98" s="324">
        <f>E98*2*(F93+F96+F97)*F94</f>
        <v>596000</v>
      </c>
      <c r="G98" s="337">
        <f t="shared" si="4"/>
        <v>596000</v>
      </c>
      <c r="H98" s="285"/>
      <c r="I98" s="289"/>
      <c r="J98" s="289"/>
    </row>
    <row r="99" spans="1:10">
      <c r="A99" s="307">
        <v>4.4000000000000004</v>
      </c>
      <c r="B99" s="960" t="s">
        <v>1946</v>
      </c>
      <c r="C99" s="961"/>
      <c r="D99" s="962"/>
      <c r="E99" s="324">
        <v>4500</v>
      </c>
      <c r="F99" s="324">
        <f>E99*(F93+F96+F97)*F94</f>
        <v>670500</v>
      </c>
      <c r="G99" s="337">
        <f t="shared" si="4"/>
        <v>670500</v>
      </c>
      <c r="H99" s="285"/>
      <c r="I99" s="289"/>
      <c r="J99" s="289"/>
    </row>
    <row r="100" spans="1:10">
      <c r="A100" s="307">
        <v>4.4000000000000004</v>
      </c>
      <c r="B100" s="960" t="s">
        <v>1981</v>
      </c>
      <c r="C100" s="961"/>
      <c r="D100" s="962"/>
      <c r="E100" s="324">
        <v>220000</v>
      </c>
      <c r="F100" s="324">
        <f>E100*F94*F95</f>
        <v>440000</v>
      </c>
      <c r="G100" s="337">
        <f t="shared" si="4"/>
        <v>440000</v>
      </c>
      <c r="H100" s="285"/>
      <c r="I100" s="289"/>
      <c r="J100" s="289"/>
    </row>
    <row r="101" spans="1:10">
      <c r="A101" s="307">
        <v>4.3</v>
      </c>
      <c r="B101" s="960" t="s">
        <v>1974</v>
      </c>
      <c r="C101" s="961"/>
      <c r="D101" s="962"/>
      <c r="E101" s="324">
        <f>45000-4500</f>
        <v>40500</v>
      </c>
      <c r="F101" s="324">
        <f>E101*F96*F94</f>
        <v>243000</v>
      </c>
      <c r="G101" s="337">
        <f t="shared" si="4"/>
        <v>243000</v>
      </c>
      <c r="H101" s="285"/>
      <c r="I101" s="289"/>
      <c r="J101" s="289"/>
    </row>
    <row r="102" spans="1:10">
      <c r="A102" s="307">
        <v>4.4000000000000004</v>
      </c>
      <c r="B102" s="960" t="s">
        <v>1967</v>
      </c>
      <c r="C102" s="961"/>
      <c r="D102" s="962"/>
      <c r="E102" s="324">
        <v>5000</v>
      </c>
      <c r="F102" s="324">
        <f>E102*F93*F94</f>
        <v>675000</v>
      </c>
      <c r="G102" s="337">
        <f t="shared" si="4"/>
        <v>675000</v>
      </c>
      <c r="H102" s="285"/>
      <c r="I102" s="289"/>
      <c r="J102" s="289"/>
    </row>
    <row r="103" spans="1:10">
      <c r="A103" s="307">
        <v>4.3</v>
      </c>
      <c r="B103" s="960" t="s">
        <v>1976</v>
      </c>
      <c r="C103" s="961"/>
      <c r="D103" s="962"/>
      <c r="E103" s="324">
        <v>5000</v>
      </c>
      <c r="F103" s="324">
        <f>E103*F96*F94</f>
        <v>30000</v>
      </c>
      <c r="G103" s="337">
        <f t="shared" si="4"/>
        <v>30000</v>
      </c>
      <c r="H103" s="285"/>
      <c r="I103" s="289"/>
      <c r="J103" s="289"/>
    </row>
    <row r="104" spans="1:10" ht="12" thickBot="1">
      <c r="A104" s="307">
        <v>4.3</v>
      </c>
      <c r="B104" s="960" t="s">
        <v>1975</v>
      </c>
      <c r="C104" s="961"/>
      <c r="D104" s="962"/>
      <c r="E104" s="324">
        <v>15000</v>
      </c>
      <c r="F104" s="324">
        <f>E104*F96*F94</f>
        <v>90000</v>
      </c>
      <c r="G104" s="337">
        <f t="shared" si="4"/>
        <v>90000</v>
      </c>
      <c r="H104" s="285"/>
      <c r="I104" s="289"/>
      <c r="J104" s="289"/>
    </row>
    <row r="105" spans="1:10" ht="12" thickBot="1">
      <c r="A105" s="307"/>
      <c r="B105" s="966" t="s">
        <v>227</v>
      </c>
      <c r="C105" s="967"/>
      <c r="D105" s="967"/>
      <c r="E105" s="968"/>
      <c r="F105" s="332">
        <f>SUM(F98:F104)</f>
        <v>2744500</v>
      </c>
      <c r="G105" s="333">
        <f>SUM(G98:G104)</f>
        <v>2744500</v>
      </c>
      <c r="H105" s="285"/>
      <c r="I105" s="349"/>
      <c r="J105" s="341"/>
    </row>
    <row r="106" spans="1:10">
      <c r="G106" s="304"/>
      <c r="H106" s="285"/>
      <c r="I106" s="310"/>
      <c r="J106" s="310"/>
    </row>
    <row r="107" spans="1:10">
      <c r="A107" s="292">
        <v>5</v>
      </c>
      <c r="B107" s="972" t="s">
        <v>1982</v>
      </c>
      <c r="C107" s="973"/>
      <c r="D107" s="974"/>
      <c r="E107" s="290" t="s">
        <v>1938</v>
      </c>
      <c r="F107" s="290" t="str">
        <f>F64</f>
        <v>KADUNA</v>
      </c>
      <c r="G107" s="350" t="str">
        <f>D2</f>
        <v xml:space="preserve">Total </v>
      </c>
      <c r="H107" s="285"/>
      <c r="I107" s="351"/>
      <c r="J107" s="351"/>
    </row>
    <row r="108" spans="1:10">
      <c r="A108" s="307"/>
      <c r="B108" s="960" t="s">
        <v>1983</v>
      </c>
      <c r="C108" s="961"/>
      <c r="D108" s="962"/>
      <c r="E108" s="276"/>
      <c r="F108" s="347">
        <v>23</v>
      </c>
      <c r="G108" s="337">
        <f>SUM(F108:F108)</f>
        <v>23</v>
      </c>
      <c r="H108" s="348"/>
      <c r="I108" s="352"/>
      <c r="J108" s="352"/>
    </row>
    <row r="109" spans="1:10">
      <c r="A109" s="307"/>
      <c r="B109" s="960" t="s">
        <v>1941</v>
      </c>
      <c r="C109" s="961"/>
      <c r="D109" s="962"/>
      <c r="E109" s="276"/>
      <c r="F109" s="353">
        <v>1</v>
      </c>
      <c r="G109" s="337">
        <f>F109</f>
        <v>1</v>
      </c>
      <c r="H109" s="338"/>
      <c r="I109" s="289"/>
      <c r="J109" s="289"/>
    </row>
    <row r="110" spans="1:10">
      <c r="A110" s="307"/>
      <c r="B110" s="315" t="s">
        <v>1978</v>
      </c>
      <c r="C110" s="316"/>
      <c r="D110" s="317"/>
      <c r="E110" s="276"/>
      <c r="F110" s="353">
        <v>1</v>
      </c>
      <c r="G110" s="337">
        <f>F110</f>
        <v>1</v>
      </c>
      <c r="H110" s="338"/>
      <c r="I110" s="289"/>
      <c r="J110" s="289"/>
    </row>
    <row r="111" spans="1:10">
      <c r="A111" s="307"/>
      <c r="B111" s="960" t="s">
        <v>1984</v>
      </c>
      <c r="C111" s="961"/>
      <c r="D111" s="962"/>
      <c r="E111" s="276"/>
      <c r="F111" s="346">
        <v>2</v>
      </c>
      <c r="G111" s="337">
        <f t="shared" ref="G111:G122" si="5">SUM(F111:F111)</f>
        <v>2</v>
      </c>
      <c r="H111" s="323"/>
      <c r="I111" s="289"/>
      <c r="J111" s="289"/>
    </row>
    <row r="112" spans="1:10" ht="12" customHeight="1">
      <c r="A112" s="307"/>
      <c r="B112" s="960" t="s">
        <v>1985</v>
      </c>
      <c r="C112" s="961"/>
      <c r="D112" s="962"/>
      <c r="E112" s="276"/>
      <c r="F112" s="347">
        <v>4</v>
      </c>
      <c r="G112" s="337">
        <f t="shared" si="5"/>
        <v>4</v>
      </c>
      <c r="H112" s="285"/>
      <c r="I112" s="289"/>
      <c r="J112" s="289"/>
    </row>
    <row r="113" spans="1:10">
      <c r="A113" s="307">
        <v>4.4000000000000004</v>
      </c>
      <c r="B113" s="960" t="s">
        <v>1965</v>
      </c>
      <c r="C113" s="961"/>
      <c r="D113" s="962"/>
      <c r="E113" s="324">
        <v>2000</v>
      </c>
      <c r="F113" s="324">
        <f>E113*(F108+F111+F112)*F109*2</f>
        <v>116000</v>
      </c>
      <c r="G113" s="337">
        <f t="shared" si="5"/>
        <v>116000</v>
      </c>
      <c r="H113" s="285"/>
      <c r="I113" s="289"/>
      <c r="J113" s="289"/>
    </row>
    <row r="114" spans="1:10">
      <c r="A114" s="307">
        <v>4.4000000000000004</v>
      </c>
      <c r="B114" s="960" t="s">
        <v>1946</v>
      </c>
      <c r="C114" s="961"/>
      <c r="D114" s="962"/>
      <c r="E114" s="324">
        <v>4500</v>
      </c>
      <c r="F114" s="324">
        <f>E114*(F108+F111+F112)*F109</f>
        <v>130500</v>
      </c>
      <c r="G114" s="337">
        <f t="shared" si="5"/>
        <v>130500</v>
      </c>
      <c r="H114" s="285"/>
      <c r="I114" s="289"/>
      <c r="J114" s="289"/>
    </row>
    <row r="115" spans="1:10">
      <c r="A115" s="307">
        <v>4.4000000000000004</v>
      </c>
      <c r="B115" s="960" t="s">
        <v>1966</v>
      </c>
      <c r="C115" s="961"/>
      <c r="D115" s="962"/>
      <c r="E115" s="324">
        <v>120000</v>
      </c>
      <c r="F115" s="324">
        <f>E115*F109*F110</f>
        <v>120000</v>
      </c>
      <c r="G115" s="337">
        <f t="shared" si="5"/>
        <v>120000</v>
      </c>
      <c r="H115" s="285"/>
      <c r="I115" s="289"/>
      <c r="J115" s="289"/>
    </row>
    <row r="116" spans="1:10">
      <c r="A116" s="307">
        <v>4.4000000000000004</v>
      </c>
      <c r="B116" s="960" t="s">
        <v>1986</v>
      </c>
      <c r="C116" s="961"/>
      <c r="D116" s="962"/>
      <c r="E116" s="324">
        <v>5000</v>
      </c>
      <c r="F116" s="324">
        <f>+E116*F108*F109</f>
        <v>115000</v>
      </c>
      <c r="G116" s="337">
        <f t="shared" si="5"/>
        <v>115000</v>
      </c>
      <c r="H116" s="285"/>
      <c r="I116" s="289"/>
      <c r="J116" s="289"/>
    </row>
    <row r="117" spans="1:10">
      <c r="A117" s="307">
        <v>4.3</v>
      </c>
      <c r="B117" s="960" t="s">
        <v>1987</v>
      </c>
      <c r="C117" s="961"/>
      <c r="D117" s="962"/>
      <c r="E117" s="324">
        <v>5000</v>
      </c>
      <c r="F117" s="324">
        <f>E117*F111*F109</f>
        <v>10000</v>
      </c>
      <c r="G117" s="337">
        <f t="shared" si="5"/>
        <v>10000</v>
      </c>
      <c r="H117" s="285"/>
      <c r="I117" s="289"/>
      <c r="J117" s="289"/>
    </row>
    <row r="118" spans="1:10">
      <c r="A118" s="307">
        <v>4.3</v>
      </c>
      <c r="B118" s="975" t="s">
        <v>1988</v>
      </c>
      <c r="C118" s="976"/>
      <c r="D118" s="977"/>
      <c r="E118" s="324">
        <v>5000</v>
      </c>
      <c r="F118" s="324">
        <f>E118*1</f>
        <v>5000</v>
      </c>
      <c r="G118" s="337">
        <f t="shared" si="5"/>
        <v>5000</v>
      </c>
      <c r="H118" s="285"/>
      <c r="I118" s="289"/>
      <c r="J118" s="289"/>
    </row>
    <row r="119" spans="1:10">
      <c r="A119" s="307">
        <v>4.3</v>
      </c>
      <c r="B119" s="960" t="s">
        <v>1974</v>
      </c>
      <c r="C119" s="961"/>
      <c r="D119" s="962"/>
      <c r="E119" s="324">
        <f>45000-4500</f>
        <v>40500</v>
      </c>
      <c r="F119" s="324">
        <f>E119*F111*F109</f>
        <v>81000</v>
      </c>
      <c r="G119" s="337">
        <f t="shared" si="5"/>
        <v>81000</v>
      </c>
      <c r="H119" s="285"/>
      <c r="I119" s="289"/>
      <c r="J119" s="289"/>
    </row>
    <row r="120" spans="1:10">
      <c r="A120" s="307">
        <v>4.3</v>
      </c>
      <c r="B120" s="960" t="s">
        <v>1989</v>
      </c>
      <c r="C120" s="961"/>
      <c r="D120" s="962"/>
      <c r="E120" s="324">
        <v>15000</v>
      </c>
      <c r="F120" s="324">
        <f>E120*F111*F109</f>
        <v>30000</v>
      </c>
      <c r="G120" s="337">
        <f t="shared" si="5"/>
        <v>30000</v>
      </c>
      <c r="H120" s="285"/>
      <c r="I120" s="289"/>
      <c r="J120" s="289"/>
    </row>
    <row r="121" spans="1:10">
      <c r="A121" s="307">
        <v>4.3</v>
      </c>
      <c r="B121" s="975" t="s">
        <v>1990</v>
      </c>
      <c r="C121" s="976"/>
      <c r="D121" s="977"/>
      <c r="E121" s="324">
        <v>6000</v>
      </c>
      <c r="F121" s="324">
        <f>E121*1</f>
        <v>6000</v>
      </c>
      <c r="G121" s="337">
        <f t="shared" si="5"/>
        <v>6000</v>
      </c>
      <c r="H121" s="285"/>
      <c r="I121" s="289"/>
      <c r="J121" s="289"/>
    </row>
    <row r="122" spans="1:10" ht="12" thickBot="1">
      <c r="A122" s="307">
        <v>4.4000000000000004</v>
      </c>
      <c r="B122" s="960" t="s">
        <v>1960</v>
      </c>
      <c r="C122" s="961"/>
      <c r="D122" s="962"/>
      <c r="E122" s="324">
        <v>1000</v>
      </c>
      <c r="F122" s="331">
        <f>E122*F108</f>
        <v>23000</v>
      </c>
      <c r="G122" s="337">
        <f t="shared" si="5"/>
        <v>23000</v>
      </c>
      <c r="H122" s="285"/>
      <c r="I122" s="289"/>
      <c r="J122" s="289"/>
    </row>
    <row r="123" spans="1:10" ht="12" thickBot="1">
      <c r="A123" s="307"/>
      <c r="B123" s="966" t="s">
        <v>227</v>
      </c>
      <c r="C123" s="967"/>
      <c r="D123" s="967"/>
      <c r="E123" s="968"/>
      <c r="F123" s="332">
        <f>SUM(F113:F122)</f>
        <v>636500</v>
      </c>
      <c r="G123" s="333">
        <f>SUM(G113:G122)</f>
        <v>636500</v>
      </c>
      <c r="H123" s="357"/>
      <c r="I123" s="289"/>
      <c r="J123" s="289"/>
    </row>
    <row r="124" spans="1:10">
      <c r="G124" s="304"/>
      <c r="H124" s="285"/>
      <c r="I124" s="289"/>
      <c r="J124" s="289"/>
    </row>
    <row r="125" spans="1:10">
      <c r="A125" s="292">
        <v>5</v>
      </c>
      <c r="B125" s="972" t="s">
        <v>1991</v>
      </c>
      <c r="C125" s="973"/>
      <c r="D125" s="974"/>
      <c r="E125" s="290" t="s">
        <v>1938</v>
      </c>
      <c r="F125" s="290" t="str">
        <f>F107</f>
        <v>KADUNA</v>
      </c>
      <c r="G125" s="350" t="str">
        <f>G107</f>
        <v xml:space="preserve">Total </v>
      </c>
      <c r="H125" s="285"/>
      <c r="I125" s="289"/>
      <c r="J125" s="289"/>
    </row>
    <row r="126" spans="1:10">
      <c r="A126" s="307"/>
      <c r="B126" s="960" t="s">
        <v>1992</v>
      </c>
      <c r="C126" s="961"/>
      <c r="D126" s="962"/>
      <c r="E126" s="276"/>
      <c r="F126" s="336">
        <f>C22</f>
        <v>92</v>
      </c>
      <c r="G126" s="337">
        <f>SUM(F126:F126)</f>
        <v>92</v>
      </c>
      <c r="H126" s="285"/>
      <c r="I126" s="289"/>
      <c r="J126" s="289"/>
    </row>
    <row r="127" spans="1:10">
      <c r="A127" s="307"/>
      <c r="B127" s="960" t="s">
        <v>1941</v>
      </c>
      <c r="C127" s="961"/>
      <c r="D127" s="962"/>
      <c r="E127" s="276"/>
      <c r="F127" s="319">
        <v>1</v>
      </c>
      <c r="G127" s="337">
        <f>SUM(F127:F127)</f>
        <v>1</v>
      </c>
      <c r="H127" s="285"/>
      <c r="I127" s="289"/>
      <c r="J127" s="289"/>
    </row>
    <row r="128" spans="1:10" ht="12.75" customHeight="1">
      <c r="A128" s="307"/>
      <c r="B128" s="315" t="s">
        <v>1978</v>
      </c>
      <c r="C128" s="316"/>
      <c r="D128" s="317"/>
      <c r="E128" s="276"/>
      <c r="F128" s="319">
        <v>3</v>
      </c>
      <c r="G128" s="337">
        <f>SUM(F128:F128)</f>
        <v>3</v>
      </c>
      <c r="H128" s="285"/>
      <c r="I128" s="289"/>
      <c r="J128" s="289"/>
    </row>
    <row r="129" spans="1:12">
      <c r="A129" s="307"/>
      <c r="B129" s="960" t="s">
        <v>1993</v>
      </c>
      <c r="C129" s="961"/>
      <c r="D129" s="962"/>
      <c r="E129" s="276"/>
      <c r="F129" s="347">
        <v>10</v>
      </c>
      <c r="G129" s="337">
        <f t="shared" ref="G129:G138" si="6">SUM(F129:F129)</f>
        <v>10</v>
      </c>
      <c r="H129" s="323"/>
      <c r="I129" s="289"/>
      <c r="J129" s="289"/>
    </row>
    <row r="130" spans="1:12" ht="11.5" customHeight="1">
      <c r="A130" s="307"/>
      <c r="B130" s="960" t="s">
        <v>1994</v>
      </c>
      <c r="C130" s="961"/>
      <c r="D130" s="962"/>
      <c r="E130" s="276"/>
      <c r="F130" s="347">
        <f>1+3+1+1+2</f>
        <v>8</v>
      </c>
      <c r="G130" s="337">
        <f t="shared" si="6"/>
        <v>8</v>
      </c>
      <c r="H130" s="285"/>
      <c r="I130" s="289"/>
      <c r="J130" s="289"/>
    </row>
    <row r="131" spans="1:12">
      <c r="A131" s="307">
        <v>4.4000000000000004</v>
      </c>
      <c r="B131" s="960" t="s">
        <v>1965</v>
      </c>
      <c r="C131" s="961"/>
      <c r="D131" s="962"/>
      <c r="E131" s="324">
        <v>2000</v>
      </c>
      <c r="F131" s="324">
        <f>(E131*(F126+F129+F130)*F127*2)</f>
        <v>440000</v>
      </c>
      <c r="G131" s="337">
        <f t="shared" si="6"/>
        <v>440000</v>
      </c>
      <c r="H131" s="285"/>
      <c r="I131" s="289"/>
      <c r="J131" s="289"/>
    </row>
    <row r="132" spans="1:12">
      <c r="A132" s="307">
        <v>4.4000000000000004</v>
      </c>
      <c r="B132" s="960" t="s">
        <v>1946</v>
      </c>
      <c r="C132" s="961"/>
      <c r="D132" s="962"/>
      <c r="E132" s="324">
        <v>4500</v>
      </c>
      <c r="F132" s="324">
        <f>(E132*(F126+F129+F130)*F127)</f>
        <v>495000</v>
      </c>
      <c r="G132" s="337">
        <f t="shared" si="6"/>
        <v>495000</v>
      </c>
      <c r="H132" s="285"/>
      <c r="I132" s="289"/>
      <c r="J132" s="289"/>
    </row>
    <row r="133" spans="1:12">
      <c r="A133" s="327">
        <v>4.4000000000000004</v>
      </c>
      <c r="B133" s="960" t="s">
        <v>1966</v>
      </c>
      <c r="C133" s="961"/>
      <c r="D133" s="962"/>
      <c r="E133" s="324">
        <v>120000</v>
      </c>
      <c r="F133" s="324">
        <f>E133*F127*F128</f>
        <v>360000</v>
      </c>
      <c r="G133" s="337">
        <f t="shared" si="6"/>
        <v>360000</v>
      </c>
      <c r="H133" s="285"/>
      <c r="I133" s="289"/>
      <c r="J133" s="289"/>
    </row>
    <row r="134" spans="1:12">
      <c r="A134" s="307">
        <v>4.4000000000000004</v>
      </c>
      <c r="B134" s="960" t="s">
        <v>1986</v>
      </c>
      <c r="C134" s="961"/>
      <c r="D134" s="962"/>
      <c r="E134" s="324">
        <v>5000</v>
      </c>
      <c r="F134" s="324">
        <f>+E134*F126*F127</f>
        <v>460000</v>
      </c>
      <c r="G134" s="337">
        <f t="shared" si="6"/>
        <v>460000</v>
      </c>
      <c r="H134" s="285"/>
      <c r="I134" s="289"/>
      <c r="J134" s="289"/>
    </row>
    <row r="135" spans="1:12">
      <c r="A135" s="307">
        <v>4.3</v>
      </c>
      <c r="B135" s="960" t="s">
        <v>1974</v>
      </c>
      <c r="C135" s="961"/>
      <c r="D135" s="962"/>
      <c r="E135" s="324">
        <f>45000-4500</f>
        <v>40500</v>
      </c>
      <c r="F135" s="324">
        <f>(E135*F129*F127)</f>
        <v>405000</v>
      </c>
      <c r="G135" s="337">
        <f t="shared" si="6"/>
        <v>405000</v>
      </c>
      <c r="H135" s="285"/>
      <c r="I135" s="289"/>
      <c r="J135" s="289"/>
    </row>
    <row r="136" spans="1:12" ht="13">
      <c r="A136" s="307">
        <v>4.4000000000000004</v>
      </c>
      <c r="B136" s="358" t="s">
        <v>1995</v>
      </c>
      <c r="C136" s="359"/>
      <c r="D136" s="360"/>
      <c r="E136" s="340">
        <v>20000</v>
      </c>
      <c r="F136" s="340">
        <f>E136*F127</f>
        <v>20000</v>
      </c>
      <c r="G136" s="337">
        <f t="shared" si="6"/>
        <v>20000</v>
      </c>
      <c r="H136" s="285"/>
      <c r="I136" s="289"/>
      <c r="J136" s="289"/>
    </row>
    <row r="137" spans="1:12">
      <c r="A137" s="307">
        <v>4.3</v>
      </c>
      <c r="B137" s="960" t="s">
        <v>1987</v>
      </c>
      <c r="C137" s="961"/>
      <c r="D137" s="962"/>
      <c r="E137" s="324">
        <v>5000</v>
      </c>
      <c r="F137" s="324">
        <f>(E137*F127*F129)</f>
        <v>50000</v>
      </c>
      <c r="G137" s="337">
        <f t="shared" si="6"/>
        <v>50000</v>
      </c>
      <c r="H137" s="285"/>
      <c r="I137" s="289"/>
      <c r="J137" s="289"/>
    </row>
    <row r="138" spans="1:12" ht="12" customHeight="1">
      <c r="A138" s="307">
        <v>4.3</v>
      </c>
      <c r="B138" s="960" t="s">
        <v>1996</v>
      </c>
      <c r="C138" s="961"/>
      <c r="D138" s="962"/>
      <c r="E138" s="324">
        <v>15000</v>
      </c>
      <c r="F138" s="324">
        <f>(E138*F129*F127)</f>
        <v>150000</v>
      </c>
      <c r="G138" s="337">
        <f t="shared" si="6"/>
        <v>150000</v>
      </c>
      <c r="H138" s="285"/>
      <c r="I138" s="289"/>
      <c r="J138" s="289"/>
    </row>
    <row r="139" spans="1:12" ht="12" thickBot="1">
      <c r="A139" s="307">
        <v>4.4000000000000004</v>
      </c>
      <c r="B139" s="978" t="s">
        <v>1960</v>
      </c>
      <c r="C139" s="979"/>
      <c r="D139" s="980"/>
      <c r="E139" s="340">
        <v>1000</v>
      </c>
      <c r="F139" s="361">
        <f>E139*F126</f>
        <v>92000</v>
      </c>
      <c r="G139" s="337">
        <f>SUM(F139:F139)</f>
        <v>92000</v>
      </c>
      <c r="H139" s="285"/>
      <c r="I139" s="289"/>
      <c r="J139" s="289"/>
    </row>
    <row r="140" spans="1:12" s="287" customFormat="1" ht="12" thickBot="1">
      <c r="A140" s="307"/>
      <c r="B140" s="966" t="s">
        <v>227</v>
      </c>
      <c r="C140" s="967"/>
      <c r="D140" s="967"/>
      <c r="E140" s="968"/>
      <c r="F140" s="332">
        <f>SUM(F131:F139)</f>
        <v>2472000</v>
      </c>
      <c r="G140" s="333">
        <f>SUM(G131:G139)</f>
        <v>2472000</v>
      </c>
      <c r="H140" s="285"/>
      <c r="I140" s="289"/>
      <c r="J140" s="289"/>
      <c r="K140" s="289"/>
      <c r="L140" s="362"/>
    </row>
    <row r="141" spans="1:12" s="287" customFormat="1">
      <c r="A141" s="307"/>
      <c r="B141" s="342"/>
      <c r="C141" s="342"/>
      <c r="D141" s="342"/>
      <c r="E141" s="343"/>
      <c r="F141" s="344"/>
      <c r="G141" s="345"/>
      <c r="H141" s="285"/>
      <c r="I141" s="289"/>
      <c r="J141" s="289"/>
      <c r="K141" s="289"/>
      <c r="L141" s="362"/>
    </row>
    <row r="142" spans="1:12" s="287" customFormat="1">
      <c r="A142" s="292">
        <v>6</v>
      </c>
      <c r="B142" s="972" t="s">
        <v>1997</v>
      </c>
      <c r="C142" s="973"/>
      <c r="D142" s="974"/>
      <c r="E142" s="290" t="s">
        <v>1938</v>
      </c>
      <c r="F142" s="290" t="str">
        <f>F125</f>
        <v>KADUNA</v>
      </c>
      <c r="G142" s="350" t="str">
        <f>G125</f>
        <v xml:space="preserve">Total </v>
      </c>
      <c r="H142" s="285"/>
      <c r="I142" s="363"/>
      <c r="J142" s="363"/>
      <c r="K142" s="289"/>
      <c r="L142" s="362"/>
    </row>
    <row r="143" spans="1:12" s="287" customFormat="1">
      <c r="A143" s="307"/>
      <c r="B143" s="960" t="s">
        <v>1998</v>
      </c>
      <c r="C143" s="961"/>
      <c r="D143" s="962"/>
      <c r="E143" s="276"/>
      <c r="F143" s="336">
        <v>30</v>
      </c>
      <c r="G143" s="337">
        <f>SUM(F143:F143)</f>
        <v>30</v>
      </c>
      <c r="H143" s="285"/>
      <c r="I143" s="364"/>
      <c r="J143" s="364"/>
      <c r="K143" s="289"/>
      <c r="L143" s="362"/>
    </row>
    <row r="144" spans="1:12" s="287" customFormat="1">
      <c r="A144" s="307"/>
      <c r="B144" s="960" t="s">
        <v>1941</v>
      </c>
      <c r="C144" s="961"/>
      <c r="D144" s="962"/>
      <c r="E144" s="276"/>
      <c r="F144" s="319">
        <v>1</v>
      </c>
      <c r="G144" s="337">
        <v>1</v>
      </c>
      <c r="H144" s="285"/>
      <c r="I144" s="289"/>
      <c r="J144" s="289"/>
      <c r="K144" s="289"/>
      <c r="L144" s="362"/>
    </row>
    <row r="145" spans="1:18" s="287" customFormat="1">
      <c r="A145" s="307"/>
      <c r="B145" s="960" t="s">
        <v>1999</v>
      </c>
      <c r="C145" s="961"/>
      <c r="D145" s="962"/>
      <c r="E145" s="276"/>
      <c r="F145" s="336">
        <f>2+4+1</f>
        <v>7</v>
      </c>
      <c r="G145" s="337">
        <f t="shared" ref="G145:G154" si="7">SUM(F145:F145)</f>
        <v>7</v>
      </c>
      <c r="H145" s="323"/>
      <c r="I145" s="289"/>
      <c r="J145" s="289"/>
      <c r="K145" s="289"/>
      <c r="L145" s="362"/>
    </row>
    <row r="146" spans="1:18" s="287" customFormat="1">
      <c r="A146" s="307"/>
      <c r="B146" s="960" t="s">
        <v>2000</v>
      </c>
      <c r="C146" s="961"/>
      <c r="D146" s="962"/>
      <c r="E146" s="276"/>
      <c r="F146" s="336">
        <v>4</v>
      </c>
      <c r="G146" s="337">
        <f t="shared" si="7"/>
        <v>4</v>
      </c>
      <c r="H146" s="285"/>
      <c r="I146" s="289"/>
      <c r="J146" s="289"/>
      <c r="K146" s="289"/>
      <c r="L146" s="362"/>
    </row>
    <row r="147" spans="1:18" s="287" customFormat="1">
      <c r="A147" s="307">
        <v>4.4000000000000004</v>
      </c>
      <c r="B147" s="960" t="s">
        <v>1946</v>
      </c>
      <c r="C147" s="961"/>
      <c r="D147" s="962"/>
      <c r="E147" s="324">
        <v>4500</v>
      </c>
      <c r="F147" s="324">
        <f>$E$147*(F143+F145+F146)*F144</f>
        <v>184500</v>
      </c>
      <c r="G147" s="337">
        <f t="shared" si="7"/>
        <v>184500</v>
      </c>
      <c r="H147" s="285"/>
      <c r="I147" s="289"/>
      <c r="J147" s="289"/>
      <c r="K147" s="289"/>
      <c r="L147" s="362"/>
    </row>
    <row r="148" spans="1:18" s="287" customFormat="1">
      <c r="A148" s="307">
        <v>4.4000000000000004</v>
      </c>
      <c r="B148" s="960" t="s">
        <v>2001</v>
      </c>
      <c r="C148" s="961"/>
      <c r="D148" s="962"/>
      <c r="E148" s="324">
        <v>120000</v>
      </c>
      <c r="F148" s="324">
        <f>$E$148*F144</f>
        <v>120000</v>
      </c>
      <c r="G148" s="337">
        <f t="shared" si="7"/>
        <v>120000</v>
      </c>
      <c r="H148" s="285"/>
      <c r="I148" s="285"/>
      <c r="J148" s="285"/>
      <c r="K148" s="289"/>
      <c r="L148" s="362"/>
    </row>
    <row r="149" spans="1:18" s="287" customFormat="1">
      <c r="A149" s="307">
        <v>4.4000000000000004</v>
      </c>
      <c r="B149" s="960" t="s">
        <v>1951</v>
      </c>
      <c r="C149" s="961"/>
      <c r="D149" s="962"/>
      <c r="E149" s="324">
        <v>5000</v>
      </c>
      <c r="F149" s="324">
        <f>+$E$149*F143*F144</f>
        <v>150000</v>
      </c>
      <c r="G149" s="337">
        <f t="shared" si="7"/>
        <v>150000</v>
      </c>
      <c r="H149" s="285"/>
      <c r="I149" s="285"/>
      <c r="J149" s="285"/>
      <c r="K149" s="289"/>
      <c r="L149" s="362"/>
    </row>
    <row r="150" spans="1:18" s="287" customFormat="1">
      <c r="A150" s="307">
        <v>4.3</v>
      </c>
      <c r="B150" s="960" t="s">
        <v>1974</v>
      </c>
      <c r="C150" s="961"/>
      <c r="D150" s="962"/>
      <c r="E150" s="324">
        <f>45000-4500</f>
        <v>40500</v>
      </c>
      <c r="F150" s="324">
        <f>$E$150*(F144)*F145</f>
        <v>283500</v>
      </c>
      <c r="G150" s="337">
        <f t="shared" si="7"/>
        <v>283500</v>
      </c>
      <c r="H150" s="285"/>
      <c r="I150" s="285"/>
      <c r="J150" s="285"/>
      <c r="K150" s="289"/>
      <c r="L150" s="362"/>
    </row>
    <row r="151" spans="1:18" s="287" customFormat="1">
      <c r="A151" s="307">
        <v>4.3</v>
      </c>
      <c r="B151" s="960" t="s">
        <v>2002</v>
      </c>
      <c r="C151" s="961"/>
      <c r="D151" s="962"/>
      <c r="E151" s="324">
        <v>5000</v>
      </c>
      <c r="F151" s="324">
        <f>$E$151*F144*(F145)</f>
        <v>35000</v>
      </c>
      <c r="G151" s="337">
        <f t="shared" si="7"/>
        <v>35000</v>
      </c>
      <c r="H151" s="285"/>
      <c r="I151" s="285"/>
      <c r="J151" s="285"/>
      <c r="K151" s="289"/>
      <c r="L151" s="362"/>
    </row>
    <row r="152" spans="1:18" s="287" customFormat="1">
      <c r="A152" s="307">
        <v>4.3</v>
      </c>
      <c r="B152" s="981" t="s">
        <v>1990</v>
      </c>
      <c r="C152" s="982"/>
      <c r="D152" s="983"/>
      <c r="E152" s="365">
        <v>6000</v>
      </c>
      <c r="F152" s="365">
        <f>E152*1</f>
        <v>6000</v>
      </c>
      <c r="G152" s="337">
        <f t="shared" si="7"/>
        <v>6000</v>
      </c>
      <c r="H152" s="285"/>
      <c r="I152" s="285"/>
      <c r="J152" s="285"/>
      <c r="K152" s="289"/>
      <c r="L152" s="362"/>
    </row>
    <row r="153" spans="1:18" s="287" customFormat="1">
      <c r="A153" s="307">
        <v>4.3</v>
      </c>
      <c r="B153" s="960" t="s">
        <v>2003</v>
      </c>
      <c r="C153" s="961"/>
      <c r="D153" s="962"/>
      <c r="E153" s="324">
        <v>15000</v>
      </c>
      <c r="F153" s="324">
        <f>$E$153*F144*F145</f>
        <v>105000</v>
      </c>
      <c r="G153" s="337">
        <f t="shared" si="7"/>
        <v>105000</v>
      </c>
      <c r="H153" s="285"/>
      <c r="I153" s="285"/>
      <c r="J153" s="285"/>
      <c r="K153" s="289"/>
      <c r="L153" s="362"/>
    </row>
    <row r="154" spans="1:18" s="287" customFormat="1" ht="12" thickBot="1">
      <c r="A154" s="307">
        <v>4.4000000000000004</v>
      </c>
      <c r="B154" s="960" t="s">
        <v>1960</v>
      </c>
      <c r="C154" s="961"/>
      <c r="D154" s="962"/>
      <c r="E154" s="324">
        <v>1000</v>
      </c>
      <c r="F154" s="324">
        <f>+$E$154*F143</f>
        <v>30000</v>
      </c>
      <c r="G154" s="337">
        <f t="shared" si="7"/>
        <v>30000</v>
      </c>
      <c r="H154" s="285"/>
      <c r="I154" s="285"/>
      <c r="J154" s="285"/>
      <c r="K154" s="289"/>
      <c r="L154" s="362"/>
    </row>
    <row r="155" spans="1:18" s="287" customFormat="1" ht="12" thickBot="1">
      <c r="A155" s="307"/>
      <c r="B155" s="966" t="s">
        <v>227</v>
      </c>
      <c r="C155" s="967"/>
      <c r="D155" s="967"/>
      <c r="E155" s="968"/>
      <c r="F155" s="332">
        <f>SUM(F147:F154)</f>
        <v>914000</v>
      </c>
      <c r="G155" s="333">
        <f>SUM(G147:G154)</f>
        <v>914000</v>
      </c>
      <c r="H155" s="357"/>
      <c r="I155" s="285"/>
      <c r="J155" s="285"/>
      <c r="K155" s="289"/>
      <c r="L155" s="362"/>
    </row>
    <row r="156" spans="1:18" s="297" customFormat="1">
      <c r="A156" s="285"/>
      <c r="B156" s="285"/>
      <c r="C156" s="287"/>
      <c r="D156" s="287"/>
      <c r="E156" s="287"/>
      <c r="F156" s="285"/>
      <c r="G156" s="285"/>
      <c r="H156" s="289"/>
      <c r="I156" s="285"/>
      <c r="J156" s="285"/>
      <c r="K156" s="289"/>
      <c r="L156" s="366"/>
      <c r="M156" s="299"/>
      <c r="N156" s="366"/>
      <c r="P156" s="367"/>
      <c r="R156" s="367"/>
    </row>
    <row r="157" spans="1:18" s="373" customFormat="1">
      <c r="A157" s="292">
        <v>7</v>
      </c>
      <c r="B157" s="984" t="s">
        <v>2004</v>
      </c>
      <c r="C157" s="985"/>
      <c r="D157" s="986"/>
      <c r="E157" s="290" t="s">
        <v>1938</v>
      </c>
      <c r="F157" s="290" t="str">
        <f>F142</f>
        <v>KADUNA</v>
      </c>
      <c r="G157" s="350" t="s">
        <v>227</v>
      </c>
      <c r="H157" s="368"/>
      <c r="I157" s="285"/>
      <c r="J157" s="285"/>
      <c r="K157" s="289"/>
      <c r="L157" s="369"/>
      <c r="M157" s="370"/>
      <c r="N157" s="369"/>
      <c r="O157" s="370"/>
      <c r="P157" s="371"/>
      <c r="Q157" s="296"/>
      <c r="R157" s="372"/>
    </row>
    <row r="158" spans="1:18" s="287" customFormat="1" ht="12.75" customHeight="1">
      <c r="A158" s="285"/>
      <c r="B158" s="975" t="s">
        <v>2005</v>
      </c>
      <c r="C158" s="976"/>
      <c r="D158" s="977"/>
      <c r="E158" s="276"/>
      <c r="F158" s="374">
        <f>C3</f>
        <v>23</v>
      </c>
      <c r="G158" s="375">
        <f>SUM(F158:F158)</f>
        <v>23</v>
      </c>
      <c r="H158" s="285"/>
      <c r="I158" s="285"/>
      <c r="J158" s="285"/>
      <c r="K158" s="289"/>
      <c r="L158" s="369"/>
    </row>
    <row r="159" spans="1:18" s="287" customFormat="1">
      <c r="A159" s="285"/>
      <c r="B159" s="975" t="s">
        <v>1941</v>
      </c>
      <c r="C159" s="976"/>
      <c r="D159" s="977"/>
      <c r="E159" s="276"/>
      <c r="F159" s="276">
        <v>1</v>
      </c>
      <c r="G159" s="375">
        <v>1</v>
      </c>
      <c r="H159" s="285"/>
      <c r="I159" s="285"/>
      <c r="J159" s="285"/>
      <c r="K159" s="289"/>
      <c r="L159" s="376"/>
    </row>
    <row r="160" spans="1:18" s="287" customFormat="1">
      <c r="A160" s="285"/>
      <c r="B160" s="975" t="s">
        <v>2006</v>
      </c>
      <c r="C160" s="976"/>
      <c r="D160" s="977"/>
      <c r="E160" s="276"/>
      <c r="F160" s="324">
        <v>2</v>
      </c>
      <c r="G160" s="375">
        <f t="shared" ref="G160:G169" si="8">SUM(F160:F160)</f>
        <v>2</v>
      </c>
      <c r="H160" s="285"/>
      <c r="I160" s="285"/>
      <c r="J160" s="285"/>
      <c r="K160" s="289"/>
      <c r="L160" s="376"/>
    </row>
    <row r="161" spans="1:18" s="287" customFormat="1">
      <c r="A161" s="285"/>
      <c r="B161" s="975" t="s">
        <v>2007</v>
      </c>
      <c r="C161" s="976"/>
      <c r="D161" s="977"/>
      <c r="E161" s="276"/>
      <c r="F161" s="374">
        <v>1</v>
      </c>
      <c r="G161" s="375">
        <f t="shared" si="8"/>
        <v>1</v>
      </c>
      <c r="H161" s="285"/>
      <c r="I161" s="285"/>
      <c r="J161" s="285"/>
      <c r="K161" s="289"/>
      <c r="L161" s="376"/>
    </row>
    <row r="162" spans="1:18" s="287" customFormat="1">
      <c r="A162" s="285"/>
      <c r="B162" s="975" t="s">
        <v>2008</v>
      </c>
      <c r="C162" s="976"/>
      <c r="D162" s="977"/>
      <c r="E162" s="276"/>
      <c r="F162" s="374">
        <v>3</v>
      </c>
      <c r="G162" s="375">
        <f t="shared" si="8"/>
        <v>3</v>
      </c>
      <c r="H162" s="285"/>
      <c r="I162" s="285"/>
      <c r="J162" s="285"/>
      <c r="K162" s="289"/>
      <c r="L162" s="369"/>
    </row>
    <row r="163" spans="1:18" s="287" customFormat="1">
      <c r="A163" s="307">
        <v>4.4000000000000004</v>
      </c>
      <c r="B163" s="975" t="s">
        <v>1946</v>
      </c>
      <c r="C163" s="976"/>
      <c r="D163" s="977"/>
      <c r="E163" s="324">
        <v>4500</v>
      </c>
      <c r="F163" s="324">
        <f>+$E$163*(F158+F160+F161+F162)*F159</f>
        <v>130500</v>
      </c>
      <c r="G163" s="375">
        <f t="shared" si="8"/>
        <v>130500</v>
      </c>
      <c r="H163" s="285"/>
      <c r="I163" s="285"/>
      <c r="J163" s="285"/>
      <c r="K163" s="289"/>
      <c r="L163" s="376"/>
    </row>
    <row r="164" spans="1:18" s="287" customFormat="1">
      <c r="A164" s="307">
        <v>4.4000000000000004</v>
      </c>
      <c r="B164" s="975" t="s">
        <v>2009</v>
      </c>
      <c r="C164" s="976"/>
      <c r="D164" s="977"/>
      <c r="E164" s="324">
        <v>5000</v>
      </c>
      <c r="F164" s="324">
        <f>+$E$164*F158*F159</f>
        <v>115000</v>
      </c>
      <c r="G164" s="375">
        <f t="shared" si="8"/>
        <v>115000</v>
      </c>
      <c r="H164" s="285"/>
      <c r="I164" s="285"/>
      <c r="J164" s="285"/>
      <c r="K164" s="289"/>
      <c r="L164" s="376"/>
    </row>
    <row r="165" spans="1:18" s="287" customFormat="1">
      <c r="A165" s="307">
        <v>4.3</v>
      </c>
      <c r="B165" s="975" t="s">
        <v>2010</v>
      </c>
      <c r="C165" s="976"/>
      <c r="D165" s="977"/>
      <c r="E165" s="324">
        <v>5000</v>
      </c>
      <c r="F165" s="324">
        <f>$E$165*F161*F159</f>
        <v>5000</v>
      </c>
      <c r="G165" s="375">
        <f t="shared" si="8"/>
        <v>5000</v>
      </c>
      <c r="H165" s="285"/>
      <c r="I165" s="285"/>
      <c r="J165" s="285"/>
      <c r="K165" s="289"/>
      <c r="L165" s="376"/>
    </row>
    <row r="166" spans="1:18" s="287" customFormat="1">
      <c r="A166" s="307">
        <v>4.3</v>
      </c>
      <c r="B166" s="975" t="s">
        <v>2011</v>
      </c>
      <c r="C166" s="976"/>
      <c r="D166" s="977"/>
      <c r="E166" s="324">
        <v>5000</v>
      </c>
      <c r="F166" s="324">
        <f>$E$166*F160*F159</f>
        <v>10000</v>
      </c>
      <c r="G166" s="375">
        <f t="shared" si="8"/>
        <v>10000</v>
      </c>
      <c r="H166" s="285"/>
      <c r="I166" s="285"/>
      <c r="J166" s="285"/>
      <c r="K166" s="289"/>
      <c r="L166" s="369"/>
    </row>
    <row r="167" spans="1:18">
      <c r="A167" s="307">
        <v>4.3</v>
      </c>
      <c r="B167" s="354" t="s">
        <v>2012</v>
      </c>
      <c r="C167" s="355"/>
      <c r="D167" s="356"/>
      <c r="E167" s="324">
        <f>45000-4500</f>
        <v>40500</v>
      </c>
      <c r="F167" s="324">
        <f>$E$167*F159*F160</f>
        <v>81000</v>
      </c>
      <c r="G167" s="375">
        <f t="shared" si="8"/>
        <v>81000</v>
      </c>
      <c r="H167" s="285"/>
      <c r="L167" s="369"/>
      <c r="N167" s="285"/>
      <c r="P167" s="285"/>
      <c r="R167" s="285"/>
    </row>
    <row r="168" spans="1:18">
      <c r="A168" s="307">
        <v>4.3</v>
      </c>
      <c r="B168" s="975" t="s">
        <v>2013</v>
      </c>
      <c r="C168" s="976"/>
      <c r="D168" s="977"/>
      <c r="E168" s="324">
        <v>6000</v>
      </c>
      <c r="F168" s="324">
        <f>$E$168*F159*F161</f>
        <v>6000</v>
      </c>
      <c r="G168" s="375">
        <f t="shared" si="8"/>
        <v>6000</v>
      </c>
      <c r="H168" s="285"/>
      <c r="L168" s="369"/>
      <c r="N168" s="285"/>
      <c r="P168" s="285"/>
      <c r="R168" s="285"/>
    </row>
    <row r="169" spans="1:18" ht="11.5" customHeight="1" thickBot="1">
      <c r="A169" s="307">
        <v>4.3</v>
      </c>
      <c r="B169" s="975" t="s">
        <v>2014</v>
      </c>
      <c r="C169" s="976"/>
      <c r="D169" s="977"/>
      <c r="E169" s="324">
        <v>15000</v>
      </c>
      <c r="F169" s="324">
        <f>$E$169*F159*F160</f>
        <v>30000</v>
      </c>
      <c r="G169" s="375">
        <f t="shared" si="8"/>
        <v>30000</v>
      </c>
      <c r="H169" s="285"/>
      <c r="L169" s="369"/>
      <c r="N169" s="285"/>
      <c r="P169" s="285"/>
      <c r="R169" s="285"/>
    </row>
    <row r="170" spans="1:18" ht="12" thickBot="1">
      <c r="B170" s="987" t="s">
        <v>2015</v>
      </c>
      <c r="C170" s="988"/>
      <c r="D170" s="988"/>
      <c r="E170" s="989"/>
      <c r="F170" s="332">
        <f>SUM(F163:F169)</f>
        <v>377500</v>
      </c>
      <c r="G170" s="377">
        <f>SUM(G163:G169)</f>
        <v>377500</v>
      </c>
      <c r="H170" s="304"/>
      <c r="L170" s="369"/>
      <c r="N170" s="285"/>
      <c r="P170" s="285"/>
      <c r="R170" s="285"/>
    </row>
    <row r="171" spans="1:18" ht="15.75" customHeight="1">
      <c r="G171" s="289"/>
      <c r="H171" s="285"/>
      <c r="I171" s="289"/>
      <c r="J171" s="289"/>
      <c r="L171" s="369"/>
      <c r="N171" s="285"/>
      <c r="P171" s="285"/>
      <c r="R171" s="285"/>
    </row>
    <row r="172" spans="1:18" ht="15.75" customHeight="1">
      <c r="A172" s="292">
        <v>8</v>
      </c>
      <c r="B172" s="984" t="s">
        <v>2016</v>
      </c>
      <c r="C172" s="985"/>
      <c r="D172" s="986"/>
      <c r="E172" s="290" t="s">
        <v>1938</v>
      </c>
      <c r="F172" s="290" t="str">
        <f>F157</f>
        <v>KADUNA</v>
      </c>
      <c r="G172" s="350" t="s">
        <v>227</v>
      </c>
      <c r="H172" s="285"/>
      <c r="I172" s="289"/>
      <c r="J172" s="289"/>
      <c r="L172" s="369"/>
      <c r="N172" s="285"/>
      <c r="P172" s="285"/>
      <c r="R172" s="285"/>
    </row>
    <row r="173" spans="1:18" ht="12" customHeight="1">
      <c r="B173" s="975" t="s">
        <v>2017</v>
      </c>
      <c r="C173" s="976"/>
      <c r="D173" s="977"/>
      <c r="E173" s="276"/>
      <c r="F173" s="374">
        <f>C17+C18</f>
        <v>9</v>
      </c>
      <c r="G173" s="375">
        <f>SUM(F173:F173)</f>
        <v>9</v>
      </c>
      <c r="H173" s="285"/>
      <c r="I173" s="289"/>
      <c r="J173" s="289"/>
      <c r="L173" s="369"/>
      <c r="N173" s="285"/>
      <c r="P173" s="285"/>
      <c r="R173" s="285"/>
    </row>
    <row r="174" spans="1:18" ht="12" customHeight="1">
      <c r="B174" s="975" t="s">
        <v>1941</v>
      </c>
      <c r="C174" s="976"/>
      <c r="D174" s="977"/>
      <c r="E174" s="276"/>
      <c r="F174" s="276">
        <v>1</v>
      </c>
      <c r="G174" s="375">
        <v>1</v>
      </c>
      <c r="H174" s="285"/>
      <c r="I174" s="289"/>
      <c r="J174" s="289"/>
      <c r="L174" s="369"/>
      <c r="N174" s="285"/>
      <c r="P174" s="285"/>
      <c r="R174" s="285"/>
    </row>
    <row r="175" spans="1:18" ht="12" customHeight="1">
      <c r="B175" s="975" t="s">
        <v>2006</v>
      </c>
      <c r="C175" s="976"/>
      <c r="D175" s="977"/>
      <c r="E175" s="276"/>
      <c r="F175" s="324">
        <v>2</v>
      </c>
      <c r="G175" s="375">
        <f t="shared" ref="G175:G185" si="9">SUM(F175:F175)</f>
        <v>2</v>
      </c>
      <c r="H175" s="285"/>
      <c r="I175" s="289"/>
      <c r="J175" s="289"/>
      <c r="L175" s="369"/>
      <c r="N175" s="285"/>
      <c r="P175" s="285"/>
      <c r="R175" s="285"/>
    </row>
    <row r="176" spans="1:18" ht="12" customHeight="1">
      <c r="B176" s="975" t="s">
        <v>2007</v>
      </c>
      <c r="C176" s="976"/>
      <c r="D176" s="977"/>
      <c r="E176" s="276"/>
      <c r="F176" s="374">
        <v>1</v>
      </c>
      <c r="G176" s="375">
        <f t="shared" si="9"/>
        <v>1</v>
      </c>
      <c r="H176" s="285"/>
      <c r="I176" s="289"/>
      <c r="J176" s="289"/>
      <c r="L176" s="369"/>
      <c r="N176" s="285"/>
      <c r="P176" s="285"/>
      <c r="R176" s="285"/>
    </row>
    <row r="177" spans="1:18" ht="12" customHeight="1">
      <c r="B177" s="975" t="s">
        <v>2018</v>
      </c>
      <c r="C177" s="976"/>
      <c r="D177" s="977"/>
      <c r="E177" s="276"/>
      <c r="F177" s="374">
        <f>1+1</f>
        <v>2</v>
      </c>
      <c r="G177" s="375">
        <f t="shared" si="9"/>
        <v>2</v>
      </c>
      <c r="H177" s="285"/>
      <c r="I177" s="289"/>
      <c r="J177" s="289"/>
      <c r="L177" s="369"/>
      <c r="N177" s="285"/>
      <c r="P177" s="285"/>
      <c r="R177" s="285"/>
    </row>
    <row r="178" spans="1:18" ht="12" customHeight="1">
      <c r="A178" s="307">
        <v>4.4000000000000004</v>
      </c>
      <c r="B178" s="975" t="s">
        <v>1965</v>
      </c>
      <c r="C178" s="976"/>
      <c r="D178" s="977"/>
      <c r="E178" s="303">
        <v>2000</v>
      </c>
      <c r="F178" s="324">
        <f>E178*2*F174*(F173+F175+F176+F177)</f>
        <v>56000</v>
      </c>
      <c r="G178" s="375">
        <f t="shared" si="9"/>
        <v>56000</v>
      </c>
      <c r="H178" s="285"/>
      <c r="I178" s="289"/>
      <c r="J178" s="289"/>
      <c r="L178" s="369"/>
      <c r="N178" s="285"/>
      <c r="P178" s="285"/>
      <c r="R178" s="285"/>
    </row>
    <row r="179" spans="1:18" ht="12" customHeight="1">
      <c r="A179" s="307">
        <v>4.4000000000000004</v>
      </c>
      <c r="B179" s="975" t="s">
        <v>1946</v>
      </c>
      <c r="C179" s="976"/>
      <c r="D179" s="977"/>
      <c r="E179" s="324">
        <v>4500</v>
      </c>
      <c r="F179" s="324">
        <f>E179*F174*(F173+F175+F176+F177)</f>
        <v>63000</v>
      </c>
      <c r="G179" s="375">
        <f t="shared" si="9"/>
        <v>63000</v>
      </c>
      <c r="H179" s="285"/>
      <c r="I179" s="289"/>
      <c r="J179" s="289"/>
      <c r="L179" s="369"/>
      <c r="N179" s="285"/>
      <c r="P179" s="285"/>
      <c r="R179" s="285"/>
    </row>
    <row r="180" spans="1:18" ht="12" customHeight="1">
      <c r="A180" s="307">
        <v>4.4000000000000004</v>
      </c>
      <c r="B180" s="975" t="s">
        <v>2019</v>
      </c>
      <c r="C180" s="976"/>
      <c r="D180" s="977"/>
      <c r="E180" s="324">
        <v>5000</v>
      </c>
      <c r="F180" s="324">
        <f>E180*F173*F174</f>
        <v>45000</v>
      </c>
      <c r="G180" s="375">
        <f t="shared" si="9"/>
        <v>45000</v>
      </c>
      <c r="H180" s="285"/>
      <c r="I180" s="289"/>
      <c r="J180" s="289"/>
      <c r="L180" s="369"/>
      <c r="N180" s="285"/>
      <c r="P180" s="285"/>
      <c r="R180" s="285"/>
    </row>
    <row r="181" spans="1:18" ht="12" customHeight="1">
      <c r="A181" s="307">
        <v>4.3</v>
      </c>
      <c r="B181" s="975" t="s">
        <v>2010</v>
      </c>
      <c r="C181" s="976"/>
      <c r="D181" s="977"/>
      <c r="E181" s="324">
        <v>5000</v>
      </c>
      <c r="F181" s="324">
        <f>E181*F174*F176</f>
        <v>5000</v>
      </c>
      <c r="G181" s="375">
        <f t="shared" si="9"/>
        <v>5000</v>
      </c>
      <c r="H181" s="285"/>
      <c r="I181" s="289"/>
      <c r="J181" s="289"/>
      <c r="L181" s="369"/>
      <c r="N181" s="285"/>
      <c r="P181" s="285"/>
      <c r="R181" s="285"/>
    </row>
    <row r="182" spans="1:18" ht="12" customHeight="1">
      <c r="A182" s="307">
        <v>4.3</v>
      </c>
      <c r="B182" s="975" t="s">
        <v>2011</v>
      </c>
      <c r="C182" s="976"/>
      <c r="D182" s="977"/>
      <c r="E182" s="324">
        <v>5000</v>
      </c>
      <c r="F182" s="324">
        <f>E182*F175*F174</f>
        <v>10000</v>
      </c>
      <c r="G182" s="375">
        <f t="shared" si="9"/>
        <v>10000</v>
      </c>
      <c r="H182" s="285"/>
      <c r="I182" s="289"/>
      <c r="J182" s="289"/>
      <c r="L182" s="369"/>
      <c r="N182" s="285"/>
      <c r="P182" s="285"/>
      <c r="R182" s="285"/>
    </row>
    <row r="183" spans="1:18" ht="12" customHeight="1">
      <c r="A183" s="307">
        <v>4.3</v>
      </c>
      <c r="B183" s="354" t="s">
        <v>2012</v>
      </c>
      <c r="C183" s="355"/>
      <c r="D183" s="356"/>
      <c r="E183" s="324">
        <f>45000-4500</f>
        <v>40500</v>
      </c>
      <c r="F183" s="324">
        <f>E183*F175*F174</f>
        <v>81000</v>
      </c>
      <c r="G183" s="375">
        <f t="shared" si="9"/>
        <v>81000</v>
      </c>
      <c r="H183" s="285"/>
      <c r="I183" s="289"/>
      <c r="J183" s="289"/>
      <c r="L183" s="369"/>
      <c r="N183" s="285"/>
      <c r="P183" s="285"/>
      <c r="R183" s="285"/>
    </row>
    <row r="184" spans="1:18" ht="12" customHeight="1">
      <c r="A184" s="307">
        <v>4.3</v>
      </c>
      <c r="B184" s="975" t="s">
        <v>2013</v>
      </c>
      <c r="C184" s="976"/>
      <c r="D184" s="977"/>
      <c r="E184" s="324">
        <v>6000</v>
      </c>
      <c r="F184" s="324">
        <f>E184*F174*F176</f>
        <v>6000</v>
      </c>
      <c r="G184" s="375">
        <f t="shared" si="9"/>
        <v>6000</v>
      </c>
      <c r="H184" s="285"/>
      <c r="I184" s="289"/>
      <c r="J184" s="289"/>
      <c r="L184" s="369"/>
      <c r="N184" s="285"/>
      <c r="P184" s="285"/>
      <c r="R184" s="285"/>
    </row>
    <row r="185" spans="1:18" ht="12" customHeight="1" thickBot="1">
      <c r="A185" s="307">
        <v>4.3</v>
      </c>
      <c r="B185" s="975" t="s">
        <v>2014</v>
      </c>
      <c r="C185" s="976"/>
      <c r="D185" s="977"/>
      <c r="E185" s="324">
        <v>15000</v>
      </c>
      <c r="F185" s="324">
        <f>E185*F174*F175</f>
        <v>30000</v>
      </c>
      <c r="G185" s="375">
        <f t="shared" si="9"/>
        <v>30000</v>
      </c>
      <c r="H185" s="285"/>
      <c r="I185" s="289"/>
      <c r="J185" s="289"/>
      <c r="L185" s="369"/>
      <c r="N185" s="285"/>
      <c r="P185" s="285"/>
      <c r="R185" s="285"/>
    </row>
    <row r="186" spans="1:18" ht="12" thickBot="1">
      <c r="B186" s="987" t="s">
        <v>2015</v>
      </c>
      <c r="C186" s="988"/>
      <c r="D186" s="988"/>
      <c r="E186" s="989"/>
      <c r="F186" s="332">
        <f>SUM(F178:F185)</f>
        <v>296000</v>
      </c>
      <c r="G186" s="377">
        <f>SUM(G178:G185)</f>
        <v>296000</v>
      </c>
      <c r="H186" s="285"/>
      <c r="I186" s="289"/>
      <c r="J186" s="289"/>
      <c r="L186" s="369"/>
      <c r="N186" s="285"/>
      <c r="P186" s="285"/>
      <c r="R186" s="285"/>
    </row>
    <row r="187" spans="1:18">
      <c r="C187" s="285"/>
      <c r="D187" s="285"/>
      <c r="E187" s="285"/>
      <c r="G187" s="285"/>
      <c r="H187" s="285"/>
      <c r="I187" s="289"/>
      <c r="J187" s="289"/>
      <c r="L187" s="369"/>
      <c r="N187" s="285"/>
      <c r="P187" s="285"/>
      <c r="R187" s="285"/>
    </row>
    <row r="188" spans="1:18">
      <c r="A188" s="378">
        <v>9</v>
      </c>
      <c r="B188" s="984" t="s">
        <v>2020</v>
      </c>
      <c r="C188" s="985"/>
      <c r="D188" s="986"/>
      <c r="E188" s="290" t="s">
        <v>1938</v>
      </c>
      <c r="F188" s="290" t="str">
        <f>F172</f>
        <v>KADUNA</v>
      </c>
      <c r="G188" s="350" t="s">
        <v>227</v>
      </c>
      <c r="H188" s="285"/>
      <c r="I188" s="289"/>
      <c r="J188" s="289"/>
      <c r="L188" s="369"/>
      <c r="N188" s="285"/>
      <c r="P188" s="285"/>
      <c r="R188" s="285"/>
    </row>
    <row r="189" spans="1:18">
      <c r="B189" s="975" t="s">
        <v>2021</v>
      </c>
      <c r="C189" s="976"/>
      <c r="D189" s="977"/>
      <c r="E189" s="276"/>
      <c r="F189" s="374">
        <v>30</v>
      </c>
      <c r="G189" s="375">
        <f>SUM(F189:F189)</f>
        <v>30</v>
      </c>
      <c r="H189" s="285"/>
      <c r="I189" s="289"/>
      <c r="J189" s="289"/>
      <c r="L189" s="369"/>
      <c r="N189" s="285"/>
      <c r="P189" s="285"/>
      <c r="R189" s="285"/>
    </row>
    <row r="190" spans="1:18">
      <c r="B190" s="975" t="s">
        <v>1941</v>
      </c>
      <c r="C190" s="976"/>
      <c r="D190" s="977"/>
      <c r="E190" s="276"/>
      <c r="F190" s="276">
        <v>1</v>
      </c>
      <c r="G190" s="375">
        <v>1</v>
      </c>
      <c r="H190" s="285"/>
      <c r="I190" s="289"/>
      <c r="J190" s="289"/>
      <c r="L190" s="369"/>
      <c r="N190" s="285"/>
      <c r="P190" s="285"/>
      <c r="R190" s="285"/>
    </row>
    <row r="191" spans="1:18">
      <c r="B191" s="975" t="s">
        <v>2022</v>
      </c>
      <c r="C191" s="976"/>
      <c r="D191" s="977"/>
      <c r="E191" s="276"/>
      <c r="F191" s="379">
        <v>10</v>
      </c>
      <c r="G191" s="375">
        <f t="shared" ref="G191:G198" si="10">SUM(F191:F191)</f>
        <v>10</v>
      </c>
      <c r="H191" s="323"/>
      <c r="I191" s="289"/>
      <c r="J191" s="289"/>
      <c r="L191" s="369"/>
      <c r="N191" s="285"/>
      <c r="P191" s="285"/>
      <c r="R191" s="285"/>
    </row>
    <row r="192" spans="1:18">
      <c r="B192" s="975" t="s">
        <v>2023</v>
      </c>
      <c r="C192" s="976"/>
      <c r="D192" s="977"/>
      <c r="E192" s="276"/>
      <c r="F192" s="374">
        <v>9</v>
      </c>
      <c r="G192" s="375">
        <f t="shared" si="10"/>
        <v>9</v>
      </c>
      <c r="H192" s="323"/>
      <c r="I192" s="289"/>
      <c r="J192" s="289"/>
      <c r="L192" s="369"/>
      <c r="N192" s="285"/>
      <c r="P192" s="285"/>
      <c r="R192" s="285"/>
    </row>
    <row r="193" spans="1:18">
      <c r="A193" s="307">
        <v>4.4000000000000004</v>
      </c>
      <c r="B193" s="354" t="s">
        <v>1965</v>
      </c>
      <c r="C193" s="355"/>
      <c r="D193" s="356"/>
      <c r="E193" s="303">
        <v>2000</v>
      </c>
      <c r="F193" s="324">
        <f>E193*(F189+F191+F192)*F190*2</f>
        <v>196000</v>
      </c>
      <c r="G193" s="375">
        <f t="shared" si="10"/>
        <v>196000</v>
      </c>
      <c r="H193" s="285"/>
      <c r="I193" s="289"/>
      <c r="J193" s="289"/>
      <c r="L193" s="369"/>
      <c r="N193" s="285"/>
      <c r="P193" s="285"/>
      <c r="R193" s="285"/>
    </row>
    <row r="194" spans="1:18">
      <c r="A194" s="307">
        <v>4.4000000000000004</v>
      </c>
      <c r="B194" s="975" t="s">
        <v>1946</v>
      </c>
      <c r="C194" s="976"/>
      <c r="D194" s="977"/>
      <c r="E194" s="324">
        <v>4500</v>
      </c>
      <c r="F194" s="324">
        <f>+E163*(F189+F191+F192)*F190</f>
        <v>220500</v>
      </c>
      <c r="G194" s="375">
        <f t="shared" si="10"/>
        <v>220500</v>
      </c>
      <c r="H194" s="285"/>
      <c r="I194" s="289"/>
      <c r="J194" s="289"/>
      <c r="L194" s="369"/>
      <c r="N194" s="285"/>
      <c r="P194" s="285"/>
      <c r="R194" s="285"/>
    </row>
    <row r="195" spans="1:18">
      <c r="A195" s="307">
        <v>4.4000000000000004</v>
      </c>
      <c r="B195" s="975" t="s">
        <v>2024</v>
      </c>
      <c r="C195" s="976"/>
      <c r="D195" s="977"/>
      <c r="E195" s="324">
        <v>5000</v>
      </c>
      <c r="F195" s="324">
        <f>+E164*F189*F190</f>
        <v>150000</v>
      </c>
      <c r="G195" s="375">
        <f t="shared" si="10"/>
        <v>150000</v>
      </c>
      <c r="H195" s="285"/>
      <c r="I195" s="289"/>
      <c r="J195" s="289"/>
      <c r="L195" s="369"/>
      <c r="N195" s="285"/>
      <c r="P195" s="285"/>
      <c r="R195" s="285"/>
    </row>
    <row r="196" spans="1:18">
      <c r="A196" s="307">
        <v>4.3</v>
      </c>
      <c r="B196" s="975" t="s">
        <v>2011</v>
      </c>
      <c r="C196" s="976"/>
      <c r="D196" s="977"/>
      <c r="E196" s="324">
        <v>5000</v>
      </c>
      <c r="F196" s="324">
        <f>E196*F191*F190</f>
        <v>50000</v>
      </c>
      <c r="G196" s="375">
        <f t="shared" si="10"/>
        <v>50000</v>
      </c>
      <c r="H196" s="285"/>
      <c r="I196" s="289"/>
      <c r="J196" s="289"/>
      <c r="L196" s="369"/>
      <c r="N196" s="285"/>
      <c r="P196" s="285"/>
      <c r="R196" s="285"/>
    </row>
    <row r="197" spans="1:18">
      <c r="A197" s="307">
        <v>4.3</v>
      </c>
      <c r="B197" s="354" t="s">
        <v>2025</v>
      </c>
      <c r="C197" s="355"/>
      <c r="D197" s="356"/>
      <c r="E197" s="324">
        <f>45000-4500</f>
        <v>40500</v>
      </c>
      <c r="F197" s="324">
        <f>E197*F190*F191</f>
        <v>405000</v>
      </c>
      <c r="G197" s="375">
        <f t="shared" si="10"/>
        <v>405000</v>
      </c>
      <c r="H197" s="285"/>
      <c r="I197" s="289"/>
      <c r="J197" s="289"/>
      <c r="L197" s="369"/>
      <c r="N197" s="285"/>
      <c r="P197" s="285"/>
      <c r="R197" s="285"/>
    </row>
    <row r="198" spans="1:18" ht="12" thickBot="1">
      <c r="A198" s="307">
        <v>4.3</v>
      </c>
      <c r="B198" s="975" t="s">
        <v>2014</v>
      </c>
      <c r="C198" s="976"/>
      <c r="D198" s="977"/>
      <c r="E198" s="324">
        <v>15000</v>
      </c>
      <c r="F198" s="324">
        <f>E198*F190*(F191)</f>
        <v>150000</v>
      </c>
      <c r="G198" s="375">
        <f t="shared" si="10"/>
        <v>150000</v>
      </c>
      <c r="H198" s="285"/>
      <c r="I198" s="289"/>
      <c r="J198" s="289"/>
      <c r="L198" s="369"/>
      <c r="N198" s="285"/>
      <c r="P198" s="285"/>
      <c r="R198" s="285"/>
    </row>
    <row r="199" spans="1:18" ht="12" thickBot="1">
      <c r="B199" s="987" t="s">
        <v>2015</v>
      </c>
      <c r="C199" s="988"/>
      <c r="D199" s="988"/>
      <c r="E199" s="989"/>
      <c r="F199" s="332">
        <f>SUM(F193:F198)</f>
        <v>1171500</v>
      </c>
      <c r="G199" s="377">
        <f>SUM(G193:G198)</f>
        <v>1171500</v>
      </c>
      <c r="H199" s="285"/>
      <c r="I199" s="289"/>
      <c r="J199" s="289"/>
      <c r="L199" s="376"/>
      <c r="N199" s="285"/>
      <c r="P199" s="285"/>
      <c r="R199" s="285"/>
    </row>
    <row r="200" spans="1:18">
      <c r="G200" s="289"/>
      <c r="H200" s="285"/>
      <c r="I200" s="289"/>
      <c r="J200" s="289"/>
      <c r="L200" s="285"/>
      <c r="M200" s="289"/>
      <c r="N200" s="285"/>
      <c r="P200" s="285"/>
      <c r="R200" s="285"/>
    </row>
    <row r="201" spans="1:18">
      <c r="A201" s="292">
        <v>10</v>
      </c>
      <c r="B201" s="972" t="s">
        <v>2026</v>
      </c>
      <c r="C201" s="973"/>
      <c r="D201" s="974"/>
      <c r="E201" s="290" t="s">
        <v>1938</v>
      </c>
      <c r="F201" s="290" t="str">
        <f>F157</f>
        <v>KADUNA</v>
      </c>
      <c r="G201" s="380" t="str">
        <f>D2</f>
        <v xml:space="preserve">Total </v>
      </c>
      <c r="H201" s="369"/>
      <c r="I201" s="363"/>
      <c r="J201" s="363"/>
      <c r="L201" s="285"/>
      <c r="M201" s="289"/>
      <c r="N201" s="285"/>
      <c r="P201" s="285"/>
      <c r="R201" s="285"/>
    </row>
    <row r="202" spans="1:18">
      <c r="A202" s="307"/>
      <c r="B202" s="960" t="s">
        <v>2027</v>
      </c>
      <c r="C202" s="961"/>
      <c r="D202" s="962"/>
      <c r="E202" s="276"/>
      <c r="F202" s="347">
        <f>C33</f>
        <v>792</v>
      </c>
      <c r="G202" s="337">
        <f>SUM(F202:F202)</f>
        <v>792</v>
      </c>
      <c r="H202" s="376"/>
      <c r="I202" s="364"/>
      <c r="J202" s="364"/>
      <c r="L202" s="285"/>
      <c r="M202" s="289"/>
      <c r="N202" s="285"/>
      <c r="P202" s="285"/>
      <c r="R202" s="285"/>
    </row>
    <row r="203" spans="1:18">
      <c r="A203" s="307"/>
      <c r="B203" s="960" t="s">
        <v>1941</v>
      </c>
      <c r="C203" s="961"/>
      <c r="D203" s="962"/>
      <c r="E203" s="276"/>
      <c r="F203" s="319">
        <v>3</v>
      </c>
      <c r="G203" s="337">
        <v>3</v>
      </c>
      <c r="H203" s="369"/>
      <c r="I203" s="370"/>
      <c r="J203" s="370"/>
      <c r="L203" s="285"/>
      <c r="M203" s="289"/>
      <c r="N203" s="285"/>
      <c r="P203" s="285"/>
      <c r="R203" s="285"/>
    </row>
    <row r="204" spans="1:18">
      <c r="A204" s="307"/>
      <c r="B204" s="960" t="s">
        <v>2028</v>
      </c>
      <c r="C204" s="961"/>
      <c r="D204" s="962"/>
      <c r="E204" s="276"/>
      <c r="F204" s="347">
        <f>C32</f>
        <v>92</v>
      </c>
      <c r="G204" s="337">
        <f t="shared" ref="G204:G219" si="11">SUM(F204:F204)</f>
        <v>92</v>
      </c>
      <c r="H204" s="376"/>
      <c r="I204" s="296"/>
      <c r="J204" s="296"/>
      <c r="L204" s="285"/>
      <c r="M204" s="289"/>
      <c r="N204" s="285"/>
      <c r="P204" s="285"/>
      <c r="R204" s="285"/>
    </row>
    <row r="205" spans="1:18">
      <c r="A205" s="307"/>
      <c r="B205" s="960" t="s">
        <v>2029</v>
      </c>
      <c r="C205" s="961"/>
      <c r="D205" s="962"/>
      <c r="E205" s="276"/>
      <c r="F205" s="347">
        <f>C14</f>
        <v>23</v>
      </c>
      <c r="G205" s="337">
        <f t="shared" si="11"/>
        <v>23</v>
      </c>
      <c r="H205" s="376"/>
      <c r="I205" s="296"/>
      <c r="J205" s="296"/>
      <c r="L205" s="285"/>
      <c r="M205" s="289"/>
      <c r="N205" s="285"/>
      <c r="P205" s="285"/>
      <c r="R205" s="285"/>
    </row>
    <row r="206" spans="1:18">
      <c r="A206" s="307"/>
      <c r="B206" s="960" t="s">
        <v>2030</v>
      </c>
      <c r="C206" s="961"/>
      <c r="D206" s="962"/>
      <c r="E206" s="276"/>
      <c r="F206" s="347">
        <f>'[4] Micro quantification'!L29</f>
        <v>44</v>
      </c>
      <c r="G206" s="337">
        <f t="shared" si="11"/>
        <v>44</v>
      </c>
      <c r="H206" s="296"/>
      <c r="I206" s="296"/>
      <c r="J206" s="296"/>
      <c r="L206" s="285"/>
      <c r="M206" s="289"/>
      <c r="N206" s="285"/>
      <c r="P206" s="285"/>
      <c r="R206" s="285"/>
    </row>
    <row r="207" spans="1:18">
      <c r="A207" s="307"/>
      <c r="B207" s="960" t="s">
        <v>2031</v>
      </c>
      <c r="C207" s="961"/>
      <c r="D207" s="962"/>
      <c r="E207" s="276"/>
      <c r="F207" s="347">
        <f>C16</f>
        <v>23</v>
      </c>
      <c r="G207" s="337">
        <f t="shared" si="11"/>
        <v>23</v>
      </c>
      <c r="H207" s="376"/>
      <c r="I207" s="381"/>
      <c r="J207" s="381"/>
      <c r="L207" s="285"/>
      <c r="M207" s="289"/>
      <c r="N207" s="285"/>
      <c r="P207" s="285"/>
      <c r="R207" s="285"/>
    </row>
    <row r="208" spans="1:18">
      <c r="A208" s="307">
        <v>4.4000000000000004</v>
      </c>
      <c r="B208" s="960" t="s">
        <v>2032</v>
      </c>
      <c r="C208" s="961"/>
      <c r="D208" s="962"/>
      <c r="E208" s="324">
        <v>600</v>
      </c>
      <c r="F208" s="324">
        <f>+E208*(F202+F204+F205+F206+F207)*F203</f>
        <v>1753200</v>
      </c>
      <c r="G208" s="337">
        <f t="shared" si="11"/>
        <v>1753200</v>
      </c>
      <c r="H208" s="376"/>
      <c r="I208" s="296"/>
      <c r="J208" s="296"/>
      <c r="L208" s="285"/>
      <c r="M208" s="289"/>
      <c r="N208" s="285"/>
      <c r="P208" s="285"/>
      <c r="R208" s="285"/>
    </row>
    <row r="209" spans="1:18">
      <c r="A209" s="307">
        <v>4.4000000000000004</v>
      </c>
      <c r="B209" s="960" t="s">
        <v>1946</v>
      </c>
      <c r="C209" s="961"/>
      <c r="D209" s="962"/>
      <c r="E209" s="324">
        <v>1500</v>
      </c>
      <c r="F209" s="324">
        <f>+E209*(F202+F204+F205+F206+F207)*F203</f>
        <v>4383000</v>
      </c>
      <c r="G209" s="337">
        <f t="shared" si="11"/>
        <v>4383000</v>
      </c>
      <c r="H209" s="376"/>
      <c r="I209" s="296"/>
      <c r="J209" s="296"/>
      <c r="L209" s="285"/>
      <c r="M209" s="289"/>
      <c r="N209" s="285"/>
      <c r="P209" s="285"/>
      <c r="R209" s="285"/>
    </row>
    <row r="210" spans="1:18">
      <c r="A210" s="307">
        <v>4.4000000000000004</v>
      </c>
      <c r="B210" s="960" t="s">
        <v>2033</v>
      </c>
      <c r="C210" s="961"/>
      <c r="D210" s="962"/>
      <c r="E210" s="324">
        <v>1200</v>
      </c>
      <c r="F210" s="324">
        <f>+E210*F202*F203</f>
        <v>2851200</v>
      </c>
      <c r="G210" s="337">
        <f t="shared" si="11"/>
        <v>2851200</v>
      </c>
      <c r="H210" s="376"/>
      <c r="I210" s="296"/>
      <c r="J210" s="296"/>
      <c r="L210" s="285"/>
      <c r="M210" s="289"/>
      <c r="N210" s="285"/>
      <c r="P210" s="285"/>
      <c r="R210" s="285"/>
    </row>
    <row r="211" spans="1:18">
      <c r="A211" s="307">
        <v>4.3</v>
      </c>
      <c r="B211" s="960" t="s">
        <v>2034</v>
      </c>
      <c r="C211" s="961"/>
      <c r="D211" s="962"/>
      <c r="E211" s="324">
        <v>1500</v>
      </c>
      <c r="F211" s="324">
        <f>+E211*F203*(F204)</f>
        <v>414000</v>
      </c>
      <c r="G211" s="337">
        <f t="shared" si="11"/>
        <v>414000</v>
      </c>
      <c r="H211" s="376"/>
      <c r="I211" s="296"/>
      <c r="J211" s="296"/>
      <c r="L211" s="285"/>
      <c r="M211" s="289"/>
      <c r="N211" s="285"/>
      <c r="P211" s="285"/>
      <c r="R211" s="285"/>
    </row>
    <row r="212" spans="1:18">
      <c r="A212" s="307">
        <v>4.3</v>
      </c>
      <c r="B212" s="960" t="s">
        <v>2035</v>
      </c>
      <c r="C212" s="961"/>
      <c r="D212" s="962"/>
      <c r="E212" s="324">
        <v>5000</v>
      </c>
      <c r="F212" s="324">
        <f>E212*F203*F205</f>
        <v>345000</v>
      </c>
      <c r="G212" s="337">
        <f t="shared" si="11"/>
        <v>345000</v>
      </c>
      <c r="H212" s="285"/>
      <c r="I212" s="296"/>
      <c r="J212" s="296"/>
      <c r="L212" s="285"/>
      <c r="M212" s="289"/>
      <c r="N212" s="285"/>
      <c r="P212" s="285"/>
      <c r="R212" s="285"/>
    </row>
    <row r="213" spans="1:18">
      <c r="A213" s="307">
        <v>4.3</v>
      </c>
      <c r="B213" s="960" t="s">
        <v>2036</v>
      </c>
      <c r="C213" s="961"/>
      <c r="D213" s="962"/>
      <c r="E213" s="324">
        <v>4800</v>
      </c>
      <c r="F213" s="324">
        <f>E213*F203*F204</f>
        <v>1324800</v>
      </c>
      <c r="G213" s="337">
        <f t="shared" si="11"/>
        <v>1324800</v>
      </c>
      <c r="H213" s="376"/>
      <c r="I213" s="296"/>
      <c r="J213" s="296"/>
      <c r="L213" s="285"/>
      <c r="M213" s="289"/>
      <c r="N213" s="285"/>
      <c r="P213" s="285"/>
      <c r="R213" s="285"/>
    </row>
    <row r="214" spans="1:18">
      <c r="A214" s="307">
        <v>4.3</v>
      </c>
      <c r="B214" s="960" t="s">
        <v>2037</v>
      </c>
      <c r="C214" s="961"/>
      <c r="D214" s="962"/>
      <c r="E214" s="324">
        <v>6000</v>
      </c>
      <c r="F214" s="324">
        <f>E214*F203*F205</f>
        <v>414000</v>
      </c>
      <c r="G214" s="337">
        <f t="shared" si="11"/>
        <v>414000</v>
      </c>
      <c r="H214" s="376"/>
      <c r="I214" s="296"/>
      <c r="J214" s="296"/>
      <c r="L214" s="285"/>
      <c r="M214" s="289"/>
      <c r="N214" s="285"/>
      <c r="P214" s="285"/>
      <c r="R214" s="285"/>
    </row>
    <row r="215" spans="1:18">
      <c r="A215" s="307">
        <v>4.3</v>
      </c>
      <c r="B215" s="960" t="s">
        <v>2038</v>
      </c>
      <c r="C215" s="961"/>
      <c r="D215" s="962"/>
      <c r="E215" s="324">
        <v>10000</v>
      </c>
      <c r="F215" s="324">
        <f>E215*(F203+1)*F206</f>
        <v>1760000</v>
      </c>
      <c r="G215" s="337">
        <f t="shared" si="11"/>
        <v>1760000</v>
      </c>
      <c r="H215" s="376"/>
      <c r="I215" s="296"/>
      <c r="J215" s="296"/>
      <c r="L215" s="285"/>
      <c r="M215" s="289"/>
      <c r="N215" s="285"/>
      <c r="P215" s="285"/>
      <c r="R215" s="285"/>
    </row>
    <row r="216" spans="1:18">
      <c r="A216" s="307">
        <v>4.3</v>
      </c>
      <c r="B216" s="960" t="s">
        <v>2039</v>
      </c>
      <c r="C216" s="961"/>
      <c r="D216" s="962"/>
      <c r="E216" s="324">
        <v>12000</v>
      </c>
      <c r="F216" s="324">
        <f>E216*(F203+1)*F206</f>
        <v>2112000</v>
      </c>
      <c r="G216" s="337">
        <f t="shared" si="11"/>
        <v>2112000</v>
      </c>
      <c r="H216" s="376"/>
      <c r="I216" s="296"/>
      <c r="J216" s="296"/>
      <c r="L216" s="285"/>
      <c r="M216" s="289"/>
      <c r="N216" s="285"/>
      <c r="P216" s="285"/>
      <c r="R216" s="285"/>
    </row>
    <row r="217" spans="1:18">
      <c r="A217" s="307">
        <v>4.3</v>
      </c>
      <c r="B217" s="960" t="s">
        <v>2040</v>
      </c>
      <c r="C217" s="961"/>
      <c r="D217" s="962"/>
      <c r="E217" s="324">
        <v>5000</v>
      </c>
      <c r="F217" s="340">
        <f>E217*(F203+1)*F206</f>
        <v>880000</v>
      </c>
      <c r="G217" s="337">
        <f t="shared" si="11"/>
        <v>880000</v>
      </c>
      <c r="H217" s="285"/>
      <c r="I217" s="296"/>
      <c r="J217" s="296"/>
      <c r="L217" s="285"/>
      <c r="M217" s="289"/>
      <c r="N217" s="285"/>
      <c r="P217" s="285"/>
      <c r="R217" s="285"/>
    </row>
    <row r="218" spans="1:18">
      <c r="A218" s="307">
        <v>4.4000000000000004</v>
      </c>
      <c r="B218" s="960" t="s">
        <v>2041</v>
      </c>
      <c r="C218" s="961"/>
      <c r="D218" s="962"/>
      <c r="E218" s="324">
        <v>20000</v>
      </c>
      <c r="F218" s="324">
        <f>E218*1</f>
        <v>20000</v>
      </c>
      <c r="G218" s="337">
        <f t="shared" si="11"/>
        <v>20000</v>
      </c>
      <c r="H218" s="376"/>
      <c r="I218" s="296"/>
      <c r="J218" s="296"/>
      <c r="L218" s="285"/>
      <c r="M218" s="289"/>
      <c r="N218" s="285"/>
      <c r="P218" s="285"/>
      <c r="R218" s="285"/>
    </row>
    <row r="219" spans="1:18" ht="12" thickBot="1">
      <c r="A219" s="307">
        <v>4.4000000000000004</v>
      </c>
      <c r="B219" s="960" t="s">
        <v>1960</v>
      </c>
      <c r="C219" s="961"/>
      <c r="D219" s="962"/>
      <c r="E219" s="324">
        <v>1000</v>
      </c>
      <c r="F219" s="324">
        <f>+E219*F202</f>
        <v>792000</v>
      </c>
      <c r="G219" s="337">
        <f t="shared" si="11"/>
        <v>792000</v>
      </c>
      <c r="H219" s="376"/>
      <c r="I219" s="296"/>
      <c r="J219" s="296"/>
      <c r="L219" s="285"/>
      <c r="M219" s="289"/>
      <c r="N219" s="285"/>
      <c r="P219" s="285"/>
      <c r="R219" s="285"/>
    </row>
    <row r="220" spans="1:18" ht="12" thickBot="1">
      <c r="A220" s="307"/>
      <c r="B220" s="966" t="s">
        <v>227</v>
      </c>
      <c r="C220" s="967"/>
      <c r="D220" s="967"/>
      <c r="E220" s="968"/>
      <c r="F220" s="332">
        <f>SUM(F208:F219)</f>
        <v>17049200</v>
      </c>
      <c r="G220" s="333">
        <f>SUM(G208:G219)</f>
        <v>17049200</v>
      </c>
      <c r="H220" s="382"/>
      <c r="I220" s="334"/>
      <c r="J220" s="334"/>
      <c r="L220" s="285"/>
      <c r="M220" s="289"/>
      <c r="N220" s="285"/>
      <c r="P220" s="285"/>
      <c r="R220" s="285"/>
    </row>
    <row r="221" spans="1:18">
      <c r="G221" s="289"/>
      <c r="H221" s="285"/>
      <c r="I221" s="289"/>
      <c r="J221" s="289"/>
      <c r="L221" s="285"/>
      <c r="M221" s="289"/>
      <c r="N221" s="285"/>
      <c r="P221" s="285"/>
      <c r="R221" s="285"/>
    </row>
    <row r="222" spans="1:18">
      <c r="A222" s="292">
        <v>11</v>
      </c>
      <c r="B222" s="990" t="s">
        <v>2042</v>
      </c>
      <c r="C222" s="991"/>
      <c r="D222" s="992"/>
      <c r="E222" s="383" t="s">
        <v>1938</v>
      </c>
      <c r="F222" s="383" t="str">
        <f>F325</f>
        <v>KADUNA</v>
      </c>
      <c r="G222" s="380" t="str">
        <f>G325</f>
        <v xml:space="preserve">Total </v>
      </c>
      <c r="H222" s="368"/>
      <c r="L222" s="285"/>
      <c r="M222" s="289"/>
      <c r="N222" s="285"/>
      <c r="P222" s="285"/>
      <c r="R222" s="285"/>
    </row>
    <row r="223" spans="1:18">
      <c r="A223" s="307"/>
      <c r="B223" s="975" t="s">
        <v>2043</v>
      </c>
      <c r="C223" s="976"/>
      <c r="D223" s="977"/>
      <c r="E223" s="276"/>
      <c r="F223" s="374">
        <f>C26</f>
        <v>1275</v>
      </c>
      <c r="G223" s="375">
        <f>SUM(F223:F223)</f>
        <v>1275</v>
      </c>
      <c r="H223" s="384"/>
      <c r="L223" s="285"/>
      <c r="M223" s="289"/>
      <c r="N223" s="285"/>
      <c r="P223" s="285"/>
      <c r="R223" s="285"/>
    </row>
    <row r="224" spans="1:18">
      <c r="A224" s="307"/>
      <c r="B224" s="975" t="s">
        <v>1941</v>
      </c>
      <c r="C224" s="976"/>
      <c r="D224" s="977"/>
      <c r="E224" s="276"/>
      <c r="F224" s="276">
        <v>1</v>
      </c>
      <c r="G224" s="375">
        <v>1</v>
      </c>
      <c r="L224" s="285"/>
      <c r="M224" s="289"/>
      <c r="N224" s="285"/>
      <c r="P224" s="285"/>
      <c r="R224" s="285"/>
    </row>
    <row r="225" spans="1:18">
      <c r="A225" s="307"/>
      <c r="B225" s="975" t="s">
        <v>2044</v>
      </c>
      <c r="C225" s="976"/>
      <c r="D225" s="977"/>
      <c r="E225" s="276"/>
      <c r="F225" s="374">
        <f>C3*2</f>
        <v>46</v>
      </c>
      <c r="G225" s="375">
        <f t="shared" ref="G225:G235" si="12">SUM(F225:F225)</f>
        <v>46</v>
      </c>
      <c r="L225" s="285"/>
      <c r="M225" s="289"/>
      <c r="N225" s="285"/>
      <c r="P225" s="285"/>
      <c r="R225" s="285"/>
    </row>
    <row r="226" spans="1:18">
      <c r="A226" s="307"/>
      <c r="B226" s="975" t="s">
        <v>2045</v>
      </c>
      <c r="C226" s="976"/>
      <c r="D226" s="977"/>
      <c r="E226" s="276"/>
      <c r="F226" s="374">
        <f>1*C3</f>
        <v>23</v>
      </c>
      <c r="G226" s="375">
        <f t="shared" si="12"/>
        <v>23</v>
      </c>
      <c r="L226" s="285"/>
      <c r="M226" s="289"/>
      <c r="N226" s="285"/>
      <c r="P226" s="285"/>
      <c r="R226" s="285"/>
    </row>
    <row r="227" spans="1:18">
      <c r="A227" s="307"/>
      <c r="B227" s="975" t="s">
        <v>2046</v>
      </c>
      <c r="C227" s="976"/>
      <c r="D227" s="977"/>
      <c r="E227" s="276"/>
      <c r="F227" s="374">
        <f>C16</f>
        <v>23</v>
      </c>
      <c r="G227" s="375">
        <f t="shared" si="12"/>
        <v>23</v>
      </c>
      <c r="L227" s="285"/>
      <c r="M227" s="289"/>
      <c r="N227" s="285"/>
      <c r="P227" s="285"/>
      <c r="R227" s="285"/>
    </row>
    <row r="228" spans="1:18">
      <c r="A228" s="307">
        <v>4.4000000000000004</v>
      </c>
      <c r="B228" s="975" t="s">
        <v>2032</v>
      </c>
      <c r="C228" s="976"/>
      <c r="D228" s="977"/>
      <c r="E228" s="324">
        <v>600</v>
      </c>
      <c r="F228" s="324">
        <f>+E228*(F223+F225+F226+F227)*F224</f>
        <v>820200</v>
      </c>
      <c r="G228" s="375">
        <f t="shared" si="12"/>
        <v>820200</v>
      </c>
      <c r="L228" s="285"/>
      <c r="M228" s="289"/>
      <c r="N228" s="285"/>
      <c r="P228" s="285"/>
      <c r="R228" s="285"/>
    </row>
    <row r="229" spans="1:18">
      <c r="A229" s="307">
        <v>4.4000000000000004</v>
      </c>
      <c r="B229" s="975" t="s">
        <v>1946</v>
      </c>
      <c r="C229" s="976"/>
      <c r="D229" s="977"/>
      <c r="E229" s="324">
        <v>1500</v>
      </c>
      <c r="F229" s="324">
        <f>+E229*(F223+F225+F226+F227)*F224</f>
        <v>2050500</v>
      </c>
      <c r="G229" s="375">
        <f t="shared" si="12"/>
        <v>2050500</v>
      </c>
      <c r="L229" s="285"/>
      <c r="M229" s="289"/>
      <c r="N229" s="285"/>
      <c r="P229" s="285"/>
      <c r="R229" s="285"/>
    </row>
    <row r="230" spans="1:18">
      <c r="A230" s="307">
        <v>4.4000000000000004</v>
      </c>
      <c r="B230" s="975" t="s">
        <v>2047</v>
      </c>
      <c r="C230" s="976"/>
      <c r="D230" s="977"/>
      <c r="E230" s="324">
        <v>600</v>
      </c>
      <c r="F230" s="324">
        <f>+E230*F224*F223</f>
        <v>765000</v>
      </c>
      <c r="G230" s="375">
        <f t="shared" si="12"/>
        <v>765000</v>
      </c>
      <c r="L230" s="285"/>
      <c r="M230" s="289"/>
      <c r="N230" s="285"/>
      <c r="P230" s="285"/>
      <c r="R230" s="285"/>
    </row>
    <row r="231" spans="1:18">
      <c r="A231" s="307">
        <v>4.3</v>
      </c>
      <c r="B231" s="975" t="s">
        <v>2048</v>
      </c>
      <c r="C231" s="976"/>
      <c r="D231" s="977"/>
      <c r="E231" s="324">
        <v>1200</v>
      </c>
      <c r="F231" s="324">
        <f>+E231*F225*F224</f>
        <v>55200</v>
      </c>
      <c r="G231" s="375">
        <f t="shared" si="12"/>
        <v>55200</v>
      </c>
      <c r="L231" s="285"/>
      <c r="M231" s="289"/>
      <c r="N231" s="285"/>
      <c r="P231" s="285"/>
      <c r="R231" s="285"/>
    </row>
    <row r="232" spans="1:18">
      <c r="A232" s="307">
        <v>4.3</v>
      </c>
      <c r="B232" s="975" t="s">
        <v>2049</v>
      </c>
      <c r="C232" s="976"/>
      <c r="D232" s="977"/>
      <c r="E232" s="324">
        <v>1500</v>
      </c>
      <c r="F232" s="324">
        <f>E232*F226*F224</f>
        <v>34500</v>
      </c>
      <c r="G232" s="375">
        <f t="shared" si="12"/>
        <v>34500</v>
      </c>
      <c r="L232" s="285"/>
      <c r="M232" s="289"/>
      <c r="N232" s="285"/>
      <c r="P232" s="285"/>
      <c r="R232" s="285"/>
    </row>
    <row r="233" spans="1:18">
      <c r="A233" s="307">
        <v>4.3</v>
      </c>
      <c r="B233" s="975" t="s">
        <v>2050</v>
      </c>
      <c r="C233" s="976"/>
      <c r="D233" s="977"/>
      <c r="E233" s="324">
        <v>1800</v>
      </c>
      <c r="F233" s="324">
        <f>E233*F224*F225</f>
        <v>82800</v>
      </c>
      <c r="G233" s="375">
        <f t="shared" si="12"/>
        <v>82800</v>
      </c>
      <c r="L233" s="285"/>
      <c r="M233" s="289"/>
      <c r="N233" s="285"/>
      <c r="P233" s="285"/>
      <c r="R233" s="285"/>
    </row>
    <row r="234" spans="1:18">
      <c r="A234" s="307">
        <v>4.3</v>
      </c>
      <c r="B234" s="975" t="s">
        <v>2051</v>
      </c>
      <c r="C234" s="976"/>
      <c r="D234" s="977"/>
      <c r="E234" s="324">
        <v>4800</v>
      </c>
      <c r="F234" s="324">
        <f>E234*F224*F226</f>
        <v>110400</v>
      </c>
      <c r="G234" s="375">
        <f t="shared" si="12"/>
        <v>110400</v>
      </c>
      <c r="L234" s="285"/>
      <c r="M234" s="289"/>
      <c r="N234" s="285"/>
      <c r="P234" s="285"/>
      <c r="R234" s="285"/>
    </row>
    <row r="235" spans="1:18" ht="12" thickBot="1">
      <c r="A235" s="307">
        <v>4.4000000000000004</v>
      </c>
      <c r="B235" s="975" t="s">
        <v>2052</v>
      </c>
      <c r="C235" s="976"/>
      <c r="D235" s="977"/>
      <c r="E235" s="331">
        <v>50</v>
      </c>
      <c r="F235" s="324">
        <f>+E235*F223</f>
        <v>63750</v>
      </c>
      <c r="G235" s="375">
        <f t="shared" si="12"/>
        <v>63750</v>
      </c>
      <c r="L235" s="285"/>
      <c r="M235" s="289"/>
      <c r="N235" s="285"/>
      <c r="P235" s="285"/>
      <c r="R235" s="285"/>
    </row>
    <row r="236" spans="1:18" ht="12" thickBot="1">
      <c r="A236" s="307"/>
      <c r="B236" s="987" t="s">
        <v>2015</v>
      </c>
      <c r="C236" s="988"/>
      <c r="D236" s="988"/>
      <c r="E236" s="989"/>
      <c r="F236" s="332">
        <f>SUM(F228:F235)</f>
        <v>3982350</v>
      </c>
      <c r="G236" s="377">
        <f>SUM(G228:G235)</f>
        <v>3982350</v>
      </c>
      <c r="H236" s="304"/>
      <c r="L236" s="285"/>
      <c r="M236" s="289"/>
      <c r="N236" s="285"/>
      <c r="P236" s="285"/>
      <c r="R236" s="285"/>
    </row>
    <row r="237" spans="1:18">
      <c r="G237" s="289"/>
      <c r="H237" s="285"/>
      <c r="I237" s="341"/>
      <c r="J237" s="341"/>
      <c r="L237" s="285"/>
      <c r="M237" s="289"/>
      <c r="N237" s="285"/>
      <c r="P237" s="285"/>
      <c r="R237" s="285"/>
    </row>
    <row r="238" spans="1:18">
      <c r="A238" s="292">
        <v>12</v>
      </c>
      <c r="B238" s="972" t="s">
        <v>2053</v>
      </c>
      <c r="C238" s="973"/>
      <c r="D238" s="974"/>
      <c r="E238" s="290" t="s">
        <v>1938</v>
      </c>
      <c r="F238" s="290" t="str">
        <f>F201</f>
        <v>KADUNA</v>
      </c>
      <c r="G238" s="385" t="str">
        <f>D2</f>
        <v xml:space="preserve">Total </v>
      </c>
      <c r="H238" s="368"/>
      <c r="I238" s="386"/>
      <c r="J238" s="386"/>
      <c r="L238" s="285"/>
      <c r="M238" s="289"/>
      <c r="N238" s="285"/>
      <c r="P238" s="285"/>
      <c r="R238" s="285"/>
    </row>
    <row r="239" spans="1:18">
      <c r="A239" s="307"/>
      <c r="B239" s="975" t="s">
        <v>2054</v>
      </c>
      <c r="C239" s="976"/>
      <c r="D239" s="977"/>
      <c r="E239" s="276"/>
      <c r="F239" s="374">
        <f>C20</f>
        <v>4538</v>
      </c>
      <c r="G239" s="387">
        <f>SUM(F239:F239)</f>
        <v>4538</v>
      </c>
      <c r="H239" s="384"/>
      <c r="I239" s="296"/>
      <c r="J239" s="296"/>
      <c r="L239" s="285"/>
      <c r="M239" s="289"/>
      <c r="N239" s="285"/>
      <c r="P239" s="285"/>
      <c r="R239" s="285"/>
    </row>
    <row r="240" spans="1:18">
      <c r="A240" s="307"/>
      <c r="B240" s="975" t="s">
        <v>1941</v>
      </c>
      <c r="C240" s="976"/>
      <c r="D240" s="977"/>
      <c r="E240" s="388"/>
      <c r="F240" s="276">
        <v>2</v>
      </c>
      <c r="G240" s="387">
        <v>2</v>
      </c>
      <c r="H240" s="369"/>
      <c r="I240" s="370"/>
      <c r="J240" s="370"/>
      <c r="L240" s="285"/>
      <c r="M240" s="289"/>
      <c r="N240" s="285"/>
      <c r="P240" s="285"/>
      <c r="R240" s="285"/>
    </row>
    <row r="241" spans="1:18" ht="15.75" customHeight="1">
      <c r="A241" s="307"/>
      <c r="B241" s="993" t="s">
        <v>2055</v>
      </c>
      <c r="C241" s="994"/>
      <c r="D241" s="995"/>
      <c r="E241" s="388"/>
      <c r="F241" s="374">
        <f>C33</f>
        <v>792</v>
      </c>
      <c r="G241" s="387">
        <f t="shared" ref="G241:G255" si="13">SUM(F241:F241)</f>
        <v>792</v>
      </c>
      <c r="H241" s="369"/>
      <c r="I241" s="370"/>
      <c r="J241" s="370"/>
      <c r="L241" s="285"/>
      <c r="M241" s="289"/>
      <c r="N241" s="285"/>
      <c r="P241" s="285"/>
      <c r="R241" s="285"/>
    </row>
    <row r="242" spans="1:18">
      <c r="A242" s="307"/>
      <c r="B242" s="993" t="s">
        <v>2056</v>
      </c>
      <c r="C242" s="994"/>
      <c r="D242" s="995"/>
      <c r="E242" s="276"/>
      <c r="F242" s="374">
        <f>C32</f>
        <v>92</v>
      </c>
      <c r="G242" s="387">
        <f t="shared" si="13"/>
        <v>92</v>
      </c>
      <c r="H242" s="376"/>
      <c r="I242" s="296"/>
      <c r="J242" s="296"/>
      <c r="L242" s="285"/>
      <c r="M242" s="289"/>
      <c r="N242" s="285"/>
      <c r="P242" s="285"/>
      <c r="R242" s="285"/>
    </row>
    <row r="243" spans="1:18">
      <c r="A243" s="389"/>
      <c r="B243" s="993" t="s">
        <v>2057</v>
      </c>
      <c r="C243" s="994"/>
      <c r="D243" s="995"/>
      <c r="E243" s="276"/>
      <c r="F243" s="374">
        <f>C35</f>
        <v>135</v>
      </c>
      <c r="G243" s="387">
        <f t="shared" si="13"/>
        <v>135</v>
      </c>
      <c r="H243" s="376"/>
      <c r="I243" s="296"/>
      <c r="J243" s="296"/>
      <c r="L243" s="285"/>
      <c r="M243" s="289"/>
      <c r="N243" s="285"/>
      <c r="P243" s="285"/>
      <c r="R243" s="285"/>
    </row>
    <row r="244" spans="1:18">
      <c r="A244" s="307"/>
      <c r="B244" s="993" t="s">
        <v>2058</v>
      </c>
      <c r="C244" s="994"/>
      <c r="D244" s="995"/>
      <c r="E244" s="276"/>
      <c r="F244" s="374">
        <f>C16+C14</f>
        <v>46</v>
      </c>
      <c r="G244" s="387">
        <f t="shared" si="13"/>
        <v>46</v>
      </c>
      <c r="H244" s="376"/>
      <c r="I244" s="296"/>
      <c r="J244" s="296"/>
      <c r="L244" s="285"/>
      <c r="M244" s="289"/>
      <c r="N244" s="285"/>
      <c r="P244" s="285"/>
      <c r="R244" s="285"/>
    </row>
    <row r="245" spans="1:18">
      <c r="A245" s="307">
        <v>4.4000000000000004</v>
      </c>
      <c r="B245" s="975" t="s">
        <v>2032</v>
      </c>
      <c r="C245" s="976"/>
      <c r="D245" s="977"/>
      <c r="E245" s="324">
        <v>600</v>
      </c>
      <c r="F245" s="340">
        <f>(+E245*(F239+F241+F242+F243+F244)*F240)+(E245*F240*(F243+F244+F242))</f>
        <v>7051200</v>
      </c>
      <c r="G245" s="387">
        <f t="shared" si="13"/>
        <v>7051200</v>
      </c>
      <c r="H245" s="376"/>
      <c r="I245" s="296"/>
      <c r="J245" s="296"/>
      <c r="L245" s="285"/>
      <c r="M245" s="289"/>
      <c r="N245" s="285"/>
      <c r="P245" s="285"/>
      <c r="R245" s="285"/>
    </row>
    <row r="246" spans="1:18" ht="17.25" customHeight="1">
      <c r="A246" s="307">
        <v>4.4000000000000004</v>
      </c>
      <c r="B246" s="975" t="s">
        <v>1946</v>
      </c>
      <c r="C246" s="976"/>
      <c r="D246" s="977"/>
      <c r="E246" s="324">
        <v>1500</v>
      </c>
      <c r="F246" s="340">
        <f>(+E246*(F239+F241+F242+F243+F244)*F240)+(E246*F240*(F243+F244+F242))</f>
        <v>17628000</v>
      </c>
      <c r="G246" s="387">
        <f t="shared" si="13"/>
        <v>17628000</v>
      </c>
      <c r="H246" s="376"/>
      <c r="I246" s="296"/>
      <c r="J246" s="296"/>
      <c r="L246" s="285"/>
      <c r="M246" s="289"/>
      <c r="N246" s="285"/>
      <c r="P246" s="285"/>
      <c r="R246" s="285"/>
    </row>
    <row r="247" spans="1:18">
      <c r="A247" s="307">
        <v>4.4000000000000004</v>
      </c>
      <c r="B247" s="975" t="s">
        <v>2059</v>
      </c>
      <c r="C247" s="976"/>
      <c r="D247" s="977"/>
      <c r="E247" s="324">
        <v>600</v>
      </c>
      <c r="F247" s="340">
        <f>+E247*F239*F240</f>
        <v>5445600</v>
      </c>
      <c r="G247" s="387">
        <f t="shared" si="13"/>
        <v>5445600</v>
      </c>
      <c r="H247" s="376"/>
      <c r="I247" s="296"/>
      <c r="J247" s="296"/>
      <c r="L247" s="285"/>
      <c r="M247" s="289"/>
      <c r="N247" s="285"/>
      <c r="P247" s="285"/>
      <c r="R247" s="285"/>
    </row>
    <row r="248" spans="1:18">
      <c r="A248" s="307">
        <v>4.3</v>
      </c>
      <c r="B248" s="975" t="s">
        <v>2060</v>
      </c>
      <c r="C248" s="976"/>
      <c r="D248" s="977"/>
      <c r="E248" s="324">
        <v>1500</v>
      </c>
      <c r="F248" s="340">
        <f>+E248*F240*F242</f>
        <v>276000</v>
      </c>
      <c r="G248" s="387">
        <f t="shared" si="13"/>
        <v>276000</v>
      </c>
      <c r="H248" s="376"/>
      <c r="I248" s="296"/>
      <c r="J248" s="296"/>
      <c r="L248" s="285"/>
      <c r="M248" s="289"/>
      <c r="N248" s="285"/>
      <c r="P248" s="285"/>
      <c r="R248" s="285"/>
    </row>
    <row r="249" spans="1:18">
      <c r="A249" s="307">
        <v>4.3</v>
      </c>
      <c r="B249" s="975" t="s">
        <v>2061</v>
      </c>
      <c r="C249" s="976"/>
      <c r="D249" s="977"/>
      <c r="E249" s="324">
        <v>1200</v>
      </c>
      <c r="F249" s="340">
        <f>E249*F240*F241</f>
        <v>1900800</v>
      </c>
      <c r="G249" s="387">
        <f t="shared" si="13"/>
        <v>1900800</v>
      </c>
      <c r="H249" s="376"/>
      <c r="I249" s="296"/>
      <c r="J249" s="296"/>
      <c r="L249" s="285"/>
      <c r="M249" s="289"/>
      <c r="N249" s="285"/>
      <c r="P249" s="285"/>
      <c r="R249" s="285"/>
    </row>
    <row r="250" spans="1:18">
      <c r="A250" s="307">
        <v>4.3</v>
      </c>
      <c r="B250" s="975" t="s">
        <v>2062</v>
      </c>
      <c r="C250" s="976"/>
      <c r="D250" s="977"/>
      <c r="E250" s="324">
        <v>4800</v>
      </c>
      <c r="F250" s="340">
        <f>E250*F240*F242</f>
        <v>883200</v>
      </c>
      <c r="G250" s="387">
        <f t="shared" si="13"/>
        <v>883200</v>
      </c>
      <c r="H250" s="376"/>
      <c r="I250" s="296"/>
      <c r="J250" s="296"/>
      <c r="L250" s="285"/>
      <c r="M250" s="289"/>
      <c r="N250" s="285"/>
      <c r="P250" s="285"/>
      <c r="R250" s="285"/>
    </row>
    <row r="251" spans="1:18">
      <c r="A251" s="307">
        <v>4.3</v>
      </c>
      <c r="B251" s="975" t="s">
        <v>2063</v>
      </c>
      <c r="C251" s="976"/>
      <c r="D251" s="977"/>
      <c r="E251" s="324">
        <v>1800</v>
      </c>
      <c r="F251" s="340">
        <f>E251*F240*F241</f>
        <v>2851200</v>
      </c>
      <c r="G251" s="387">
        <f t="shared" si="13"/>
        <v>2851200</v>
      </c>
      <c r="H251" s="376"/>
      <c r="I251" s="296"/>
      <c r="J251" s="296"/>
      <c r="L251" s="285"/>
      <c r="M251" s="289"/>
      <c r="N251" s="285"/>
      <c r="P251" s="285"/>
      <c r="R251" s="285"/>
    </row>
    <row r="252" spans="1:18">
      <c r="A252" s="307">
        <v>4.3</v>
      </c>
      <c r="B252" s="975" t="s">
        <v>2064</v>
      </c>
      <c r="C252" s="976"/>
      <c r="D252" s="977"/>
      <c r="E252" s="324">
        <v>10000</v>
      </c>
      <c r="F252" s="340">
        <f>E252*(F240+3+2)*F243</f>
        <v>9450000</v>
      </c>
      <c r="G252" s="387">
        <f t="shared" si="13"/>
        <v>9450000</v>
      </c>
      <c r="H252" s="376"/>
      <c r="I252" s="296"/>
      <c r="J252" s="296"/>
      <c r="L252" s="285"/>
      <c r="M252" s="289"/>
      <c r="N252" s="285"/>
      <c r="P252" s="285"/>
      <c r="R252" s="285"/>
    </row>
    <row r="253" spans="1:18">
      <c r="A253" s="307">
        <v>4.3</v>
      </c>
      <c r="B253" s="354" t="s">
        <v>2065</v>
      </c>
      <c r="C253" s="355"/>
      <c r="D253" s="356"/>
      <c r="E253" s="324">
        <v>12000</v>
      </c>
      <c r="F253" s="340">
        <f>E253*(F240+3+2)*F243</f>
        <v>11340000</v>
      </c>
      <c r="G253" s="375">
        <f t="shared" si="13"/>
        <v>11340000</v>
      </c>
      <c r="H253" s="376"/>
      <c r="I253" s="296"/>
      <c r="J253" s="296"/>
      <c r="L253" s="285"/>
      <c r="M253" s="289"/>
      <c r="N253" s="285"/>
      <c r="P253" s="285"/>
      <c r="R253" s="285"/>
    </row>
    <row r="254" spans="1:18">
      <c r="A254" s="307">
        <v>4.3</v>
      </c>
      <c r="B254" s="354" t="s">
        <v>2066</v>
      </c>
      <c r="C254" s="355"/>
      <c r="D254" s="356"/>
      <c r="E254" s="324">
        <v>5000</v>
      </c>
      <c r="F254" s="340">
        <f>E254*(F240+3+2)*F243</f>
        <v>4725000</v>
      </c>
      <c r="G254" s="375">
        <f>SUM(F254:F254)</f>
        <v>4725000</v>
      </c>
      <c r="H254" s="376"/>
      <c r="I254" s="296"/>
      <c r="J254" s="296"/>
      <c r="L254" s="285"/>
      <c r="M254" s="289"/>
      <c r="N254" s="285"/>
      <c r="P254" s="285"/>
      <c r="R254" s="285"/>
    </row>
    <row r="255" spans="1:18">
      <c r="A255" s="307">
        <v>4.4000000000000004</v>
      </c>
      <c r="B255" s="975" t="s">
        <v>2067</v>
      </c>
      <c r="C255" s="976"/>
      <c r="D255" s="977"/>
      <c r="E255" s="331">
        <v>50</v>
      </c>
      <c r="F255" s="390">
        <f>+E255*F239</f>
        <v>226900</v>
      </c>
      <c r="G255" s="375">
        <f t="shared" si="13"/>
        <v>226900</v>
      </c>
      <c r="H255" s="376"/>
      <c r="I255" s="296"/>
      <c r="J255" s="296"/>
      <c r="L255" s="285"/>
      <c r="M255" s="289"/>
      <c r="N255" s="285"/>
      <c r="P255" s="285"/>
      <c r="R255" s="285"/>
    </row>
    <row r="256" spans="1:18" ht="12" thickBot="1">
      <c r="A256" s="307"/>
      <c r="B256" s="987" t="s">
        <v>2015</v>
      </c>
      <c r="C256" s="988"/>
      <c r="D256" s="988"/>
      <c r="E256" s="989"/>
      <c r="F256" s="332">
        <f>SUM(F245:F255)</f>
        <v>61777900</v>
      </c>
      <c r="G256" s="391">
        <f>SUM(G245:G255)</f>
        <v>61777900</v>
      </c>
      <c r="H256" s="382"/>
      <c r="I256" s="334"/>
      <c r="J256" s="334"/>
      <c r="L256" s="285"/>
      <c r="M256" s="289"/>
      <c r="N256" s="285"/>
      <c r="P256" s="285"/>
      <c r="R256" s="285"/>
    </row>
    <row r="257" spans="1:18">
      <c r="G257" s="289"/>
      <c r="H257" s="285"/>
      <c r="I257" s="289"/>
      <c r="J257" s="289"/>
      <c r="L257" s="285"/>
      <c r="M257" s="289"/>
      <c r="N257" s="285"/>
      <c r="P257" s="285"/>
      <c r="R257" s="285"/>
    </row>
    <row r="258" spans="1:18">
      <c r="A258" s="392">
        <v>13</v>
      </c>
      <c r="B258" s="972" t="s">
        <v>2068</v>
      </c>
      <c r="C258" s="973"/>
      <c r="D258" s="974"/>
      <c r="E258" s="290" t="s">
        <v>1938</v>
      </c>
      <c r="F258" s="290" t="str">
        <f>F238</f>
        <v>KADUNA</v>
      </c>
      <c r="G258" s="385" t="str">
        <f>+G238</f>
        <v xml:space="preserve">Total </v>
      </c>
      <c r="I258" s="363"/>
      <c r="J258" s="363"/>
      <c r="L258" s="285"/>
      <c r="M258" s="289"/>
      <c r="N258" s="285"/>
      <c r="P258" s="285"/>
      <c r="R258" s="285"/>
    </row>
    <row r="259" spans="1:18">
      <c r="A259" s="307"/>
      <c r="B259" s="975" t="s">
        <v>2069</v>
      </c>
      <c r="C259" s="976"/>
      <c r="D259" s="977"/>
      <c r="E259" s="276"/>
      <c r="F259" s="374">
        <f>C29</f>
        <v>2269</v>
      </c>
      <c r="G259" s="375">
        <f>SUM(F259:F259)</f>
        <v>2269</v>
      </c>
      <c r="I259" s="364"/>
      <c r="J259" s="364"/>
      <c r="L259" s="285"/>
      <c r="M259" s="289"/>
      <c r="N259" s="285"/>
      <c r="P259" s="285"/>
      <c r="R259" s="285"/>
    </row>
    <row r="260" spans="1:18">
      <c r="A260" s="307"/>
      <c r="B260" s="975" t="s">
        <v>1941</v>
      </c>
      <c r="C260" s="976"/>
      <c r="D260" s="977"/>
      <c r="E260" s="276"/>
      <c r="F260" s="276">
        <v>2</v>
      </c>
      <c r="G260" s="375">
        <f>SUM(F260:F260)</f>
        <v>2</v>
      </c>
      <c r="I260" s="370"/>
      <c r="J260" s="370"/>
      <c r="L260" s="285"/>
      <c r="M260" s="289"/>
      <c r="N260" s="285"/>
      <c r="P260" s="285"/>
      <c r="R260" s="285"/>
    </row>
    <row r="261" spans="1:18">
      <c r="A261" s="307"/>
      <c r="B261" s="993" t="s">
        <v>2070</v>
      </c>
      <c r="C261" s="994"/>
      <c r="D261" s="995"/>
      <c r="E261" s="276"/>
      <c r="F261" s="374">
        <f>C32/4</f>
        <v>23</v>
      </c>
      <c r="G261" s="375">
        <f t="shared" ref="G261:G274" si="14">SUM(F261:F261)</f>
        <v>23</v>
      </c>
      <c r="I261" s="296"/>
      <c r="J261" s="296"/>
      <c r="L261" s="285"/>
      <c r="M261" s="289"/>
      <c r="N261" s="285"/>
      <c r="P261" s="285"/>
      <c r="R261" s="285"/>
    </row>
    <row r="262" spans="1:18">
      <c r="A262" s="307"/>
      <c r="B262" s="993" t="s">
        <v>2071</v>
      </c>
      <c r="C262" s="994"/>
      <c r="D262" s="995"/>
      <c r="E262" s="276"/>
      <c r="F262" s="374">
        <f>C14</f>
        <v>23</v>
      </c>
      <c r="G262" s="375">
        <f t="shared" si="14"/>
        <v>23</v>
      </c>
      <c r="I262" s="296"/>
      <c r="J262" s="296"/>
      <c r="L262" s="285"/>
      <c r="M262" s="289"/>
      <c r="N262" s="285"/>
      <c r="P262" s="285"/>
      <c r="R262" s="285"/>
    </row>
    <row r="263" spans="1:18">
      <c r="A263" s="307"/>
      <c r="B263" s="993" t="s">
        <v>2072</v>
      </c>
      <c r="C263" s="994"/>
      <c r="D263" s="995"/>
      <c r="E263" s="276"/>
      <c r="F263" s="374">
        <f>'[4] Micro quantification'!S29</f>
        <v>127</v>
      </c>
      <c r="G263" s="375">
        <f t="shared" si="14"/>
        <v>127</v>
      </c>
      <c r="H263" s="296"/>
      <c r="I263" s="296"/>
      <c r="J263" s="296"/>
      <c r="L263" s="285"/>
      <c r="M263" s="289"/>
      <c r="N263" s="285"/>
      <c r="P263" s="285"/>
      <c r="R263" s="285"/>
    </row>
    <row r="264" spans="1:18">
      <c r="A264" s="307"/>
      <c r="B264" s="993" t="s">
        <v>2073</v>
      </c>
      <c r="C264" s="994"/>
      <c r="D264" s="995"/>
      <c r="E264" s="276"/>
      <c r="F264" s="374">
        <f>C16+C3</f>
        <v>46</v>
      </c>
      <c r="G264" s="375">
        <f t="shared" si="14"/>
        <v>46</v>
      </c>
      <c r="I264" s="296"/>
      <c r="J264" s="296"/>
      <c r="L264" s="285"/>
      <c r="M264" s="289"/>
      <c r="N264" s="285"/>
      <c r="P264" s="285"/>
      <c r="R264" s="285"/>
    </row>
    <row r="265" spans="1:18">
      <c r="A265" s="307">
        <v>4.4000000000000004</v>
      </c>
      <c r="B265" s="975" t="s">
        <v>2032</v>
      </c>
      <c r="C265" s="976"/>
      <c r="D265" s="977"/>
      <c r="E265" s="324">
        <v>600</v>
      </c>
      <c r="F265" s="324">
        <f>E265*(F259+F261+F262+F263+F264)*F260</f>
        <v>2985600</v>
      </c>
      <c r="G265" s="375">
        <f t="shared" si="14"/>
        <v>2985600</v>
      </c>
      <c r="I265" s="296"/>
      <c r="J265" s="296"/>
      <c r="L265" s="285"/>
      <c r="M265" s="289"/>
      <c r="N265" s="285"/>
      <c r="P265" s="285"/>
      <c r="R265" s="285"/>
    </row>
    <row r="266" spans="1:18">
      <c r="A266" s="307">
        <v>4.4000000000000004</v>
      </c>
      <c r="B266" s="975" t="s">
        <v>1946</v>
      </c>
      <c r="C266" s="976"/>
      <c r="D266" s="977"/>
      <c r="E266" s="324">
        <v>1500</v>
      </c>
      <c r="F266" s="324">
        <f>E266*(F259+F261+F262+F263+F264)*F260</f>
        <v>7464000</v>
      </c>
      <c r="G266" s="375">
        <f t="shared" si="14"/>
        <v>7464000</v>
      </c>
      <c r="I266" s="296"/>
      <c r="J266" s="296"/>
      <c r="L266" s="285"/>
      <c r="M266" s="289"/>
      <c r="N266" s="285"/>
      <c r="P266" s="285"/>
      <c r="R266" s="285"/>
    </row>
    <row r="267" spans="1:18">
      <c r="A267" s="307">
        <v>4.4000000000000004</v>
      </c>
      <c r="B267" s="975" t="s">
        <v>2074</v>
      </c>
      <c r="C267" s="976"/>
      <c r="D267" s="977"/>
      <c r="E267" s="324">
        <v>600</v>
      </c>
      <c r="F267" s="324">
        <f>+E267*F259*F260</f>
        <v>2722800</v>
      </c>
      <c r="G267" s="375">
        <f t="shared" si="14"/>
        <v>2722800</v>
      </c>
      <c r="I267" s="296"/>
      <c r="J267" s="296"/>
      <c r="L267" s="285"/>
      <c r="M267" s="289"/>
      <c r="N267" s="285"/>
      <c r="P267" s="285"/>
      <c r="R267" s="285"/>
    </row>
    <row r="268" spans="1:18">
      <c r="A268" s="307">
        <v>4.3</v>
      </c>
      <c r="B268" s="975" t="s">
        <v>2075</v>
      </c>
      <c r="C268" s="976"/>
      <c r="D268" s="977"/>
      <c r="E268" s="324">
        <v>1500</v>
      </c>
      <c r="F268" s="324">
        <f>+E268*F261*F260</f>
        <v>69000</v>
      </c>
      <c r="G268" s="375">
        <f t="shared" si="14"/>
        <v>69000</v>
      </c>
      <c r="I268" s="296"/>
      <c r="J268" s="296"/>
      <c r="L268" s="285"/>
      <c r="M268" s="289"/>
      <c r="N268" s="285"/>
      <c r="P268" s="285"/>
      <c r="R268" s="285"/>
    </row>
    <row r="269" spans="1:18">
      <c r="A269" s="307">
        <v>4.3</v>
      </c>
      <c r="B269" s="975" t="s">
        <v>2035</v>
      </c>
      <c r="C269" s="976"/>
      <c r="D269" s="977"/>
      <c r="E269" s="324">
        <v>5000</v>
      </c>
      <c r="F269" s="324">
        <f>+E269*F262*F260</f>
        <v>230000</v>
      </c>
      <c r="G269" s="375">
        <f t="shared" si="14"/>
        <v>230000</v>
      </c>
      <c r="H269" s="285"/>
      <c r="I269" s="296"/>
      <c r="J269" s="296"/>
      <c r="L269" s="285"/>
      <c r="M269" s="289"/>
      <c r="N269" s="285"/>
      <c r="P269" s="285"/>
      <c r="R269" s="285"/>
    </row>
    <row r="270" spans="1:18">
      <c r="A270" s="307">
        <v>4.3</v>
      </c>
      <c r="B270" s="996" t="s">
        <v>2076</v>
      </c>
      <c r="C270" s="997"/>
      <c r="D270" s="998"/>
      <c r="E270" s="324">
        <v>10000</v>
      </c>
      <c r="F270" s="324">
        <f>E270*F263*(F260+1)</f>
        <v>3810000</v>
      </c>
      <c r="G270" s="375">
        <f t="shared" si="14"/>
        <v>3810000</v>
      </c>
      <c r="I270" s="296"/>
      <c r="J270" s="296"/>
      <c r="L270" s="285"/>
      <c r="M270" s="289"/>
      <c r="N270" s="285"/>
      <c r="P270" s="285"/>
      <c r="R270" s="285"/>
    </row>
    <row r="271" spans="1:18">
      <c r="A271" s="307">
        <v>4.3</v>
      </c>
      <c r="B271" s="996" t="s">
        <v>2077</v>
      </c>
      <c r="C271" s="997"/>
      <c r="D271" s="998"/>
      <c r="E271" s="324">
        <v>12000</v>
      </c>
      <c r="F271" s="324">
        <f>E271*F263*(F260+1)</f>
        <v>4572000</v>
      </c>
      <c r="G271" s="375">
        <f t="shared" si="14"/>
        <v>4572000</v>
      </c>
      <c r="I271" s="296"/>
      <c r="J271" s="296"/>
      <c r="L271" s="285"/>
      <c r="M271" s="289"/>
      <c r="N271" s="285"/>
      <c r="P271" s="285"/>
      <c r="R271" s="285"/>
    </row>
    <row r="272" spans="1:18">
      <c r="A272" s="307">
        <v>4.3</v>
      </c>
      <c r="B272" s="354" t="s">
        <v>2066</v>
      </c>
      <c r="C272" s="355"/>
      <c r="D272" s="356"/>
      <c r="E272" s="324">
        <v>5000</v>
      </c>
      <c r="F272" s="340">
        <f>E272*(F260+1)*F263</f>
        <v>1905000</v>
      </c>
      <c r="G272" s="375">
        <f t="shared" si="14"/>
        <v>1905000</v>
      </c>
      <c r="I272" s="296"/>
      <c r="J272" s="296"/>
      <c r="L272" s="285"/>
      <c r="M272" s="289"/>
      <c r="N272" s="285"/>
      <c r="P272" s="285"/>
      <c r="R272" s="285"/>
    </row>
    <row r="273" spans="1:18">
      <c r="A273" s="307">
        <v>4.3</v>
      </c>
      <c r="B273" s="996" t="s">
        <v>2078</v>
      </c>
      <c r="C273" s="997"/>
      <c r="D273" s="998"/>
      <c r="E273" s="393">
        <v>4800</v>
      </c>
      <c r="F273" s="324">
        <f>E273*F261*F260</f>
        <v>220800</v>
      </c>
      <c r="G273" s="375">
        <f t="shared" si="14"/>
        <v>220800</v>
      </c>
      <c r="I273" s="296"/>
      <c r="J273" s="296"/>
      <c r="L273" s="285"/>
      <c r="M273" s="289"/>
      <c r="N273" s="285"/>
      <c r="P273" s="285"/>
      <c r="R273" s="285"/>
    </row>
    <row r="274" spans="1:18" ht="12" thickBot="1">
      <c r="A274" s="307">
        <v>4.3</v>
      </c>
      <c r="B274" s="996" t="s">
        <v>2079</v>
      </c>
      <c r="C274" s="997"/>
      <c r="D274" s="998"/>
      <c r="E274" s="393">
        <v>6000</v>
      </c>
      <c r="F274" s="324">
        <f>E274*F262*F260</f>
        <v>276000</v>
      </c>
      <c r="G274" s="375">
        <f t="shared" si="14"/>
        <v>276000</v>
      </c>
      <c r="I274" s="296"/>
      <c r="J274" s="296"/>
      <c r="L274" s="285"/>
      <c r="M274" s="289"/>
      <c r="N274" s="285"/>
      <c r="P274" s="285"/>
      <c r="R274" s="285"/>
    </row>
    <row r="275" spans="1:18" ht="12" thickBot="1">
      <c r="A275" s="307"/>
      <c r="B275" s="987" t="s">
        <v>2015</v>
      </c>
      <c r="C275" s="988"/>
      <c r="D275" s="988"/>
      <c r="E275" s="989"/>
      <c r="F275" s="332">
        <f>SUM(F265:F274)</f>
        <v>24255200</v>
      </c>
      <c r="G275" s="377">
        <f>SUM(G265:G274)</f>
        <v>24255200</v>
      </c>
      <c r="H275" s="304"/>
      <c r="I275" s="334"/>
      <c r="J275" s="334"/>
      <c r="L275" s="285"/>
      <c r="M275" s="289"/>
      <c r="N275" s="285"/>
      <c r="P275" s="285"/>
      <c r="R275" s="285"/>
    </row>
    <row r="276" spans="1:18">
      <c r="G276" s="289"/>
      <c r="H276" s="285"/>
      <c r="I276" s="289"/>
      <c r="J276" s="289"/>
      <c r="L276" s="285"/>
      <c r="M276" s="289"/>
      <c r="N276" s="285"/>
      <c r="P276" s="285"/>
      <c r="R276" s="285"/>
    </row>
    <row r="277" spans="1:18" ht="15.75" customHeight="1">
      <c r="A277" s="392">
        <v>14</v>
      </c>
      <c r="B277" s="990" t="s">
        <v>2080</v>
      </c>
      <c r="C277" s="991"/>
      <c r="D277" s="992"/>
      <c r="E277" s="290" t="s">
        <v>1938</v>
      </c>
      <c r="F277" s="290" t="str">
        <f>F258</f>
        <v>KADUNA</v>
      </c>
      <c r="G277" s="380" t="str">
        <f>G258</f>
        <v xml:space="preserve">Total </v>
      </c>
      <c r="L277" s="285"/>
      <c r="M277" s="289"/>
      <c r="N277" s="285"/>
      <c r="P277" s="285"/>
      <c r="R277" s="285"/>
    </row>
    <row r="278" spans="1:18">
      <c r="B278" s="975" t="s">
        <v>2081</v>
      </c>
      <c r="C278" s="976"/>
      <c r="D278" s="977"/>
      <c r="E278" s="276"/>
      <c r="F278" s="374">
        <f>C8</f>
        <v>255</v>
      </c>
      <c r="G278" s="375">
        <f>SUM(F278:F278)</f>
        <v>255</v>
      </c>
      <c r="L278" s="285"/>
      <c r="M278" s="289"/>
      <c r="N278" s="285"/>
      <c r="P278" s="285"/>
      <c r="R278" s="285"/>
    </row>
    <row r="279" spans="1:18">
      <c r="B279" s="975" t="s">
        <v>1941</v>
      </c>
      <c r="C279" s="976"/>
      <c r="D279" s="977"/>
      <c r="E279" s="276"/>
      <c r="F279" s="276">
        <v>1</v>
      </c>
      <c r="G279" s="375">
        <v>1</v>
      </c>
      <c r="L279" s="285"/>
      <c r="M279" s="289"/>
      <c r="N279" s="285"/>
      <c r="P279" s="285"/>
      <c r="R279" s="285"/>
    </row>
    <row r="280" spans="1:18">
      <c r="B280" s="975" t="s">
        <v>2082</v>
      </c>
      <c r="C280" s="976"/>
      <c r="D280" s="977"/>
      <c r="E280" s="276"/>
      <c r="F280" s="374">
        <f>C14</f>
        <v>23</v>
      </c>
      <c r="G280" s="375">
        <f t="shared" ref="G280:G288" si="15">SUM(F280:F280)</f>
        <v>23</v>
      </c>
      <c r="L280" s="285"/>
      <c r="M280" s="289"/>
      <c r="N280" s="285"/>
      <c r="O280" s="289"/>
      <c r="P280" s="285"/>
      <c r="Q280" s="289"/>
      <c r="R280" s="285"/>
    </row>
    <row r="281" spans="1:18">
      <c r="B281" s="975" t="s">
        <v>2083</v>
      </c>
      <c r="C281" s="976"/>
      <c r="D281" s="977"/>
      <c r="E281" s="276"/>
      <c r="F281" s="374">
        <f>C3</f>
        <v>23</v>
      </c>
      <c r="G281" s="375">
        <f t="shared" si="15"/>
        <v>23</v>
      </c>
      <c r="L281" s="285"/>
      <c r="M281" s="289"/>
      <c r="N281" s="285"/>
      <c r="P281" s="285"/>
      <c r="R281" s="285"/>
    </row>
    <row r="282" spans="1:18" ht="12" customHeight="1">
      <c r="B282" s="975" t="s">
        <v>2031</v>
      </c>
      <c r="C282" s="976"/>
      <c r="D282" s="977"/>
      <c r="E282" s="276"/>
      <c r="F282" s="374">
        <f>C16</f>
        <v>23</v>
      </c>
      <c r="G282" s="375">
        <f t="shared" si="15"/>
        <v>23</v>
      </c>
      <c r="H282" s="285"/>
      <c r="L282" s="285"/>
      <c r="M282" s="289"/>
      <c r="N282" s="285"/>
      <c r="P282" s="285"/>
      <c r="R282" s="285"/>
    </row>
    <row r="283" spans="1:18">
      <c r="A283" s="307">
        <v>4.4000000000000004</v>
      </c>
      <c r="B283" s="975" t="s">
        <v>1946</v>
      </c>
      <c r="C283" s="976"/>
      <c r="D283" s="977"/>
      <c r="E283" s="324">
        <v>1500</v>
      </c>
      <c r="F283" s="324">
        <f>+E283*(F278+F280+F281+F282)*F279</f>
        <v>486000</v>
      </c>
      <c r="G283" s="375">
        <f t="shared" si="15"/>
        <v>486000</v>
      </c>
      <c r="L283" s="285"/>
      <c r="M283" s="289"/>
      <c r="N283" s="285"/>
      <c r="P283" s="285"/>
      <c r="R283" s="285"/>
    </row>
    <row r="284" spans="1:18">
      <c r="A284" s="307">
        <v>4.4000000000000004</v>
      </c>
      <c r="B284" s="975" t="s">
        <v>2084</v>
      </c>
      <c r="C284" s="976"/>
      <c r="D284" s="977"/>
      <c r="E284" s="324">
        <v>600</v>
      </c>
      <c r="F284" s="324">
        <f>+E284*F278*F279</f>
        <v>153000</v>
      </c>
      <c r="G284" s="375">
        <f t="shared" si="15"/>
        <v>153000</v>
      </c>
      <c r="L284" s="285"/>
      <c r="M284" s="289"/>
      <c r="N284" s="285"/>
      <c r="P284" s="285"/>
      <c r="R284" s="285"/>
    </row>
    <row r="285" spans="1:18">
      <c r="A285" s="307">
        <v>4.3</v>
      </c>
      <c r="B285" s="975" t="s">
        <v>2085</v>
      </c>
      <c r="C285" s="976"/>
      <c r="D285" s="977"/>
      <c r="E285" s="324">
        <v>1500</v>
      </c>
      <c r="F285" s="324">
        <f>E285*F281*F279</f>
        <v>34500</v>
      </c>
      <c r="G285" s="375">
        <f t="shared" si="15"/>
        <v>34500</v>
      </c>
      <c r="L285" s="285"/>
      <c r="M285" s="289"/>
      <c r="N285" s="285"/>
      <c r="P285" s="285"/>
      <c r="R285" s="285"/>
    </row>
    <row r="286" spans="1:18">
      <c r="A286" s="307">
        <v>4.3</v>
      </c>
      <c r="B286" s="975" t="s">
        <v>2086</v>
      </c>
      <c r="C286" s="976"/>
      <c r="D286" s="977"/>
      <c r="E286" s="324">
        <v>5000</v>
      </c>
      <c r="F286" s="324">
        <f>E286*F280*F279</f>
        <v>115000</v>
      </c>
      <c r="G286" s="375">
        <f t="shared" si="15"/>
        <v>115000</v>
      </c>
      <c r="H286" s="285"/>
      <c r="L286" s="285"/>
      <c r="M286" s="289"/>
      <c r="N286" s="285"/>
      <c r="P286" s="285"/>
      <c r="R286" s="285"/>
    </row>
    <row r="287" spans="1:18">
      <c r="A287" s="307">
        <v>4.3</v>
      </c>
      <c r="B287" s="975" t="s">
        <v>2087</v>
      </c>
      <c r="C287" s="976"/>
      <c r="D287" s="977"/>
      <c r="E287" s="324">
        <v>4800</v>
      </c>
      <c r="F287" s="324">
        <f>E287*F279*F281</f>
        <v>110400</v>
      </c>
      <c r="G287" s="375">
        <f t="shared" si="15"/>
        <v>110400</v>
      </c>
      <c r="L287" s="285"/>
      <c r="M287" s="289"/>
      <c r="N287" s="285"/>
      <c r="P287" s="285"/>
      <c r="R287" s="285"/>
    </row>
    <row r="288" spans="1:18" ht="12" thickBot="1">
      <c r="A288" s="307">
        <v>4.3</v>
      </c>
      <c r="B288" s="975" t="s">
        <v>2088</v>
      </c>
      <c r="C288" s="976"/>
      <c r="D288" s="977"/>
      <c r="E288" s="324">
        <v>6000</v>
      </c>
      <c r="F288" s="324">
        <f>E288*F279*F280</f>
        <v>138000</v>
      </c>
      <c r="G288" s="375">
        <f t="shared" si="15"/>
        <v>138000</v>
      </c>
      <c r="L288" s="285"/>
      <c r="M288" s="289"/>
      <c r="N288" s="285"/>
      <c r="P288" s="285"/>
      <c r="R288" s="285"/>
    </row>
    <row r="289" spans="1:18" ht="12" thickBot="1">
      <c r="B289" s="987" t="s">
        <v>2015</v>
      </c>
      <c r="C289" s="988"/>
      <c r="D289" s="988"/>
      <c r="E289" s="989"/>
      <c r="F289" s="332">
        <f>SUM(F283:F288)</f>
        <v>1036900</v>
      </c>
      <c r="G289" s="377">
        <f>SUM(G283:G288)</f>
        <v>1036900</v>
      </c>
      <c r="H289" s="304"/>
      <c r="L289" s="285"/>
      <c r="M289" s="289"/>
      <c r="N289" s="285"/>
      <c r="P289" s="285"/>
      <c r="R289" s="285"/>
    </row>
    <row r="290" spans="1:18" ht="15.75" customHeight="1">
      <c r="G290" s="285"/>
      <c r="L290" s="285"/>
      <c r="M290" s="289"/>
      <c r="N290" s="285"/>
      <c r="P290" s="285"/>
      <c r="R290" s="285"/>
    </row>
    <row r="291" spans="1:18">
      <c r="A291" s="392">
        <v>16</v>
      </c>
      <c r="B291" s="972" t="s">
        <v>2089</v>
      </c>
      <c r="C291" s="973"/>
      <c r="D291" s="974"/>
      <c r="E291" s="290" t="s">
        <v>1938</v>
      </c>
      <c r="F291" s="290" t="str">
        <f>F277</f>
        <v>KADUNA</v>
      </c>
      <c r="G291" s="394" t="str">
        <f>+G258</f>
        <v xml:space="preserve">Total </v>
      </c>
      <c r="H291" s="368"/>
      <c r="L291" s="285"/>
      <c r="M291" s="289"/>
      <c r="N291" s="285"/>
      <c r="P291" s="285"/>
      <c r="R291" s="285"/>
    </row>
    <row r="292" spans="1:18">
      <c r="A292" s="307"/>
      <c r="B292" s="975" t="s">
        <v>2090</v>
      </c>
      <c r="C292" s="976"/>
      <c r="D292" s="977"/>
      <c r="E292" s="276"/>
      <c r="F292" s="374"/>
      <c r="G292" s="375">
        <f>SUM(F292:F292)</f>
        <v>0</v>
      </c>
      <c r="H292" s="395"/>
      <c r="N292" s="285"/>
      <c r="P292" s="285"/>
      <c r="R292" s="285"/>
    </row>
    <row r="293" spans="1:18">
      <c r="A293" s="307"/>
      <c r="B293" s="975" t="s">
        <v>1941</v>
      </c>
      <c r="C293" s="976"/>
      <c r="D293" s="977"/>
      <c r="E293" s="276"/>
      <c r="F293" s="276"/>
      <c r="G293" s="375">
        <v>2</v>
      </c>
      <c r="N293" s="285"/>
      <c r="P293" s="285"/>
      <c r="R293" s="285"/>
    </row>
    <row r="294" spans="1:18">
      <c r="A294" s="307"/>
      <c r="B294" s="993" t="s">
        <v>2091</v>
      </c>
      <c r="C294" s="994"/>
      <c r="D294" s="995"/>
      <c r="E294" s="276"/>
      <c r="F294" s="374"/>
      <c r="G294" s="375">
        <f t="shared" ref="G294:G308" si="16">SUM(F294:F294)</f>
        <v>0</v>
      </c>
      <c r="N294" s="285"/>
      <c r="P294" s="285"/>
      <c r="R294" s="285"/>
    </row>
    <row r="295" spans="1:18">
      <c r="A295" s="307"/>
      <c r="B295" s="993" t="s">
        <v>2092</v>
      </c>
      <c r="C295" s="994"/>
      <c r="D295" s="995"/>
      <c r="E295" s="276"/>
      <c r="F295" s="374"/>
      <c r="G295" s="375">
        <f t="shared" si="16"/>
        <v>0</v>
      </c>
      <c r="N295" s="285"/>
      <c r="P295" s="285"/>
      <c r="R295" s="285"/>
    </row>
    <row r="296" spans="1:18">
      <c r="A296" s="307"/>
      <c r="B296" s="993" t="s">
        <v>2072</v>
      </c>
      <c r="C296" s="994"/>
      <c r="D296" s="995"/>
      <c r="E296" s="276"/>
      <c r="F296" s="374"/>
      <c r="G296" s="375">
        <f t="shared" si="16"/>
        <v>0</v>
      </c>
      <c r="N296" s="285"/>
      <c r="P296" s="285"/>
      <c r="R296" s="285"/>
    </row>
    <row r="297" spans="1:18">
      <c r="A297" s="307"/>
      <c r="B297" s="993" t="s">
        <v>2093</v>
      </c>
      <c r="C297" s="994"/>
      <c r="D297" s="995"/>
      <c r="E297" s="276"/>
      <c r="F297" s="374"/>
      <c r="G297" s="375">
        <f t="shared" si="16"/>
        <v>0</v>
      </c>
      <c r="N297" s="285"/>
      <c r="P297" s="285"/>
      <c r="R297" s="285"/>
    </row>
    <row r="298" spans="1:18">
      <c r="A298" s="307">
        <v>4.4000000000000004</v>
      </c>
      <c r="B298" s="975" t="s">
        <v>2032</v>
      </c>
      <c r="C298" s="976"/>
      <c r="D298" s="977"/>
      <c r="E298" s="324">
        <v>600</v>
      </c>
      <c r="F298" s="324">
        <f>E298*(F292+F294+F295+F296+F297)*F293</f>
        <v>0</v>
      </c>
      <c r="G298" s="375">
        <f t="shared" si="16"/>
        <v>0</v>
      </c>
      <c r="I298" s="338"/>
      <c r="J298" s="338"/>
      <c r="N298" s="285"/>
      <c r="P298" s="285"/>
      <c r="R298" s="285"/>
    </row>
    <row r="299" spans="1:18">
      <c r="A299" s="307">
        <v>4.4000000000000004</v>
      </c>
      <c r="B299" s="975" t="s">
        <v>1946</v>
      </c>
      <c r="C299" s="976"/>
      <c r="D299" s="977"/>
      <c r="E299" s="324">
        <v>1500</v>
      </c>
      <c r="F299" s="324">
        <f>E299*(F292+F294+F295+F296+F297)*F293</f>
        <v>0</v>
      </c>
      <c r="G299" s="375">
        <f t="shared" si="16"/>
        <v>0</v>
      </c>
      <c r="I299" s="338"/>
      <c r="J299" s="338"/>
      <c r="N299" s="285"/>
      <c r="P299" s="285"/>
      <c r="R299" s="285"/>
    </row>
    <row r="300" spans="1:18">
      <c r="A300" s="307">
        <v>4.4000000000000004</v>
      </c>
      <c r="B300" s="975" t="s">
        <v>2094</v>
      </c>
      <c r="C300" s="976"/>
      <c r="D300" s="977"/>
      <c r="E300" s="324">
        <v>600</v>
      </c>
      <c r="F300" s="324">
        <f>E300*F292*F293</f>
        <v>0</v>
      </c>
      <c r="G300" s="375">
        <f t="shared" si="16"/>
        <v>0</v>
      </c>
      <c r="I300" s="338"/>
      <c r="J300" s="338"/>
      <c r="N300" s="285"/>
      <c r="P300" s="285"/>
      <c r="R300" s="285"/>
    </row>
    <row r="301" spans="1:18">
      <c r="A301" s="307">
        <v>4.3</v>
      </c>
      <c r="B301" s="975" t="s">
        <v>2061</v>
      </c>
      <c r="C301" s="976"/>
      <c r="D301" s="977"/>
      <c r="E301" s="324">
        <v>1200</v>
      </c>
      <c r="F301" s="324">
        <f>E301*F295*F293</f>
        <v>0</v>
      </c>
      <c r="G301" s="375">
        <f t="shared" si="16"/>
        <v>0</v>
      </c>
      <c r="I301" s="338"/>
      <c r="J301" s="338"/>
      <c r="N301" s="285"/>
      <c r="P301" s="285"/>
      <c r="R301" s="285"/>
    </row>
    <row r="302" spans="1:18">
      <c r="A302" s="307">
        <v>4.3</v>
      </c>
      <c r="B302" s="975" t="s">
        <v>2060</v>
      </c>
      <c r="C302" s="976"/>
      <c r="D302" s="977"/>
      <c r="E302" s="324">
        <v>1500</v>
      </c>
      <c r="F302" s="324">
        <f>E302*F294*F293</f>
        <v>0</v>
      </c>
      <c r="G302" s="375">
        <f t="shared" si="16"/>
        <v>0</v>
      </c>
      <c r="I302" s="338"/>
      <c r="J302" s="338"/>
      <c r="N302" s="285"/>
      <c r="P302" s="285"/>
      <c r="R302" s="285"/>
    </row>
    <row r="303" spans="1:18">
      <c r="A303" s="307">
        <v>4.3</v>
      </c>
      <c r="B303" s="975" t="s">
        <v>2062</v>
      </c>
      <c r="C303" s="976"/>
      <c r="D303" s="977"/>
      <c r="E303" s="324">
        <v>4800</v>
      </c>
      <c r="F303" s="324">
        <f>E303*F293*F294</f>
        <v>0</v>
      </c>
      <c r="G303" s="375">
        <f t="shared" si="16"/>
        <v>0</v>
      </c>
      <c r="I303" s="338"/>
      <c r="J303" s="338"/>
      <c r="N303" s="285"/>
      <c r="P303" s="285"/>
      <c r="R303" s="285"/>
    </row>
    <row r="304" spans="1:18">
      <c r="A304" s="307">
        <v>4.3</v>
      </c>
      <c r="B304" s="975" t="s">
        <v>2063</v>
      </c>
      <c r="C304" s="976"/>
      <c r="D304" s="977"/>
      <c r="E304" s="324">
        <v>1800</v>
      </c>
      <c r="F304" s="324">
        <f>E304*F293*F295</f>
        <v>0</v>
      </c>
      <c r="G304" s="375">
        <f t="shared" si="16"/>
        <v>0</v>
      </c>
      <c r="I304" s="338"/>
      <c r="J304" s="338"/>
      <c r="N304" s="285"/>
      <c r="P304" s="285"/>
      <c r="R304" s="285"/>
    </row>
    <row r="305" spans="1:18">
      <c r="A305" s="307">
        <v>4.3</v>
      </c>
      <c r="B305" s="975" t="s">
        <v>2064</v>
      </c>
      <c r="C305" s="976"/>
      <c r="D305" s="977"/>
      <c r="E305" s="324">
        <v>10000</v>
      </c>
      <c r="F305" s="324">
        <f>E305*F296*(F293+1+1)</f>
        <v>0</v>
      </c>
      <c r="G305" s="375">
        <f t="shared" si="16"/>
        <v>0</v>
      </c>
      <c r="I305" s="338"/>
      <c r="J305" s="338"/>
      <c r="N305" s="285"/>
      <c r="P305" s="285"/>
      <c r="R305" s="285"/>
    </row>
    <row r="306" spans="1:18">
      <c r="A306" s="307">
        <v>4.3</v>
      </c>
      <c r="B306" s="354" t="s">
        <v>2066</v>
      </c>
      <c r="C306" s="355"/>
      <c r="D306" s="356"/>
      <c r="E306" s="324">
        <v>3500</v>
      </c>
      <c r="F306" s="340">
        <f>E306*(F293+1+1)*F296</f>
        <v>0</v>
      </c>
      <c r="G306" s="375">
        <f t="shared" si="16"/>
        <v>0</v>
      </c>
      <c r="H306" s="376"/>
      <c r="I306" s="296"/>
      <c r="J306" s="296"/>
      <c r="L306" s="285"/>
      <c r="M306" s="289"/>
      <c r="N306" s="285"/>
      <c r="P306" s="285"/>
      <c r="R306" s="285"/>
    </row>
    <row r="307" spans="1:18">
      <c r="A307" s="307">
        <v>4.3</v>
      </c>
      <c r="B307" s="975" t="s">
        <v>2095</v>
      </c>
      <c r="C307" s="976"/>
      <c r="D307" s="977"/>
      <c r="E307" s="324">
        <v>12000</v>
      </c>
      <c r="F307" s="324">
        <f>E307*F296*(F293+1+1)</f>
        <v>0</v>
      </c>
      <c r="G307" s="375">
        <f t="shared" si="16"/>
        <v>0</v>
      </c>
      <c r="I307" s="338"/>
      <c r="J307" s="338"/>
      <c r="N307" s="285"/>
      <c r="P307" s="285"/>
      <c r="R307" s="285"/>
    </row>
    <row r="308" spans="1:18" ht="12" thickBot="1">
      <c r="A308" s="307">
        <v>4.4000000000000004</v>
      </c>
      <c r="B308" s="975" t="s">
        <v>2067</v>
      </c>
      <c r="C308" s="976"/>
      <c r="D308" s="977"/>
      <c r="E308" s="331">
        <v>50</v>
      </c>
      <c r="F308" s="324">
        <f>E308*F292</f>
        <v>0</v>
      </c>
      <c r="G308" s="375">
        <f t="shared" si="16"/>
        <v>0</v>
      </c>
      <c r="I308" s="338"/>
      <c r="J308" s="338"/>
      <c r="N308" s="285"/>
      <c r="P308" s="285"/>
      <c r="R308" s="285"/>
    </row>
    <row r="309" spans="1:18" ht="12" thickBot="1">
      <c r="A309" s="307"/>
      <c r="B309" s="987" t="s">
        <v>2015</v>
      </c>
      <c r="C309" s="988"/>
      <c r="D309" s="988"/>
      <c r="E309" s="989"/>
      <c r="F309" s="332">
        <f>SUM(F298:F308)</f>
        <v>0</v>
      </c>
      <c r="G309" s="377">
        <f>SUM(G298:G308)</f>
        <v>0</v>
      </c>
      <c r="H309" s="304"/>
      <c r="L309" s="285"/>
      <c r="M309" s="289"/>
      <c r="N309" s="285"/>
      <c r="P309" s="285"/>
      <c r="R309" s="285"/>
    </row>
    <row r="310" spans="1:18">
      <c r="G310" s="289"/>
      <c r="H310" s="285"/>
      <c r="I310" s="289"/>
      <c r="J310" s="289"/>
      <c r="L310" s="285"/>
      <c r="M310" s="289"/>
      <c r="N310" s="285"/>
      <c r="P310" s="285"/>
      <c r="R310" s="285"/>
    </row>
    <row r="311" spans="1:18">
      <c r="A311" s="292">
        <v>17</v>
      </c>
      <c r="B311" s="999" t="s">
        <v>2096</v>
      </c>
      <c r="C311" s="1000"/>
      <c r="D311" s="1001"/>
      <c r="E311" s="290" t="s">
        <v>1938</v>
      </c>
      <c r="F311" s="290" t="str">
        <f>F291</f>
        <v>KADUNA</v>
      </c>
      <c r="G311" s="394" t="s">
        <v>227</v>
      </c>
      <c r="H311" s="285"/>
      <c r="I311" s="289"/>
      <c r="J311" s="289"/>
      <c r="L311" s="285"/>
      <c r="M311" s="289"/>
      <c r="N311" s="285"/>
      <c r="P311" s="285"/>
      <c r="R311" s="285"/>
    </row>
    <row r="312" spans="1:18">
      <c r="A312" s="307"/>
      <c r="B312" s="975" t="s">
        <v>2097</v>
      </c>
      <c r="C312" s="976"/>
      <c r="D312" s="977"/>
      <c r="E312" s="276"/>
      <c r="F312" s="374"/>
      <c r="G312" s="375">
        <f>SUM(F312:F312)</f>
        <v>0</v>
      </c>
      <c r="H312" s="285"/>
      <c r="I312" s="289"/>
      <c r="J312" s="289"/>
      <c r="L312" s="285"/>
      <c r="M312" s="289"/>
      <c r="N312" s="285"/>
      <c r="P312" s="285"/>
      <c r="R312" s="285"/>
    </row>
    <row r="313" spans="1:18">
      <c r="A313" s="307"/>
      <c r="B313" s="975" t="s">
        <v>1941</v>
      </c>
      <c r="C313" s="976"/>
      <c r="D313" s="977"/>
      <c r="E313" s="276"/>
      <c r="F313" s="276"/>
      <c r="G313" s="375">
        <v>1</v>
      </c>
      <c r="H313" s="285"/>
      <c r="I313" s="289"/>
      <c r="J313" s="289"/>
      <c r="L313" s="285"/>
      <c r="M313" s="289"/>
      <c r="N313" s="285"/>
      <c r="P313" s="285"/>
      <c r="R313" s="285"/>
    </row>
    <row r="314" spans="1:18">
      <c r="A314" s="307"/>
      <c r="B314" s="993" t="s">
        <v>2098</v>
      </c>
      <c r="C314" s="994"/>
      <c r="D314" s="995"/>
      <c r="E314" s="276"/>
      <c r="F314" s="374"/>
      <c r="G314" s="375">
        <f t="shared" ref="G314:G322" si="17">SUM(F314:F314)</f>
        <v>0</v>
      </c>
      <c r="H314" s="285"/>
      <c r="I314" s="289"/>
      <c r="J314" s="289"/>
      <c r="L314" s="285"/>
      <c r="M314" s="289"/>
      <c r="N314" s="285"/>
      <c r="P314" s="285"/>
      <c r="R314" s="285"/>
    </row>
    <row r="315" spans="1:18">
      <c r="A315" s="307"/>
      <c r="B315" s="993" t="s">
        <v>2099</v>
      </c>
      <c r="C315" s="994"/>
      <c r="D315" s="995"/>
      <c r="E315" s="276"/>
      <c r="F315" s="374"/>
      <c r="G315" s="375">
        <f t="shared" si="17"/>
        <v>0</v>
      </c>
      <c r="H315" s="285"/>
      <c r="I315" s="289"/>
      <c r="J315" s="289"/>
      <c r="L315" s="285"/>
      <c r="M315" s="289"/>
      <c r="N315" s="285"/>
      <c r="P315" s="285"/>
      <c r="R315" s="285"/>
    </row>
    <row r="316" spans="1:18">
      <c r="A316" s="307"/>
      <c r="B316" s="993" t="s">
        <v>2100</v>
      </c>
      <c r="C316" s="994"/>
      <c r="D316" s="995"/>
      <c r="E316" s="276"/>
      <c r="F316" s="374"/>
      <c r="G316" s="375">
        <f t="shared" si="17"/>
        <v>0</v>
      </c>
      <c r="H316" s="285"/>
      <c r="I316" s="289"/>
      <c r="J316" s="289"/>
      <c r="L316" s="285"/>
      <c r="M316" s="289"/>
      <c r="N316" s="285"/>
      <c r="P316" s="285"/>
      <c r="R316" s="285"/>
    </row>
    <row r="317" spans="1:18">
      <c r="A317" s="307">
        <v>4.4000000000000004</v>
      </c>
      <c r="B317" s="975" t="s">
        <v>1946</v>
      </c>
      <c r="C317" s="976"/>
      <c r="D317" s="977"/>
      <c r="E317" s="324">
        <v>1500</v>
      </c>
      <c r="F317" s="324">
        <f>E317*F313*(F312+F314+F315+F316)</f>
        <v>0</v>
      </c>
      <c r="G317" s="375">
        <f t="shared" si="17"/>
        <v>0</v>
      </c>
      <c r="H317" s="285"/>
      <c r="I317" s="289"/>
      <c r="J317" s="289"/>
      <c r="L317" s="285"/>
      <c r="M317" s="289"/>
      <c r="N317" s="285"/>
      <c r="P317" s="285"/>
      <c r="R317" s="285"/>
    </row>
    <row r="318" spans="1:18">
      <c r="A318" s="307">
        <v>4.4000000000000004</v>
      </c>
      <c r="B318" s="975" t="s">
        <v>2101</v>
      </c>
      <c r="C318" s="976"/>
      <c r="D318" s="977"/>
      <c r="E318" s="324">
        <v>600</v>
      </c>
      <c r="F318" s="324">
        <f>E318*F312*F313</f>
        <v>0</v>
      </c>
      <c r="G318" s="375">
        <f t="shared" si="17"/>
        <v>0</v>
      </c>
      <c r="H318" s="285"/>
      <c r="I318" s="289"/>
      <c r="J318" s="289"/>
      <c r="L318" s="285"/>
      <c r="M318" s="289"/>
      <c r="N318" s="285"/>
      <c r="P318" s="285"/>
      <c r="R318" s="285"/>
    </row>
    <row r="319" spans="1:18">
      <c r="A319" s="307">
        <v>4.3</v>
      </c>
      <c r="B319" s="975" t="s">
        <v>2049</v>
      </c>
      <c r="C319" s="976"/>
      <c r="D319" s="977"/>
      <c r="E319" s="324">
        <v>1500</v>
      </c>
      <c r="F319" s="324">
        <f>E319*(F314)*F313</f>
        <v>0</v>
      </c>
      <c r="G319" s="375">
        <f t="shared" si="17"/>
        <v>0</v>
      </c>
      <c r="H319" s="285"/>
      <c r="I319" s="289"/>
      <c r="J319" s="289"/>
      <c r="L319" s="285"/>
      <c r="M319" s="289"/>
      <c r="N319" s="285"/>
      <c r="P319" s="285"/>
      <c r="R319" s="285"/>
    </row>
    <row r="320" spans="1:18">
      <c r="A320" s="307">
        <v>4.3</v>
      </c>
      <c r="B320" s="975" t="s">
        <v>2035</v>
      </c>
      <c r="C320" s="976"/>
      <c r="D320" s="977"/>
      <c r="E320" s="324">
        <v>3500</v>
      </c>
      <c r="F320" s="324">
        <f>E320*F313*F314</f>
        <v>0</v>
      </c>
      <c r="G320" s="375">
        <f t="shared" si="17"/>
        <v>0</v>
      </c>
      <c r="H320" s="285"/>
      <c r="I320" s="289"/>
      <c r="J320" s="289"/>
      <c r="L320" s="285"/>
      <c r="M320" s="289"/>
      <c r="N320" s="285"/>
      <c r="P320" s="285"/>
      <c r="R320" s="285"/>
    </row>
    <row r="321" spans="1:18">
      <c r="A321" s="307">
        <v>4.3</v>
      </c>
      <c r="B321" s="975" t="s">
        <v>2102</v>
      </c>
      <c r="C321" s="976"/>
      <c r="D321" s="977"/>
      <c r="E321" s="324">
        <v>4800</v>
      </c>
      <c r="F321" s="324">
        <f>E321*F313*F315</f>
        <v>0</v>
      </c>
      <c r="G321" s="375">
        <f t="shared" si="17"/>
        <v>0</v>
      </c>
      <c r="H321" s="285"/>
      <c r="I321" s="289"/>
      <c r="J321" s="289"/>
      <c r="L321" s="285"/>
      <c r="M321" s="289"/>
      <c r="N321" s="285"/>
      <c r="P321" s="285"/>
      <c r="R321" s="285"/>
    </row>
    <row r="322" spans="1:18" ht="12" thickBot="1">
      <c r="A322" s="307">
        <v>4.3</v>
      </c>
      <c r="B322" s="975" t="s">
        <v>2103</v>
      </c>
      <c r="C322" s="976"/>
      <c r="D322" s="977"/>
      <c r="E322" s="324">
        <v>6000</v>
      </c>
      <c r="F322" s="324">
        <f>E322*F313*F314</f>
        <v>0</v>
      </c>
      <c r="G322" s="375">
        <f t="shared" si="17"/>
        <v>0</v>
      </c>
      <c r="H322" s="285"/>
      <c r="I322" s="289"/>
      <c r="J322" s="289"/>
      <c r="L322" s="285"/>
      <c r="M322" s="289"/>
      <c r="N322" s="285"/>
      <c r="P322" s="285"/>
      <c r="R322" s="285"/>
    </row>
    <row r="323" spans="1:18" ht="12" thickBot="1">
      <c r="A323" s="307"/>
      <c r="B323" s="987" t="s">
        <v>2015</v>
      </c>
      <c r="C323" s="988"/>
      <c r="D323" s="988"/>
      <c r="E323" s="989"/>
      <c r="F323" s="332">
        <f>SUM(F317:F322)</f>
        <v>0</v>
      </c>
      <c r="G323" s="377">
        <f>SUM(G317:G322)</f>
        <v>0</v>
      </c>
      <c r="H323" s="285"/>
      <c r="I323" s="289"/>
      <c r="J323" s="289"/>
      <c r="L323" s="285"/>
      <c r="M323" s="289"/>
      <c r="N323" s="285"/>
      <c r="P323" s="285"/>
      <c r="R323" s="285"/>
    </row>
    <row r="324" spans="1:18">
      <c r="G324" s="289"/>
      <c r="H324" s="285"/>
      <c r="I324" s="289"/>
      <c r="J324" s="289"/>
      <c r="L324" s="285"/>
      <c r="M324" s="289"/>
      <c r="N324" s="285"/>
      <c r="P324" s="285"/>
      <c r="R324" s="285"/>
    </row>
    <row r="325" spans="1:18">
      <c r="A325" s="292">
        <v>15</v>
      </c>
      <c r="B325" s="999" t="s">
        <v>2104</v>
      </c>
      <c r="C325" s="1000"/>
      <c r="D325" s="1001"/>
      <c r="E325" s="290" t="s">
        <v>1938</v>
      </c>
      <c r="F325" s="290" t="str">
        <f>F291</f>
        <v>KADUNA</v>
      </c>
      <c r="G325" s="394" t="str">
        <f>+G291</f>
        <v xml:space="preserve">Total </v>
      </c>
      <c r="H325" s="368"/>
      <c r="L325" s="285"/>
      <c r="M325" s="289"/>
      <c r="N325" s="285"/>
      <c r="P325" s="285"/>
      <c r="R325" s="285"/>
    </row>
    <row r="326" spans="1:18">
      <c r="A326" s="307"/>
      <c r="B326" s="975" t="s">
        <v>2105</v>
      </c>
      <c r="C326" s="976"/>
      <c r="D326" s="977"/>
      <c r="E326" s="276"/>
      <c r="F326" s="374">
        <f>C21</f>
        <v>2269</v>
      </c>
      <c r="G326" s="375">
        <f>SUM(F326:F326)</f>
        <v>2269</v>
      </c>
      <c r="H326" s="384"/>
      <c r="L326" s="285"/>
      <c r="M326" s="289"/>
      <c r="N326" s="285"/>
      <c r="P326" s="285"/>
      <c r="R326" s="285"/>
    </row>
    <row r="327" spans="1:18">
      <c r="A327" s="307"/>
      <c r="B327" s="975" t="s">
        <v>1941</v>
      </c>
      <c r="C327" s="976"/>
      <c r="D327" s="977"/>
      <c r="E327" s="276"/>
      <c r="F327" s="276">
        <v>1</v>
      </c>
      <c r="G327" s="375">
        <v>1</v>
      </c>
      <c r="L327" s="285"/>
      <c r="M327" s="289"/>
      <c r="N327" s="285"/>
      <c r="P327" s="285"/>
      <c r="R327" s="285"/>
    </row>
    <row r="328" spans="1:18">
      <c r="A328" s="307"/>
      <c r="B328" s="993" t="s">
        <v>2106</v>
      </c>
      <c r="C328" s="994"/>
      <c r="D328" s="995"/>
      <c r="E328" s="276"/>
      <c r="F328" s="374">
        <f>C33</f>
        <v>792</v>
      </c>
      <c r="G328" s="375">
        <f t="shared" ref="G328:G333" si="18">SUM(F328:F328)</f>
        <v>792</v>
      </c>
      <c r="L328" s="285"/>
      <c r="M328" s="289"/>
      <c r="N328" s="285"/>
      <c r="P328" s="285"/>
      <c r="R328" s="285"/>
    </row>
    <row r="329" spans="1:18">
      <c r="A329" s="307"/>
      <c r="B329" s="993" t="s">
        <v>2107</v>
      </c>
      <c r="C329" s="994"/>
      <c r="D329" s="995"/>
      <c r="E329" s="276"/>
      <c r="F329" s="374">
        <f>C14+C16+C32</f>
        <v>138</v>
      </c>
      <c r="G329" s="375">
        <f t="shared" si="18"/>
        <v>138</v>
      </c>
      <c r="L329" s="285"/>
      <c r="M329" s="289"/>
      <c r="N329" s="285"/>
      <c r="P329" s="285"/>
      <c r="R329" s="285"/>
    </row>
    <row r="330" spans="1:18">
      <c r="A330" s="307">
        <v>4.4000000000000004</v>
      </c>
      <c r="B330" s="975" t="s">
        <v>1946</v>
      </c>
      <c r="C330" s="976"/>
      <c r="D330" s="977"/>
      <c r="E330" s="324">
        <v>1500</v>
      </c>
      <c r="F330" s="324">
        <f>E330*(F326+F328+F329)*F327</f>
        <v>4798500</v>
      </c>
      <c r="G330" s="375">
        <f t="shared" si="18"/>
        <v>4798500</v>
      </c>
      <c r="L330" s="285"/>
      <c r="M330" s="289"/>
      <c r="N330" s="285"/>
      <c r="P330" s="285"/>
      <c r="R330" s="285"/>
    </row>
    <row r="331" spans="1:18">
      <c r="A331" s="307">
        <v>4.4000000000000004</v>
      </c>
      <c r="B331" s="975" t="s">
        <v>1951</v>
      </c>
      <c r="C331" s="976"/>
      <c r="D331" s="977"/>
      <c r="E331" s="324">
        <v>600</v>
      </c>
      <c r="F331" s="324">
        <f>E331*F326*F327</f>
        <v>1361400</v>
      </c>
      <c r="G331" s="375">
        <f t="shared" si="18"/>
        <v>1361400</v>
      </c>
      <c r="L331" s="285"/>
      <c r="M331" s="289"/>
      <c r="N331" s="285"/>
      <c r="P331" s="285"/>
      <c r="R331" s="285"/>
    </row>
    <row r="332" spans="1:18">
      <c r="A332" s="307">
        <v>4.3</v>
      </c>
      <c r="B332" s="975" t="s">
        <v>2108</v>
      </c>
      <c r="C332" s="976"/>
      <c r="D332" s="977"/>
      <c r="E332" s="324">
        <v>1200</v>
      </c>
      <c r="F332" s="324">
        <f>E332*(F328)*F327</f>
        <v>950400</v>
      </c>
      <c r="G332" s="375">
        <f t="shared" si="18"/>
        <v>950400</v>
      </c>
      <c r="L332" s="285"/>
      <c r="M332" s="289"/>
      <c r="N332" s="285"/>
      <c r="P332" s="285"/>
      <c r="R332" s="285"/>
    </row>
    <row r="333" spans="1:18" ht="12" thickBot="1">
      <c r="A333" s="307">
        <v>4.3</v>
      </c>
      <c r="B333" s="975" t="s">
        <v>2109</v>
      </c>
      <c r="C333" s="976"/>
      <c r="D333" s="977"/>
      <c r="E333" s="324">
        <v>1800</v>
      </c>
      <c r="F333" s="324">
        <f>E333*F328*F327</f>
        <v>1425600</v>
      </c>
      <c r="G333" s="375">
        <f t="shared" si="18"/>
        <v>1425600</v>
      </c>
      <c r="L333" s="285"/>
      <c r="M333" s="289"/>
      <c r="N333" s="285"/>
      <c r="P333" s="285"/>
      <c r="R333" s="285"/>
    </row>
    <row r="334" spans="1:18" ht="12" thickBot="1">
      <c r="A334" s="307"/>
      <c r="B334" s="987" t="s">
        <v>2015</v>
      </c>
      <c r="C334" s="988"/>
      <c r="D334" s="988"/>
      <c r="E334" s="989"/>
      <c r="F334" s="332">
        <f>SUM(F330:F333)</f>
        <v>8535900</v>
      </c>
      <c r="G334" s="377">
        <f>SUM(G330:G333)</f>
        <v>8535900</v>
      </c>
      <c r="H334" s="304"/>
      <c r="L334" s="285"/>
      <c r="M334" s="289"/>
      <c r="N334" s="285"/>
      <c r="P334" s="285"/>
      <c r="R334" s="285"/>
    </row>
    <row r="335" spans="1:18">
      <c r="G335" s="289"/>
      <c r="H335" s="285"/>
      <c r="I335" s="289"/>
      <c r="J335" s="289"/>
      <c r="L335" s="285"/>
      <c r="M335" s="289"/>
      <c r="N335" s="285"/>
      <c r="P335" s="285"/>
      <c r="R335" s="285"/>
    </row>
    <row r="336" spans="1:18" s="370" customFormat="1" ht="12" thickBot="1">
      <c r="A336" s="292">
        <v>16</v>
      </c>
      <c r="B336" s="351" t="s">
        <v>2110</v>
      </c>
      <c r="C336" s="369"/>
      <c r="D336" s="369"/>
      <c r="E336" s="369"/>
      <c r="F336" s="369"/>
      <c r="G336" s="369"/>
      <c r="H336" s="369"/>
      <c r="I336" s="369"/>
      <c r="J336" s="369"/>
      <c r="K336" s="289"/>
      <c r="L336" s="376"/>
    </row>
    <row r="337" spans="1:18" s="370" customFormat="1" ht="15.75" customHeight="1" thickBot="1">
      <c r="A337" s="1002" t="s">
        <v>2111</v>
      </c>
      <c r="B337" s="1000"/>
      <c r="C337" s="1001"/>
      <c r="D337" s="396"/>
      <c r="E337" s="290" t="s">
        <v>10</v>
      </c>
      <c r="F337" s="1003" t="str">
        <f>F325</f>
        <v>KADUNA</v>
      </c>
      <c r="G337" s="1004"/>
      <c r="H337" s="397" t="str">
        <f>G222</f>
        <v xml:space="preserve">Total </v>
      </c>
      <c r="I337" s="398"/>
      <c r="J337" s="398"/>
      <c r="K337" s="289"/>
      <c r="L337" s="376"/>
    </row>
    <row r="338" spans="1:18" s="370" customFormat="1" ht="12" thickBot="1">
      <c r="A338" s="369"/>
      <c r="B338" s="399" t="s">
        <v>2112</v>
      </c>
      <c r="C338" s="400"/>
      <c r="D338" s="401"/>
      <c r="E338" s="402"/>
      <c r="F338" s="403" t="s">
        <v>148</v>
      </c>
      <c r="G338" s="404" t="s">
        <v>2113</v>
      </c>
      <c r="H338" s="405"/>
      <c r="I338" s="369"/>
      <c r="J338" s="369"/>
      <c r="K338" s="289"/>
      <c r="L338" s="376"/>
    </row>
    <row r="339" spans="1:18" s="370" customFormat="1">
      <c r="A339" s="351">
        <v>3.1</v>
      </c>
      <c r="B339" s="406" t="s">
        <v>2114</v>
      </c>
      <c r="C339" s="400"/>
      <c r="D339" s="401"/>
      <c r="E339" s="407">
        <f>50*1.05</f>
        <v>52.5</v>
      </c>
      <c r="F339" s="408">
        <f>'[4] Micro quantification'!AM29</f>
        <v>793.5</v>
      </c>
      <c r="G339" s="409">
        <f>E339*F339</f>
        <v>41658.75</v>
      </c>
      <c r="H339" s="410">
        <f>+SUM(G339)</f>
        <v>41658.75</v>
      </c>
      <c r="I339" s="411"/>
      <c r="J339" s="411"/>
    </row>
    <row r="340" spans="1:18" s="370" customFormat="1">
      <c r="A340" s="351">
        <v>3.1</v>
      </c>
      <c r="B340" s="406" t="s">
        <v>2115</v>
      </c>
      <c r="C340" s="400"/>
      <c r="D340" s="401"/>
      <c r="E340" s="407">
        <f>50*1.05</f>
        <v>52.5</v>
      </c>
      <c r="F340" s="408">
        <f>'[4] Micro quantification'!AN29</f>
        <v>17017.5</v>
      </c>
      <c r="G340" s="409">
        <f>E340*F340</f>
        <v>893418.75</v>
      </c>
      <c r="H340" s="410">
        <f>+SUM(G340)</f>
        <v>893418.75</v>
      </c>
      <c r="I340" s="411"/>
      <c r="J340" s="411"/>
      <c r="K340" s="289"/>
      <c r="L340" s="376"/>
    </row>
    <row r="341" spans="1:18" s="370" customFormat="1">
      <c r="A341" s="351">
        <v>3.1</v>
      </c>
      <c r="B341" s="406" t="s">
        <v>2116</v>
      </c>
      <c r="C341" s="400"/>
      <c r="D341" s="401"/>
      <c r="E341" s="407">
        <f>200*1.05</f>
        <v>210</v>
      </c>
      <c r="F341" s="408">
        <f>'[4] Micro quantification'!AL29</f>
        <v>517.5</v>
      </c>
      <c r="G341" s="409">
        <f>E341*F341</f>
        <v>108675</v>
      </c>
      <c r="H341" s="410">
        <f>+SUM(G341)</f>
        <v>108675</v>
      </c>
      <c r="I341" s="411"/>
      <c r="J341" s="411"/>
      <c r="K341" s="289"/>
      <c r="L341" s="376"/>
    </row>
    <row r="342" spans="1:18" s="370" customFormat="1">
      <c r="A342" s="351">
        <v>3.1</v>
      </c>
      <c r="B342" s="406" t="s">
        <v>2117</v>
      </c>
      <c r="C342" s="400"/>
      <c r="D342" s="401"/>
      <c r="E342" s="412">
        <f>30*1.05</f>
        <v>31.5</v>
      </c>
      <c r="F342" s="408">
        <f>'[4] Micro quantification'!AO29</f>
        <v>15315.75</v>
      </c>
      <c r="G342" s="409">
        <f>E342*F342</f>
        <v>482446.125</v>
      </c>
      <c r="H342" s="410">
        <f>+SUM(G342)</f>
        <v>482446.125</v>
      </c>
      <c r="I342" s="411"/>
      <c r="J342" s="411"/>
      <c r="K342" s="289"/>
      <c r="L342" s="376"/>
    </row>
    <row r="343" spans="1:18" s="370" customFormat="1">
      <c r="A343" s="351"/>
      <c r="B343" s="413" t="s">
        <v>2118</v>
      </c>
      <c r="C343" s="400"/>
      <c r="D343" s="401"/>
      <c r="E343" s="412"/>
      <c r="F343" s="414"/>
      <c r="G343" s="409"/>
      <c r="H343" s="410"/>
      <c r="I343" s="411"/>
      <c r="J343" s="411"/>
      <c r="K343" s="289"/>
      <c r="L343" s="376"/>
    </row>
    <row r="344" spans="1:18" s="370" customFormat="1">
      <c r="A344" s="351">
        <v>5.0999999999999996</v>
      </c>
      <c r="B344" s="406" t="s">
        <v>2119</v>
      </c>
      <c r="C344" s="369"/>
      <c r="D344" s="415"/>
      <c r="E344" s="407">
        <f>1500*1.05</f>
        <v>1575</v>
      </c>
      <c r="F344" s="416">
        <f>'[4] Micro quantification'!AX29</f>
        <v>4166</v>
      </c>
      <c r="G344" s="417">
        <f t="shared" ref="G344:G351" si="19">E344*F344</f>
        <v>6561450</v>
      </c>
      <c r="H344" s="410">
        <f t="shared" ref="H344:H351" si="20">+SUM(G344)</f>
        <v>6561450</v>
      </c>
      <c r="I344" s="411"/>
      <c r="J344" s="364"/>
      <c r="K344" s="289"/>
      <c r="L344" s="376"/>
    </row>
    <row r="345" spans="1:18">
      <c r="A345" s="351">
        <v>5.0999999999999996</v>
      </c>
      <c r="B345" s="406" t="s">
        <v>2120</v>
      </c>
      <c r="C345" s="400"/>
      <c r="D345" s="401"/>
      <c r="E345" s="407">
        <f>600*1.05</f>
        <v>630</v>
      </c>
      <c r="F345" s="414">
        <f>F344</f>
        <v>4166</v>
      </c>
      <c r="G345" s="417">
        <f t="shared" si="19"/>
        <v>2624580</v>
      </c>
      <c r="H345" s="410">
        <f t="shared" si="20"/>
        <v>2624580</v>
      </c>
      <c r="I345" s="411"/>
      <c r="J345" s="411"/>
      <c r="L345" s="285"/>
      <c r="M345" s="289"/>
      <c r="N345" s="285"/>
      <c r="P345" s="285"/>
      <c r="R345" s="285"/>
    </row>
    <row r="346" spans="1:18">
      <c r="A346" s="351">
        <v>5.0999999999999996</v>
      </c>
      <c r="B346" s="406" t="s">
        <v>2121</v>
      </c>
      <c r="C346" s="369"/>
      <c r="D346" s="415"/>
      <c r="E346" s="407">
        <f>950*1.05</f>
        <v>997.5</v>
      </c>
      <c r="F346" s="414">
        <f>'[4] Micro quantification'!AY29</f>
        <v>10892.699999999999</v>
      </c>
      <c r="G346" s="417">
        <f t="shared" si="19"/>
        <v>10865468.249999998</v>
      </c>
      <c r="H346" s="410">
        <f t="shared" si="20"/>
        <v>10865468.249999998</v>
      </c>
      <c r="I346" s="411"/>
      <c r="J346" s="289"/>
      <c r="N346" s="285"/>
      <c r="P346" s="285"/>
      <c r="R346" s="285"/>
    </row>
    <row r="347" spans="1:18">
      <c r="A347" s="351">
        <v>5.0999999999999996</v>
      </c>
      <c r="B347" s="418" t="s">
        <v>2122</v>
      </c>
      <c r="C347" s="419"/>
      <c r="D347" s="419"/>
      <c r="E347" s="407"/>
      <c r="F347" s="414"/>
      <c r="G347" s="417">
        <f t="shared" si="19"/>
        <v>0</v>
      </c>
      <c r="H347" s="410">
        <f t="shared" si="20"/>
        <v>0</v>
      </c>
      <c r="I347" s="411"/>
      <c r="J347" s="411"/>
      <c r="N347" s="285"/>
      <c r="P347" s="285"/>
      <c r="R347" s="285"/>
    </row>
    <row r="348" spans="1:18">
      <c r="A348" s="351">
        <v>5.0999999999999996</v>
      </c>
      <c r="B348" s="406" t="s">
        <v>2123</v>
      </c>
      <c r="C348" s="400"/>
      <c r="D348" s="401"/>
      <c r="E348" s="407">
        <f>1000*1.05</f>
        <v>1050</v>
      </c>
      <c r="F348" s="414">
        <f>C3+1</f>
        <v>24</v>
      </c>
      <c r="G348" s="417">
        <f t="shared" si="19"/>
        <v>25200</v>
      </c>
      <c r="H348" s="410">
        <f t="shared" si="20"/>
        <v>25200</v>
      </c>
      <c r="I348" s="411"/>
      <c r="J348" s="411"/>
      <c r="N348" s="285"/>
      <c r="P348" s="285"/>
      <c r="R348" s="285"/>
    </row>
    <row r="349" spans="1:18">
      <c r="A349" s="351">
        <v>5.0999999999999996</v>
      </c>
      <c r="B349" s="406" t="s">
        <v>2124</v>
      </c>
      <c r="C349" s="400"/>
      <c r="D349" s="401"/>
      <c r="E349" s="407">
        <f>10000*1.05</f>
        <v>10500</v>
      </c>
      <c r="F349" s="414">
        <f>F348</f>
        <v>24</v>
      </c>
      <c r="G349" s="417">
        <f t="shared" si="19"/>
        <v>252000</v>
      </c>
      <c r="H349" s="410">
        <f t="shared" si="20"/>
        <v>252000</v>
      </c>
      <c r="I349" s="411"/>
      <c r="J349" s="411"/>
      <c r="N349" s="285"/>
      <c r="P349" s="285"/>
      <c r="R349" s="285"/>
    </row>
    <row r="350" spans="1:18" ht="15.75" customHeight="1">
      <c r="A350" s="351">
        <v>5.0999999999999996</v>
      </c>
      <c r="B350" s="406" t="s">
        <v>2125</v>
      </c>
      <c r="C350" s="400"/>
      <c r="D350" s="401"/>
      <c r="E350" s="407">
        <f>500*1.05</f>
        <v>525</v>
      </c>
      <c r="F350" s="414">
        <f>F349</f>
        <v>24</v>
      </c>
      <c r="G350" s="417">
        <f t="shared" si="19"/>
        <v>12600</v>
      </c>
      <c r="H350" s="410">
        <f t="shared" si="20"/>
        <v>12600</v>
      </c>
      <c r="I350" s="411"/>
      <c r="J350" s="411"/>
      <c r="N350" s="285"/>
      <c r="P350" s="285"/>
      <c r="R350" s="285"/>
    </row>
    <row r="351" spans="1:18">
      <c r="A351" s="351">
        <v>5.0999999999999996</v>
      </c>
      <c r="B351" s="418" t="s">
        <v>2126</v>
      </c>
      <c r="C351" s="419"/>
      <c r="D351" s="419"/>
      <c r="E351" s="407">
        <f>179133*2*1.05</f>
        <v>376179.3</v>
      </c>
      <c r="F351" s="414">
        <v>1</v>
      </c>
      <c r="G351" s="417">
        <f t="shared" si="19"/>
        <v>376179.3</v>
      </c>
      <c r="H351" s="410">
        <f t="shared" si="20"/>
        <v>376179.3</v>
      </c>
      <c r="I351" s="420"/>
      <c r="J351" s="420"/>
      <c r="N351" s="285"/>
      <c r="P351" s="285"/>
      <c r="R351" s="285"/>
    </row>
    <row r="352" spans="1:18" ht="15.75" customHeight="1">
      <c r="A352" s="351"/>
      <c r="B352" s="413" t="s">
        <v>2127</v>
      </c>
      <c r="C352" s="400"/>
      <c r="D352" s="401"/>
      <c r="E352" s="407"/>
      <c r="F352" s="414"/>
      <c r="G352" s="409"/>
      <c r="H352" s="410"/>
      <c r="I352" s="411"/>
      <c r="J352" s="411"/>
      <c r="N352" s="285"/>
      <c r="P352" s="285"/>
      <c r="R352" s="285"/>
    </row>
    <row r="353" spans="1:18" s="370" customFormat="1">
      <c r="A353" s="351">
        <v>6.1</v>
      </c>
      <c r="B353" s="418" t="s">
        <v>2128</v>
      </c>
      <c r="C353" s="369"/>
      <c r="D353" s="415"/>
      <c r="E353" s="421">
        <v>0</v>
      </c>
      <c r="F353" s="414"/>
      <c r="G353" s="409">
        <f>E353*F353</f>
        <v>0</v>
      </c>
      <c r="H353" s="410">
        <f>G353</f>
        <v>0</v>
      </c>
      <c r="I353" s="422"/>
      <c r="J353" s="422"/>
      <c r="K353" s="289"/>
      <c r="L353" s="376"/>
    </row>
    <row r="354" spans="1:18" s="370" customFormat="1">
      <c r="A354" s="351">
        <v>6.1</v>
      </c>
      <c r="B354" s="418" t="s">
        <v>2129</v>
      </c>
      <c r="C354" s="400"/>
      <c r="D354" s="401"/>
      <c r="E354" s="421">
        <f>E353</f>
        <v>0</v>
      </c>
      <c r="F354" s="414"/>
      <c r="G354" s="409">
        <f>E354*F354</f>
        <v>0</v>
      </c>
      <c r="H354" s="410">
        <f>G354</f>
        <v>0</v>
      </c>
      <c r="I354" s="422"/>
      <c r="J354" s="422"/>
      <c r="K354" s="289"/>
      <c r="L354" s="376"/>
    </row>
    <row r="355" spans="1:18" ht="15.75" customHeight="1">
      <c r="A355" s="351">
        <v>6.1</v>
      </c>
      <c r="B355" s="406" t="s">
        <v>2130</v>
      </c>
      <c r="C355" s="400"/>
      <c r="D355" s="401"/>
      <c r="E355" s="407">
        <f>50*1.05</f>
        <v>52.5</v>
      </c>
      <c r="F355" s="414">
        <f>'[4] Micro quantification'!W29</f>
        <v>5218.6999999999989</v>
      </c>
      <c r="G355" s="409">
        <f>E355*F355</f>
        <v>273981.74999999994</v>
      </c>
      <c r="H355" s="410">
        <f>+SUM(G355)</f>
        <v>273981.74999999994</v>
      </c>
      <c r="I355" s="411"/>
      <c r="J355" s="411"/>
      <c r="N355" s="285"/>
      <c r="P355" s="285"/>
      <c r="R355" s="285"/>
    </row>
    <row r="356" spans="1:18">
      <c r="A356" s="351">
        <v>4.4000000000000004</v>
      </c>
      <c r="B356" s="406" t="s">
        <v>2131</v>
      </c>
      <c r="C356" s="400"/>
      <c r="D356" s="401"/>
      <c r="E356" s="407">
        <f>2000*1.05</f>
        <v>2100</v>
      </c>
      <c r="F356" s="414">
        <v>148.5</v>
      </c>
      <c r="G356" s="409">
        <f t="shared" ref="G356:G378" si="21">E356*F356</f>
        <v>311850</v>
      </c>
      <c r="H356" s="410">
        <f t="shared" ref="H356:H378" si="22">+SUM(G356)</f>
        <v>311850</v>
      </c>
      <c r="I356" s="411"/>
      <c r="J356" s="411"/>
      <c r="N356" s="285"/>
      <c r="P356" s="285"/>
      <c r="R356" s="285"/>
    </row>
    <row r="357" spans="1:18">
      <c r="A357" s="351">
        <v>6.1</v>
      </c>
      <c r="B357" s="407" t="s">
        <v>2132</v>
      </c>
      <c r="C357" s="423"/>
      <c r="D357" s="423"/>
      <c r="E357" s="407">
        <f>15*1.05</f>
        <v>15.75</v>
      </c>
      <c r="F357" s="414">
        <v>211.6</v>
      </c>
      <c r="G357" s="409">
        <f t="shared" si="21"/>
        <v>3332.7</v>
      </c>
      <c r="H357" s="410">
        <f t="shared" si="22"/>
        <v>3332.7</v>
      </c>
      <c r="I357" s="411"/>
      <c r="J357" s="411"/>
      <c r="N357" s="285"/>
      <c r="P357" s="285"/>
      <c r="R357" s="285"/>
    </row>
    <row r="358" spans="1:18">
      <c r="A358" s="351">
        <v>6.1</v>
      </c>
      <c r="B358" s="407" t="s">
        <v>2133</v>
      </c>
      <c r="C358" s="423"/>
      <c r="D358" s="423"/>
      <c r="E358" s="407">
        <f>15*1.05</f>
        <v>15.75</v>
      </c>
      <c r="F358" s="414">
        <v>1980.3</v>
      </c>
      <c r="G358" s="409">
        <f t="shared" si="21"/>
        <v>31189.724999999999</v>
      </c>
      <c r="H358" s="410">
        <f t="shared" si="22"/>
        <v>31189.724999999999</v>
      </c>
      <c r="I358" s="411"/>
      <c r="J358" s="411"/>
      <c r="N358" s="285"/>
      <c r="P358" s="285"/>
      <c r="R358" s="285"/>
    </row>
    <row r="359" spans="1:18">
      <c r="A359" s="351">
        <v>6.1</v>
      </c>
      <c r="B359" s="407" t="s">
        <v>2134</v>
      </c>
      <c r="C359" s="423"/>
      <c r="D359" s="423"/>
      <c r="E359" s="407">
        <f>15*1.05</f>
        <v>15.75</v>
      </c>
      <c r="F359" s="414">
        <v>5377.4</v>
      </c>
      <c r="G359" s="409">
        <f t="shared" si="21"/>
        <v>84694.049999999988</v>
      </c>
      <c r="H359" s="410">
        <f t="shared" si="22"/>
        <v>84694.049999999988</v>
      </c>
      <c r="I359" s="411"/>
      <c r="J359" s="411"/>
      <c r="N359" s="285"/>
      <c r="P359" s="285"/>
      <c r="R359" s="285"/>
    </row>
    <row r="360" spans="1:18">
      <c r="A360" s="351">
        <v>6.1</v>
      </c>
      <c r="B360" s="406" t="s">
        <v>2135</v>
      </c>
      <c r="C360" s="400"/>
      <c r="D360" s="401"/>
      <c r="E360" s="407"/>
      <c r="F360" s="414"/>
      <c r="G360" s="409">
        <f t="shared" si="21"/>
        <v>0</v>
      </c>
      <c r="H360" s="410">
        <f t="shared" si="22"/>
        <v>0</v>
      </c>
      <c r="I360" s="1005"/>
      <c r="J360" s="424"/>
      <c r="N360" s="285"/>
      <c r="P360" s="285"/>
      <c r="R360" s="285"/>
    </row>
    <row r="361" spans="1:18">
      <c r="A361" s="351">
        <v>6.1</v>
      </c>
      <c r="B361" s="406" t="s">
        <v>2136</v>
      </c>
      <c r="C361" s="400"/>
      <c r="D361" s="401"/>
      <c r="E361" s="407"/>
      <c r="F361" s="414"/>
      <c r="G361" s="409">
        <f t="shared" si="21"/>
        <v>0</v>
      </c>
      <c r="H361" s="410">
        <f t="shared" si="22"/>
        <v>0</v>
      </c>
      <c r="I361" s="1005"/>
      <c r="J361" s="424"/>
      <c r="N361" s="285"/>
      <c r="P361" s="285"/>
      <c r="R361" s="285"/>
    </row>
    <row r="362" spans="1:18">
      <c r="A362" s="351">
        <v>6.1</v>
      </c>
      <c r="B362" s="406" t="s">
        <v>2137</v>
      </c>
      <c r="C362" s="400"/>
      <c r="D362" s="401"/>
      <c r="E362" s="407">
        <f>15*1.05</f>
        <v>15.75</v>
      </c>
      <c r="F362" s="414">
        <f>'[4] Micro quantification'!AF29</f>
        <v>9189.4500000000007</v>
      </c>
      <c r="G362" s="409">
        <f t="shared" si="21"/>
        <v>144733.83750000002</v>
      </c>
      <c r="H362" s="410">
        <f t="shared" si="22"/>
        <v>144733.83750000002</v>
      </c>
      <c r="I362" s="411"/>
      <c r="J362" s="411"/>
      <c r="N362" s="285"/>
      <c r="P362" s="285"/>
      <c r="R362" s="285"/>
    </row>
    <row r="363" spans="1:18">
      <c r="A363" s="351">
        <v>6.1</v>
      </c>
      <c r="B363" s="406" t="s">
        <v>2138</v>
      </c>
      <c r="C363" s="400"/>
      <c r="D363" s="401"/>
      <c r="E363" s="407">
        <f>15*1.05</f>
        <v>15.75</v>
      </c>
      <c r="F363" s="414">
        <f>'[4] Micro quantification'!AG29</f>
        <v>5346</v>
      </c>
      <c r="G363" s="409">
        <f t="shared" si="21"/>
        <v>84199.5</v>
      </c>
      <c r="H363" s="410">
        <f t="shared" si="22"/>
        <v>84199.5</v>
      </c>
      <c r="I363" s="411"/>
      <c r="J363" s="411"/>
      <c r="L363" s="285"/>
      <c r="M363" s="289"/>
      <c r="N363" s="285"/>
      <c r="O363" s="289"/>
      <c r="P363" s="285"/>
      <c r="Q363" s="289"/>
      <c r="R363" s="285"/>
    </row>
    <row r="364" spans="1:18">
      <c r="A364" s="351">
        <v>6.1</v>
      </c>
      <c r="B364" s="406" t="s">
        <v>2139</v>
      </c>
      <c r="C364" s="419"/>
      <c r="D364" s="419"/>
      <c r="E364" s="407">
        <f>30*1.05</f>
        <v>31.5</v>
      </c>
      <c r="F364" s="414">
        <f>'[4] Micro quantification'!AE29</f>
        <v>98115.190000000017</v>
      </c>
      <c r="G364" s="409">
        <f t="shared" si="21"/>
        <v>3090628.4850000003</v>
      </c>
      <c r="H364" s="410">
        <f t="shared" si="22"/>
        <v>3090628.4850000003</v>
      </c>
      <c r="I364" s="411"/>
      <c r="J364" s="411"/>
      <c r="N364" s="285"/>
      <c r="P364" s="285"/>
      <c r="R364" s="285"/>
    </row>
    <row r="365" spans="1:18">
      <c r="A365" s="351">
        <v>6.1</v>
      </c>
      <c r="B365" s="406" t="s">
        <v>2140</v>
      </c>
      <c r="C365" s="419"/>
      <c r="D365" s="419"/>
      <c r="E365" s="407">
        <f>400*1.05</f>
        <v>420</v>
      </c>
      <c r="F365" s="414">
        <f>'[4] Micro quantification'!AP29</f>
        <v>9076</v>
      </c>
      <c r="G365" s="409">
        <f t="shared" si="21"/>
        <v>3811920</v>
      </c>
      <c r="H365" s="410">
        <f t="shared" si="22"/>
        <v>3811920</v>
      </c>
      <c r="I365" s="411"/>
      <c r="J365" s="411"/>
      <c r="N365" s="285"/>
      <c r="P365" s="285"/>
      <c r="R365" s="285"/>
    </row>
    <row r="366" spans="1:18">
      <c r="A366" s="351">
        <v>6.1</v>
      </c>
      <c r="B366" s="406" t="s">
        <v>2141</v>
      </c>
      <c r="C366" s="419"/>
      <c r="D366" s="419"/>
      <c r="E366" s="407">
        <f>60*1.05</f>
        <v>63</v>
      </c>
      <c r="F366" s="414">
        <f>'[4] Micro quantification'!AQ29</f>
        <v>7750.9800000000014</v>
      </c>
      <c r="G366" s="409">
        <f t="shared" si="21"/>
        <v>488311.74000000011</v>
      </c>
      <c r="H366" s="410">
        <f t="shared" si="22"/>
        <v>488311.74000000011</v>
      </c>
      <c r="I366" s="411"/>
      <c r="J366" s="364"/>
      <c r="N366" s="285"/>
      <c r="P366" s="285"/>
      <c r="R366" s="285"/>
    </row>
    <row r="367" spans="1:18">
      <c r="A367" s="351">
        <v>7.1</v>
      </c>
      <c r="B367" s="406" t="s">
        <v>2142</v>
      </c>
      <c r="C367" s="400"/>
      <c r="D367" s="401"/>
      <c r="E367" s="407">
        <f>E339*3</f>
        <v>157.5</v>
      </c>
      <c r="F367" s="414">
        <f>'[4] Micro quantification'!AV29</f>
        <v>2292</v>
      </c>
      <c r="G367" s="409">
        <f t="shared" si="21"/>
        <v>360990</v>
      </c>
      <c r="H367" s="410">
        <f t="shared" si="22"/>
        <v>360990</v>
      </c>
      <c r="I367" s="411"/>
      <c r="J367" s="411"/>
      <c r="N367" s="285"/>
      <c r="P367" s="285"/>
      <c r="R367" s="285"/>
    </row>
    <row r="368" spans="1:18" ht="15" customHeight="1">
      <c r="A368" s="351">
        <v>7.1</v>
      </c>
      <c r="B368" s="406" t="s">
        <v>2143</v>
      </c>
      <c r="C368" s="419"/>
      <c r="D368" s="407"/>
      <c r="E368" s="425">
        <f>(20*5)*1.05</f>
        <v>105</v>
      </c>
      <c r="F368" s="426">
        <f>'[4] Micro quantification'!AA29</f>
        <v>5218.6999999999989</v>
      </c>
      <c r="G368" s="409">
        <f t="shared" si="21"/>
        <v>547963.49999999988</v>
      </c>
      <c r="H368" s="410">
        <f t="shared" si="22"/>
        <v>547963.49999999988</v>
      </c>
      <c r="I368" s="411"/>
      <c r="J368" s="411"/>
      <c r="N368" s="285"/>
      <c r="P368" s="285"/>
      <c r="R368" s="285"/>
    </row>
    <row r="369" spans="1:18">
      <c r="A369" s="351">
        <v>7.1</v>
      </c>
      <c r="B369" s="406" t="s">
        <v>2144</v>
      </c>
      <c r="C369" s="419"/>
      <c r="D369" s="407"/>
      <c r="E369" s="425">
        <f>(20*3)*1.05</f>
        <v>63</v>
      </c>
      <c r="F369" s="426">
        <f>'[4] Micro quantification'!Z29</f>
        <v>2609.3499999999995</v>
      </c>
      <c r="G369" s="409">
        <f t="shared" si="21"/>
        <v>164389.04999999996</v>
      </c>
      <c r="H369" s="410">
        <f t="shared" si="22"/>
        <v>164389.04999999996</v>
      </c>
      <c r="I369" s="411"/>
      <c r="J369" s="411"/>
      <c r="N369" s="285"/>
      <c r="P369" s="285"/>
      <c r="R369" s="285"/>
    </row>
    <row r="370" spans="1:18">
      <c r="A370" s="351">
        <v>7.1</v>
      </c>
      <c r="B370" s="406" t="s">
        <v>2145</v>
      </c>
      <c r="C370" s="419"/>
      <c r="D370" s="407"/>
      <c r="E370" s="425">
        <f>15*1.05</f>
        <v>15.75</v>
      </c>
      <c r="F370" s="426">
        <f>'[4] Micro quantification'!Y29</f>
        <v>9983.600000000004</v>
      </c>
      <c r="G370" s="409">
        <f t="shared" si="21"/>
        <v>157241.70000000007</v>
      </c>
      <c r="H370" s="410">
        <f t="shared" si="22"/>
        <v>157241.70000000007</v>
      </c>
      <c r="I370" s="411"/>
      <c r="J370" s="411"/>
      <c r="N370" s="285"/>
      <c r="P370" s="285"/>
      <c r="R370" s="285"/>
    </row>
    <row r="371" spans="1:18">
      <c r="A371" s="351">
        <v>7.1</v>
      </c>
      <c r="B371" s="406" t="s">
        <v>2146</v>
      </c>
      <c r="C371" s="419"/>
      <c r="D371" s="407"/>
      <c r="E371" s="425">
        <f>(20*5)*1.05</f>
        <v>105</v>
      </c>
      <c r="F371" s="426">
        <f>'[4] Micro quantification'!AK29</f>
        <v>62.10000000000003</v>
      </c>
      <c r="G371" s="409">
        <f t="shared" si="21"/>
        <v>6520.5000000000027</v>
      </c>
      <c r="H371" s="410">
        <f t="shared" si="22"/>
        <v>6520.5000000000027</v>
      </c>
      <c r="I371" s="411"/>
      <c r="J371" s="364"/>
      <c r="N371" s="285"/>
      <c r="P371" s="285"/>
      <c r="R371" s="285"/>
    </row>
    <row r="372" spans="1:18">
      <c r="A372" s="351">
        <v>7.1</v>
      </c>
      <c r="B372" s="406" t="s">
        <v>2147</v>
      </c>
      <c r="C372" s="419"/>
      <c r="D372" s="407"/>
      <c r="E372" s="425">
        <f>(20*5)*1.05</f>
        <v>105</v>
      </c>
      <c r="F372" s="426">
        <f>'[4] Micro quantification'!AB29</f>
        <v>871.2</v>
      </c>
      <c r="G372" s="409">
        <f t="shared" si="21"/>
        <v>91476</v>
      </c>
      <c r="H372" s="410">
        <f t="shared" si="22"/>
        <v>91476</v>
      </c>
      <c r="I372" s="411"/>
      <c r="J372" s="411"/>
      <c r="N372" s="285"/>
      <c r="P372" s="285"/>
      <c r="R372" s="285"/>
    </row>
    <row r="373" spans="1:18">
      <c r="A373" s="351">
        <v>7.1</v>
      </c>
      <c r="B373" s="427" t="s">
        <v>2148</v>
      </c>
      <c r="C373" s="419"/>
      <c r="D373" s="407"/>
      <c r="E373" s="425">
        <f>(20*5)*1.05</f>
        <v>105</v>
      </c>
      <c r="F373" s="426">
        <f>'[4] Micro quantification'!AC29</f>
        <v>126.5</v>
      </c>
      <c r="G373" s="409">
        <f t="shared" si="21"/>
        <v>13282.5</v>
      </c>
      <c r="H373" s="410">
        <f t="shared" si="22"/>
        <v>13282.5</v>
      </c>
      <c r="I373" s="411"/>
      <c r="J373" s="364"/>
      <c r="N373" s="285"/>
      <c r="P373" s="285"/>
      <c r="R373" s="285"/>
    </row>
    <row r="374" spans="1:18">
      <c r="A374" s="351">
        <v>4.4000000000000004</v>
      </c>
      <c r="B374" s="428" t="s">
        <v>2149</v>
      </c>
      <c r="C374" s="419"/>
      <c r="D374" s="419"/>
      <c r="E374" s="407"/>
      <c r="F374" s="426"/>
      <c r="G374" s="409">
        <f t="shared" si="21"/>
        <v>0</v>
      </c>
      <c r="H374" s="410">
        <f t="shared" si="22"/>
        <v>0</v>
      </c>
      <c r="I374" s="411"/>
      <c r="J374" s="411"/>
      <c r="N374" s="285"/>
      <c r="P374" s="285"/>
      <c r="R374" s="285"/>
    </row>
    <row r="375" spans="1:18">
      <c r="A375" s="351">
        <v>4.0999999999999996</v>
      </c>
      <c r="B375" s="429" t="s">
        <v>2150</v>
      </c>
      <c r="C375" s="419"/>
      <c r="D375" s="419"/>
      <c r="E375" s="407">
        <f>2000*1.05</f>
        <v>2100</v>
      </c>
      <c r="F375" s="414">
        <f>'[4] Micro quantification'!AR29</f>
        <v>167.244</v>
      </c>
      <c r="G375" s="409">
        <f t="shared" si="21"/>
        <v>351212.4</v>
      </c>
      <c r="H375" s="410">
        <f t="shared" si="22"/>
        <v>351212.4</v>
      </c>
      <c r="I375" s="411"/>
      <c r="J375" s="411"/>
      <c r="N375" s="285"/>
      <c r="P375" s="285"/>
      <c r="R375" s="285"/>
    </row>
    <row r="376" spans="1:18">
      <c r="A376" s="351">
        <v>7.1</v>
      </c>
      <c r="B376" s="429" t="s">
        <v>2151</v>
      </c>
      <c r="C376" s="419"/>
      <c r="D376" s="419"/>
      <c r="E376" s="407">
        <f>300*1.05</f>
        <v>315</v>
      </c>
      <c r="F376" s="414">
        <f>'[4] Micro quantification'!AS29</f>
        <v>2382.4499999999998</v>
      </c>
      <c r="G376" s="409">
        <f t="shared" si="21"/>
        <v>750471.75</v>
      </c>
      <c r="H376" s="410">
        <f t="shared" si="22"/>
        <v>750471.75</v>
      </c>
      <c r="I376" s="411"/>
      <c r="J376" s="411"/>
      <c r="N376" s="285"/>
      <c r="P376" s="285"/>
      <c r="R376" s="285"/>
    </row>
    <row r="377" spans="1:18">
      <c r="A377" s="351">
        <v>7.1</v>
      </c>
      <c r="B377" s="429" t="s">
        <v>2152</v>
      </c>
      <c r="C377" s="419"/>
      <c r="D377" s="407"/>
      <c r="E377" s="430">
        <f>100*1.05</f>
        <v>105</v>
      </c>
      <c r="F377" s="414">
        <f>'[4] Micro quantification'!AU29</f>
        <v>4538</v>
      </c>
      <c r="G377" s="409">
        <f t="shared" si="21"/>
        <v>476490</v>
      </c>
      <c r="H377" s="410">
        <f t="shared" si="22"/>
        <v>476490</v>
      </c>
      <c r="I377" s="411"/>
      <c r="J377" s="411"/>
      <c r="N377" s="285"/>
      <c r="P377" s="285"/>
      <c r="R377" s="285"/>
    </row>
    <row r="378" spans="1:18">
      <c r="A378" s="351">
        <v>7.1</v>
      </c>
      <c r="B378" s="431" t="s">
        <v>2153</v>
      </c>
      <c r="C378" s="419"/>
      <c r="D378" s="407"/>
      <c r="E378" s="430">
        <f>50*1.05</f>
        <v>52.5</v>
      </c>
      <c r="F378" s="414">
        <f>F412</f>
        <v>4407.8224</v>
      </c>
      <c r="G378" s="409">
        <f t="shared" si="21"/>
        <v>231410.67600000001</v>
      </c>
      <c r="H378" s="410">
        <f t="shared" si="22"/>
        <v>231410.67600000001</v>
      </c>
      <c r="I378" s="411"/>
      <c r="J378" s="411"/>
      <c r="N378" s="285"/>
      <c r="P378" s="285"/>
      <c r="R378" s="285"/>
    </row>
    <row r="379" spans="1:18">
      <c r="A379" s="351"/>
      <c r="B379" s="432" t="s">
        <v>2154</v>
      </c>
      <c r="C379" s="419"/>
      <c r="D379" s="419"/>
      <c r="E379" s="407"/>
      <c r="F379" s="414"/>
      <c r="G379" s="409"/>
      <c r="H379" s="410"/>
      <c r="I379" s="411"/>
      <c r="J379" s="411"/>
      <c r="N379" s="285"/>
      <c r="P379" s="285"/>
      <c r="R379" s="285"/>
    </row>
    <row r="380" spans="1:18" ht="15.75" customHeight="1">
      <c r="A380" s="351">
        <v>12.1</v>
      </c>
      <c r="B380" s="418" t="s">
        <v>2155</v>
      </c>
      <c r="C380" s="400"/>
      <c r="D380" s="401"/>
      <c r="E380" s="407">
        <v>0</v>
      </c>
      <c r="F380" s="414"/>
      <c r="G380" s="409">
        <f t="shared" ref="G380:G387" si="23">E380*F380</f>
        <v>0</v>
      </c>
      <c r="H380" s="410">
        <f t="shared" ref="H380:H391" si="24">+SUM(G380)</f>
        <v>0</v>
      </c>
      <c r="I380" s="411"/>
      <c r="J380" s="411"/>
      <c r="N380" s="285"/>
      <c r="P380" s="285"/>
      <c r="R380" s="285"/>
    </row>
    <row r="381" spans="1:18" ht="15.75" customHeight="1">
      <c r="A381" s="351">
        <v>12.1</v>
      </c>
      <c r="B381" s="418" t="s">
        <v>2156</v>
      </c>
      <c r="C381" s="400"/>
      <c r="D381" s="401"/>
      <c r="E381" s="407">
        <v>0</v>
      </c>
      <c r="F381" s="414"/>
      <c r="G381" s="409">
        <f t="shared" si="23"/>
        <v>0</v>
      </c>
      <c r="H381" s="410">
        <f t="shared" si="24"/>
        <v>0</v>
      </c>
      <c r="I381" s="433"/>
      <c r="J381" s="434"/>
      <c r="N381" s="285"/>
      <c r="P381" s="285"/>
      <c r="R381" s="285"/>
    </row>
    <row r="382" spans="1:18">
      <c r="A382" s="351">
        <v>12.4</v>
      </c>
      <c r="B382" s="418" t="s">
        <v>2157</v>
      </c>
      <c r="C382" s="400"/>
      <c r="D382" s="401"/>
      <c r="E382" s="407">
        <v>0</v>
      </c>
      <c r="F382" s="414"/>
      <c r="G382" s="409">
        <f t="shared" si="23"/>
        <v>0</v>
      </c>
      <c r="H382" s="410">
        <f t="shared" si="24"/>
        <v>0</v>
      </c>
      <c r="I382" s="411"/>
      <c r="J382" s="411"/>
      <c r="N382" s="285"/>
      <c r="P382" s="285"/>
      <c r="R382" s="285"/>
    </row>
    <row r="383" spans="1:18">
      <c r="A383" s="351">
        <v>12.1</v>
      </c>
      <c r="B383" s="418" t="s">
        <v>2158</v>
      </c>
      <c r="C383" s="400"/>
      <c r="D383" s="401"/>
      <c r="E383" s="407">
        <f>200*1.05</f>
        <v>210</v>
      </c>
      <c r="F383" s="414">
        <f>C36</f>
        <v>11880</v>
      </c>
      <c r="G383" s="409">
        <f t="shared" si="23"/>
        <v>2494800</v>
      </c>
      <c r="H383" s="410">
        <f t="shared" si="24"/>
        <v>2494800</v>
      </c>
      <c r="I383" s="433"/>
      <c r="J383" s="434"/>
      <c r="N383" s="285"/>
      <c r="P383" s="285"/>
      <c r="R383" s="285"/>
    </row>
    <row r="384" spans="1:18">
      <c r="A384" s="351">
        <v>12.1</v>
      </c>
      <c r="B384" s="418" t="s">
        <v>2159</v>
      </c>
      <c r="C384" s="400"/>
      <c r="D384" s="401"/>
      <c r="E384" s="407">
        <v>0</v>
      </c>
      <c r="F384" s="414"/>
      <c r="G384" s="409">
        <f t="shared" si="23"/>
        <v>0</v>
      </c>
      <c r="H384" s="410">
        <f t="shared" si="24"/>
        <v>0</v>
      </c>
      <c r="I384" s="411"/>
      <c r="J384" s="411"/>
      <c r="N384" s="285"/>
      <c r="P384" s="285"/>
      <c r="R384" s="285"/>
    </row>
    <row r="385" spans="1:18">
      <c r="A385" s="351">
        <v>12.1</v>
      </c>
      <c r="B385" s="418" t="s">
        <v>2160</v>
      </c>
      <c r="C385" s="419"/>
      <c r="D385" s="419"/>
      <c r="E385" s="407">
        <v>500</v>
      </c>
      <c r="F385" s="414">
        <v>660</v>
      </c>
      <c r="G385" s="409">
        <f t="shared" si="23"/>
        <v>330000</v>
      </c>
      <c r="H385" s="410">
        <f t="shared" si="24"/>
        <v>330000</v>
      </c>
      <c r="I385" s="411"/>
      <c r="J385" s="411"/>
      <c r="N385" s="285"/>
      <c r="P385" s="285"/>
      <c r="R385" s="285"/>
    </row>
    <row r="386" spans="1:18">
      <c r="A386" s="351">
        <v>12.1</v>
      </c>
      <c r="B386" s="418" t="s">
        <v>2161</v>
      </c>
      <c r="C386" s="419"/>
      <c r="D386" s="419"/>
      <c r="E386" s="407">
        <v>1000</v>
      </c>
      <c r="F386" s="414">
        <v>660</v>
      </c>
      <c r="G386" s="409">
        <f t="shared" si="23"/>
        <v>660000</v>
      </c>
      <c r="H386" s="410">
        <f t="shared" si="24"/>
        <v>660000</v>
      </c>
      <c r="I386" s="411"/>
      <c r="J386" s="411"/>
      <c r="N386" s="285"/>
      <c r="P386" s="285"/>
      <c r="R386" s="285"/>
    </row>
    <row r="387" spans="1:18">
      <c r="A387" s="351">
        <v>12.1</v>
      </c>
      <c r="B387" s="418" t="s">
        <v>2162</v>
      </c>
      <c r="C387" s="419"/>
      <c r="D387" s="419"/>
      <c r="E387" s="407">
        <v>100</v>
      </c>
      <c r="F387" s="414">
        <v>660</v>
      </c>
      <c r="G387" s="409">
        <f t="shared" si="23"/>
        <v>66000</v>
      </c>
      <c r="H387" s="410">
        <f t="shared" si="24"/>
        <v>66000</v>
      </c>
      <c r="I387" s="411"/>
      <c r="J387" s="411"/>
      <c r="N387" s="285"/>
      <c r="P387" s="285"/>
      <c r="R387" s="285"/>
    </row>
    <row r="388" spans="1:18">
      <c r="A388" s="351">
        <v>12.1</v>
      </c>
      <c r="B388" s="418" t="s">
        <v>2163</v>
      </c>
      <c r="C388" s="419"/>
      <c r="D388" s="419"/>
      <c r="E388" s="407">
        <v>0</v>
      </c>
      <c r="F388" s="435">
        <v>0</v>
      </c>
      <c r="G388" s="436">
        <v>0</v>
      </c>
      <c r="H388" s="410">
        <f t="shared" si="24"/>
        <v>0</v>
      </c>
      <c r="I388" s="411"/>
      <c r="J388" s="411"/>
      <c r="N388" s="285"/>
      <c r="P388" s="285"/>
      <c r="R388" s="285"/>
    </row>
    <row r="389" spans="1:18" ht="12" customHeight="1">
      <c r="A389" s="351">
        <v>12.1</v>
      </c>
      <c r="B389" s="418" t="s">
        <v>2164</v>
      </c>
      <c r="C389" s="437"/>
      <c r="D389" s="438"/>
      <c r="E389" s="407">
        <f>200*1.05</f>
        <v>210</v>
      </c>
      <c r="F389" s="439">
        <f>((C20/2)+(1*C9))/20*1.05</f>
        <v>238.245</v>
      </c>
      <c r="G389" s="409">
        <f>E389*F389</f>
        <v>50031.450000000004</v>
      </c>
      <c r="H389" s="410">
        <f t="shared" si="24"/>
        <v>50031.450000000004</v>
      </c>
      <c r="I389" s="440"/>
      <c r="J389" s="441"/>
      <c r="N389" s="285"/>
      <c r="P389" s="285"/>
      <c r="R389" s="285"/>
    </row>
    <row r="390" spans="1:18">
      <c r="A390" s="351">
        <v>12.4</v>
      </c>
      <c r="B390" s="418" t="s">
        <v>2165</v>
      </c>
      <c r="C390" s="437"/>
      <c r="D390" s="438"/>
      <c r="E390" s="407">
        <f>15*1.05</f>
        <v>15.75</v>
      </c>
      <c r="F390" s="439">
        <f>(C13+C14+C16+C19+C20+C22+C25+C26+C27+C28+C29+C30+C32+C33+C35)/20</f>
        <v>476.1</v>
      </c>
      <c r="G390" s="409">
        <f>E390*F390</f>
        <v>7498.5750000000007</v>
      </c>
      <c r="H390" s="410">
        <f t="shared" si="24"/>
        <v>7498.5750000000007</v>
      </c>
      <c r="I390" s="440"/>
      <c r="J390" s="441"/>
      <c r="N390" s="285"/>
      <c r="P390" s="285"/>
      <c r="R390" s="285"/>
    </row>
    <row r="391" spans="1:18">
      <c r="A391" s="307">
        <v>12.1</v>
      </c>
      <c r="B391" s="418" t="s">
        <v>2166</v>
      </c>
      <c r="C391" s="437"/>
      <c r="D391" s="438"/>
      <c r="E391" s="407">
        <f>15*1.05</f>
        <v>15.75</v>
      </c>
      <c r="F391" s="439">
        <f>C16+C20+C27+C29+C35+C22+C33+C10+((C16+C20+C27+C29+C35+C22+C33+C10) * 0.05)</f>
        <v>8247.75</v>
      </c>
      <c r="G391" s="409">
        <f>E391*F391</f>
        <v>129902.0625</v>
      </c>
      <c r="H391" s="410">
        <f t="shared" si="24"/>
        <v>129902.0625</v>
      </c>
      <c r="I391" s="442"/>
      <c r="J391" s="304"/>
      <c r="N391" s="285"/>
      <c r="P391" s="285"/>
      <c r="R391" s="285"/>
    </row>
    <row r="392" spans="1:18">
      <c r="A392" s="307"/>
      <c r="B392" s="413" t="s">
        <v>2167</v>
      </c>
      <c r="C392" s="437"/>
      <c r="D392" s="437"/>
      <c r="E392" s="407"/>
      <c r="F392" s="276"/>
      <c r="G392" s="409"/>
      <c r="H392" s="410"/>
      <c r="I392" s="411"/>
      <c r="J392" s="411"/>
      <c r="N392" s="285"/>
      <c r="P392" s="285"/>
      <c r="R392" s="285"/>
    </row>
    <row r="393" spans="1:18">
      <c r="A393" s="307">
        <v>8.1</v>
      </c>
      <c r="B393" s="406" t="s">
        <v>2168</v>
      </c>
      <c r="C393" s="437"/>
      <c r="D393" s="438"/>
      <c r="E393" s="407">
        <f>15*1.05</f>
        <v>15.75</v>
      </c>
      <c r="F393" s="443">
        <f>'[4] Micro quantification'!AH29</f>
        <v>19224</v>
      </c>
      <c r="G393" s="409">
        <f t="shared" ref="G393:G399" si="25">E393*F393</f>
        <v>302778</v>
      </c>
      <c r="H393" s="410">
        <f t="shared" ref="H393:H399" si="26">+SUM(G393)</f>
        <v>302778</v>
      </c>
      <c r="I393" s="411"/>
      <c r="J393" s="364"/>
      <c r="N393" s="285"/>
      <c r="P393" s="285"/>
      <c r="R393" s="285"/>
    </row>
    <row r="394" spans="1:18">
      <c r="A394" s="307">
        <v>8.1</v>
      </c>
      <c r="B394" s="406" t="s">
        <v>2169</v>
      </c>
      <c r="C394" s="444"/>
      <c r="D394" s="445"/>
      <c r="E394" s="407">
        <f>15*1.05</f>
        <v>15.75</v>
      </c>
      <c r="F394" s="443">
        <f>'[4] Micro quantification'!AI29</f>
        <v>16020</v>
      </c>
      <c r="G394" s="409">
        <f t="shared" si="25"/>
        <v>252315</v>
      </c>
      <c r="H394" s="410">
        <f t="shared" si="26"/>
        <v>252315</v>
      </c>
      <c r="I394" s="411"/>
      <c r="J394" s="364"/>
      <c r="N394" s="285"/>
      <c r="P394" s="285"/>
      <c r="R394" s="285"/>
    </row>
    <row r="395" spans="1:18">
      <c r="A395" s="307">
        <v>8.1</v>
      </c>
      <c r="B395" s="406" t="s">
        <v>2170</v>
      </c>
      <c r="C395" s="437"/>
      <c r="D395" s="438"/>
      <c r="E395" s="407">
        <f>15*1.05</f>
        <v>15.75</v>
      </c>
      <c r="F395" s="443">
        <f>'[4] Micro quantification'!AJ29</f>
        <v>7484.3999999999987</v>
      </c>
      <c r="G395" s="409">
        <f t="shared" si="25"/>
        <v>117879.29999999997</v>
      </c>
      <c r="H395" s="410">
        <f t="shared" si="26"/>
        <v>117879.29999999997</v>
      </c>
      <c r="I395" s="411"/>
      <c r="J395" s="364"/>
      <c r="N395" s="285"/>
      <c r="P395" s="285"/>
      <c r="R395" s="285"/>
    </row>
    <row r="396" spans="1:18">
      <c r="A396" s="307"/>
      <c r="B396" s="406" t="s">
        <v>2171</v>
      </c>
      <c r="C396" s="437"/>
      <c r="D396" s="438"/>
      <c r="E396" s="407"/>
      <c r="F396" s="439"/>
      <c r="G396" s="409">
        <f t="shared" si="25"/>
        <v>0</v>
      </c>
      <c r="H396" s="410">
        <f t="shared" si="26"/>
        <v>0</v>
      </c>
      <c r="N396" s="285"/>
      <c r="P396" s="285"/>
      <c r="R396" s="285"/>
    </row>
    <row r="397" spans="1:18" ht="15.75" customHeight="1">
      <c r="A397" s="307">
        <v>9.1</v>
      </c>
      <c r="B397" s="446" t="s">
        <v>2172</v>
      </c>
      <c r="C397" s="437"/>
      <c r="D397" s="438"/>
      <c r="E397" s="407"/>
      <c r="F397" s="439"/>
      <c r="G397" s="409">
        <f t="shared" si="25"/>
        <v>0</v>
      </c>
      <c r="H397" s="410">
        <f t="shared" si="26"/>
        <v>0</v>
      </c>
      <c r="I397" s="442"/>
      <c r="J397" s="304"/>
      <c r="N397" s="285"/>
      <c r="P397" s="285"/>
      <c r="R397" s="285"/>
    </row>
    <row r="398" spans="1:18">
      <c r="A398" s="307">
        <v>9.1</v>
      </c>
      <c r="B398" s="406" t="s">
        <v>2173</v>
      </c>
      <c r="C398" s="437"/>
      <c r="D398" s="438"/>
      <c r="E398" s="407"/>
      <c r="F398" s="439"/>
      <c r="G398" s="409">
        <f t="shared" si="25"/>
        <v>0</v>
      </c>
      <c r="H398" s="410">
        <f t="shared" si="26"/>
        <v>0</v>
      </c>
      <c r="I398" s="442"/>
      <c r="J398" s="304"/>
      <c r="N398" s="285"/>
      <c r="P398" s="285"/>
      <c r="R398" s="285"/>
    </row>
    <row r="399" spans="1:18">
      <c r="A399" s="307">
        <v>4.4000000000000004</v>
      </c>
      <c r="B399" s="446" t="s">
        <v>2174</v>
      </c>
      <c r="C399" s="437"/>
      <c r="D399" s="438"/>
      <c r="E399" s="407">
        <f>1500*1.05</f>
        <v>1575</v>
      </c>
      <c r="F399" s="439">
        <f>'[4] Micro quantification'!V29</f>
        <v>1311.45</v>
      </c>
      <c r="G399" s="409">
        <f t="shared" si="25"/>
        <v>2065533.75</v>
      </c>
      <c r="H399" s="410">
        <f t="shared" si="26"/>
        <v>2065533.75</v>
      </c>
      <c r="I399" s="411"/>
      <c r="J399" s="289"/>
      <c r="N399" s="285"/>
      <c r="P399" s="285"/>
      <c r="R399" s="285"/>
    </row>
    <row r="400" spans="1:18">
      <c r="A400" s="307"/>
      <c r="B400" s="413" t="s">
        <v>2175</v>
      </c>
      <c r="C400" s="437"/>
      <c r="D400" s="438"/>
      <c r="E400" s="407"/>
      <c r="F400" s="439"/>
      <c r="G400" s="409"/>
      <c r="H400" s="410"/>
      <c r="I400" s="364"/>
      <c r="J400" s="364"/>
      <c r="N400" s="285"/>
      <c r="P400" s="285"/>
      <c r="R400" s="285"/>
    </row>
    <row r="401" spans="1:18">
      <c r="A401" s="307">
        <v>10.1</v>
      </c>
      <c r="B401" s="446" t="s">
        <v>2176</v>
      </c>
      <c r="C401" s="437"/>
      <c r="D401" s="438"/>
      <c r="E401" s="407">
        <f>40000*1.05</f>
        <v>42000</v>
      </c>
      <c r="F401" s="439">
        <v>4</v>
      </c>
      <c r="G401" s="409">
        <f>E401*F401</f>
        <v>168000</v>
      </c>
      <c r="H401" s="410">
        <f>+SUM(G401)</f>
        <v>168000</v>
      </c>
      <c r="I401" s="364"/>
      <c r="J401" s="364"/>
      <c r="N401" s="285"/>
      <c r="P401" s="285"/>
      <c r="R401" s="285"/>
    </row>
    <row r="402" spans="1:18">
      <c r="A402" s="307">
        <v>1.5</v>
      </c>
      <c r="B402" s="406" t="s">
        <v>2177</v>
      </c>
      <c r="C402" s="437"/>
      <c r="D402" s="438"/>
      <c r="E402" s="407">
        <f>250000*1.05</f>
        <v>262500</v>
      </c>
      <c r="F402" s="276">
        <v>1</v>
      </c>
      <c r="G402" s="409">
        <f>E402*F402</f>
        <v>262500</v>
      </c>
      <c r="H402" s="410">
        <f>+SUM(G402)</f>
        <v>262500</v>
      </c>
      <c r="I402" s="411"/>
      <c r="J402" s="411"/>
      <c r="N402" s="285"/>
      <c r="P402" s="285"/>
      <c r="R402" s="285"/>
    </row>
    <row r="403" spans="1:18">
      <c r="A403" s="307">
        <v>3.1</v>
      </c>
      <c r="B403" s="406" t="s">
        <v>2178</v>
      </c>
      <c r="C403" s="437"/>
      <c r="D403" s="438"/>
      <c r="E403" s="407">
        <f>250000*1.05</f>
        <v>262500</v>
      </c>
      <c r="F403" s="276">
        <v>1</v>
      </c>
      <c r="G403" s="409">
        <f>E403*F403</f>
        <v>262500</v>
      </c>
      <c r="H403" s="410">
        <f>+SUM(G403)</f>
        <v>262500</v>
      </c>
      <c r="I403" s="411"/>
      <c r="J403" s="411"/>
      <c r="N403" s="285"/>
      <c r="P403" s="285"/>
      <c r="R403" s="285"/>
    </row>
    <row r="404" spans="1:18" ht="12" thickBot="1">
      <c r="A404" s="307">
        <v>3.1</v>
      </c>
      <c r="B404" s="406" t="s">
        <v>2179</v>
      </c>
      <c r="C404" s="437"/>
      <c r="D404" s="438"/>
      <c r="E404" s="407">
        <f>30000*1.05</f>
        <v>31500</v>
      </c>
      <c r="F404" s="447">
        <v>23</v>
      </c>
      <c r="G404" s="409">
        <f>E404*F404</f>
        <v>724500</v>
      </c>
      <c r="H404" s="410">
        <f>+SUM(G404)</f>
        <v>724500</v>
      </c>
      <c r="I404" s="411"/>
      <c r="J404" s="411"/>
      <c r="N404" s="285"/>
      <c r="P404" s="285"/>
      <c r="R404" s="285"/>
    </row>
    <row r="405" spans="1:18" ht="12" thickBot="1">
      <c r="A405" s="369"/>
      <c r="B405" s="987" t="s">
        <v>2015</v>
      </c>
      <c r="C405" s="988"/>
      <c r="D405" s="988"/>
      <c r="E405" s="988"/>
      <c r="F405" s="448"/>
      <c r="G405" s="449">
        <f>SUM(G339:G404)</f>
        <v>41614204.175999999</v>
      </c>
      <c r="H405" s="450">
        <f>SUM(H339:H404)</f>
        <v>41614204.175999999</v>
      </c>
      <c r="I405" s="376"/>
      <c r="J405" s="376"/>
      <c r="N405" s="285"/>
      <c r="P405" s="285"/>
      <c r="R405" s="285"/>
    </row>
    <row r="406" spans="1:18">
      <c r="A406" s="369"/>
      <c r="B406" s="369"/>
      <c r="C406" s="369"/>
      <c r="D406" s="369"/>
      <c r="E406" s="369"/>
      <c r="F406" s="369"/>
      <c r="G406" s="369"/>
      <c r="H406" s="369"/>
      <c r="I406" s="369"/>
      <c r="J406" s="369"/>
      <c r="N406" s="285"/>
      <c r="P406" s="285"/>
      <c r="R406" s="285"/>
    </row>
    <row r="407" spans="1:18">
      <c r="A407" s="292">
        <v>17</v>
      </c>
      <c r="B407" s="351" t="s">
        <v>2180</v>
      </c>
      <c r="C407" s="369"/>
      <c r="D407" s="369"/>
      <c r="E407" s="369"/>
      <c r="F407" s="369"/>
      <c r="G407" s="369"/>
      <c r="H407" s="369"/>
      <c r="I407" s="369"/>
      <c r="J407" s="369"/>
      <c r="N407" s="285"/>
      <c r="P407" s="285"/>
      <c r="R407" s="285"/>
    </row>
    <row r="408" spans="1:18" ht="12" thickBot="1">
      <c r="A408" s="1002" t="s">
        <v>2111</v>
      </c>
      <c r="B408" s="1000"/>
      <c r="C408" s="1001"/>
      <c r="D408" s="396"/>
      <c r="E408" s="290" t="s">
        <v>10</v>
      </c>
      <c r="F408" s="1008" t="str">
        <f>F337</f>
        <v>KADUNA</v>
      </c>
      <c r="G408" s="1009"/>
      <c r="H408" s="451" t="str">
        <f>H337</f>
        <v xml:space="preserve">Total </v>
      </c>
      <c r="I408" s="351"/>
      <c r="J408" s="351"/>
      <c r="N408" s="285"/>
      <c r="P408" s="285"/>
      <c r="R408" s="285"/>
    </row>
    <row r="409" spans="1:18">
      <c r="A409" s="452"/>
      <c r="B409" s="399" t="s">
        <v>2112</v>
      </c>
      <c r="C409" s="453"/>
      <c r="D409" s="454"/>
      <c r="E409" s="455"/>
      <c r="F409" s="456" t="s">
        <v>148</v>
      </c>
      <c r="G409" s="457" t="s">
        <v>2113</v>
      </c>
      <c r="H409" s="458">
        <f t="shared" ref="H409:H449" si="27">+SUM(G409)</f>
        <v>0</v>
      </c>
      <c r="I409" s="459"/>
      <c r="J409" s="351"/>
      <c r="N409" s="285"/>
      <c r="P409" s="285"/>
      <c r="R409" s="285"/>
    </row>
    <row r="410" spans="1:18">
      <c r="A410" s="460">
        <v>3.3</v>
      </c>
      <c r="B410" s="461" t="s">
        <v>2181</v>
      </c>
      <c r="C410" s="462"/>
      <c r="D410" s="463"/>
      <c r="E410" s="464">
        <v>50</v>
      </c>
      <c r="F410" s="465">
        <f>'[4] Micro quantification'!E30/50*10%</f>
        <v>11019.556</v>
      </c>
      <c r="G410" s="466">
        <f>E410*F410</f>
        <v>550977.80000000005</v>
      </c>
      <c r="H410" s="458">
        <f t="shared" si="27"/>
        <v>550977.80000000005</v>
      </c>
      <c r="I410" s="467"/>
      <c r="J410" s="468"/>
      <c r="N410" s="285"/>
      <c r="P410" s="285"/>
      <c r="R410" s="285"/>
    </row>
    <row r="411" spans="1:18">
      <c r="A411" s="460">
        <v>3.3</v>
      </c>
      <c r="B411" s="461" t="s">
        <v>2182</v>
      </c>
      <c r="C411" s="462"/>
      <c r="D411" s="463"/>
      <c r="E411" s="464">
        <v>50</v>
      </c>
      <c r="F411" s="469">
        <f>'[4] Micro quantification'!E30/50*15%</f>
        <v>16529.333999999999</v>
      </c>
      <c r="G411" s="466">
        <f t="shared" ref="G411:G450" si="28">E411*F411</f>
        <v>826466.7</v>
      </c>
      <c r="H411" s="458">
        <f t="shared" si="27"/>
        <v>826466.7</v>
      </c>
      <c r="I411" s="467"/>
      <c r="J411" s="468"/>
      <c r="L411" s="285"/>
      <c r="N411" s="285"/>
      <c r="P411" s="285"/>
      <c r="R411" s="285"/>
    </row>
    <row r="412" spans="1:18">
      <c r="A412" s="460">
        <v>3.2</v>
      </c>
      <c r="B412" s="470" t="s">
        <v>2183</v>
      </c>
      <c r="C412" s="462"/>
      <c r="D412" s="463"/>
      <c r="E412" s="464">
        <v>350</v>
      </c>
      <c r="F412" s="469">
        <f>(('[4] Micro quantification'!E30/50)*5%)*80%</f>
        <v>4407.8224</v>
      </c>
      <c r="G412" s="466">
        <f t="shared" si="28"/>
        <v>1542737.84</v>
      </c>
      <c r="H412" s="458">
        <f t="shared" si="27"/>
        <v>1542737.84</v>
      </c>
      <c r="I412" s="289"/>
      <c r="J412" s="289"/>
      <c r="L412" s="285"/>
      <c r="N412" s="285"/>
      <c r="P412" s="285"/>
      <c r="R412" s="285"/>
    </row>
    <row r="413" spans="1:18">
      <c r="A413" s="460">
        <v>3.2</v>
      </c>
      <c r="B413" s="470" t="s">
        <v>2184</v>
      </c>
      <c r="C413" s="462"/>
      <c r="D413" s="463"/>
      <c r="E413" s="464">
        <v>450</v>
      </c>
      <c r="F413" s="469">
        <f>(('[4] Micro quantification'!E30/50)*5%)*20%</f>
        <v>1101.9556</v>
      </c>
      <c r="G413" s="466">
        <f t="shared" si="28"/>
        <v>495880.02</v>
      </c>
      <c r="H413" s="458">
        <f t="shared" si="27"/>
        <v>495880.02</v>
      </c>
      <c r="I413" s="467"/>
      <c r="J413" s="468"/>
      <c r="L413" s="285"/>
      <c r="N413" s="285"/>
      <c r="P413" s="285"/>
      <c r="R413" s="285"/>
    </row>
    <row r="414" spans="1:18">
      <c r="A414" s="471"/>
      <c r="B414" s="472" t="s">
        <v>2118</v>
      </c>
      <c r="C414" s="473"/>
      <c r="D414" s="463"/>
      <c r="E414" s="474"/>
      <c r="F414" s="475"/>
      <c r="G414" s="466">
        <f t="shared" si="28"/>
        <v>0</v>
      </c>
      <c r="H414" s="458">
        <f t="shared" si="27"/>
        <v>0</v>
      </c>
      <c r="I414" s="459"/>
      <c r="J414" s="351"/>
      <c r="N414" s="285"/>
      <c r="P414" s="285"/>
      <c r="R414" s="285"/>
    </row>
    <row r="415" spans="1:18">
      <c r="A415" s="351">
        <v>5.0999999999999996</v>
      </c>
      <c r="B415" s="1010" t="s">
        <v>2185</v>
      </c>
      <c r="C415" s="1010"/>
      <c r="D415" s="1011"/>
      <c r="E415" s="414"/>
      <c r="F415" s="414"/>
      <c r="G415" s="478">
        <f t="shared" si="28"/>
        <v>0</v>
      </c>
      <c r="H415" s="458">
        <f t="shared" si="27"/>
        <v>0</v>
      </c>
      <c r="I415" s="479"/>
      <c r="J415" s="480"/>
      <c r="N415" s="285"/>
      <c r="P415" s="285"/>
      <c r="R415" s="285"/>
    </row>
    <row r="416" spans="1:18">
      <c r="A416" s="351">
        <v>5.0999999999999996</v>
      </c>
      <c r="B416" s="369" t="s">
        <v>2186</v>
      </c>
      <c r="C416" s="369"/>
      <c r="D416" s="415"/>
      <c r="E416" s="414"/>
      <c r="F416" s="414"/>
      <c r="G416" s="478">
        <f t="shared" si="28"/>
        <v>0</v>
      </c>
      <c r="H416" s="458">
        <f t="shared" si="27"/>
        <v>0</v>
      </c>
      <c r="I416" s="479"/>
      <c r="J416" s="480"/>
      <c r="N416" s="285"/>
      <c r="P416" s="285"/>
      <c r="R416" s="285"/>
    </row>
    <row r="417" spans="1:18">
      <c r="A417" s="351">
        <v>5.0999999999999996</v>
      </c>
      <c r="B417" s="400" t="s">
        <v>2187</v>
      </c>
      <c r="C417" s="400"/>
      <c r="D417" s="401"/>
      <c r="E417" s="414"/>
      <c r="F417" s="414"/>
      <c r="G417" s="478">
        <f t="shared" si="28"/>
        <v>0</v>
      </c>
      <c r="H417" s="458">
        <f t="shared" si="27"/>
        <v>0</v>
      </c>
      <c r="I417" s="479"/>
      <c r="J417" s="480"/>
      <c r="N417" s="285"/>
      <c r="P417" s="285"/>
      <c r="R417" s="285"/>
    </row>
    <row r="418" spans="1:18">
      <c r="A418" s="351">
        <v>5.0999999999999996</v>
      </c>
      <c r="B418" s="400" t="s">
        <v>2188</v>
      </c>
      <c r="C418" s="369"/>
      <c r="D418" s="415"/>
      <c r="E418" s="414">
        <v>1500000</v>
      </c>
      <c r="F418" s="414">
        <v>1</v>
      </c>
      <c r="G418" s="478">
        <f t="shared" si="28"/>
        <v>1500000</v>
      </c>
      <c r="H418" s="458">
        <f t="shared" si="27"/>
        <v>1500000</v>
      </c>
      <c r="I418" s="479"/>
      <c r="J418" s="480"/>
      <c r="N418" s="285"/>
      <c r="P418" s="285"/>
      <c r="R418" s="285"/>
    </row>
    <row r="419" spans="1:18">
      <c r="A419" s="351">
        <v>5.0999999999999996</v>
      </c>
      <c r="B419" s="400" t="s">
        <v>2189</v>
      </c>
      <c r="C419" s="400"/>
      <c r="D419" s="401"/>
      <c r="E419" s="414"/>
      <c r="F419" s="414"/>
      <c r="G419" s="478">
        <f t="shared" si="28"/>
        <v>0</v>
      </c>
      <c r="H419" s="458">
        <f t="shared" si="27"/>
        <v>0</v>
      </c>
      <c r="J419" s="479"/>
      <c r="N419" s="285"/>
      <c r="P419" s="285"/>
      <c r="R419" s="285"/>
    </row>
    <row r="420" spans="1:18">
      <c r="A420" s="351">
        <v>5.0999999999999996</v>
      </c>
      <c r="B420" s="1012" t="s">
        <v>2190</v>
      </c>
      <c r="C420" s="1010"/>
      <c r="D420" s="1011"/>
      <c r="E420" s="414"/>
      <c r="F420" s="414"/>
      <c r="G420" s="478">
        <f t="shared" si="28"/>
        <v>0</v>
      </c>
      <c r="H420" s="458">
        <f t="shared" si="27"/>
        <v>0</v>
      </c>
      <c r="J420" s="481"/>
      <c r="N420" s="285"/>
      <c r="P420" s="285"/>
      <c r="R420" s="285"/>
    </row>
    <row r="421" spans="1:18" ht="23.25" customHeight="1">
      <c r="A421" s="351">
        <v>5.0999999999999996</v>
      </c>
      <c r="B421" s="482" t="s">
        <v>2191</v>
      </c>
      <c r="C421" s="476"/>
      <c r="D421" s="477"/>
      <c r="E421" s="414">
        <v>25000</v>
      </c>
      <c r="F421" s="426">
        <f>1*D3</f>
        <v>23</v>
      </c>
      <c r="G421" s="478">
        <f t="shared" si="28"/>
        <v>575000</v>
      </c>
      <c r="H421" s="458">
        <f t="shared" si="27"/>
        <v>575000</v>
      </c>
      <c r="I421" s="338"/>
      <c r="J421" s="338"/>
      <c r="N421" s="285"/>
      <c r="P421" s="285"/>
      <c r="R421" s="285"/>
    </row>
    <row r="422" spans="1:18" ht="14.5">
      <c r="A422" s="351">
        <v>5.0999999999999996</v>
      </c>
      <c r="B422" s="482" t="s">
        <v>2192</v>
      </c>
      <c r="C422" s="476"/>
      <c r="D422" s="477"/>
      <c r="E422" s="414">
        <v>1500</v>
      </c>
      <c r="F422" s="426">
        <f>2*D8</f>
        <v>510</v>
      </c>
      <c r="G422" s="478">
        <f t="shared" si="28"/>
        <v>765000</v>
      </c>
      <c r="H422" s="458">
        <f t="shared" si="27"/>
        <v>765000</v>
      </c>
      <c r="I422" s="483"/>
      <c r="J422" s="483"/>
      <c r="K422" s="285"/>
      <c r="N422" s="285"/>
      <c r="P422" s="285"/>
      <c r="R422" s="285"/>
    </row>
    <row r="423" spans="1:18">
      <c r="A423" s="351">
        <v>5.0999999999999996</v>
      </c>
      <c r="B423" s="482" t="s">
        <v>2193</v>
      </c>
      <c r="C423" s="476"/>
      <c r="D423" s="477"/>
      <c r="E423" s="414">
        <v>100</v>
      </c>
      <c r="F423" s="426">
        <f>F422</f>
        <v>510</v>
      </c>
      <c r="G423" s="478">
        <f t="shared" si="28"/>
        <v>51000</v>
      </c>
      <c r="H423" s="458">
        <f t="shared" si="27"/>
        <v>51000</v>
      </c>
      <c r="I423" s="484"/>
      <c r="J423" s="484"/>
      <c r="N423" s="285"/>
      <c r="P423" s="285"/>
      <c r="R423" s="285"/>
    </row>
    <row r="424" spans="1:18">
      <c r="A424" s="351">
        <v>5.0999999999999996</v>
      </c>
      <c r="B424" s="482" t="s">
        <v>1967</v>
      </c>
      <c r="C424" s="476"/>
      <c r="D424" s="477"/>
      <c r="E424" s="414">
        <v>1500</v>
      </c>
      <c r="F424" s="426">
        <f>F422</f>
        <v>510</v>
      </c>
      <c r="G424" s="478">
        <f t="shared" si="28"/>
        <v>765000</v>
      </c>
      <c r="H424" s="458">
        <f t="shared" si="27"/>
        <v>765000</v>
      </c>
      <c r="I424" s="485"/>
      <c r="J424" s="485"/>
      <c r="N424" s="285"/>
      <c r="P424" s="285"/>
      <c r="R424" s="285"/>
    </row>
    <row r="425" spans="1:18" ht="23">
      <c r="A425" s="351">
        <v>5.0999999999999996</v>
      </c>
      <c r="B425" s="482" t="s">
        <v>2194</v>
      </c>
      <c r="C425" s="400"/>
      <c r="D425" s="401"/>
      <c r="E425" s="414">
        <v>25000</v>
      </c>
      <c r="F425" s="486">
        <f>1*D3</f>
        <v>23</v>
      </c>
      <c r="G425" s="478">
        <f>E425*F425</f>
        <v>575000</v>
      </c>
      <c r="H425" s="458">
        <f t="shared" si="27"/>
        <v>575000</v>
      </c>
      <c r="I425" s="348"/>
      <c r="J425" s="348"/>
      <c r="K425" s="285"/>
      <c r="N425" s="285"/>
      <c r="P425" s="285"/>
      <c r="R425" s="285"/>
    </row>
    <row r="426" spans="1:18">
      <c r="A426" s="351">
        <v>5.0999999999999996</v>
      </c>
      <c r="B426" s="482" t="s">
        <v>2192</v>
      </c>
      <c r="C426" s="400"/>
      <c r="D426" s="401"/>
      <c r="E426" s="414">
        <v>1500</v>
      </c>
      <c r="F426" s="414">
        <f>3*D8</f>
        <v>765</v>
      </c>
      <c r="G426" s="478">
        <f>E426*F426</f>
        <v>1147500</v>
      </c>
      <c r="H426" s="458">
        <f t="shared" si="27"/>
        <v>1147500</v>
      </c>
      <c r="I426" s="480"/>
      <c r="J426" s="480"/>
      <c r="N426" s="285"/>
      <c r="P426" s="285"/>
      <c r="R426" s="285"/>
    </row>
    <row r="427" spans="1:18">
      <c r="A427" s="351">
        <v>5.0999999999999996</v>
      </c>
      <c r="B427" s="482" t="s">
        <v>2193</v>
      </c>
      <c r="C427" s="400"/>
      <c r="D427" s="401"/>
      <c r="E427" s="414">
        <v>100</v>
      </c>
      <c r="F427" s="414">
        <f>F426</f>
        <v>765</v>
      </c>
      <c r="G427" s="478">
        <f t="shared" ref="G427:G441" si="29">E427*F427</f>
        <v>76500</v>
      </c>
      <c r="H427" s="458">
        <f t="shared" si="27"/>
        <v>76500</v>
      </c>
      <c r="I427" s="480"/>
      <c r="J427" s="480"/>
      <c r="K427" s="304"/>
      <c r="N427" s="285"/>
      <c r="P427" s="285"/>
      <c r="R427" s="285"/>
    </row>
    <row r="428" spans="1:18">
      <c r="A428" s="351">
        <v>5.0999999999999996</v>
      </c>
      <c r="B428" s="482" t="s">
        <v>1967</v>
      </c>
      <c r="C428" s="400"/>
      <c r="D428" s="401"/>
      <c r="E428" s="414">
        <v>1500</v>
      </c>
      <c r="F428" s="414">
        <f>F426</f>
        <v>765</v>
      </c>
      <c r="G428" s="478">
        <f t="shared" si="29"/>
        <v>1147500</v>
      </c>
      <c r="H428" s="458">
        <f t="shared" si="27"/>
        <v>1147500</v>
      </c>
      <c r="I428" s="480"/>
      <c r="J428" s="480"/>
      <c r="N428" s="285"/>
      <c r="P428" s="285"/>
      <c r="R428" s="285"/>
    </row>
    <row r="429" spans="1:18" ht="23">
      <c r="A429" s="351">
        <v>5.0999999999999996</v>
      </c>
      <c r="B429" s="482" t="s">
        <v>2195</v>
      </c>
      <c r="C429" s="400"/>
      <c r="D429" s="401"/>
      <c r="E429" s="414">
        <v>25000</v>
      </c>
      <c r="F429" s="414">
        <f>F425</f>
        <v>23</v>
      </c>
      <c r="G429" s="478">
        <f t="shared" si="29"/>
        <v>575000</v>
      </c>
      <c r="H429" s="458">
        <f t="shared" si="27"/>
        <v>575000</v>
      </c>
      <c r="I429" s="480"/>
      <c r="J429" s="480"/>
      <c r="N429" s="285"/>
      <c r="P429" s="285"/>
      <c r="R429" s="285"/>
    </row>
    <row r="430" spans="1:18">
      <c r="A430" s="351">
        <v>5.0999999999999996</v>
      </c>
      <c r="B430" s="482" t="s">
        <v>2192</v>
      </c>
      <c r="C430" s="400"/>
      <c r="D430" s="401"/>
      <c r="E430" s="414">
        <v>1500</v>
      </c>
      <c r="F430" s="487">
        <f>D8*5</f>
        <v>1275</v>
      </c>
      <c r="G430" s="478">
        <f t="shared" si="29"/>
        <v>1912500</v>
      </c>
      <c r="H430" s="458">
        <f t="shared" si="27"/>
        <v>1912500</v>
      </c>
      <c r="I430" s="480"/>
      <c r="J430" s="480"/>
      <c r="N430" s="285"/>
      <c r="P430" s="285"/>
      <c r="R430" s="285"/>
    </row>
    <row r="431" spans="1:18">
      <c r="A431" s="351">
        <v>5.0999999999999996</v>
      </c>
      <c r="B431" s="482" t="s">
        <v>2193</v>
      </c>
      <c r="C431" s="400"/>
      <c r="D431" s="401"/>
      <c r="E431" s="414">
        <v>100</v>
      </c>
      <c r="F431" s="487">
        <f>F430</f>
        <v>1275</v>
      </c>
      <c r="G431" s="478">
        <f t="shared" si="29"/>
        <v>127500</v>
      </c>
      <c r="H431" s="458">
        <f t="shared" si="27"/>
        <v>127500</v>
      </c>
      <c r="I431" s="480"/>
      <c r="J431" s="480"/>
      <c r="N431" s="285"/>
      <c r="P431" s="285"/>
      <c r="R431" s="285"/>
    </row>
    <row r="432" spans="1:18">
      <c r="A432" s="351">
        <v>5.0999999999999996</v>
      </c>
      <c r="B432" s="482" t="s">
        <v>1967</v>
      </c>
      <c r="C432" s="400"/>
      <c r="D432" s="401"/>
      <c r="E432" s="414">
        <v>1500</v>
      </c>
      <c r="F432" s="487">
        <f>F431</f>
        <v>1275</v>
      </c>
      <c r="G432" s="478">
        <f t="shared" si="29"/>
        <v>1912500</v>
      </c>
      <c r="H432" s="458">
        <f t="shared" si="27"/>
        <v>1912500</v>
      </c>
      <c r="I432" s="480"/>
      <c r="J432" s="480"/>
      <c r="N432" s="285"/>
      <c r="P432" s="285"/>
      <c r="R432" s="285"/>
    </row>
    <row r="433" spans="1:18" ht="23">
      <c r="A433" s="351">
        <v>5.0999999999999996</v>
      </c>
      <c r="B433" s="482" t="s">
        <v>2196</v>
      </c>
      <c r="C433" s="400"/>
      <c r="D433" s="401"/>
      <c r="E433" s="414">
        <v>25000</v>
      </c>
      <c r="F433" s="487">
        <f>F425</f>
        <v>23</v>
      </c>
      <c r="G433" s="478">
        <f t="shared" si="29"/>
        <v>575000</v>
      </c>
      <c r="H433" s="458">
        <f t="shared" si="27"/>
        <v>575000</v>
      </c>
      <c r="I433" s="480"/>
      <c r="J433" s="480"/>
      <c r="N433" s="285"/>
      <c r="P433" s="285"/>
      <c r="R433" s="285"/>
    </row>
    <row r="434" spans="1:18">
      <c r="A434" s="351">
        <v>5.0999999999999996</v>
      </c>
      <c r="B434" s="482" t="s">
        <v>2192</v>
      </c>
      <c r="C434" s="400"/>
      <c r="D434" s="401"/>
      <c r="E434" s="414">
        <v>1500</v>
      </c>
      <c r="F434" s="487">
        <f>D8*2</f>
        <v>510</v>
      </c>
      <c r="G434" s="478">
        <f t="shared" si="29"/>
        <v>765000</v>
      </c>
      <c r="H434" s="458">
        <f t="shared" si="27"/>
        <v>765000</v>
      </c>
      <c r="N434" s="285"/>
      <c r="P434" s="285"/>
      <c r="R434" s="285"/>
    </row>
    <row r="435" spans="1:18">
      <c r="A435" s="351">
        <v>5.0999999999999996</v>
      </c>
      <c r="B435" s="482" t="s">
        <v>2193</v>
      </c>
      <c r="C435" s="400"/>
      <c r="D435" s="401"/>
      <c r="E435" s="414">
        <v>100</v>
      </c>
      <c r="F435" s="487">
        <f>F434</f>
        <v>510</v>
      </c>
      <c r="G435" s="478">
        <f t="shared" si="29"/>
        <v>51000</v>
      </c>
      <c r="H435" s="458">
        <f t="shared" si="27"/>
        <v>51000</v>
      </c>
      <c r="I435" s="480"/>
      <c r="J435" s="480"/>
      <c r="N435" s="285"/>
      <c r="P435" s="285"/>
      <c r="R435" s="285"/>
    </row>
    <row r="436" spans="1:18">
      <c r="A436" s="351">
        <v>5.0999999999999996</v>
      </c>
      <c r="B436" s="482" t="s">
        <v>1967</v>
      </c>
      <c r="C436" s="400"/>
      <c r="D436" s="401"/>
      <c r="E436" s="414">
        <v>1500</v>
      </c>
      <c r="F436" s="487">
        <f>F435</f>
        <v>510</v>
      </c>
      <c r="G436" s="478">
        <f t="shared" si="29"/>
        <v>765000</v>
      </c>
      <c r="H436" s="458">
        <f t="shared" si="27"/>
        <v>765000</v>
      </c>
      <c r="I436" s="480"/>
      <c r="J436" s="480"/>
      <c r="N436" s="285"/>
      <c r="P436" s="285"/>
      <c r="R436" s="285"/>
    </row>
    <row r="437" spans="1:18" ht="49.5" customHeight="1">
      <c r="A437" s="351">
        <v>5.0999999999999996</v>
      </c>
      <c r="B437" s="488" t="s">
        <v>2197</v>
      </c>
      <c r="C437" s="400"/>
      <c r="D437" s="401"/>
      <c r="E437" s="414">
        <v>8500</v>
      </c>
      <c r="F437" s="487">
        <f>D8*3</f>
        <v>765</v>
      </c>
      <c r="G437" s="478">
        <f t="shared" si="29"/>
        <v>6502500</v>
      </c>
      <c r="H437" s="458">
        <f t="shared" si="27"/>
        <v>6502500</v>
      </c>
      <c r="K437" s="285"/>
      <c r="L437" s="285"/>
      <c r="N437" s="285"/>
      <c r="P437" s="285"/>
      <c r="R437" s="285"/>
    </row>
    <row r="438" spans="1:18" ht="48" customHeight="1">
      <c r="A438" s="351">
        <v>5.0999999999999996</v>
      </c>
      <c r="B438" s="488" t="s">
        <v>2198</v>
      </c>
      <c r="C438" s="400"/>
      <c r="D438" s="401"/>
      <c r="E438" s="414">
        <v>8500</v>
      </c>
      <c r="F438" s="487">
        <f>D8*3</f>
        <v>765</v>
      </c>
      <c r="G438" s="478">
        <f t="shared" si="29"/>
        <v>6502500</v>
      </c>
      <c r="H438" s="458">
        <f t="shared" si="27"/>
        <v>6502500</v>
      </c>
      <c r="I438" s="480"/>
      <c r="J438" s="480"/>
      <c r="N438" s="285"/>
      <c r="P438" s="285"/>
      <c r="R438" s="285"/>
    </row>
    <row r="439" spans="1:18" ht="34.5">
      <c r="A439" s="351">
        <v>5.0999999999999996</v>
      </c>
      <c r="B439" s="482" t="s">
        <v>2199</v>
      </c>
      <c r="C439" s="400"/>
      <c r="D439" s="401"/>
      <c r="E439" s="414">
        <v>8500</v>
      </c>
      <c r="F439" s="487">
        <f>D8*3</f>
        <v>765</v>
      </c>
      <c r="G439" s="478">
        <f t="shared" si="29"/>
        <v>6502500</v>
      </c>
      <c r="H439" s="458">
        <f t="shared" si="27"/>
        <v>6502500</v>
      </c>
      <c r="I439" s="480"/>
      <c r="J439" s="480"/>
      <c r="N439" s="285"/>
      <c r="P439" s="285"/>
      <c r="R439" s="285"/>
    </row>
    <row r="440" spans="1:18">
      <c r="A440" s="351">
        <v>5.0999999999999996</v>
      </c>
      <c r="B440" s="482" t="s">
        <v>2200</v>
      </c>
      <c r="C440" s="400"/>
      <c r="D440" s="401"/>
      <c r="E440" s="414">
        <v>18000</v>
      </c>
      <c r="F440" s="487">
        <f>D3*3*3</f>
        <v>207</v>
      </c>
      <c r="G440" s="478">
        <f t="shared" si="29"/>
        <v>3726000</v>
      </c>
      <c r="H440" s="458">
        <f t="shared" si="27"/>
        <v>3726000</v>
      </c>
      <c r="I440" s="480"/>
      <c r="J440" s="480"/>
      <c r="K440" s="285"/>
      <c r="N440" s="285"/>
      <c r="P440" s="285"/>
      <c r="R440" s="285"/>
    </row>
    <row r="441" spans="1:18">
      <c r="A441" s="351">
        <v>5.0999999999999996</v>
      </c>
      <c r="B441" s="482" t="s">
        <v>2201</v>
      </c>
      <c r="C441" s="400"/>
      <c r="D441" s="401"/>
      <c r="E441" s="414">
        <v>2000</v>
      </c>
      <c r="F441" s="487">
        <f>5*D3</f>
        <v>115</v>
      </c>
      <c r="G441" s="478">
        <f t="shared" si="29"/>
        <v>230000</v>
      </c>
      <c r="H441" s="458">
        <f t="shared" si="27"/>
        <v>230000</v>
      </c>
      <c r="I441" s="480"/>
      <c r="J441" s="480"/>
      <c r="N441" s="285"/>
      <c r="P441" s="285"/>
      <c r="R441" s="285"/>
    </row>
    <row r="442" spans="1:18">
      <c r="A442" s="489"/>
      <c r="B442" s="399" t="s">
        <v>2167</v>
      </c>
      <c r="C442" s="400"/>
      <c r="D442" s="401"/>
      <c r="E442" s="414"/>
      <c r="F442" s="414"/>
      <c r="G442" s="466"/>
      <c r="H442" s="458"/>
      <c r="I442" s="479"/>
      <c r="J442" s="480"/>
      <c r="N442" s="285"/>
      <c r="P442" s="285"/>
      <c r="R442" s="285"/>
    </row>
    <row r="443" spans="1:18">
      <c r="A443" s="489">
        <v>8.4</v>
      </c>
      <c r="B443" s="490" t="s">
        <v>2202</v>
      </c>
      <c r="C443" s="400"/>
      <c r="D443" s="401"/>
      <c r="E443" s="414">
        <v>1500</v>
      </c>
      <c r="F443" s="414">
        <f>(C3+C456+C457+C458+C460+C461+C462+C469+G500+G507+G511+G515+G519+G523+G528+G531)*18</f>
        <v>1584</v>
      </c>
      <c r="G443" s="466">
        <f t="shared" si="28"/>
        <v>2376000</v>
      </c>
      <c r="H443" s="458">
        <f t="shared" si="27"/>
        <v>2376000</v>
      </c>
      <c r="I443" s="479"/>
      <c r="J443" s="480"/>
      <c r="L443" s="285"/>
      <c r="N443" s="285"/>
      <c r="P443" s="285"/>
      <c r="R443" s="285"/>
    </row>
    <row r="444" spans="1:18">
      <c r="A444" s="489">
        <v>8.4</v>
      </c>
      <c r="B444" s="1012" t="s">
        <v>2203</v>
      </c>
      <c r="C444" s="1010"/>
      <c r="D444" s="1011"/>
      <c r="E444" s="414">
        <v>220000</v>
      </c>
      <c r="F444" s="414">
        <v>16</v>
      </c>
      <c r="G444" s="466">
        <f t="shared" si="28"/>
        <v>3520000</v>
      </c>
      <c r="H444" s="458">
        <f t="shared" si="27"/>
        <v>3520000</v>
      </c>
      <c r="I444" s="491"/>
      <c r="J444" s="492"/>
      <c r="K444" s="352"/>
      <c r="L444" s="285"/>
      <c r="N444" s="285"/>
      <c r="P444" s="285"/>
      <c r="R444" s="285"/>
    </row>
    <row r="445" spans="1:18" ht="14.25" customHeight="1">
      <c r="A445" s="489">
        <v>8.4</v>
      </c>
      <c r="B445" s="490" t="s">
        <v>2204</v>
      </c>
      <c r="C445" s="400"/>
      <c r="D445" s="401"/>
      <c r="E445" s="414">
        <v>1500</v>
      </c>
      <c r="F445" s="414">
        <f>6*(F189+10+5+4)</f>
        <v>294</v>
      </c>
      <c r="G445" s="466">
        <f t="shared" si="28"/>
        <v>441000</v>
      </c>
      <c r="H445" s="458">
        <f t="shared" si="27"/>
        <v>441000</v>
      </c>
      <c r="I445" s="479"/>
      <c r="J445" s="480"/>
      <c r="L445" s="285"/>
      <c r="N445" s="285"/>
      <c r="P445" s="285"/>
      <c r="R445" s="285"/>
    </row>
    <row r="446" spans="1:18" ht="14.25" customHeight="1">
      <c r="A446" s="489">
        <v>4.4000000000000004</v>
      </c>
      <c r="B446" s="369" t="s">
        <v>2205</v>
      </c>
      <c r="C446" s="369"/>
      <c r="D446" s="415"/>
      <c r="E446" s="414"/>
      <c r="F446" s="414">
        <f>6*(26)</f>
        <v>156</v>
      </c>
      <c r="G446" s="466">
        <f t="shared" si="28"/>
        <v>0</v>
      </c>
      <c r="H446" s="458">
        <f>+SUM(G446)</f>
        <v>0</v>
      </c>
      <c r="I446" s="479"/>
      <c r="J446" s="480"/>
      <c r="M446" s="289"/>
      <c r="N446" s="285"/>
      <c r="P446" s="285"/>
      <c r="R446" s="285"/>
    </row>
    <row r="447" spans="1:18" ht="15" customHeight="1">
      <c r="A447" s="489">
        <v>8.1</v>
      </c>
      <c r="B447" s="400" t="s">
        <v>2206</v>
      </c>
      <c r="C447" s="400"/>
      <c r="D447" s="401"/>
      <c r="E447" s="414">
        <f>18000*(42-8)</f>
        <v>612000</v>
      </c>
      <c r="F447" s="414">
        <f>C3</f>
        <v>23</v>
      </c>
      <c r="G447" s="466">
        <f t="shared" si="28"/>
        <v>14076000</v>
      </c>
      <c r="H447" s="458">
        <f t="shared" si="27"/>
        <v>14076000</v>
      </c>
      <c r="I447" s="479"/>
      <c r="J447" s="480"/>
      <c r="M447" s="289"/>
      <c r="N447" s="285"/>
      <c r="P447" s="285"/>
      <c r="R447" s="285"/>
    </row>
    <row r="448" spans="1:18" ht="15.75" customHeight="1">
      <c r="A448" s="489">
        <v>8.1</v>
      </c>
      <c r="B448" s="400" t="s">
        <v>2207</v>
      </c>
      <c r="C448" s="400"/>
      <c r="D448" s="401"/>
      <c r="E448" s="414">
        <f>18000*(35-4)</f>
        <v>558000</v>
      </c>
      <c r="F448" s="414">
        <f>C3</f>
        <v>23</v>
      </c>
      <c r="G448" s="466">
        <f t="shared" si="28"/>
        <v>12834000</v>
      </c>
      <c r="H448" s="458">
        <f t="shared" si="27"/>
        <v>12834000</v>
      </c>
      <c r="I448" s="479"/>
      <c r="J448" s="480"/>
      <c r="M448" s="289"/>
      <c r="N448" s="285"/>
      <c r="P448" s="285"/>
      <c r="R448" s="285"/>
    </row>
    <row r="449" spans="1:18">
      <c r="A449" s="489">
        <v>3.3</v>
      </c>
      <c r="B449" s="400" t="s">
        <v>2208</v>
      </c>
      <c r="C449" s="400"/>
      <c r="D449" s="401"/>
      <c r="E449" s="414">
        <v>2000</v>
      </c>
      <c r="F449" s="414">
        <f>C9</f>
        <v>2269</v>
      </c>
      <c r="G449" s="466">
        <f t="shared" si="28"/>
        <v>4538000</v>
      </c>
      <c r="H449" s="458">
        <f t="shared" si="27"/>
        <v>4538000</v>
      </c>
      <c r="I449" s="479"/>
      <c r="J449" s="480"/>
      <c r="L449" s="285"/>
      <c r="M449" s="289"/>
      <c r="N449" s="285"/>
      <c r="P449" s="285"/>
      <c r="R449" s="285"/>
    </row>
    <row r="450" spans="1:18" ht="12" thickBot="1">
      <c r="A450" s="351">
        <v>7.3</v>
      </c>
      <c r="B450" s="493" t="s">
        <v>2209</v>
      </c>
      <c r="C450" s="494"/>
      <c r="D450" s="494"/>
      <c r="E450" s="495">
        <v>60000</v>
      </c>
      <c r="F450" s="496">
        <f>5*C3</f>
        <v>115</v>
      </c>
      <c r="G450" s="466">
        <f t="shared" si="28"/>
        <v>6900000</v>
      </c>
      <c r="H450" s="458">
        <f>+SUM(G450)</f>
        <v>6900000</v>
      </c>
      <c r="I450" s="480"/>
      <c r="J450" s="480"/>
      <c r="M450" s="289"/>
      <c r="N450" s="285"/>
      <c r="P450" s="285"/>
      <c r="R450" s="285"/>
    </row>
    <row r="451" spans="1:18" ht="12" thickBot="1">
      <c r="A451" s="307"/>
      <c r="B451" s="1013" t="s">
        <v>2015</v>
      </c>
      <c r="C451" s="1014"/>
      <c r="D451" s="1014"/>
      <c r="E451" s="1014"/>
      <c r="F451" s="497"/>
      <c r="G451" s="498">
        <f>SUM(G410:G450)</f>
        <v>84850562.359999999</v>
      </c>
      <c r="H451" s="499">
        <f>SUM(H409:H450)</f>
        <v>84850562.359999999</v>
      </c>
      <c r="I451" s="500"/>
      <c r="J451" s="500"/>
      <c r="L451" s="285"/>
      <c r="M451" s="289"/>
      <c r="N451" s="285"/>
      <c r="P451" s="285"/>
      <c r="R451" s="285"/>
    </row>
    <row r="452" spans="1:18">
      <c r="A452" s="307"/>
      <c r="B452" s="501"/>
      <c r="C452" s="501"/>
      <c r="D452" s="501"/>
      <c r="E452" s="501"/>
      <c r="F452" s="307"/>
      <c r="G452" s="334"/>
      <c r="H452" s="502"/>
      <c r="I452" s="500"/>
      <c r="J452" s="500"/>
      <c r="L452" s="285"/>
      <c r="M452" s="289"/>
      <c r="N452" s="285"/>
      <c r="P452" s="285"/>
      <c r="R452" s="285"/>
    </row>
    <row r="453" spans="1:18" ht="12" thickBot="1">
      <c r="A453" s="503">
        <v>18</v>
      </c>
      <c r="B453" s="351" t="s">
        <v>2210</v>
      </c>
      <c r="C453" s="370"/>
      <c r="D453" s="370"/>
      <c r="E453" s="370"/>
      <c r="F453" s="370"/>
      <c r="G453" s="370"/>
      <c r="H453" s="370"/>
      <c r="I453" s="296"/>
      <c r="J453" s="381"/>
    </row>
    <row r="454" spans="1:18" ht="12" thickBot="1">
      <c r="A454" s="351"/>
      <c r="B454" s="504" t="s">
        <v>2211</v>
      </c>
      <c r="C454" s="505"/>
      <c r="D454" s="505"/>
      <c r="E454" s="505"/>
      <c r="F454" s="505"/>
      <c r="G454" s="506"/>
      <c r="H454" s="296"/>
      <c r="I454" s="296"/>
      <c r="J454" s="296"/>
      <c r="L454" s="369"/>
      <c r="M454" s="369"/>
      <c r="P454" s="285"/>
      <c r="R454" s="285"/>
    </row>
    <row r="455" spans="1:18" ht="12" thickBot="1">
      <c r="A455" s="351"/>
      <c r="B455" s="507" t="s">
        <v>2212</v>
      </c>
      <c r="C455" s="508"/>
      <c r="D455" s="509" t="s">
        <v>2213</v>
      </c>
      <c r="E455" s="509" t="s">
        <v>2214</v>
      </c>
      <c r="F455" s="509" t="s">
        <v>2215</v>
      </c>
      <c r="G455" s="509" t="s">
        <v>2216</v>
      </c>
      <c r="H455" s="510" t="str">
        <f>F408</f>
        <v>KADUNA</v>
      </c>
      <c r="I455" s="511" t="str">
        <f>H408</f>
        <v xml:space="preserve">Total </v>
      </c>
      <c r="J455" s="512"/>
      <c r="L455" s="369"/>
      <c r="M455" s="369"/>
      <c r="P455" s="285"/>
      <c r="R455" s="285"/>
    </row>
    <row r="456" spans="1:18">
      <c r="A456" s="351">
        <v>8.3000000000000007</v>
      </c>
      <c r="B456" s="513" t="s">
        <v>2217</v>
      </c>
      <c r="C456" s="514">
        <v>2</v>
      </c>
      <c r="D456" s="340">
        <v>15000</v>
      </c>
      <c r="E456" s="423">
        <v>5000</v>
      </c>
      <c r="F456" s="423">
        <f>(2000+5000)</f>
        <v>7000</v>
      </c>
      <c r="G456" s="515">
        <f>53-F42-G94-F127-F190</f>
        <v>46</v>
      </c>
      <c r="H456" s="516">
        <f t="shared" ref="H456:H461" si="30">(((D456+E456)*G456)+(F456*2))*C456</f>
        <v>1868000</v>
      </c>
      <c r="I456" s="517">
        <f t="shared" ref="I456:I485" si="31">SUM(H456:H456)</f>
        <v>1868000</v>
      </c>
      <c r="J456" s="502"/>
      <c r="L456" s="369"/>
      <c r="M456" s="369"/>
      <c r="P456" s="285"/>
      <c r="R456" s="285"/>
    </row>
    <row r="457" spans="1:18">
      <c r="A457" s="351">
        <v>8.3000000000000007</v>
      </c>
      <c r="B457" s="513" t="s">
        <v>2218</v>
      </c>
      <c r="C457" s="518">
        <v>2</v>
      </c>
      <c r="D457" s="340">
        <v>15000</v>
      </c>
      <c r="E457" s="423">
        <v>5000</v>
      </c>
      <c r="F457" s="423">
        <f>(2000+5000)</f>
        <v>7000</v>
      </c>
      <c r="G457" s="519">
        <f>53-F42-F109-F127-F144-F190</f>
        <v>45</v>
      </c>
      <c r="H457" s="516">
        <f t="shared" si="30"/>
        <v>1828000</v>
      </c>
      <c r="I457" s="517">
        <f t="shared" si="31"/>
        <v>1828000</v>
      </c>
      <c r="J457" s="502"/>
      <c r="L457" s="369"/>
      <c r="M457" s="369"/>
      <c r="P457" s="285"/>
      <c r="R457" s="285"/>
    </row>
    <row r="458" spans="1:18">
      <c r="A458" s="351">
        <v>8.3000000000000007</v>
      </c>
      <c r="B458" s="513" t="s">
        <v>2219</v>
      </c>
      <c r="C458" s="518">
        <v>2</v>
      </c>
      <c r="D458" s="340">
        <v>15000</v>
      </c>
      <c r="E458" s="423">
        <v>5000</v>
      </c>
      <c r="F458" s="423">
        <f>(2000+5000)</f>
        <v>7000</v>
      </c>
      <c r="G458" s="519">
        <f>53-F42-F127-F159-F174-F190</f>
        <v>45</v>
      </c>
      <c r="H458" s="516">
        <f t="shared" si="30"/>
        <v>1828000</v>
      </c>
      <c r="I458" s="517">
        <f t="shared" si="31"/>
        <v>1828000</v>
      </c>
      <c r="J458" s="502"/>
      <c r="L458" s="369"/>
      <c r="M458" s="369"/>
      <c r="P458" s="285"/>
      <c r="R458" s="285"/>
    </row>
    <row r="459" spans="1:18">
      <c r="A459" s="351">
        <v>8.3000000000000007</v>
      </c>
      <c r="B459" s="513" t="s">
        <v>2220</v>
      </c>
      <c r="C459" s="518">
        <v>6</v>
      </c>
      <c r="D459" s="340">
        <v>15000</v>
      </c>
      <c r="E459" s="423">
        <v>5000</v>
      </c>
      <c r="F459" s="423"/>
      <c r="G459" s="519">
        <v>4</v>
      </c>
      <c r="H459" s="516">
        <f t="shared" si="30"/>
        <v>480000</v>
      </c>
      <c r="I459" s="517">
        <f t="shared" si="31"/>
        <v>480000</v>
      </c>
      <c r="J459" s="502"/>
      <c r="K459" s="323"/>
      <c r="L459" s="369"/>
      <c r="M459" s="369"/>
      <c r="P459" s="285"/>
      <c r="R459" s="285"/>
    </row>
    <row r="460" spans="1:18">
      <c r="A460" s="351">
        <v>8.3000000000000007</v>
      </c>
      <c r="B460" s="520" t="s">
        <v>1911</v>
      </c>
      <c r="C460" s="521">
        <v>1</v>
      </c>
      <c r="D460" s="340"/>
      <c r="E460" s="423">
        <v>5000</v>
      </c>
      <c r="F460" s="423">
        <f>(2000+5000)</f>
        <v>7000</v>
      </c>
      <c r="G460" s="522">
        <v>53</v>
      </c>
      <c r="H460" s="516">
        <f t="shared" si="30"/>
        <v>279000</v>
      </c>
      <c r="I460" s="517">
        <f t="shared" si="31"/>
        <v>279000</v>
      </c>
      <c r="J460" s="502"/>
      <c r="L460" s="369"/>
      <c r="M460" s="369"/>
      <c r="P460" s="285"/>
      <c r="R460" s="285"/>
    </row>
    <row r="461" spans="1:18">
      <c r="A461" s="351">
        <v>12.3</v>
      </c>
      <c r="B461" s="520" t="s">
        <v>2221</v>
      </c>
      <c r="C461" s="523">
        <f>C11</f>
        <v>4</v>
      </c>
      <c r="D461" s="324">
        <v>15000</v>
      </c>
      <c r="E461" s="423">
        <v>5000</v>
      </c>
      <c r="F461" s="276">
        <f>2000+5000</f>
        <v>7000</v>
      </c>
      <c r="G461" s="522">
        <f>58-F42-F79-F94-F127-F144-F190</f>
        <v>48</v>
      </c>
      <c r="H461" s="516">
        <f t="shared" si="30"/>
        <v>3896000</v>
      </c>
      <c r="I461" s="517">
        <f t="shared" si="31"/>
        <v>3896000</v>
      </c>
      <c r="J461" s="502"/>
      <c r="L461" s="369"/>
      <c r="M461" s="369"/>
      <c r="P461" s="285"/>
      <c r="R461" s="285"/>
    </row>
    <row r="462" spans="1:18">
      <c r="A462" s="351">
        <v>8.3000000000000007</v>
      </c>
      <c r="B462" s="513" t="s">
        <v>2222</v>
      </c>
      <c r="C462" s="523">
        <f>D13</f>
        <v>5</v>
      </c>
      <c r="D462" s="324">
        <v>6000</v>
      </c>
      <c r="E462" s="276">
        <v>5000</v>
      </c>
      <c r="F462" s="276">
        <f>2000+5000</f>
        <v>7000</v>
      </c>
      <c r="G462" s="519">
        <f>40</f>
        <v>40</v>
      </c>
      <c r="H462" s="516">
        <f>(((D462+E462)*G462)+(F462))*C462</f>
        <v>2235000</v>
      </c>
      <c r="I462" s="517">
        <f t="shared" si="31"/>
        <v>2235000</v>
      </c>
      <c r="J462" s="502"/>
      <c r="L462" s="369"/>
      <c r="M462" s="369"/>
      <c r="P462" s="285"/>
      <c r="R462" s="285"/>
    </row>
    <row r="463" spans="1:18">
      <c r="A463" s="351">
        <v>8.3000000000000007</v>
      </c>
      <c r="B463" s="520" t="s">
        <v>2223</v>
      </c>
      <c r="C463" s="524">
        <f>D14</f>
        <v>23</v>
      </c>
      <c r="D463" s="340">
        <v>6000</v>
      </c>
      <c r="E463" s="276">
        <v>5000</v>
      </c>
      <c r="F463" s="276">
        <f>2000+5000</f>
        <v>7000</v>
      </c>
      <c r="G463" s="525">
        <f>30-F203-F260-F279-F313</f>
        <v>24</v>
      </c>
      <c r="H463" s="516">
        <f t="shared" ref="H463:H479" si="32">(((D463+E463)*G463)+(F463))*C463</f>
        <v>6233000</v>
      </c>
      <c r="I463" s="517">
        <f t="shared" si="31"/>
        <v>6233000</v>
      </c>
      <c r="J463" s="502"/>
      <c r="L463" s="369"/>
      <c r="M463" s="369"/>
      <c r="P463" s="285"/>
      <c r="R463" s="285"/>
    </row>
    <row r="464" spans="1:18">
      <c r="A464" s="351">
        <v>3.3</v>
      </c>
      <c r="B464" s="513" t="s">
        <v>2224</v>
      </c>
      <c r="C464" s="523">
        <f>C17</f>
        <v>3</v>
      </c>
      <c r="D464" s="324">
        <v>4800</v>
      </c>
      <c r="E464" s="276">
        <v>5000</v>
      </c>
      <c r="F464" s="276">
        <v>2000</v>
      </c>
      <c r="G464" s="526">
        <v>20</v>
      </c>
      <c r="H464" s="516">
        <f t="shared" si="32"/>
        <v>594000</v>
      </c>
      <c r="I464" s="517">
        <f t="shared" si="31"/>
        <v>594000</v>
      </c>
      <c r="J464" s="502"/>
      <c r="L464" s="369"/>
      <c r="M464" s="369"/>
      <c r="P464" s="285"/>
      <c r="R464" s="285"/>
    </row>
    <row r="465" spans="1:18">
      <c r="A465" s="351">
        <v>3.3</v>
      </c>
      <c r="B465" s="513" t="s">
        <v>2225</v>
      </c>
      <c r="C465" s="523">
        <f>C18</f>
        <v>6</v>
      </c>
      <c r="D465" s="324">
        <v>3600</v>
      </c>
      <c r="E465" s="276">
        <v>5000</v>
      </c>
      <c r="F465" s="276"/>
      <c r="G465" s="526">
        <v>20</v>
      </c>
      <c r="H465" s="516">
        <f t="shared" si="32"/>
        <v>1032000</v>
      </c>
      <c r="I465" s="517">
        <f t="shared" si="31"/>
        <v>1032000</v>
      </c>
      <c r="J465" s="502"/>
      <c r="L465" s="369"/>
      <c r="M465" s="369"/>
      <c r="P465" s="285"/>
      <c r="R465" s="285"/>
    </row>
    <row r="466" spans="1:18">
      <c r="A466" s="351">
        <v>3.3</v>
      </c>
      <c r="B466" s="513" t="s">
        <v>2226</v>
      </c>
      <c r="C466" s="523">
        <f>C19</f>
        <v>23</v>
      </c>
      <c r="D466" s="324">
        <v>3600</v>
      </c>
      <c r="E466" s="276">
        <v>5000</v>
      </c>
      <c r="F466" s="276">
        <v>1000</v>
      </c>
      <c r="G466" s="526">
        <v>8</v>
      </c>
      <c r="H466" s="516">
        <f t="shared" si="32"/>
        <v>1605400</v>
      </c>
      <c r="I466" s="517">
        <f t="shared" si="31"/>
        <v>1605400</v>
      </c>
      <c r="J466" s="502"/>
      <c r="L466" s="369"/>
      <c r="M466" s="369"/>
      <c r="P466" s="285"/>
      <c r="R466" s="285"/>
    </row>
    <row r="467" spans="1:18">
      <c r="A467" s="351">
        <v>5.3</v>
      </c>
      <c r="B467" s="513" t="s">
        <v>2227</v>
      </c>
      <c r="C467" s="527">
        <v>3</v>
      </c>
      <c r="D467" s="324">
        <v>12000</v>
      </c>
      <c r="E467" s="276"/>
      <c r="F467" s="276"/>
      <c r="G467" s="526">
        <v>17</v>
      </c>
      <c r="H467" s="516">
        <f t="shared" si="32"/>
        <v>612000</v>
      </c>
      <c r="I467" s="517">
        <f t="shared" si="31"/>
        <v>612000</v>
      </c>
      <c r="J467" s="502"/>
      <c r="L467" s="369"/>
      <c r="M467" s="369"/>
      <c r="P467" s="285"/>
      <c r="R467" s="285"/>
    </row>
    <row r="468" spans="1:18" ht="17.5">
      <c r="A468" s="351">
        <v>8.3000000000000007</v>
      </c>
      <c r="B468" s="513" t="s">
        <v>2228</v>
      </c>
      <c r="C468" s="523">
        <f>C35</f>
        <v>135</v>
      </c>
      <c r="D468" s="324">
        <v>10000</v>
      </c>
      <c r="E468" s="276">
        <v>5000</v>
      </c>
      <c r="F468" s="276">
        <v>4500</v>
      </c>
      <c r="G468" s="526">
        <f>16-2</f>
        <v>14</v>
      </c>
      <c r="H468" s="516">
        <f t="shared" si="32"/>
        <v>28957500</v>
      </c>
      <c r="I468" s="517">
        <f t="shared" si="31"/>
        <v>28957500</v>
      </c>
      <c r="J468" s="502"/>
      <c r="K468" s="330"/>
      <c r="L468" s="376"/>
      <c r="M468" s="338"/>
      <c r="N468" s="330">
        <f>G86</f>
        <v>1465000</v>
      </c>
      <c r="O468" s="338">
        <f>I504</f>
        <v>22680000</v>
      </c>
      <c r="P468" s="528">
        <f>SUM(I468:O468)</f>
        <v>53102500</v>
      </c>
      <c r="R468" s="285"/>
    </row>
    <row r="469" spans="1:18" ht="17.5">
      <c r="A469" s="351">
        <v>8.3000000000000007</v>
      </c>
      <c r="B469" s="520" t="s">
        <v>2229</v>
      </c>
      <c r="C469" s="523">
        <f>C16</f>
        <v>23</v>
      </c>
      <c r="D469" s="324">
        <v>10000</v>
      </c>
      <c r="E469" s="276">
        <v>5000</v>
      </c>
      <c r="F469" s="276">
        <v>7000</v>
      </c>
      <c r="G469" s="526">
        <f>36-2</f>
        <v>34</v>
      </c>
      <c r="H469" s="516">
        <f t="shared" si="32"/>
        <v>11891000</v>
      </c>
      <c r="I469" s="517">
        <f t="shared" si="31"/>
        <v>11891000</v>
      </c>
      <c r="J469" s="502"/>
      <c r="K469" s="304"/>
      <c r="L469" s="528"/>
      <c r="P469" s="285"/>
      <c r="R469" s="285"/>
    </row>
    <row r="470" spans="1:18">
      <c r="A470" s="351">
        <v>8.3000000000000007</v>
      </c>
      <c r="B470" s="520" t="s">
        <v>2230</v>
      </c>
      <c r="C470" s="523">
        <f>C3</f>
        <v>23</v>
      </c>
      <c r="D470" s="324">
        <v>4800</v>
      </c>
      <c r="E470" s="276">
        <v>1500</v>
      </c>
      <c r="F470" s="276">
        <v>2000</v>
      </c>
      <c r="G470" s="526">
        <f>32-F203-F240-F293-2</f>
        <v>25</v>
      </c>
      <c r="H470" s="516">
        <f t="shared" si="32"/>
        <v>3668500</v>
      </c>
      <c r="I470" s="517">
        <f t="shared" si="31"/>
        <v>3668500</v>
      </c>
      <c r="J470" s="502"/>
      <c r="L470" s="369"/>
      <c r="P470" s="285"/>
      <c r="R470" s="285"/>
    </row>
    <row r="471" spans="1:18">
      <c r="A471" s="351">
        <v>8.3000000000000007</v>
      </c>
      <c r="B471" s="520" t="s">
        <v>2231</v>
      </c>
      <c r="C471" s="523">
        <f>C3</f>
        <v>23</v>
      </c>
      <c r="D471" s="324">
        <v>4800</v>
      </c>
      <c r="E471" s="276">
        <v>1500</v>
      </c>
      <c r="F471" s="276">
        <v>2000</v>
      </c>
      <c r="G471" s="526">
        <f>32-F203-F240-F293-2</f>
        <v>25</v>
      </c>
      <c r="H471" s="516">
        <f t="shared" si="32"/>
        <v>3668500</v>
      </c>
      <c r="I471" s="517">
        <f t="shared" si="31"/>
        <v>3668500</v>
      </c>
      <c r="J471" s="502"/>
      <c r="L471" s="369"/>
      <c r="P471" s="285"/>
      <c r="R471" s="285"/>
    </row>
    <row r="472" spans="1:18">
      <c r="A472" s="351">
        <v>5.3</v>
      </c>
      <c r="B472" s="520" t="s">
        <v>2232</v>
      </c>
      <c r="C472" s="523">
        <f>C3</f>
        <v>23</v>
      </c>
      <c r="D472" s="324">
        <v>4800</v>
      </c>
      <c r="E472" s="276">
        <v>1500</v>
      </c>
      <c r="F472" s="276">
        <v>2000</v>
      </c>
      <c r="G472" s="526">
        <f>32-F203-F224-F240-F293-F313-2</f>
        <v>24</v>
      </c>
      <c r="H472" s="516">
        <f t="shared" si="32"/>
        <v>3523600</v>
      </c>
      <c r="I472" s="517">
        <f t="shared" si="31"/>
        <v>3523600</v>
      </c>
      <c r="J472" s="502"/>
      <c r="L472" s="369"/>
      <c r="P472" s="285"/>
      <c r="R472" s="285"/>
    </row>
    <row r="473" spans="1:18">
      <c r="A473" s="351">
        <v>3.3</v>
      </c>
      <c r="B473" s="520" t="s">
        <v>2233</v>
      </c>
      <c r="C473" s="523">
        <f>C3</f>
        <v>23</v>
      </c>
      <c r="D473" s="324">
        <v>4800</v>
      </c>
      <c r="E473" s="276">
        <v>1500</v>
      </c>
      <c r="F473" s="276">
        <v>2000</v>
      </c>
      <c r="G473" s="526">
        <f>37-F203-F240-F260-F279-F293-2</f>
        <v>27</v>
      </c>
      <c r="H473" s="516">
        <f t="shared" si="32"/>
        <v>3958300</v>
      </c>
      <c r="I473" s="517">
        <f t="shared" si="31"/>
        <v>3958300</v>
      </c>
      <c r="J473" s="502"/>
      <c r="L473" s="369"/>
      <c r="P473" s="285"/>
      <c r="R473" s="285"/>
    </row>
    <row r="474" spans="1:18">
      <c r="A474" s="351">
        <v>3.3</v>
      </c>
      <c r="B474" s="520" t="s">
        <v>2234</v>
      </c>
      <c r="C474" s="523">
        <f>C23</f>
        <v>23</v>
      </c>
      <c r="D474" s="324">
        <v>1800</v>
      </c>
      <c r="E474" s="276">
        <v>1200</v>
      </c>
      <c r="F474" s="276">
        <v>2000</v>
      </c>
      <c r="G474" s="526">
        <v>15</v>
      </c>
      <c r="H474" s="516">
        <f t="shared" si="32"/>
        <v>1081000</v>
      </c>
      <c r="I474" s="517">
        <f t="shared" si="31"/>
        <v>1081000</v>
      </c>
      <c r="J474" s="502"/>
      <c r="L474" s="369"/>
      <c r="M474" s="369"/>
      <c r="P474" s="285"/>
      <c r="R474" s="285"/>
    </row>
    <row r="475" spans="1:18">
      <c r="A475" s="351">
        <v>3.3</v>
      </c>
      <c r="B475" s="520" t="s">
        <v>2235</v>
      </c>
      <c r="C475" s="523">
        <f>C24</f>
        <v>46</v>
      </c>
      <c r="D475" s="324">
        <v>1440</v>
      </c>
      <c r="E475" s="276">
        <v>1200</v>
      </c>
      <c r="F475" s="276"/>
      <c r="G475" s="526">
        <v>15</v>
      </c>
      <c r="H475" s="516">
        <f t="shared" si="32"/>
        <v>1821600</v>
      </c>
      <c r="I475" s="517">
        <f t="shared" si="31"/>
        <v>1821600</v>
      </c>
      <c r="J475" s="502"/>
      <c r="L475" s="369"/>
      <c r="M475" s="369"/>
      <c r="P475" s="285"/>
      <c r="R475" s="285"/>
    </row>
    <row r="476" spans="1:18">
      <c r="A476" s="351">
        <v>3.3</v>
      </c>
      <c r="B476" s="520" t="s">
        <v>2236</v>
      </c>
      <c r="C476" s="523">
        <f>D9</f>
        <v>2269</v>
      </c>
      <c r="D476" s="324">
        <v>1200</v>
      </c>
      <c r="E476" s="276">
        <v>600</v>
      </c>
      <c r="F476" s="276">
        <v>1000</v>
      </c>
      <c r="G476" s="526">
        <v>2</v>
      </c>
      <c r="H476" s="516">
        <f t="shared" si="32"/>
        <v>10437400</v>
      </c>
      <c r="I476" s="517">
        <f t="shared" si="31"/>
        <v>10437400</v>
      </c>
      <c r="J476" s="502"/>
      <c r="K476" s="304"/>
      <c r="L476" s="369"/>
      <c r="M476" s="376"/>
      <c r="P476" s="285"/>
      <c r="R476" s="285"/>
    </row>
    <row r="477" spans="1:18" ht="17.5">
      <c r="A477" s="351">
        <v>8.3000000000000007</v>
      </c>
      <c r="B477" s="520" t="s">
        <v>2237</v>
      </c>
      <c r="C477" s="523">
        <f>C33</f>
        <v>792</v>
      </c>
      <c r="D477" s="324">
        <v>1800</v>
      </c>
      <c r="E477" s="276">
        <v>1200</v>
      </c>
      <c r="F477" s="276">
        <v>2000</v>
      </c>
      <c r="G477" s="526">
        <f>25-2</f>
        <v>23</v>
      </c>
      <c r="H477" s="516">
        <f t="shared" si="32"/>
        <v>56232000</v>
      </c>
      <c r="I477" s="517">
        <f t="shared" si="31"/>
        <v>56232000</v>
      </c>
      <c r="J477" s="502"/>
      <c r="K477" s="304"/>
      <c r="L477" s="376"/>
      <c r="N477" s="529">
        <f>SUM(I477:M477)</f>
        <v>56232000</v>
      </c>
      <c r="P477" s="285"/>
      <c r="R477" s="285"/>
    </row>
    <row r="478" spans="1:18">
      <c r="A478" s="351">
        <v>8.3000000000000007</v>
      </c>
      <c r="B478" s="520" t="s">
        <v>2238</v>
      </c>
      <c r="C478" s="523">
        <f>C34</f>
        <v>0</v>
      </c>
      <c r="D478" s="324">
        <v>2500</v>
      </c>
      <c r="E478" s="276">
        <v>1500</v>
      </c>
      <c r="F478" s="276">
        <v>2000</v>
      </c>
      <c r="G478" s="526"/>
      <c r="H478" s="516">
        <f t="shared" si="32"/>
        <v>0</v>
      </c>
      <c r="I478" s="517">
        <f t="shared" si="31"/>
        <v>0</v>
      </c>
      <c r="J478" s="502"/>
      <c r="L478" s="369"/>
      <c r="M478" s="369"/>
      <c r="P478" s="285"/>
      <c r="R478" s="285"/>
    </row>
    <row r="479" spans="1:18" ht="20">
      <c r="A479" s="351">
        <v>5.3</v>
      </c>
      <c r="B479" s="520" t="s">
        <v>2239</v>
      </c>
      <c r="C479" s="530">
        <f>C26</f>
        <v>1275</v>
      </c>
      <c r="D479" s="324">
        <v>1200</v>
      </c>
      <c r="E479" s="276">
        <v>600</v>
      </c>
      <c r="F479" s="276"/>
      <c r="G479" s="526">
        <v>22</v>
      </c>
      <c r="H479" s="516">
        <f t="shared" si="32"/>
        <v>50490000</v>
      </c>
      <c r="I479" s="517">
        <f t="shared" si="31"/>
        <v>50490000</v>
      </c>
      <c r="J479" s="502"/>
      <c r="K479" s="304"/>
      <c r="L479" s="531"/>
      <c r="M479" s="369"/>
      <c r="P479" s="285"/>
      <c r="R479" s="285"/>
    </row>
    <row r="480" spans="1:18">
      <c r="A480" s="351">
        <v>6.3</v>
      </c>
      <c r="B480" s="520" t="s">
        <v>2240</v>
      </c>
      <c r="C480" s="523">
        <f>C20</f>
        <v>4538</v>
      </c>
      <c r="D480" s="324">
        <v>1200</v>
      </c>
      <c r="E480" s="276">
        <v>600</v>
      </c>
      <c r="F480" s="276">
        <v>1000</v>
      </c>
      <c r="G480" s="526">
        <f>14-2</f>
        <v>12</v>
      </c>
      <c r="H480" s="532">
        <f>((((D480+E480)*G480)+F480)*C480)+(E480*2*C480)</f>
        <v>108004400</v>
      </c>
      <c r="I480" s="517">
        <f t="shared" si="31"/>
        <v>108004400</v>
      </c>
      <c r="J480" s="502"/>
      <c r="K480" s="304"/>
      <c r="L480" s="376"/>
      <c r="M480" s="369"/>
      <c r="P480" s="285"/>
      <c r="R480" s="285"/>
    </row>
    <row r="481" spans="1:18" ht="17.5">
      <c r="A481" s="351">
        <v>7.3</v>
      </c>
      <c r="B481" s="520" t="s">
        <v>2241</v>
      </c>
      <c r="C481" s="523">
        <f>C29</f>
        <v>2269</v>
      </c>
      <c r="D481" s="324">
        <v>1200</v>
      </c>
      <c r="E481" s="276">
        <v>600</v>
      </c>
      <c r="F481" s="276">
        <v>1000</v>
      </c>
      <c r="G481" s="526">
        <f>12+2</f>
        <v>14</v>
      </c>
      <c r="H481" s="532">
        <f>((((D481+E481)*G481)+F481)*C481)+(E481*C481)</f>
        <v>60809200</v>
      </c>
      <c r="I481" s="517">
        <f t="shared" si="31"/>
        <v>60809200</v>
      </c>
      <c r="J481" s="502"/>
      <c r="K481" s="304"/>
      <c r="L481" s="528"/>
      <c r="M481" s="369"/>
      <c r="P481" s="285"/>
      <c r="R481" s="285"/>
    </row>
    <row r="482" spans="1:18">
      <c r="A482" s="351">
        <v>7.3</v>
      </c>
      <c r="B482" s="520" t="s">
        <v>2242</v>
      </c>
      <c r="C482" s="523">
        <f>C21</f>
        <v>2269</v>
      </c>
      <c r="D482" s="324">
        <v>1200</v>
      </c>
      <c r="E482" s="276">
        <v>600</v>
      </c>
      <c r="F482" s="276"/>
      <c r="G482" s="526">
        <f>G480</f>
        <v>12</v>
      </c>
      <c r="H482" s="532">
        <f>((((D482+E482)*G482)+F482)*C482)</f>
        <v>49010400</v>
      </c>
      <c r="I482" s="517">
        <f t="shared" si="31"/>
        <v>49010400</v>
      </c>
      <c r="J482" s="502"/>
      <c r="K482" s="304"/>
      <c r="L482" s="376"/>
      <c r="M482" s="369"/>
      <c r="P482" s="285"/>
      <c r="R482" s="285"/>
    </row>
    <row r="483" spans="1:18">
      <c r="A483" s="351">
        <v>7.3</v>
      </c>
      <c r="B483" s="520" t="s">
        <v>2243</v>
      </c>
      <c r="C483" s="533">
        <f>C30</f>
        <v>0</v>
      </c>
      <c r="D483" s="324">
        <v>1500</v>
      </c>
      <c r="E483" s="276">
        <v>1000</v>
      </c>
      <c r="F483" s="276"/>
      <c r="G483" s="526">
        <v>5</v>
      </c>
      <c r="H483" s="532">
        <f>(((D483+E483)*G483)+F483)*C483</f>
        <v>0</v>
      </c>
      <c r="I483" s="517">
        <f t="shared" si="31"/>
        <v>0</v>
      </c>
      <c r="J483" s="502"/>
      <c r="L483" s="369"/>
      <c r="M483" s="369"/>
      <c r="P483" s="285"/>
      <c r="R483" s="285"/>
    </row>
    <row r="484" spans="1:18" ht="17.5">
      <c r="A484" s="351">
        <v>7.3</v>
      </c>
      <c r="B484" s="513" t="s">
        <v>2244</v>
      </c>
      <c r="C484" s="533">
        <f>C28</f>
        <v>0</v>
      </c>
      <c r="D484" s="324">
        <v>1500</v>
      </c>
      <c r="E484" s="276">
        <v>10000</v>
      </c>
      <c r="F484" s="276"/>
      <c r="G484" s="526">
        <v>5</v>
      </c>
      <c r="H484" s="532">
        <f>(((D484+E484)*G484)+F484)*C484</f>
        <v>0</v>
      </c>
      <c r="I484" s="517">
        <f t="shared" si="31"/>
        <v>0</v>
      </c>
      <c r="J484" s="502"/>
      <c r="L484" s="528"/>
      <c r="M484" s="369"/>
      <c r="P484" s="285"/>
      <c r="R484" s="285"/>
    </row>
    <row r="485" spans="1:18" ht="17.5" customHeight="1" thickBot="1">
      <c r="A485" s="351">
        <v>8.3000000000000007</v>
      </c>
      <c r="B485" s="513" t="s">
        <v>2245</v>
      </c>
      <c r="C485" s="534">
        <f>C22</f>
        <v>92</v>
      </c>
      <c r="D485" s="324">
        <v>4200</v>
      </c>
      <c r="E485" s="276">
        <f>5000</f>
        <v>5000</v>
      </c>
      <c r="F485" s="276">
        <v>2000</v>
      </c>
      <c r="G485" s="526">
        <f>3</f>
        <v>3</v>
      </c>
      <c r="H485" s="535">
        <f>(((D485+E485)*G485)+F485)*C485</f>
        <v>2723200</v>
      </c>
      <c r="I485" s="536">
        <f t="shared" si="31"/>
        <v>2723200</v>
      </c>
      <c r="J485" s="537"/>
      <c r="L485" s="538"/>
      <c r="M485" s="528"/>
      <c r="P485" s="285"/>
      <c r="R485" s="285"/>
    </row>
    <row r="486" spans="1:18" ht="12" thickBot="1">
      <c r="A486" s="351"/>
      <c r="B486" s="539" t="s">
        <v>227</v>
      </c>
      <c r="C486" s="540"/>
      <c r="D486" s="540"/>
      <c r="E486" s="540"/>
      <c r="F486" s="540"/>
      <c r="G486" s="541"/>
      <c r="H486" s="542">
        <f>SUM(H456:H485)</f>
        <v>418767000</v>
      </c>
      <c r="I486" s="543">
        <f>SUM(I456:I485)</f>
        <v>418767000</v>
      </c>
      <c r="J486" s="382"/>
      <c r="L486" s="369"/>
      <c r="M486" s="369"/>
      <c r="P486" s="285"/>
      <c r="R486" s="285"/>
    </row>
    <row r="487" spans="1:18" ht="12" thickBot="1">
      <c r="A487" s="351"/>
      <c r="B487" s="307"/>
      <c r="C487" s="370"/>
      <c r="D487" s="370"/>
      <c r="E487" s="370"/>
      <c r="F487" s="370"/>
      <c r="G487" s="370"/>
      <c r="H487" s="370"/>
      <c r="I487" s="544"/>
      <c r="J487" s="370"/>
      <c r="L487" s="369"/>
      <c r="M487" s="369"/>
      <c r="P487" s="285"/>
      <c r="R487" s="285"/>
    </row>
    <row r="488" spans="1:18" ht="12" thickBot="1">
      <c r="A488" s="351">
        <v>19</v>
      </c>
      <c r="B488" s="504" t="s">
        <v>2246</v>
      </c>
      <c r="C488" s="505"/>
      <c r="D488" s="505"/>
      <c r="E488" s="505"/>
      <c r="F488" s="505"/>
      <c r="G488" s="506"/>
      <c r="H488" s="545" t="str">
        <f>H455</f>
        <v>KADUNA</v>
      </c>
      <c r="I488" s="546" t="str">
        <f>I455</f>
        <v xml:space="preserve">Total </v>
      </c>
      <c r="J488" s="512"/>
      <c r="L488" s="369"/>
      <c r="M488" s="369"/>
      <c r="P488" s="285"/>
      <c r="R488" s="285"/>
    </row>
    <row r="489" spans="1:18">
      <c r="A489" s="351"/>
      <c r="B489" s="547" t="s">
        <v>2247</v>
      </c>
      <c r="C489" s="548"/>
      <c r="D489" s="549" t="s">
        <v>2248</v>
      </c>
      <c r="E489" s="549" t="s">
        <v>2249</v>
      </c>
      <c r="F489" s="549" t="s">
        <v>151</v>
      </c>
      <c r="G489" s="549" t="s">
        <v>148</v>
      </c>
      <c r="H489" s="276"/>
      <c r="I489" s="375"/>
      <c r="J489" s="334"/>
      <c r="L489" s="369"/>
      <c r="M489" s="369"/>
      <c r="P489" s="285"/>
      <c r="R489" s="285"/>
    </row>
    <row r="490" spans="1:18" ht="28.5" customHeight="1">
      <c r="A490" s="351">
        <v>8.3000000000000007</v>
      </c>
      <c r="B490" s="520" t="s">
        <v>2250</v>
      </c>
      <c r="C490" s="514"/>
      <c r="D490" s="550" t="s">
        <v>2251</v>
      </c>
      <c r="E490" s="340">
        <f>50000+14000</f>
        <v>64000</v>
      </c>
      <c r="F490" s="423">
        <v>2</v>
      </c>
      <c r="G490" s="340">
        <f>C456+C457+C458+C459</f>
        <v>12</v>
      </c>
      <c r="H490" s="340">
        <f>E490*F490*G490</f>
        <v>1536000</v>
      </c>
      <c r="I490" s="375">
        <f t="shared" ref="I490:I536" si="33">SUM(H490:H490)</f>
        <v>1536000</v>
      </c>
      <c r="J490" s="334"/>
      <c r="L490" s="369"/>
      <c r="M490" s="369"/>
      <c r="P490" s="285"/>
      <c r="R490" s="285"/>
    </row>
    <row r="491" spans="1:18" ht="18" customHeight="1">
      <c r="A491" s="351">
        <v>8.3000000000000007</v>
      </c>
      <c r="B491" s="520"/>
      <c r="C491" s="514"/>
      <c r="D491" s="550" t="s">
        <v>2252</v>
      </c>
      <c r="E491" s="340">
        <v>30000</v>
      </c>
      <c r="F491" s="423">
        <v>2</v>
      </c>
      <c r="G491" s="340">
        <f>G490+1</f>
        <v>13</v>
      </c>
      <c r="H491" s="340">
        <f t="shared" ref="H491:H536" si="34">E491*F491*G491</f>
        <v>780000</v>
      </c>
      <c r="I491" s="375">
        <f t="shared" si="33"/>
        <v>780000</v>
      </c>
      <c r="J491" s="334"/>
      <c r="L491" s="369"/>
      <c r="M491" s="369"/>
      <c r="P491" s="285"/>
      <c r="R491" s="285"/>
    </row>
    <row r="492" spans="1:18" ht="18" customHeight="1">
      <c r="A492" s="351">
        <v>8.3000000000000007</v>
      </c>
      <c r="B492" s="513" t="s">
        <v>2217</v>
      </c>
      <c r="C492" s="514"/>
      <c r="D492" s="550" t="s">
        <v>2253</v>
      </c>
      <c r="E492" s="340">
        <v>45000</v>
      </c>
      <c r="F492" s="423">
        <f>G456</f>
        <v>46</v>
      </c>
      <c r="G492" s="423">
        <f t="shared" ref="G492:G497" si="35">C456</f>
        <v>2</v>
      </c>
      <c r="H492" s="340">
        <f t="shared" si="34"/>
        <v>4140000</v>
      </c>
      <c r="I492" s="375">
        <f t="shared" si="33"/>
        <v>4140000</v>
      </c>
      <c r="J492" s="334"/>
      <c r="L492" s="369"/>
      <c r="M492" s="369"/>
      <c r="P492" s="285"/>
      <c r="R492" s="285"/>
    </row>
    <row r="493" spans="1:18" ht="18" customHeight="1">
      <c r="A493" s="351">
        <v>8.3000000000000007</v>
      </c>
      <c r="B493" s="513" t="s">
        <v>2218</v>
      </c>
      <c r="C493" s="514"/>
      <c r="D493" s="550" t="s">
        <v>2253</v>
      </c>
      <c r="E493" s="340">
        <v>45000</v>
      </c>
      <c r="F493" s="423">
        <f>G457</f>
        <v>45</v>
      </c>
      <c r="G493" s="423">
        <f t="shared" si="35"/>
        <v>2</v>
      </c>
      <c r="H493" s="340">
        <f t="shared" si="34"/>
        <v>4050000</v>
      </c>
      <c r="I493" s="375">
        <f t="shared" si="33"/>
        <v>4050000</v>
      </c>
      <c r="J493" s="334"/>
      <c r="L493" s="369"/>
      <c r="M493" s="369"/>
      <c r="P493" s="285"/>
      <c r="R493" s="285"/>
    </row>
    <row r="494" spans="1:18" ht="18" customHeight="1">
      <c r="A494" s="351">
        <v>8.3000000000000007</v>
      </c>
      <c r="B494" s="513" t="s">
        <v>2219</v>
      </c>
      <c r="C494" s="514"/>
      <c r="D494" s="550" t="s">
        <v>2253</v>
      </c>
      <c r="E494" s="340">
        <v>45000</v>
      </c>
      <c r="F494" s="423">
        <f>G458</f>
        <v>45</v>
      </c>
      <c r="G494" s="423">
        <f t="shared" si="35"/>
        <v>2</v>
      </c>
      <c r="H494" s="340">
        <f t="shared" si="34"/>
        <v>4050000</v>
      </c>
      <c r="I494" s="375">
        <f t="shared" si="33"/>
        <v>4050000</v>
      </c>
      <c r="J494" s="334"/>
      <c r="L494" s="369"/>
      <c r="M494" s="369"/>
      <c r="P494" s="285"/>
      <c r="R494" s="285"/>
    </row>
    <row r="495" spans="1:18" ht="18" customHeight="1">
      <c r="A495" s="351">
        <v>8.3000000000000007</v>
      </c>
      <c r="B495" s="520" t="s">
        <v>2254</v>
      </c>
      <c r="C495" s="514"/>
      <c r="D495" s="550" t="s">
        <v>2253</v>
      </c>
      <c r="E495" s="340">
        <v>45000</v>
      </c>
      <c r="F495" s="423">
        <f>G459</f>
        <v>4</v>
      </c>
      <c r="G495" s="423">
        <f t="shared" si="35"/>
        <v>6</v>
      </c>
      <c r="H495" s="340">
        <f>E495*F495*G495</f>
        <v>1080000</v>
      </c>
      <c r="I495" s="375">
        <f t="shared" si="33"/>
        <v>1080000</v>
      </c>
      <c r="J495" s="334"/>
      <c r="L495" s="369"/>
      <c r="M495" s="369"/>
      <c r="P495" s="285"/>
      <c r="R495" s="285"/>
    </row>
    <row r="496" spans="1:18" ht="18" customHeight="1">
      <c r="A496" s="351">
        <v>8.3000000000000007</v>
      </c>
      <c r="B496" s="520" t="s">
        <v>1911</v>
      </c>
      <c r="C496" s="514"/>
      <c r="D496" s="550" t="s">
        <v>2253</v>
      </c>
      <c r="E496" s="340">
        <v>45000</v>
      </c>
      <c r="F496" s="423">
        <f>G460</f>
        <v>53</v>
      </c>
      <c r="G496" s="340">
        <f t="shared" si="35"/>
        <v>1</v>
      </c>
      <c r="H496" s="340">
        <f t="shared" si="34"/>
        <v>2385000</v>
      </c>
      <c r="I496" s="375">
        <f t="shared" si="33"/>
        <v>2385000</v>
      </c>
      <c r="J496" s="334"/>
      <c r="L496" s="369"/>
      <c r="M496" s="369"/>
      <c r="P496" s="285"/>
      <c r="R496" s="285"/>
    </row>
    <row r="497" spans="1:18" ht="18" customHeight="1">
      <c r="A497" s="351">
        <v>8.3000000000000007</v>
      </c>
      <c r="B497" s="520" t="s">
        <v>2255</v>
      </c>
      <c r="C497" s="514"/>
      <c r="D497" s="550" t="s">
        <v>2251</v>
      </c>
      <c r="E497" s="340">
        <f>50000+14000</f>
        <v>64000</v>
      </c>
      <c r="F497" s="423">
        <v>2</v>
      </c>
      <c r="G497" s="340">
        <f t="shared" si="35"/>
        <v>4</v>
      </c>
      <c r="H497" s="340">
        <f t="shared" si="34"/>
        <v>512000</v>
      </c>
      <c r="I497" s="375">
        <f t="shared" si="33"/>
        <v>512000</v>
      </c>
      <c r="J497" s="334"/>
      <c r="L497" s="369"/>
      <c r="M497" s="369"/>
      <c r="P497" s="285"/>
      <c r="R497" s="285"/>
    </row>
    <row r="498" spans="1:18" ht="18" customHeight="1">
      <c r="A498" s="351">
        <v>8.3000000000000007</v>
      </c>
      <c r="B498" s="520"/>
      <c r="C498" s="514"/>
      <c r="D498" s="550" t="s">
        <v>2252</v>
      </c>
      <c r="E498" s="340">
        <v>30000</v>
      </c>
      <c r="F498" s="423">
        <v>2</v>
      </c>
      <c r="G498" s="423">
        <f>G497</f>
        <v>4</v>
      </c>
      <c r="H498" s="340">
        <f>E498*F498*G498</f>
        <v>240000</v>
      </c>
      <c r="I498" s="375">
        <f>SUM(H498:H498)</f>
        <v>240000</v>
      </c>
      <c r="J498" s="334"/>
      <c r="L498" s="369"/>
      <c r="M498" s="369"/>
      <c r="P498" s="285"/>
      <c r="R498" s="285"/>
    </row>
    <row r="499" spans="1:18" ht="18" customHeight="1">
      <c r="A499" s="351">
        <v>8.3000000000000007</v>
      </c>
      <c r="B499" s="520"/>
      <c r="C499" s="514"/>
      <c r="D499" s="550" t="s">
        <v>2253</v>
      </c>
      <c r="E499" s="340">
        <v>45000</v>
      </c>
      <c r="F499" s="423">
        <f>G461</f>
        <v>48</v>
      </c>
      <c r="G499" s="340">
        <f>G497</f>
        <v>4</v>
      </c>
      <c r="H499" s="340">
        <f t="shared" si="34"/>
        <v>8640000</v>
      </c>
      <c r="I499" s="375">
        <f t="shared" si="33"/>
        <v>8640000</v>
      </c>
      <c r="J499" s="334"/>
      <c r="L499" s="369"/>
      <c r="M499" s="369"/>
      <c r="P499" s="285"/>
      <c r="R499" s="285"/>
    </row>
    <row r="500" spans="1:18" ht="24.75" customHeight="1">
      <c r="A500" s="351">
        <v>8.3000000000000007</v>
      </c>
      <c r="B500" s="513" t="s">
        <v>2256</v>
      </c>
      <c r="C500" s="419"/>
      <c r="D500" s="550" t="s">
        <v>2251</v>
      </c>
      <c r="E500" s="340">
        <f>50000+14000</f>
        <v>64000</v>
      </c>
      <c r="F500" s="423">
        <v>0</v>
      </c>
      <c r="G500" s="423">
        <v>4</v>
      </c>
      <c r="H500" s="340">
        <f t="shared" si="34"/>
        <v>0</v>
      </c>
      <c r="I500" s="375">
        <f t="shared" si="33"/>
        <v>0</v>
      </c>
      <c r="J500" s="334"/>
      <c r="L500" s="1006"/>
      <c r="M500" s="369"/>
      <c r="P500" s="285"/>
      <c r="R500" s="285"/>
    </row>
    <row r="501" spans="1:18" ht="18" customHeight="1">
      <c r="A501" s="351">
        <v>8.3000000000000007</v>
      </c>
      <c r="B501" s="513"/>
      <c r="C501" s="400"/>
      <c r="D501" s="550" t="s">
        <v>2253</v>
      </c>
      <c r="E501" s="340">
        <v>45000</v>
      </c>
      <c r="F501" s="423">
        <v>0</v>
      </c>
      <c r="G501" s="423">
        <f>G500</f>
        <v>4</v>
      </c>
      <c r="H501" s="340">
        <f>E501*F501*G501</f>
        <v>0</v>
      </c>
      <c r="I501" s="375">
        <f t="shared" si="33"/>
        <v>0</v>
      </c>
      <c r="J501" s="334"/>
      <c r="L501" s="1006"/>
      <c r="M501" s="369"/>
      <c r="P501" s="285"/>
      <c r="R501" s="285"/>
    </row>
    <row r="502" spans="1:18" ht="21" customHeight="1">
      <c r="A502" s="351">
        <v>8.3000000000000007</v>
      </c>
      <c r="B502" s="513"/>
      <c r="C502" s="400"/>
      <c r="D502" s="550" t="s">
        <v>2257</v>
      </c>
      <c r="E502" s="340">
        <v>7000</v>
      </c>
      <c r="F502" s="423">
        <v>0</v>
      </c>
      <c r="G502" s="423">
        <f>G501</f>
        <v>4</v>
      </c>
      <c r="H502" s="340">
        <f t="shared" si="34"/>
        <v>0</v>
      </c>
      <c r="I502" s="375">
        <f t="shared" si="33"/>
        <v>0</v>
      </c>
      <c r="J502" s="334"/>
      <c r="L502" s="1006"/>
      <c r="M502" s="369"/>
      <c r="P502" s="285"/>
      <c r="R502" s="285"/>
    </row>
    <row r="503" spans="1:18" ht="18" customHeight="1">
      <c r="A503" s="351">
        <v>8.3000000000000007</v>
      </c>
      <c r="B503" s="520" t="s">
        <v>2258</v>
      </c>
      <c r="C503" s="400"/>
      <c r="D503" s="550" t="s">
        <v>2253</v>
      </c>
      <c r="E503" s="340">
        <v>21000</v>
      </c>
      <c r="F503" s="423">
        <f>16+2</f>
        <v>18</v>
      </c>
      <c r="G503" s="423">
        <v>5</v>
      </c>
      <c r="H503" s="340">
        <f t="shared" si="34"/>
        <v>1890000</v>
      </c>
      <c r="I503" s="375">
        <f t="shared" si="33"/>
        <v>1890000</v>
      </c>
      <c r="J503" s="334"/>
      <c r="L503" s="285"/>
      <c r="N503" s="285"/>
      <c r="P503" s="285"/>
      <c r="R503" s="285"/>
    </row>
    <row r="504" spans="1:18" ht="18" customHeight="1">
      <c r="A504" s="351">
        <v>8.3000000000000007</v>
      </c>
      <c r="B504" s="520" t="s">
        <v>2228</v>
      </c>
      <c r="C504" s="400"/>
      <c r="D504" s="550" t="s">
        <v>2259</v>
      </c>
      <c r="E504" s="340">
        <v>12000</v>
      </c>
      <c r="F504" s="423">
        <f>G468</f>
        <v>14</v>
      </c>
      <c r="G504" s="340">
        <f>C468</f>
        <v>135</v>
      </c>
      <c r="H504" s="340">
        <f t="shared" si="34"/>
        <v>22680000</v>
      </c>
      <c r="I504" s="375">
        <f t="shared" si="33"/>
        <v>22680000</v>
      </c>
      <c r="J504" s="334"/>
      <c r="L504" s="285"/>
      <c r="N504" s="285"/>
      <c r="P504" s="285"/>
      <c r="R504" s="285"/>
    </row>
    <row r="505" spans="1:18" ht="18" customHeight="1">
      <c r="A505" s="351">
        <v>8.3000000000000007</v>
      </c>
      <c r="B505" s="520" t="s">
        <v>2260</v>
      </c>
      <c r="C505" s="400"/>
      <c r="D505" s="550" t="s">
        <v>2259</v>
      </c>
      <c r="E505" s="340">
        <v>12000</v>
      </c>
      <c r="F505" s="423">
        <f>G469</f>
        <v>34</v>
      </c>
      <c r="G505" s="340">
        <f>C469</f>
        <v>23</v>
      </c>
      <c r="H505" s="340">
        <f t="shared" si="34"/>
        <v>9384000</v>
      </c>
      <c r="I505" s="375">
        <f t="shared" si="33"/>
        <v>9384000</v>
      </c>
      <c r="J505" s="334"/>
      <c r="L505" s="285"/>
      <c r="N505" s="285"/>
      <c r="P505" s="285"/>
      <c r="R505" s="285"/>
    </row>
    <row r="506" spans="1:18" ht="18" customHeight="1">
      <c r="A506" s="351">
        <v>8.3000000000000007</v>
      </c>
      <c r="B506" s="520" t="s">
        <v>2261</v>
      </c>
      <c r="C506" s="400"/>
      <c r="D506" s="550"/>
      <c r="E506" s="340">
        <v>25000</v>
      </c>
      <c r="F506" s="423">
        <v>53</v>
      </c>
      <c r="G506" s="340">
        <v>1</v>
      </c>
      <c r="H506" s="340">
        <f>E506*F506*G506</f>
        <v>1325000</v>
      </c>
      <c r="I506" s="375">
        <f t="shared" si="33"/>
        <v>1325000</v>
      </c>
      <c r="J506" s="334"/>
      <c r="L506" s="285"/>
      <c r="N506" s="285"/>
      <c r="P506" s="285"/>
      <c r="R506" s="285"/>
    </row>
    <row r="507" spans="1:18" ht="18" customHeight="1">
      <c r="A507" s="351">
        <v>8.3000000000000007</v>
      </c>
      <c r="B507" s="520" t="s">
        <v>2262</v>
      </c>
      <c r="C507" s="514"/>
      <c r="D507" s="550" t="s">
        <v>2252</v>
      </c>
      <c r="E507" s="340">
        <v>30000</v>
      </c>
      <c r="F507" s="423">
        <v>2</v>
      </c>
      <c r="G507" s="423">
        <v>3</v>
      </c>
      <c r="H507" s="340">
        <f>E507*F507*G507</f>
        <v>180000</v>
      </c>
      <c r="I507" s="375">
        <f t="shared" si="33"/>
        <v>180000</v>
      </c>
      <c r="J507" s="334"/>
      <c r="L507" s="398"/>
      <c r="M507" s="289"/>
      <c r="N507" s="285"/>
      <c r="P507" s="285"/>
      <c r="R507" s="285"/>
    </row>
    <row r="508" spans="1:18" ht="18" customHeight="1">
      <c r="A508" s="351">
        <v>8.3000000000000007</v>
      </c>
      <c r="B508" s="520"/>
      <c r="C508" s="514"/>
      <c r="D508" s="550" t="s">
        <v>2263</v>
      </c>
      <c r="E508" s="340">
        <v>5000</v>
      </c>
      <c r="F508" s="423">
        <f>53</f>
        <v>53</v>
      </c>
      <c r="G508" s="423">
        <f>G507</f>
        <v>3</v>
      </c>
      <c r="H508" s="340">
        <f t="shared" si="34"/>
        <v>795000</v>
      </c>
      <c r="I508" s="375">
        <f t="shared" si="33"/>
        <v>795000</v>
      </c>
      <c r="J508" s="334"/>
      <c r="L508" s="398"/>
      <c r="M508" s="289"/>
      <c r="N508" s="285"/>
      <c r="P508" s="285"/>
      <c r="R508" s="285"/>
    </row>
    <row r="509" spans="1:18" ht="15" customHeight="1">
      <c r="A509" s="351">
        <v>8.3000000000000007</v>
      </c>
      <c r="B509" s="520"/>
      <c r="C509" s="514"/>
      <c r="D509" s="550" t="s">
        <v>2253</v>
      </c>
      <c r="E509" s="340">
        <v>45000</v>
      </c>
      <c r="F509" s="423">
        <f>53</f>
        <v>53</v>
      </c>
      <c r="G509" s="423">
        <f>G508</f>
        <v>3</v>
      </c>
      <c r="H509" s="340">
        <f>E509*F509*G509</f>
        <v>7155000</v>
      </c>
      <c r="I509" s="375">
        <f t="shared" si="33"/>
        <v>7155000</v>
      </c>
      <c r="J509" s="334"/>
      <c r="L509" s="398"/>
      <c r="M509" s="289"/>
      <c r="N509" s="285"/>
      <c r="P509" s="285"/>
      <c r="R509" s="285"/>
    </row>
    <row r="510" spans="1:18" ht="28.5" customHeight="1">
      <c r="A510" s="351">
        <v>8.3000000000000007</v>
      </c>
      <c r="B510" s="520"/>
      <c r="C510" s="514"/>
      <c r="D510" s="550" t="s">
        <v>2257</v>
      </c>
      <c r="E510" s="340">
        <v>7000</v>
      </c>
      <c r="F510" s="423">
        <v>2</v>
      </c>
      <c r="G510" s="423">
        <f>G509</f>
        <v>3</v>
      </c>
      <c r="H510" s="340">
        <f>E510*F510*G510</f>
        <v>42000</v>
      </c>
      <c r="I510" s="375">
        <f t="shared" si="33"/>
        <v>42000</v>
      </c>
      <c r="J510" s="551"/>
      <c r="L510" s="398"/>
      <c r="M510" s="289"/>
      <c r="N510" s="285"/>
      <c r="P510" s="285"/>
      <c r="R510" s="285"/>
    </row>
    <row r="511" spans="1:18" ht="18" customHeight="1">
      <c r="A511" s="351">
        <v>8.3000000000000007</v>
      </c>
      <c r="B511" s="520" t="s">
        <v>2264</v>
      </c>
      <c r="C511" s="514"/>
      <c r="D511" s="550" t="s">
        <v>2252</v>
      </c>
      <c r="E511" s="340">
        <v>30000</v>
      </c>
      <c r="F511" s="423">
        <f>2</f>
        <v>2</v>
      </c>
      <c r="G511" s="423">
        <v>2</v>
      </c>
      <c r="H511" s="340">
        <f t="shared" si="34"/>
        <v>120000</v>
      </c>
      <c r="I511" s="375">
        <f t="shared" si="33"/>
        <v>120000</v>
      </c>
      <c r="J511" s="334"/>
      <c r="L511" s="552"/>
      <c r="M511" s="289"/>
      <c r="N511" s="285"/>
      <c r="P511" s="285"/>
      <c r="R511" s="285"/>
    </row>
    <row r="512" spans="1:18" ht="18" customHeight="1">
      <c r="A512" s="351">
        <v>8.3000000000000007</v>
      </c>
      <c r="B512" s="520"/>
      <c r="C512" s="514"/>
      <c r="D512" s="550" t="s">
        <v>2253</v>
      </c>
      <c r="E512" s="340">
        <v>45000</v>
      </c>
      <c r="F512" s="423">
        <f>53</f>
        <v>53</v>
      </c>
      <c r="G512" s="423">
        <f>G511</f>
        <v>2</v>
      </c>
      <c r="H512" s="340">
        <f t="shared" si="34"/>
        <v>4770000</v>
      </c>
      <c r="I512" s="375">
        <f t="shared" si="33"/>
        <v>4770000</v>
      </c>
      <c r="J512" s="334"/>
      <c r="L512" s="552"/>
      <c r="M512" s="289"/>
      <c r="N512" s="285"/>
      <c r="P512" s="285"/>
      <c r="R512" s="285"/>
    </row>
    <row r="513" spans="1:30" ht="18" customHeight="1">
      <c r="A513" s="351">
        <v>8.3000000000000007</v>
      </c>
      <c r="B513" s="520"/>
      <c r="C513" s="514"/>
      <c r="D513" s="550" t="s">
        <v>2263</v>
      </c>
      <c r="E513" s="340">
        <v>5000</v>
      </c>
      <c r="F513" s="423">
        <f>53</f>
        <v>53</v>
      </c>
      <c r="G513" s="423">
        <f>G512</f>
        <v>2</v>
      </c>
      <c r="H513" s="340">
        <f>E513*F513*G513</f>
        <v>530000</v>
      </c>
      <c r="I513" s="375">
        <f t="shared" si="33"/>
        <v>530000</v>
      </c>
      <c r="J513" s="334"/>
      <c r="L513" s="552"/>
      <c r="M513" s="289"/>
      <c r="N513" s="285"/>
      <c r="P513" s="285"/>
      <c r="R513" s="285"/>
    </row>
    <row r="514" spans="1:30" ht="24.75" customHeight="1">
      <c r="A514" s="351">
        <v>8.3000000000000007</v>
      </c>
      <c r="B514" s="520"/>
      <c r="C514" s="514"/>
      <c r="D514" s="550" t="s">
        <v>2257</v>
      </c>
      <c r="E514" s="340">
        <v>7000</v>
      </c>
      <c r="F514" s="423">
        <v>2</v>
      </c>
      <c r="G514" s="423">
        <f>G512</f>
        <v>2</v>
      </c>
      <c r="H514" s="340">
        <f t="shared" si="34"/>
        <v>28000</v>
      </c>
      <c r="I514" s="375">
        <f t="shared" si="33"/>
        <v>28000</v>
      </c>
      <c r="J514" s="551"/>
      <c r="L514" s="552"/>
      <c r="M514" s="289"/>
      <c r="N514" s="285"/>
      <c r="P514" s="285"/>
      <c r="R514" s="285"/>
    </row>
    <row r="515" spans="1:30" ht="18" customHeight="1">
      <c r="A515" s="351">
        <v>8.3000000000000007</v>
      </c>
      <c r="B515" s="520" t="s">
        <v>2265</v>
      </c>
      <c r="C515" s="514"/>
      <c r="D515" s="550" t="s">
        <v>2252</v>
      </c>
      <c r="E515" s="340">
        <v>30000</v>
      </c>
      <c r="F515" s="423">
        <v>2</v>
      </c>
      <c r="G515" s="423">
        <v>3</v>
      </c>
      <c r="H515" s="340">
        <f t="shared" si="34"/>
        <v>180000</v>
      </c>
      <c r="I515" s="375">
        <f t="shared" si="33"/>
        <v>180000</v>
      </c>
      <c r="J515" s="334"/>
      <c r="L515" s="552"/>
      <c r="M515" s="289"/>
      <c r="N515" s="285"/>
      <c r="P515" s="285"/>
      <c r="R515" s="285"/>
    </row>
    <row r="516" spans="1:30" ht="18" customHeight="1">
      <c r="A516" s="351">
        <v>8.3000000000000007</v>
      </c>
      <c r="B516" s="520"/>
      <c r="C516" s="514"/>
      <c r="D516" s="550" t="s">
        <v>2253</v>
      </c>
      <c r="E516" s="340">
        <v>45000</v>
      </c>
      <c r="F516" s="423">
        <v>53</v>
      </c>
      <c r="G516" s="423">
        <f>G515</f>
        <v>3</v>
      </c>
      <c r="H516" s="340">
        <f t="shared" si="34"/>
        <v>7155000</v>
      </c>
      <c r="I516" s="375">
        <f t="shared" si="33"/>
        <v>7155000</v>
      </c>
      <c r="J516" s="334"/>
      <c r="L516" s="552"/>
      <c r="M516" s="289"/>
      <c r="N516" s="285"/>
      <c r="P516" s="285"/>
      <c r="R516" s="285"/>
    </row>
    <row r="517" spans="1:30" ht="18" customHeight="1">
      <c r="A517" s="351">
        <v>8.3000000000000007</v>
      </c>
      <c r="B517" s="520"/>
      <c r="C517" s="514"/>
      <c r="D517" s="550" t="s">
        <v>2263</v>
      </c>
      <c r="E517" s="340">
        <v>5000</v>
      </c>
      <c r="F517" s="423">
        <f>53</f>
        <v>53</v>
      </c>
      <c r="G517" s="423">
        <f>G516</f>
        <v>3</v>
      </c>
      <c r="H517" s="340">
        <f t="shared" si="34"/>
        <v>795000</v>
      </c>
      <c r="I517" s="375">
        <f t="shared" si="33"/>
        <v>795000</v>
      </c>
      <c r="J517" s="334"/>
      <c r="L517" s="552"/>
      <c r="M517" s="289"/>
      <c r="N517" s="285"/>
      <c r="P517" s="285"/>
      <c r="R517" s="285"/>
    </row>
    <row r="518" spans="1:30" ht="18" customHeight="1">
      <c r="A518" s="351">
        <v>8.3000000000000007</v>
      </c>
      <c r="B518" s="520"/>
      <c r="C518" s="514"/>
      <c r="D518" s="550" t="s">
        <v>2257</v>
      </c>
      <c r="E518" s="340">
        <v>7000</v>
      </c>
      <c r="F518" s="423">
        <v>2</v>
      </c>
      <c r="G518" s="423">
        <f>G516</f>
        <v>3</v>
      </c>
      <c r="H518" s="340">
        <f t="shared" si="34"/>
        <v>42000</v>
      </c>
      <c r="I518" s="375">
        <f t="shared" si="33"/>
        <v>42000</v>
      </c>
      <c r="J518" s="334"/>
      <c r="L518" s="552"/>
      <c r="M518" s="289"/>
      <c r="N518" s="285"/>
      <c r="P518" s="285"/>
      <c r="R518" s="285"/>
    </row>
    <row r="519" spans="1:30" ht="18" customHeight="1">
      <c r="A519" s="351">
        <v>8.3000000000000007</v>
      </c>
      <c r="B519" s="520" t="s">
        <v>2266</v>
      </c>
      <c r="C519" s="514"/>
      <c r="D519" s="550" t="s">
        <v>2252</v>
      </c>
      <c r="E519" s="340">
        <v>30000</v>
      </c>
      <c r="F519" s="423">
        <v>2</v>
      </c>
      <c r="G519" s="423">
        <v>1</v>
      </c>
      <c r="H519" s="340">
        <f t="shared" si="34"/>
        <v>60000</v>
      </c>
      <c r="I519" s="375">
        <f t="shared" si="33"/>
        <v>60000</v>
      </c>
      <c r="J519" s="334"/>
      <c r="L519" s="552"/>
      <c r="M519" s="289"/>
      <c r="N519" s="285"/>
      <c r="P519" s="285"/>
      <c r="R519" s="285"/>
    </row>
    <row r="520" spans="1:30" ht="18" customHeight="1">
      <c r="A520" s="351">
        <v>8.3000000000000007</v>
      </c>
      <c r="B520" s="520"/>
      <c r="C520" s="514"/>
      <c r="D520" s="550" t="s">
        <v>2253</v>
      </c>
      <c r="E520" s="340">
        <v>45000</v>
      </c>
      <c r="F520" s="423">
        <v>53</v>
      </c>
      <c r="G520" s="423">
        <f>G519</f>
        <v>1</v>
      </c>
      <c r="H520" s="340">
        <f t="shared" si="34"/>
        <v>2385000</v>
      </c>
      <c r="I520" s="375">
        <f t="shared" si="33"/>
        <v>2385000</v>
      </c>
      <c r="J520" s="334"/>
      <c r="L520" s="552"/>
      <c r="M520" s="289"/>
      <c r="N520" s="285"/>
      <c r="P520" s="285"/>
      <c r="R520" s="285"/>
    </row>
    <row r="521" spans="1:30" ht="18" customHeight="1">
      <c r="A521" s="351">
        <v>8.3000000000000007</v>
      </c>
      <c r="B521" s="520"/>
      <c r="C521" s="514"/>
      <c r="D521" s="550" t="s">
        <v>2263</v>
      </c>
      <c r="E521" s="340">
        <v>5000</v>
      </c>
      <c r="F521" s="423">
        <v>53</v>
      </c>
      <c r="G521" s="423">
        <f>G520</f>
        <v>1</v>
      </c>
      <c r="H521" s="340">
        <f t="shared" si="34"/>
        <v>265000</v>
      </c>
      <c r="I521" s="375">
        <f t="shared" si="33"/>
        <v>265000</v>
      </c>
      <c r="J521" s="334"/>
      <c r="L521" s="552"/>
      <c r="M521" s="289"/>
      <c r="N521" s="285"/>
      <c r="P521" s="285"/>
      <c r="R521" s="285"/>
    </row>
    <row r="522" spans="1:30" ht="18" customHeight="1">
      <c r="A522" s="351">
        <v>8.3000000000000007</v>
      </c>
      <c r="B522" s="520"/>
      <c r="C522" s="514"/>
      <c r="D522" s="550" t="s">
        <v>2257</v>
      </c>
      <c r="E522" s="340">
        <v>3500</v>
      </c>
      <c r="F522" s="423">
        <v>2</v>
      </c>
      <c r="G522" s="423">
        <f>G520</f>
        <v>1</v>
      </c>
      <c r="H522" s="340">
        <f t="shared" si="34"/>
        <v>7000</v>
      </c>
      <c r="I522" s="375">
        <f t="shared" si="33"/>
        <v>7000</v>
      </c>
      <c r="J522" s="334"/>
      <c r="L522" s="552"/>
      <c r="M522" s="289"/>
      <c r="N522" s="285"/>
      <c r="P522" s="285"/>
      <c r="R522" s="285"/>
    </row>
    <row r="523" spans="1:30" ht="25.5" customHeight="1">
      <c r="A523" s="351">
        <v>13.3</v>
      </c>
      <c r="B523" s="520" t="s">
        <v>2267</v>
      </c>
      <c r="C523" s="514"/>
      <c r="D523" s="550" t="s">
        <v>2252</v>
      </c>
      <c r="E523" s="340">
        <v>30000</v>
      </c>
      <c r="F523" s="423">
        <v>2</v>
      </c>
      <c r="G523" s="423">
        <v>4</v>
      </c>
      <c r="H523" s="340">
        <f t="shared" si="34"/>
        <v>240000</v>
      </c>
      <c r="I523" s="375">
        <f t="shared" si="33"/>
        <v>240000</v>
      </c>
      <c r="J523" s="551"/>
      <c r="L523" s="552"/>
      <c r="M523" s="289"/>
      <c r="N523" s="285"/>
      <c r="P523" s="285"/>
      <c r="R523" s="285"/>
    </row>
    <row r="524" spans="1:30" ht="18" customHeight="1">
      <c r="A524" s="351">
        <v>13.3</v>
      </c>
      <c r="B524" s="520"/>
      <c r="C524" s="514"/>
      <c r="D524" s="550" t="s">
        <v>2253</v>
      </c>
      <c r="E524" s="340">
        <v>45000</v>
      </c>
      <c r="F524" s="423">
        <f>53</f>
        <v>53</v>
      </c>
      <c r="G524" s="423">
        <v>4</v>
      </c>
      <c r="H524" s="340">
        <f t="shared" si="34"/>
        <v>9540000</v>
      </c>
      <c r="I524" s="375">
        <f t="shared" si="33"/>
        <v>9540000</v>
      </c>
      <c r="J524" s="334"/>
      <c r="L524" s="552"/>
      <c r="M524" s="289"/>
      <c r="N524" s="285"/>
      <c r="P524" s="285"/>
      <c r="R524" s="285"/>
    </row>
    <row r="525" spans="1:30" ht="18" customHeight="1">
      <c r="A525" s="351">
        <v>13.3</v>
      </c>
      <c r="B525" s="520"/>
      <c r="C525" s="514"/>
      <c r="D525" s="550" t="s">
        <v>2263</v>
      </c>
      <c r="E525" s="340">
        <v>5000</v>
      </c>
      <c r="F525" s="423">
        <v>53</v>
      </c>
      <c r="G525" s="423">
        <f>G524</f>
        <v>4</v>
      </c>
      <c r="H525" s="340">
        <f t="shared" si="34"/>
        <v>1060000</v>
      </c>
      <c r="I525" s="375">
        <f t="shared" si="33"/>
        <v>1060000</v>
      </c>
      <c r="J525" s="334"/>
      <c r="L525" s="552"/>
      <c r="M525" s="289"/>
      <c r="N525" s="285"/>
      <c r="P525" s="285"/>
      <c r="R525" s="285"/>
    </row>
    <row r="526" spans="1:30" ht="26.25" customHeight="1">
      <c r="A526" s="351">
        <v>13.3</v>
      </c>
      <c r="B526" s="520"/>
      <c r="C526" s="514"/>
      <c r="D526" s="550" t="s">
        <v>2257</v>
      </c>
      <c r="E526" s="340">
        <v>7000</v>
      </c>
      <c r="F526" s="423">
        <v>2</v>
      </c>
      <c r="G526" s="423">
        <v>4</v>
      </c>
      <c r="H526" s="340">
        <f t="shared" si="34"/>
        <v>56000</v>
      </c>
      <c r="I526" s="375">
        <f t="shared" si="33"/>
        <v>56000</v>
      </c>
      <c r="J526" s="551"/>
      <c r="L526" s="552"/>
      <c r="M526" s="289"/>
      <c r="N526" s="285"/>
      <c r="P526" s="285"/>
      <c r="R526" s="285"/>
    </row>
    <row r="527" spans="1:30" ht="18" customHeight="1">
      <c r="A527" s="351">
        <v>13.3</v>
      </c>
      <c r="B527" s="520" t="s">
        <v>2268</v>
      </c>
      <c r="C527" s="514"/>
      <c r="D527" s="550" t="s">
        <v>2252</v>
      </c>
      <c r="E527" s="340">
        <v>30000</v>
      </c>
      <c r="F527" s="423">
        <f>2</f>
        <v>2</v>
      </c>
      <c r="G527" s="423">
        <v>3</v>
      </c>
      <c r="H527" s="340">
        <f t="shared" si="34"/>
        <v>180000</v>
      </c>
      <c r="I527" s="375">
        <f t="shared" si="33"/>
        <v>180000</v>
      </c>
      <c r="J527" s="334"/>
      <c r="L527" s="553"/>
      <c r="M527" s="289"/>
      <c r="N527" s="285"/>
      <c r="P527" s="285"/>
      <c r="R527" s="285"/>
    </row>
    <row r="528" spans="1:30" s="369" customFormat="1" ht="18" customHeight="1">
      <c r="A528" s="351">
        <v>13.3</v>
      </c>
      <c r="B528" s="520"/>
      <c r="C528" s="514"/>
      <c r="D528" s="550" t="s">
        <v>2253</v>
      </c>
      <c r="E528" s="340">
        <v>45000</v>
      </c>
      <c r="F528" s="423">
        <v>53</v>
      </c>
      <c r="G528" s="423">
        <v>3</v>
      </c>
      <c r="H528" s="340">
        <f t="shared" si="34"/>
        <v>7155000</v>
      </c>
      <c r="I528" s="375">
        <f t="shared" si="33"/>
        <v>7155000</v>
      </c>
      <c r="J528" s="334"/>
      <c r="K528" s="289"/>
      <c r="L528" s="554"/>
      <c r="M528" s="554"/>
      <c r="R528" s="370"/>
      <c r="V528" s="370"/>
      <c r="W528" s="307"/>
      <c r="X528" s="299"/>
      <c r="Y528" s="299"/>
      <c r="Z528" s="299"/>
      <c r="AA528" s="299"/>
      <c r="AB528" s="299"/>
      <c r="AC528" s="299"/>
      <c r="AD528" s="299"/>
    </row>
    <row r="529" spans="1:30" s="369" customFormat="1" ht="18" customHeight="1">
      <c r="A529" s="351">
        <v>13.3</v>
      </c>
      <c r="B529" s="520"/>
      <c r="C529" s="514"/>
      <c r="D529" s="550" t="s">
        <v>2263</v>
      </c>
      <c r="E529" s="340">
        <v>5000</v>
      </c>
      <c r="F529" s="423">
        <v>53</v>
      </c>
      <c r="G529" s="423">
        <f>G528</f>
        <v>3</v>
      </c>
      <c r="H529" s="340">
        <f t="shared" si="34"/>
        <v>795000</v>
      </c>
      <c r="I529" s="375">
        <f t="shared" si="33"/>
        <v>795000</v>
      </c>
      <c r="J529" s="334"/>
      <c r="K529" s="289"/>
      <c r="L529" s="554"/>
      <c r="M529" s="554"/>
      <c r="R529" s="370"/>
      <c r="V529" s="370"/>
      <c r="W529" s="307"/>
      <c r="X529" s="299"/>
      <c r="Y529" s="299"/>
      <c r="Z529" s="299"/>
      <c r="AA529" s="299"/>
      <c r="AB529" s="299"/>
      <c r="AC529" s="299"/>
      <c r="AD529" s="299"/>
    </row>
    <row r="530" spans="1:30" s="369" customFormat="1" ht="18" customHeight="1">
      <c r="A530" s="351">
        <v>13.3</v>
      </c>
      <c r="B530" s="520"/>
      <c r="C530" s="514"/>
      <c r="D530" s="555" t="s">
        <v>2257</v>
      </c>
      <c r="E530" s="340">
        <v>7000</v>
      </c>
      <c r="F530" s="423">
        <v>1</v>
      </c>
      <c r="G530" s="423">
        <f>G528</f>
        <v>3</v>
      </c>
      <c r="H530" s="340">
        <f t="shared" si="34"/>
        <v>21000</v>
      </c>
      <c r="I530" s="375">
        <f t="shared" si="33"/>
        <v>21000</v>
      </c>
      <c r="J530" s="334"/>
      <c r="K530" s="289"/>
      <c r="L530" s="554"/>
      <c r="M530" s="554"/>
      <c r="R530" s="370"/>
      <c r="V530" s="370"/>
      <c r="W530" s="307"/>
      <c r="X530" s="299"/>
      <c r="Y530" s="299"/>
      <c r="Z530" s="299"/>
      <c r="AA530" s="299"/>
      <c r="AB530" s="299"/>
      <c r="AC530" s="299"/>
      <c r="AD530" s="299"/>
    </row>
    <row r="531" spans="1:30" s="369" customFormat="1" ht="18" customHeight="1">
      <c r="A531" s="351">
        <v>8.3000000000000007</v>
      </c>
      <c r="B531" s="520" t="s">
        <v>2269</v>
      </c>
      <c r="C531" s="514" t="s">
        <v>2270</v>
      </c>
      <c r="D531" s="550" t="s">
        <v>2252</v>
      </c>
      <c r="E531" s="340">
        <v>30000</v>
      </c>
      <c r="F531" s="423">
        <v>2</v>
      </c>
      <c r="G531" s="423">
        <v>6</v>
      </c>
      <c r="H531" s="340">
        <f t="shared" si="34"/>
        <v>360000</v>
      </c>
      <c r="I531" s="375">
        <f t="shared" si="33"/>
        <v>360000</v>
      </c>
      <c r="J531" s="334"/>
      <c r="K531" s="289"/>
      <c r="L531" s="376"/>
      <c r="M531" s="376"/>
      <c r="R531" s="325"/>
      <c r="V531" s="370"/>
      <c r="W531" s="307"/>
      <c r="X531" s="299"/>
      <c r="Y531" s="299"/>
      <c r="Z531" s="299"/>
      <c r="AA531" s="299"/>
      <c r="AB531" s="299"/>
      <c r="AC531" s="299"/>
      <c r="AD531" s="299"/>
    </row>
    <row r="532" spans="1:30" s="369" customFormat="1" ht="18" customHeight="1">
      <c r="A532" s="351">
        <v>8.3000000000000007</v>
      </c>
      <c r="B532" s="520"/>
      <c r="C532" s="514"/>
      <c r="D532" s="550" t="s">
        <v>2263</v>
      </c>
      <c r="E532" s="340">
        <v>5000</v>
      </c>
      <c r="F532" s="423">
        <v>13</v>
      </c>
      <c r="G532" s="423">
        <f>G531</f>
        <v>6</v>
      </c>
      <c r="H532" s="340">
        <f t="shared" si="34"/>
        <v>390000</v>
      </c>
      <c r="I532" s="375">
        <f t="shared" si="33"/>
        <v>390000</v>
      </c>
      <c r="J532" s="334"/>
      <c r="K532" s="289"/>
      <c r="L532" s="376"/>
      <c r="M532" s="376"/>
      <c r="R532" s="325"/>
      <c r="V532" s="370"/>
      <c r="W532" s="307"/>
      <c r="X532" s="299"/>
      <c r="Y532" s="299"/>
      <c r="Z532" s="299"/>
      <c r="AA532" s="299"/>
      <c r="AB532" s="299"/>
      <c r="AC532" s="299"/>
      <c r="AD532" s="299"/>
    </row>
    <row r="533" spans="1:30" s="369" customFormat="1" ht="18" customHeight="1">
      <c r="A533" s="351">
        <v>8.3000000000000007</v>
      </c>
      <c r="B533" s="520"/>
      <c r="C533" s="514"/>
      <c r="D533" s="550" t="s">
        <v>2253</v>
      </c>
      <c r="E533" s="340">
        <v>45000</v>
      </c>
      <c r="F533" s="423">
        <v>14</v>
      </c>
      <c r="G533" s="423">
        <f>G532</f>
        <v>6</v>
      </c>
      <c r="H533" s="340">
        <f t="shared" si="34"/>
        <v>3780000</v>
      </c>
      <c r="I533" s="375">
        <f t="shared" si="33"/>
        <v>3780000</v>
      </c>
      <c r="J533" s="334"/>
      <c r="K533" s="289"/>
      <c r="L533" s="376"/>
      <c r="M533" s="376"/>
      <c r="R533" s="325"/>
      <c r="V533" s="370"/>
      <c r="W533" s="307"/>
      <c r="X533" s="299"/>
      <c r="Y533" s="299"/>
      <c r="Z533" s="299"/>
      <c r="AA533" s="299"/>
      <c r="AB533" s="299"/>
      <c r="AC533" s="299"/>
      <c r="AD533" s="299"/>
    </row>
    <row r="534" spans="1:30" s="369" customFormat="1" ht="25.5" customHeight="1">
      <c r="A534" s="351">
        <v>5.3</v>
      </c>
      <c r="B534" s="556" t="s">
        <v>2271</v>
      </c>
      <c r="C534" s="518" t="s">
        <v>2272</v>
      </c>
      <c r="D534" s="550" t="s">
        <v>2252</v>
      </c>
      <c r="E534" s="340">
        <v>30000</v>
      </c>
      <c r="F534" s="557">
        <v>2</v>
      </c>
      <c r="G534" s="557">
        <v>10</v>
      </c>
      <c r="H534" s="340">
        <f t="shared" si="34"/>
        <v>600000</v>
      </c>
      <c r="I534" s="375">
        <f t="shared" si="33"/>
        <v>600000</v>
      </c>
      <c r="J534" s="334"/>
      <c r="K534" s="289"/>
      <c r="L534" s="376"/>
      <c r="M534" s="376"/>
      <c r="R534" s="325"/>
      <c r="V534" s="370"/>
      <c r="W534" s="307"/>
      <c r="X534" s="299"/>
      <c r="Y534" s="299"/>
      <c r="Z534" s="299"/>
      <c r="AA534" s="299"/>
      <c r="AB534" s="299"/>
      <c r="AC534" s="299"/>
      <c r="AD534" s="299"/>
    </row>
    <row r="535" spans="1:30" s="369" customFormat="1" ht="18" customHeight="1">
      <c r="A535" s="351">
        <v>5.3</v>
      </c>
      <c r="B535" s="556"/>
      <c r="C535" s="518"/>
      <c r="D535" s="550" t="s">
        <v>2253</v>
      </c>
      <c r="E535" s="558">
        <v>45000</v>
      </c>
      <c r="F535" s="557">
        <v>4</v>
      </c>
      <c r="G535" s="557">
        <v>10</v>
      </c>
      <c r="H535" s="340">
        <f t="shared" si="34"/>
        <v>1800000</v>
      </c>
      <c r="I535" s="375">
        <f t="shared" si="33"/>
        <v>1800000</v>
      </c>
      <c r="J535" s="334"/>
      <c r="K535" s="289"/>
      <c r="L535" s="376"/>
      <c r="M535" s="376"/>
      <c r="R535" s="325"/>
      <c r="V535" s="370"/>
      <c r="W535" s="307"/>
      <c r="X535" s="299"/>
      <c r="Y535" s="299"/>
      <c r="Z535" s="299"/>
      <c r="AA535" s="299"/>
      <c r="AB535" s="299"/>
      <c r="AC535" s="299"/>
      <c r="AD535" s="299"/>
    </row>
    <row r="536" spans="1:30" s="369" customFormat="1" ht="14.25" customHeight="1">
      <c r="A536" s="351">
        <v>5.3</v>
      </c>
      <c r="B536" s="556"/>
      <c r="C536" s="518"/>
      <c r="D536" s="559" t="s">
        <v>2273</v>
      </c>
      <c r="E536" s="558">
        <v>18000</v>
      </c>
      <c r="F536" s="557">
        <v>3</v>
      </c>
      <c r="G536" s="557">
        <v>4</v>
      </c>
      <c r="H536" s="340">
        <f t="shared" si="34"/>
        <v>216000</v>
      </c>
      <c r="I536" s="375">
        <f t="shared" si="33"/>
        <v>216000</v>
      </c>
      <c r="J536" s="334"/>
      <c r="K536" s="560"/>
      <c r="L536" s="560"/>
      <c r="M536" s="560"/>
      <c r="N536" s="560"/>
      <c r="R536" s="325"/>
      <c r="V536" s="370"/>
      <c r="W536" s="307"/>
      <c r="X536" s="299"/>
      <c r="Y536" s="299"/>
      <c r="Z536" s="299"/>
      <c r="AA536" s="299"/>
      <c r="AB536" s="299"/>
      <c r="AC536" s="299"/>
      <c r="AD536" s="299"/>
    </row>
    <row r="537" spans="1:30" s="369" customFormat="1" ht="12" thickBot="1">
      <c r="A537" s="370"/>
      <c r="B537" s="561" t="str">
        <f>B486</f>
        <v>Total</v>
      </c>
      <c r="C537" s="562"/>
      <c r="D537" s="562"/>
      <c r="E537" s="562"/>
      <c r="F537" s="562"/>
      <c r="G537" s="562"/>
      <c r="H537" s="563">
        <f>SUM(H490:H536)</f>
        <v>113394000</v>
      </c>
      <c r="I537" s="375">
        <f>SUM(I490:I536)</f>
        <v>113394000</v>
      </c>
      <c r="J537" s="334"/>
      <c r="K537" s="289"/>
      <c r="L537" s="376"/>
      <c r="R537" s="325"/>
      <c r="V537" s="370"/>
      <c r="W537" s="307"/>
      <c r="X537" s="299"/>
      <c r="Y537" s="299"/>
      <c r="Z537" s="299"/>
      <c r="AA537" s="299"/>
      <c r="AB537" s="299"/>
      <c r="AC537" s="299"/>
      <c r="AD537" s="299"/>
    </row>
    <row r="538" spans="1:30" s="369" customFormat="1">
      <c r="A538" s="285"/>
      <c r="B538" s="285"/>
      <c r="C538" s="287"/>
      <c r="D538" s="287"/>
      <c r="E538" s="287"/>
      <c r="F538" s="285"/>
      <c r="G538" s="285"/>
      <c r="H538" s="285"/>
      <c r="I538" s="564"/>
      <c r="J538" s="326"/>
      <c r="K538" s="296"/>
      <c r="L538" s="296"/>
      <c r="Q538" s="325"/>
      <c r="U538" s="370"/>
      <c r="V538" s="307"/>
      <c r="W538" s="299"/>
      <c r="X538" s="299"/>
      <c r="Y538" s="299"/>
      <c r="Z538" s="299"/>
      <c r="AA538" s="299"/>
      <c r="AB538" s="299"/>
      <c r="AC538" s="299"/>
    </row>
    <row r="539" spans="1:30" s="369" customFormat="1" ht="12" thickBot="1">
      <c r="A539" s="285"/>
      <c r="B539" s="285"/>
      <c r="C539" s="287"/>
      <c r="D539" s="287"/>
      <c r="E539" s="287"/>
      <c r="F539" s="285"/>
      <c r="G539" s="565" t="s">
        <v>2274</v>
      </c>
      <c r="H539" s="565"/>
      <c r="I539" s="566">
        <v>411</v>
      </c>
      <c r="J539" s="285"/>
      <c r="K539" s="296"/>
      <c r="L539" s="325"/>
      <c r="Q539" s="325"/>
      <c r="U539" s="370"/>
      <c r="V539" s="307"/>
      <c r="W539" s="299"/>
      <c r="X539" s="299"/>
      <c r="Y539" s="299"/>
      <c r="Z539" s="299"/>
      <c r="AA539" s="299"/>
      <c r="AB539" s="299"/>
      <c r="AC539" s="299"/>
    </row>
    <row r="540" spans="1:30" s="369" customFormat="1" ht="13">
      <c r="A540" s="285"/>
      <c r="B540" s="567" t="s">
        <v>2275</v>
      </c>
      <c r="C540" s="568"/>
      <c r="D540" s="568"/>
      <c r="E540" s="568"/>
      <c r="F540" s="569"/>
      <c r="G540" s="570" t="s">
        <v>146</v>
      </c>
      <c r="H540" s="571">
        <f>F62+F73+F90+F105+F123+F140+F155+F170+F186+F199+F220+F236+F256+F275+F289+F309+F323+F334+G405+G451+H486+H537</f>
        <v>817467716.53600001</v>
      </c>
      <c r="I540" s="572">
        <f>G62+G73+G90+G105+G123+G140+G155+G170+G186+G199+G220+G236+G256+G275+G289+G309+G323+G334+H405+H451+I486+I537</f>
        <v>817467716.53600001</v>
      </c>
      <c r="J540" s="573">
        <f>I540*3.95</f>
        <v>3228997480.3172002</v>
      </c>
      <c r="K540" s="574"/>
      <c r="L540" s="296"/>
      <c r="Q540" s="325"/>
      <c r="U540" s="370"/>
      <c r="V540" s="307"/>
      <c r="W540" s="299"/>
      <c r="X540" s="299"/>
      <c r="Y540" s="299"/>
      <c r="Z540" s="299"/>
      <c r="AA540" s="299"/>
      <c r="AB540" s="299"/>
      <c r="AC540" s="299"/>
    </row>
    <row r="541" spans="1:30" s="369" customFormat="1" ht="12" thickBot="1">
      <c r="A541" s="285"/>
      <c r="B541" s="575"/>
      <c r="C541" s="576"/>
      <c r="D541" s="576"/>
      <c r="E541" s="576"/>
      <c r="F541" s="577"/>
      <c r="G541" s="578" t="s">
        <v>111</v>
      </c>
      <c r="H541" s="579">
        <f>H540/$I$539</f>
        <v>1988972.5463163017</v>
      </c>
      <c r="I541" s="580">
        <f>I540/$I$539</f>
        <v>1988972.5463163017</v>
      </c>
      <c r="J541" s="581">
        <v>6032066</v>
      </c>
      <c r="K541" s="325"/>
      <c r="L541" s="296"/>
      <c r="M541" s="582"/>
      <c r="Q541" s="325"/>
      <c r="U541" s="370"/>
      <c r="V541" s="307"/>
      <c r="W541" s="299"/>
      <c r="X541" s="299"/>
      <c r="Y541" s="299"/>
      <c r="Z541" s="299"/>
      <c r="AA541" s="299"/>
      <c r="AB541" s="299"/>
      <c r="AC541" s="299"/>
    </row>
    <row r="542" spans="1:30" s="369" customFormat="1">
      <c r="A542" s="285"/>
      <c r="B542" s="285"/>
      <c r="C542" s="287"/>
      <c r="D542" s="287"/>
      <c r="E542" s="287"/>
      <c r="F542" s="285"/>
      <c r="G542" s="285"/>
      <c r="H542" s="583" t="str">
        <f>H488</f>
        <v>KADUNA</v>
      </c>
      <c r="I542" s="326"/>
      <c r="J542" s="638">
        <f>J540/J541</f>
        <v>535.30539624685809</v>
      </c>
      <c r="K542" s="296"/>
      <c r="L542" s="296"/>
      <c r="M542" s="582"/>
      <c r="Q542" s="325"/>
      <c r="U542" s="370"/>
      <c r="V542" s="307"/>
      <c r="W542" s="299"/>
      <c r="X542" s="299"/>
      <c r="Y542" s="299"/>
      <c r="Z542" s="299"/>
      <c r="AA542" s="299"/>
      <c r="AB542" s="299"/>
      <c r="AC542" s="299"/>
    </row>
    <row r="543" spans="1:30" s="369" customFormat="1" ht="13">
      <c r="A543" s="285"/>
      <c r="B543" s="285"/>
      <c r="C543" s="287"/>
      <c r="D543" s="287"/>
      <c r="E543" s="287"/>
      <c r="F543" s="285"/>
      <c r="G543" s="285"/>
      <c r="H543" s="574"/>
      <c r="I543" s="574"/>
      <c r="J543" s="574"/>
      <c r="K543" s="296"/>
      <c r="L543" s="296"/>
      <c r="Q543" s="325"/>
      <c r="U543" s="370"/>
      <c r="V543" s="307"/>
      <c r="W543" s="299"/>
      <c r="X543" s="299"/>
      <c r="Y543" s="299"/>
      <c r="Z543" s="299"/>
      <c r="AA543" s="299"/>
      <c r="AB543" s="299"/>
      <c r="AC543" s="299"/>
    </row>
    <row r="544" spans="1:30" s="369" customFormat="1" ht="13">
      <c r="A544" s="285"/>
      <c r="B544" s="285"/>
      <c r="C544" s="287"/>
      <c r="D544" s="287"/>
      <c r="E544" s="287"/>
      <c r="F544" s="285"/>
      <c r="G544" s="285"/>
      <c r="H544" s="574"/>
      <c r="K544" s="296"/>
      <c r="L544" s="296"/>
      <c r="Q544" s="325"/>
      <c r="U544" s="370"/>
      <c r="V544" s="307"/>
      <c r="W544" s="299"/>
      <c r="X544" s="299"/>
      <c r="Y544" s="299"/>
      <c r="Z544" s="299"/>
      <c r="AA544" s="299"/>
      <c r="AB544" s="299"/>
      <c r="AC544" s="299"/>
    </row>
    <row r="545" spans="2:18">
      <c r="B545" s="584" t="s">
        <v>2276</v>
      </c>
      <c r="D545" s="1007" t="s">
        <v>2277</v>
      </c>
      <c r="E545" s="1007"/>
      <c r="F545" s="1007"/>
      <c r="G545" s="585">
        <v>1.3</v>
      </c>
      <c r="H545" s="586"/>
      <c r="K545" s="296"/>
      <c r="L545" s="285"/>
      <c r="M545" s="289"/>
      <c r="N545" s="285"/>
      <c r="O545" s="289"/>
      <c r="P545" s="285"/>
      <c r="Q545" s="289"/>
      <c r="R545" s="285"/>
    </row>
    <row r="546" spans="2:18">
      <c r="B546" s="584"/>
      <c r="D546" s="1007" t="s">
        <v>2278</v>
      </c>
      <c r="E546" s="1007"/>
      <c r="F546" s="1007"/>
      <c r="G546" s="585">
        <v>1.5</v>
      </c>
      <c r="H546" s="586">
        <f>H402</f>
        <v>262500</v>
      </c>
      <c r="K546" s="296"/>
    </row>
    <row r="547" spans="2:18">
      <c r="D547" s="1007" t="s">
        <v>2279</v>
      </c>
      <c r="E547" s="1007"/>
      <c r="F547" s="1007"/>
      <c r="G547" s="585">
        <v>3.1</v>
      </c>
      <c r="H547" s="586">
        <f>H339+H340+H341+H342+H403+H404</f>
        <v>2513198.625</v>
      </c>
      <c r="K547" s="587"/>
    </row>
    <row r="548" spans="2:18">
      <c r="D548" s="1007" t="s">
        <v>2280</v>
      </c>
      <c r="E548" s="1007"/>
      <c r="F548" s="1007"/>
      <c r="G548" s="585">
        <v>3.2</v>
      </c>
      <c r="H548" s="586">
        <f>H412+H413</f>
        <v>2038617.86</v>
      </c>
      <c r="K548" s="587"/>
    </row>
    <row r="549" spans="2:18">
      <c r="D549" s="1007" t="s">
        <v>2281</v>
      </c>
      <c r="E549" s="1007"/>
      <c r="F549" s="1007"/>
      <c r="G549" s="585">
        <v>3.3</v>
      </c>
      <c r="H549" s="586">
        <f>H410+H411+H449+I464+I465+I466+I473+I474+I475+I476</f>
        <v>26445144.5</v>
      </c>
      <c r="I549" s="338"/>
      <c r="J549" s="338"/>
    </row>
    <row r="550" spans="2:18">
      <c r="D550" s="1007" t="s">
        <v>2282</v>
      </c>
      <c r="E550" s="1007"/>
      <c r="F550" s="1007"/>
      <c r="G550" s="585">
        <v>3.5</v>
      </c>
      <c r="H550" s="586"/>
    </row>
    <row r="551" spans="2:18">
      <c r="D551" s="1015" t="s">
        <v>2283</v>
      </c>
      <c r="E551" s="1016"/>
      <c r="F551" s="1017"/>
      <c r="G551" s="585">
        <v>4.0999999999999996</v>
      </c>
      <c r="H551" s="586">
        <f>H375</f>
        <v>351212.4</v>
      </c>
    </row>
    <row r="552" spans="2:18">
      <c r="D552" s="1007" t="s">
        <v>2284</v>
      </c>
      <c r="E552" s="1007"/>
      <c r="F552" s="1007"/>
      <c r="G552" s="585">
        <v>4.3</v>
      </c>
      <c r="H552" s="586">
        <f>G53+G56+G57+G58+G59+G60+G85+G87+G88+G101+G103+G104+G117+G118+G119+G120+G121+G135+G137+G138+G150+G151+G152+G153+G165+G166+G167+G168+G169+G181+G182+G183+G184+G185+G196+G197+G198+G211+G212+G213+G214+G215+G216+G217+G231+G232+G233+G234+G248+G249+G250+G251+G252+G253+G254+G268+G269+G270+G271+G272+G273+G274+G285+G286+G287+G288+G301+G302+G303+G304+G305+G306+G307+G319+G320+G321+G322+G332+G333</f>
        <v>59730100</v>
      </c>
    </row>
    <row r="553" spans="2:18">
      <c r="D553" s="1007" t="s">
        <v>2285</v>
      </c>
      <c r="E553" s="1007"/>
      <c r="F553" s="1007"/>
      <c r="G553" s="585">
        <v>4.4000000000000004</v>
      </c>
      <c r="H553" s="586">
        <f>G46+G47+G48+G49+G50+G51+G52+G54+G55+G61+G69+G70+G71+G72+G82+G83+G84+G86+G89+G98+G99+G100+G102+G113+G114+G115+G116+G122+G131+G132+G133+G134+G136+G139+G147+G148+G149+G154+G163+G164+G178+G179+G180+G193+G194+G195+G208+G209+G210+G218+G219+G228+G229+G230+G235+G245+G246+G247+G255+G265+G266+G267+G283+G284+G298+G299+G300+G308+G317+G318+G330+G331+H356+H374+H399+H446</f>
        <v>101489233.75</v>
      </c>
      <c r="K553" s="588"/>
    </row>
    <row r="554" spans="2:18">
      <c r="D554" s="1007" t="s">
        <v>2286</v>
      </c>
      <c r="E554" s="1007"/>
      <c r="F554" s="1007"/>
      <c r="G554" s="589" t="s">
        <v>2287</v>
      </c>
      <c r="H554" s="586">
        <f>H344+H345+H346+H347+H348+H349+H350+H351+H415+H416+H417+H418+H419+H420+H421+H422+H423+H424+H425+H426+H427+H428+H429+H430+H431+H432+H433+H434+H435+H436+H437+H438+H439+H440+H441</f>
        <v>57466977.549999997</v>
      </c>
      <c r="K554" s="590"/>
    </row>
    <row r="555" spans="2:18">
      <c r="D555" s="1007" t="s">
        <v>2288</v>
      </c>
      <c r="E555" s="1007"/>
      <c r="F555" s="1007"/>
      <c r="G555" s="585">
        <v>5.3</v>
      </c>
      <c r="H555" s="586">
        <f>I467+I472+I479+I534+I535+I536</f>
        <v>57241600</v>
      </c>
      <c r="K555" s="323"/>
    </row>
    <row r="556" spans="2:18">
      <c r="D556" s="1007" t="s">
        <v>2289</v>
      </c>
      <c r="E556" s="1007"/>
      <c r="F556" s="1007"/>
      <c r="G556" s="585">
        <v>6.1</v>
      </c>
      <c r="H556" s="586">
        <f>H353+H354+H355+H357+H358+H359+H360+H361+H362+H363+H364+H365+H366</f>
        <v>8012991.7875000006</v>
      </c>
      <c r="K556" s="323"/>
    </row>
    <row r="557" spans="2:18">
      <c r="D557" s="1007" t="s">
        <v>2290</v>
      </c>
      <c r="E557" s="1007"/>
      <c r="F557" s="1007"/>
      <c r="G557" s="585">
        <v>6.3</v>
      </c>
      <c r="H557" s="586">
        <f>I480</f>
        <v>108004400</v>
      </c>
      <c r="K557" s="323"/>
    </row>
    <row r="558" spans="2:18">
      <c r="D558" s="1007" t="s">
        <v>2291</v>
      </c>
      <c r="E558" s="1007"/>
      <c r="F558" s="1007"/>
      <c r="G558" s="585">
        <v>7.1</v>
      </c>
      <c r="H558" s="586">
        <f>H367+H368+H369+H370+H371+H372+H373+H376+H377+H378</f>
        <v>2800235.676</v>
      </c>
    </row>
    <row r="559" spans="2:18">
      <c r="D559" s="1007" t="s">
        <v>2292</v>
      </c>
      <c r="E559" s="1007"/>
      <c r="F559" s="1007"/>
      <c r="G559" s="585">
        <v>7.3</v>
      </c>
      <c r="H559" s="586">
        <f>H450+I481+I482+I483+I484</f>
        <v>116719600</v>
      </c>
    </row>
    <row r="560" spans="2:18">
      <c r="D560" s="1007" t="s">
        <v>2293</v>
      </c>
      <c r="E560" s="1007"/>
      <c r="F560" s="1007"/>
      <c r="G560" s="585">
        <v>7.5</v>
      </c>
      <c r="H560" s="586"/>
    </row>
    <row r="561" spans="4:12">
      <c r="D561" s="1007" t="s">
        <v>2294</v>
      </c>
      <c r="E561" s="1007"/>
      <c r="F561" s="1007"/>
      <c r="G561" s="585">
        <v>8.1</v>
      </c>
      <c r="H561" s="586">
        <f>H393+H394+H395+H447+H448</f>
        <v>27582972.300000001</v>
      </c>
    </row>
    <row r="562" spans="4:12">
      <c r="D562" s="1007" t="s">
        <v>2295</v>
      </c>
      <c r="E562" s="1007"/>
      <c r="F562" s="1007"/>
      <c r="G562" s="585">
        <v>8.3000000000000007</v>
      </c>
      <c r="H562" s="586">
        <f>I456+I457+I458+I459+I460+I462+I463+I468+I469+I470+I471+I477+I478+I485+I490+I491+I492+I493+I494+I495+I496+I497+I498+I499+I500+I501+I502+I503+I504+I505+I506+I507+I508+I509+I510+I511+I512+I513+I514+I515+I516+I517+I518+I519+I520+I521+I522+I531+I532+I533</f>
        <v>213622700</v>
      </c>
    </row>
    <row r="563" spans="4:12">
      <c r="D563" s="1007" t="s">
        <v>2296</v>
      </c>
      <c r="E563" s="1007"/>
      <c r="F563" s="1007"/>
      <c r="G563" s="585">
        <v>8.4</v>
      </c>
      <c r="H563" s="586">
        <f>H443+H444+H445</f>
        <v>6337000</v>
      </c>
    </row>
    <row r="564" spans="4:12">
      <c r="D564" s="1007" t="s">
        <v>2297</v>
      </c>
      <c r="E564" s="1007"/>
      <c r="F564" s="1007"/>
      <c r="G564" s="585">
        <v>8.5</v>
      </c>
      <c r="H564" s="586"/>
    </row>
    <row r="565" spans="4:12">
      <c r="D565" s="1007" t="s">
        <v>2298</v>
      </c>
      <c r="E565" s="1007"/>
      <c r="F565" s="1007"/>
      <c r="G565" s="585">
        <v>9.1</v>
      </c>
      <c r="H565" s="586">
        <f>H397+H398</f>
        <v>0</v>
      </c>
    </row>
    <row r="566" spans="4:12">
      <c r="D566" s="1007" t="s">
        <v>2299</v>
      </c>
      <c r="E566" s="1007"/>
      <c r="F566" s="1007"/>
      <c r="G566" s="585">
        <v>9.3000000000000007</v>
      </c>
      <c r="H566" s="586"/>
    </row>
    <row r="567" spans="4:12">
      <c r="D567" s="1007" t="s">
        <v>2300</v>
      </c>
      <c r="E567" s="1007"/>
      <c r="F567" s="1007"/>
      <c r="G567" s="585">
        <v>10.1</v>
      </c>
      <c r="H567" s="586">
        <f>H401</f>
        <v>168000</v>
      </c>
    </row>
    <row r="568" spans="4:12">
      <c r="D568" s="1007" t="s">
        <v>2301</v>
      </c>
      <c r="E568" s="1007"/>
      <c r="F568" s="1007"/>
      <c r="G568" s="585">
        <v>10.199999999999999</v>
      </c>
      <c r="H568" s="586"/>
    </row>
    <row r="569" spans="4:12">
      <c r="D569" s="1007" t="s">
        <v>2302</v>
      </c>
      <c r="E569" s="1007"/>
      <c r="F569" s="1007"/>
      <c r="G569" s="585">
        <v>10.3</v>
      </c>
      <c r="H569" s="586"/>
    </row>
    <row r="570" spans="4:12">
      <c r="D570" s="1019" t="s">
        <v>2303</v>
      </c>
      <c r="E570" s="1019"/>
      <c r="F570" s="1019"/>
      <c r="G570" s="591">
        <v>10.5</v>
      </c>
      <c r="H570" s="592"/>
      <c r="K570" s="581"/>
    </row>
    <row r="571" spans="4:12">
      <c r="D571" s="1018" t="s">
        <v>2304</v>
      </c>
      <c r="E571" s="1018"/>
      <c r="F571" s="1018"/>
      <c r="G571" s="585">
        <v>12.1</v>
      </c>
      <c r="H571" s="586">
        <f>H380+H381+H383+H384+H385+H386+H387+H388+H389+H391</f>
        <v>3730733.5125000002</v>
      </c>
      <c r="L571" s="310"/>
    </row>
    <row r="572" spans="4:12">
      <c r="D572" s="1018" t="s">
        <v>2305</v>
      </c>
      <c r="E572" s="1018"/>
      <c r="F572" s="1018"/>
      <c r="G572" s="585">
        <v>12.3</v>
      </c>
      <c r="H572" s="586">
        <f>I461</f>
        <v>3896000</v>
      </c>
      <c r="L572" s="310"/>
    </row>
    <row r="573" spans="4:12" ht="14.25" customHeight="1">
      <c r="D573" s="1018" t="s">
        <v>2306</v>
      </c>
      <c r="E573" s="1018"/>
      <c r="F573" s="1018"/>
      <c r="G573" s="585">
        <v>12.4</v>
      </c>
      <c r="H573" s="586">
        <f>H382+H390</f>
        <v>7498.5750000000007</v>
      </c>
      <c r="I573" s="338"/>
      <c r="J573" s="338"/>
    </row>
    <row r="574" spans="4:12" ht="13.5" customHeight="1" thickBot="1">
      <c r="D574" s="1018" t="s">
        <v>2307</v>
      </c>
      <c r="E574" s="1018"/>
      <c r="F574" s="1018"/>
      <c r="G574" s="585">
        <v>13.3</v>
      </c>
      <c r="H574" s="592">
        <f>I523+I524+I525+I526+I527+I528+I529+I530</f>
        <v>19047000</v>
      </c>
    </row>
    <row r="575" spans="4:12" ht="12" thickBot="1">
      <c r="F575" s="590"/>
      <c r="G575" s="593"/>
      <c r="H575" s="594">
        <f>SUM(H545:H574)</f>
        <v>817467716.53600001</v>
      </c>
      <c r="I575" s="338"/>
      <c r="J575" s="338"/>
    </row>
    <row r="576" spans="4:12">
      <c r="F576" s="590"/>
      <c r="G576" s="593"/>
      <c r="H576" s="581"/>
      <c r="I576" s="338"/>
      <c r="J576" s="338"/>
    </row>
    <row r="577" spans="6:10">
      <c r="F577" s="593">
        <v>2763704.267319079</v>
      </c>
      <c r="G577" s="593">
        <v>58522600</v>
      </c>
      <c r="I577" s="338"/>
      <c r="J577" s="338"/>
    </row>
    <row r="578" spans="6:10">
      <c r="F578" s="587">
        <f>G578/I539</f>
        <v>2131363.3005742091</v>
      </c>
      <c r="G578" s="595">
        <f>G577+I540</f>
        <v>875990316.53600001</v>
      </c>
    </row>
    <row r="579" spans="6:10">
      <c r="F579" s="587">
        <f>F577-F578</f>
        <v>632340.96674486995</v>
      </c>
      <c r="G579" s="593">
        <f>G578/'[4] Micro quantification'!E30</f>
        <v>158.98831432700192</v>
      </c>
      <c r="H579" s="310"/>
      <c r="I579" s="348"/>
      <c r="J579" s="348"/>
    </row>
    <row r="580" spans="6:10">
      <c r="F580" s="590"/>
      <c r="G580" s="593">
        <f>G579/I539</f>
        <v>0.38683288157421392</v>
      </c>
      <c r="H580" s="310"/>
    </row>
    <row r="581" spans="6:10">
      <c r="F581" s="289"/>
      <c r="G581" s="349"/>
    </row>
    <row r="583" spans="6:10">
      <c r="F583" s="348"/>
    </row>
  </sheetData>
  <mergeCells count="307">
    <mergeCell ref="D574:F574"/>
    <mergeCell ref="D568:F568"/>
    <mergeCell ref="D569:F569"/>
    <mergeCell ref="D570:F570"/>
    <mergeCell ref="D571:F571"/>
    <mergeCell ref="D572:F572"/>
    <mergeCell ref="D573:F573"/>
    <mergeCell ref="D562:F562"/>
    <mergeCell ref="D563:F563"/>
    <mergeCell ref="D564:F564"/>
    <mergeCell ref="D565:F565"/>
    <mergeCell ref="D566:F566"/>
    <mergeCell ref="D567:F567"/>
    <mergeCell ref="D556:F556"/>
    <mergeCell ref="D557:F557"/>
    <mergeCell ref="D558:F558"/>
    <mergeCell ref="D559:F559"/>
    <mergeCell ref="D560:F560"/>
    <mergeCell ref="D561:F561"/>
    <mergeCell ref="D550:F550"/>
    <mergeCell ref="D551:F551"/>
    <mergeCell ref="D552:F552"/>
    <mergeCell ref="D553:F553"/>
    <mergeCell ref="D554:F554"/>
    <mergeCell ref="D555:F555"/>
    <mergeCell ref="L500:L502"/>
    <mergeCell ref="D545:F545"/>
    <mergeCell ref="D546:F546"/>
    <mergeCell ref="D547:F547"/>
    <mergeCell ref="D548:F548"/>
    <mergeCell ref="D549:F549"/>
    <mergeCell ref="A408:C408"/>
    <mergeCell ref="F408:G408"/>
    <mergeCell ref="B415:D415"/>
    <mergeCell ref="B420:D420"/>
    <mergeCell ref="B444:D444"/>
    <mergeCell ref="B451:E451"/>
    <mergeCell ref="B333:D333"/>
    <mergeCell ref="B334:E334"/>
    <mergeCell ref="A337:C337"/>
    <mergeCell ref="F337:G337"/>
    <mergeCell ref="I360:I361"/>
    <mergeCell ref="B405:E405"/>
    <mergeCell ref="B327:D327"/>
    <mergeCell ref="B328:D328"/>
    <mergeCell ref="B329:D329"/>
    <mergeCell ref="B330:D330"/>
    <mergeCell ref="B331:D331"/>
    <mergeCell ref="B332:D332"/>
    <mergeCell ref="B320:D320"/>
    <mergeCell ref="B321:D321"/>
    <mergeCell ref="B322:D322"/>
    <mergeCell ref="B323:E323"/>
    <mergeCell ref="B325:D325"/>
    <mergeCell ref="B326:D326"/>
    <mergeCell ref="B314:D314"/>
    <mergeCell ref="B315:D315"/>
    <mergeCell ref="B316:D316"/>
    <mergeCell ref="B317:D317"/>
    <mergeCell ref="B318:D318"/>
    <mergeCell ref="B319:D319"/>
    <mergeCell ref="B307:D307"/>
    <mergeCell ref="B308:D308"/>
    <mergeCell ref="B309:E309"/>
    <mergeCell ref="B311:D311"/>
    <mergeCell ref="B312:D312"/>
    <mergeCell ref="B313:D313"/>
    <mergeCell ref="B300:D300"/>
    <mergeCell ref="B301:D301"/>
    <mergeCell ref="B302:D302"/>
    <mergeCell ref="B303:D303"/>
    <mergeCell ref="B304:D304"/>
    <mergeCell ref="B305:D305"/>
    <mergeCell ref="B294:D294"/>
    <mergeCell ref="B295:D295"/>
    <mergeCell ref="B296:D296"/>
    <mergeCell ref="B297:D297"/>
    <mergeCell ref="B298:D298"/>
    <mergeCell ref="B299:D299"/>
    <mergeCell ref="B287:D287"/>
    <mergeCell ref="B288:D288"/>
    <mergeCell ref="B289:E289"/>
    <mergeCell ref="B291:D291"/>
    <mergeCell ref="B292:D292"/>
    <mergeCell ref="B293:D293"/>
    <mergeCell ref="B281:D281"/>
    <mergeCell ref="B282:D282"/>
    <mergeCell ref="B283:D283"/>
    <mergeCell ref="B284:D284"/>
    <mergeCell ref="B285:D285"/>
    <mergeCell ref="B286:D286"/>
    <mergeCell ref="B274:D274"/>
    <mergeCell ref="B275:E275"/>
    <mergeCell ref="B277:D277"/>
    <mergeCell ref="B278:D278"/>
    <mergeCell ref="B279:D279"/>
    <mergeCell ref="B280:D280"/>
    <mergeCell ref="B267:D267"/>
    <mergeCell ref="B268:D268"/>
    <mergeCell ref="B269:D269"/>
    <mergeCell ref="B270:D270"/>
    <mergeCell ref="B271:D271"/>
    <mergeCell ref="B273:D273"/>
    <mergeCell ref="B261:D261"/>
    <mergeCell ref="B262:D262"/>
    <mergeCell ref="B263:D263"/>
    <mergeCell ref="B264:D264"/>
    <mergeCell ref="B265:D265"/>
    <mergeCell ref="B266:D266"/>
    <mergeCell ref="B252:D252"/>
    <mergeCell ref="B255:D255"/>
    <mergeCell ref="B256:E256"/>
    <mergeCell ref="B258:D258"/>
    <mergeCell ref="B259:D259"/>
    <mergeCell ref="B260:D260"/>
    <mergeCell ref="B246:D246"/>
    <mergeCell ref="B247:D247"/>
    <mergeCell ref="B248:D248"/>
    <mergeCell ref="B249:D249"/>
    <mergeCell ref="B250:D250"/>
    <mergeCell ref="B251:D251"/>
    <mergeCell ref="B240:D240"/>
    <mergeCell ref="B241:D241"/>
    <mergeCell ref="B242:D242"/>
    <mergeCell ref="B243:D243"/>
    <mergeCell ref="B244:D244"/>
    <mergeCell ref="B245:D245"/>
    <mergeCell ref="B233:D233"/>
    <mergeCell ref="B234:D234"/>
    <mergeCell ref="B235:D235"/>
    <mergeCell ref="B236:E236"/>
    <mergeCell ref="B238:D238"/>
    <mergeCell ref="B239:D239"/>
    <mergeCell ref="B227:D227"/>
    <mergeCell ref="B228:D228"/>
    <mergeCell ref="B229:D229"/>
    <mergeCell ref="B230:D230"/>
    <mergeCell ref="B231:D231"/>
    <mergeCell ref="B232:D232"/>
    <mergeCell ref="B220:E220"/>
    <mergeCell ref="B222:D222"/>
    <mergeCell ref="B223:D223"/>
    <mergeCell ref="B224:D224"/>
    <mergeCell ref="B225:D225"/>
    <mergeCell ref="B226:D226"/>
    <mergeCell ref="B214:D214"/>
    <mergeCell ref="B215:D215"/>
    <mergeCell ref="B216:D216"/>
    <mergeCell ref="B217:D217"/>
    <mergeCell ref="B218:D218"/>
    <mergeCell ref="B219:D219"/>
    <mergeCell ref="B208:D208"/>
    <mergeCell ref="B209:D209"/>
    <mergeCell ref="B210:D210"/>
    <mergeCell ref="B211:D211"/>
    <mergeCell ref="B212:D212"/>
    <mergeCell ref="B213:D213"/>
    <mergeCell ref="B202:D202"/>
    <mergeCell ref="B203:D203"/>
    <mergeCell ref="B204:D204"/>
    <mergeCell ref="B205:D205"/>
    <mergeCell ref="B206:D206"/>
    <mergeCell ref="B207:D207"/>
    <mergeCell ref="B194:D194"/>
    <mergeCell ref="B195:D195"/>
    <mergeCell ref="B196:D196"/>
    <mergeCell ref="B198:D198"/>
    <mergeCell ref="B199:E199"/>
    <mergeCell ref="B201:D201"/>
    <mergeCell ref="B186:E186"/>
    <mergeCell ref="B188:D188"/>
    <mergeCell ref="B189:D189"/>
    <mergeCell ref="B190:D190"/>
    <mergeCell ref="B191:D191"/>
    <mergeCell ref="B192:D192"/>
    <mergeCell ref="B179:D179"/>
    <mergeCell ref="B180:D180"/>
    <mergeCell ref="B181:D181"/>
    <mergeCell ref="B182:D182"/>
    <mergeCell ref="B184:D184"/>
    <mergeCell ref="B185:D185"/>
    <mergeCell ref="B173:D173"/>
    <mergeCell ref="B174:D174"/>
    <mergeCell ref="B175:D175"/>
    <mergeCell ref="B176:D176"/>
    <mergeCell ref="B177:D177"/>
    <mergeCell ref="B178:D178"/>
    <mergeCell ref="B165:D165"/>
    <mergeCell ref="B166:D166"/>
    <mergeCell ref="B168:D168"/>
    <mergeCell ref="B169:D169"/>
    <mergeCell ref="B170:E170"/>
    <mergeCell ref="B172:D172"/>
    <mergeCell ref="B159:D159"/>
    <mergeCell ref="B160:D160"/>
    <mergeCell ref="B161:D161"/>
    <mergeCell ref="B162:D162"/>
    <mergeCell ref="B163:D163"/>
    <mergeCell ref="B164:D164"/>
    <mergeCell ref="B152:D152"/>
    <mergeCell ref="B153:D153"/>
    <mergeCell ref="B154:D154"/>
    <mergeCell ref="B155:E155"/>
    <mergeCell ref="B157:D157"/>
    <mergeCell ref="B158:D158"/>
    <mergeCell ref="B146:D146"/>
    <mergeCell ref="B147:D147"/>
    <mergeCell ref="B148:D148"/>
    <mergeCell ref="B149:D149"/>
    <mergeCell ref="B150:D150"/>
    <mergeCell ref="B151:D151"/>
    <mergeCell ref="B139:D139"/>
    <mergeCell ref="B140:E140"/>
    <mergeCell ref="B142:D142"/>
    <mergeCell ref="B143:D143"/>
    <mergeCell ref="B144:D144"/>
    <mergeCell ref="B145:D145"/>
    <mergeCell ref="B132:D132"/>
    <mergeCell ref="B133:D133"/>
    <mergeCell ref="B134:D134"/>
    <mergeCell ref="B135:D135"/>
    <mergeCell ref="B137:D137"/>
    <mergeCell ref="B138:D138"/>
    <mergeCell ref="B125:D125"/>
    <mergeCell ref="B126:D126"/>
    <mergeCell ref="B127:D127"/>
    <mergeCell ref="B129:D129"/>
    <mergeCell ref="B130:D130"/>
    <mergeCell ref="B131:D131"/>
    <mergeCell ref="B118:D118"/>
    <mergeCell ref="B119:D119"/>
    <mergeCell ref="B120:D120"/>
    <mergeCell ref="B121:D121"/>
    <mergeCell ref="B122:D122"/>
    <mergeCell ref="B123:E123"/>
    <mergeCell ref="B112:D112"/>
    <mergeCell ref="B113:D113"/>
    <mergeCell ref="B114:D114"/>
    <mergeCell ref="B115:D115"/>
    <mergeCell ref="B116:D116"/>
    <mergeCell ref="B117:D117"/>
    <mergeCell ref="B104:D104"/>
    <mergeCell ref="B105:E105"/>
    <mergeCell ref="B107:D107"/>
    <mergeCell ref="B108:D108"/>
    <mergeCell ref="B109:D109"/>
    <mergeCell ref="B111:D111"/>
    <mergeCell ref="B98:D98"/>
    <mergeCell ref="B99:D99"/>
    <mergeCell ref="B100:D100"/>
    <mergeCell ref="B101:D101"/>
    <mergeCell ref="B102:D102"/>
    <mergeCell ref="B103:D103"/>
    <mergeCell ref="B90:E90"/>
    <mergeCell ref="B92:D92"/>
    <mergeCell ref="B93:D93"/>
    <mergeCell ref="B94:D94"/>
    <mergeCell ref="B96:D96"/>
    <mergeCell ref="B97:D97"/>
    <mergeCell ref="B84:D84"/>
    <mergeCell ref="B85:D85"/>
    <mergeCell ref="B86:D86"/>
    <mergeCell ref="B87:D87"/>
    <mergeCell ref="B88:D88"/>
    <mergeCell ref="B89:D89"/>
    <mergeCell ref="B78:D78"/>
    <mergeCell ref="B79:D79"/>
    <mergeCell ref="B80:D80"/>
    <mergeCell ref="B81:D81"/>
    <mergeCell ref="B82:D82"/>
    <mergeCell ref="B83:D83"/>
    <mergeCell ref="B71:D71"/>
    <mergeCell ref="B72:D72"/>
    <mergeCell ref="B73:E73"/>
    <mergeCell ref="B75:D75"/>
    <mergeCell ref="B76:D76"/>
    <mergeCell ref="B77:D77"/>
    <mergeCell ref="B65:D65"/>
    <mergeCell ref="B66:D66"/>
    <mergeCell ref="B67:D67"/>
    <mergeCell ref="B68:D68"/>
    <mergeCell ref="B69:D69"/>
    <mergeCell ref="B70:D70"/>
    <mergeCell ref="B58:D58"/>
    <mergeCell ref="B59:D59"/>
    <mergeCell ref="B60:D60"/>
    <mergeCell ref="B61:D61"/>
    <mergeCell ref="B62:E62"/>
    <mergeCell ref="B64:D64"/>
    <mergeCell ref="B55:D55"/>
    <mergeCell ref="B56:D56"/>
    <mergeCell ref="B57:D57"/>
    <mergeCell ref="B46:D46"/>
    <mergeCell ref="B47:D47"/>
    <mergeCell ref="B48:D48"/>
    <mergeCell ref="B49:D49"/>
    <mergeCell ref="B50:D50"/>
    <mergeCell ref="B51:D51"/>
    <mergeCell ref="B39:D39"/>
    <mergeCell ref="B40:D40"/>
    <mergeCell ref="B41:D41"/>
    <mergeCell ref="B42:D42"/>
    <mergeCell ref="B43:D43"/>
    <mergeCell ref="B44:D44"/>
    <mergeCell ref="B52:D52"/>
    <mergeCell ref="B53:D53"/>
    <mergeCell ref="B54:D5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33071-35F0-491C-80EC-9FB37BEBB9CA}">
  <dimension ref="B2:I58"/>
  <sheetViews>
    <sheetView topLeftCell="A31" zoomScale="61" zoomScaleNormal="70" workbookViewId="0">
      <selection activeCell="I43" sqref="I43"/>
    </sheetView>
  </sheetViews>
  <sheetFormatPr defaultColWidth="9.08984375" defaultRowHeight="14.5"/>
  <cols>
    <col min="1" max="1" width="9.08984375" style="688"/>
    <col min="2" max="2" width="57.7265625" style="688" bestFit="1" customWidth="1"/>
    <col min="3" max="3" width="29.26953125" style="688" customWidth="1"/>
    <col min="4" max="4" width="16.08984375" style="688" customWidth="1"/>
    <col min="5" max="5" width="48.08984375" style="689" bestFit="1" customWidth="1"/>
    <col min="6" max="6" width="17.54296875" style="688" customWidth="1"/>
    <col min="7" max="7" width="46.08984375" style="688" customWidth="1"/>
    <col min="8" max="8" width="10.81640625" style="688" bestFit="1" customWidth="1"/>
    <col min="9" max="16384" width="9.08984375" style="688"/>
  </cols>
  <sheetData>
    <row r="2" spans="2:8" ht="29">
      <c r="B2" s="690" t="s">
        <v>2452</v>
      </c>
      <c r="C2" s="691" t="s">
        <v>2248</v>
      </c>
      <c r="D2" s="1031" t="s">
        <v>2453</v>
      </c>
      <c r="E2" s="1032"/>
      <c r="F2" s="691" t="s">
        <v>2454</v>
      </c>
      <c r="G2" s="690" t="s">
        <v>87</v>
      </c>
    </row>
    <row r="3" spans="2:8">
      <c r="B3" s="692" t="s">
        <v>2455</v>
      </c>
      <c r="C3" s="693" t="s">
        <v>2456</v>
      </c>
      <c r="D3" s="1033">
        <v>0.36</v>
      </c>
      <c r="E3" s="1034"/>
      <c r="F3" s="694">
        <f>D3</f>
        <v>0.36</v>
      </c>
      <c r="G3" s="692" t="s">
        <v>2457</v>
      </c>
    </row>
    <row r="4" spans="2:8">
      <c r="B4" s="692" t="s">
        <v>2455</v>
      </c>
      <c r="C4" s="693" t="s">
        <v>2458</v>
      </c>
      <c r="D4" s="1035">
        <f>(0.48+0.67)/2</f>
        <v>0.57499999999999996</v>
      </c>
      <c r="E4" s="1036"/>
      <c r="F4" s="695">
        <f>D4</f>
        <v>0.57499999999999996</v>
      </c>
      <c r="G4" s="692" t="s">
        <v>2457</v>
      </c>
    </row>
    <row r="5" spans="2:8">
      <c r="B5" s="692" t="s">
        <v>2455</v>
      </c>
      <c r="C5" s="693" t="s">
        <v>2459</v>
      </c>
      <c r="D5" s="1033">
        <v>0.55000000000000004</v>
      </c>
      <c r="E5" s="1034"/>
      <c r="F5" s="694">
        <f t="shared" ref="F5:F15" si="0">D5</f>
        <v>0.55000000000000004</v>
      </c>
      <c r="G5" s="692" t="s">
        <v>2457</v>
      </c>
    </row>
    <row r="6" spans="2:8">
      <c r="B6" s="692" t="s">
        <v>2455</v>
      </c>
      <c r="C6" s="693" t="s">
        <v>2460</v>
      </c>
      <c r="D6" s="1033">
        <v>0.68</v>
      </c>
      <c r="E6" s="1034"/>
      <c r="F6" s="694">
        <f t="shared" si="0"/>
        <v>0.68</v>
      </c>
      <c r="G6" s="692" t="s">
        <v>2457</v>
      </c>
    </row>
    <row r="7" spans="2:8">
      <c r="B7" s="696" t="s">
        <v>2461</v>
      </c>
      <c r="C7" s="697" t="s">
        <v>2462</v>
      </c>
      <c r="D7" s="1037">
        <v>0.2</v>
      </c>
      <c r="E7" s="1038"/>
      <c r="F7" s="694">
        <f t="shared" si="0"/>
        <v>0.2</v>
      </c>
      <c r="G7" s="692" t="s">
        <v>2457</v>
      </c>
    </row>
    <row r="8" spans="2:8">
      <c r="B8" s="696" t="s">
        <v>2461</v>
      </c>
      <c r="C8" s="697" t="s">
        <v>2463</v>
      </c>
      <c r="D8" s="1039">
        <v>0.28999999999999998</v>
      </c>
      <c r="E8" s="1040"/>
      <c r="F8" s="694">
        <f t="shared" si="0"/>
        <v>0.28999999999999998</v>
      </c>
      <c r="G8" s="692" t="s">
        <v>2457</v>
      </c>
    </row>
    <row r="9" spans="2:8">
      <c r="B9" s="696" t="s">
        <v>2461</v>
      </c>
      <c r="C9" s="697" t="s">
        <v>2464</v>
      </c>
      <c r="D9" s="1039">
        <v>0.46</v>
      </c>
      <c r="E9" s="1040"/>
      <c r="F9" s="694">
        <f t="shared" si="0"/>
        <v>0.46</v>
      </c>
      <c r="G9" s="692" t="s">
        <v>2457</v>
      </c>
    </row>
    <row r="10" spans="2:8">
      <c r="B10" s="696" t="s">
        <v>2461</v>
      </c>
      <c r="C10" s="697" t="s">
        <v>2465</v>
      </c>
      <c r="D10" s="1039">
        <v>0.78</v>
      </c>
      <c r="E10" s="1040"/>
      <c r="F10" s="694">
        <f t="shared" si="0"/>
        <v>0.78</v>
      </c>
      <c r="G10" s="692" t="s">
        <v>2457</v>
      </c>
    </row>
    <row r="11" spans="2:8" ht="29">
      <c r="B11" s="698" t="s">
        <v>2466</v>
      </c>
      <c r="C11" s="697" t="s">
        <v>2467</v>
      </c>
      <c r="D11" s="1023">
        <v>1</v>
      </c>
      <c r="E11" s="1024"/>
      <c r="F11" s="694">
        <f t="shared" si="0"/>
        <v>1</v>
      </c>
      <c r="G11" s="692" t="s">
        <v>2468</v>
      </c>
      <c r="H11" s="699"/>
    </row>
    <row r="12" spans="2:8" ht="27" customHeight="1">
      <c r="B12" s="700" t="s">
        <v>2469</v>
      </c>
      <c r="C12" s="697" t="s">
        <v>2470</v>
      </c>
      <c r="D12" s="1025">
        <v>1.5</v>
      </c>
      <c r="E12" s="1026"/>
      <c r="F12" s="694">
        <f t="shared" si="0"/>
        <v>1.5</v>
      </c>
      <c r="G12" s="692" t="s">
        <v>2468</v>
      </c>
    </row>
    <row r="13" spans="2:8" ht="28.5">
      <c r="B13" s="700" t="s">
        <v>2466</v>
      </c>
      <c r="C13" s="697" t="s">
        <v>2471</v>
      </c>
      <c r="D13" s="1025">
        <v>1.35</v>
      </c>
      <c r="E13" s="1026"/>
      <c r="F13" s="694">
        <f t="shared" si="0"/>
        <v>1.35</v>
      </c>
      <c r="G13" s="692" t="s">
        <v>2468</v>
      </c>
    </row>
    <row r="14" spans="2:8" ht="28.5">
      <c r="B14" s="700" t="s">
        <v>2466</v>
      </c>
      <c r="C14" s="697" t="s">
        <v>2472</v>
      </c>
      <c r="D14" s="1025">
        <v>1.9</v>
      </c>
      <c r="E14" s="1026"/>
      <c r="F14" s="694">
        <f t="shared" si="0"/>
        <v>1.9</v>
      </c>
      <c r="G14" s="692" t="s">
        <v>2468</v>
      </c>
    </row>
    <row r="15" spans="2:8" ht="28.5">
      <c r="B15" s="700" t="s">
        <v>2466</v>
      </c>
      <c r="C15" s="697" t="s">
        <v>2473</v>
      </c>
      <c r="D15" s="1025">
        <v>2.23</v>
      </c>
      <c r="E15" s="1026"/>
      <c r="F15" s="694">
        <f t="shared" si="0"/>
        <v>2.23</v>
      </c>
      <c r="G15" s="692" t="s">
        <v>2468</v>
      </c>
    </row>
    <row r="16" spans="2:8">
      <c r="B16" s="1027" t="s">
        <v>2474</v>
      </c>
      <c r="C16" s="1027"/>
      <c r="D16" s="1027"/>
      <c r="E16" s="1027"/>
      <c r="F16" s="701">
        <f>AVERAGE(F3:F15)</f>
        <v>0.91346153846153855</v>
      </c>
      <c r="G16" s="692"/>
    </row>
    <row r="17" spans="2:9">
      <c r="B17" s="1022" t="s">
        <v>2475</v>
      </c>
      <c r="C17" s="1022"/>
      <c r="D17" s="1022"/>
      <c r="E17" s="702">
        <v>0.17</v>
      </c>
      <c r="F17" s="701">
        <f>E17*$F$16</f>
        <v>0.15528846153846157</v>
      </c>
      <c r="G17" s="692" t="s">
        <v>2468</v>
      </c>
    </row>
    <row r="18" spans="2:9">
      <c r="B18" s="1028" t="s">
        <v>2476</v>
      </c>
      <c r="C18" s="1029"/>
      <c r="D18" s="1030"/>
      <c r="E18" s="703">
        <v>1.2999999999999999E-2</v>
      </c>
      <c r="F18" s="704">
        <f>E18*$F$16</f>
        <v>1.1875E-2</v>
      </c>
      <c r="G18" s="692" t="s">
        <v>2468</v>
      </c>
    </row>
    <row r="19" spans="2:9">
      <c r="B19" s="1022" t="s">
        <v>2477</v>
      </c>
      <c r="C19" s="1022"/>
      <c r="D19" s="1022"/>
      <c r="E19" s="705">
        <v>1.9400000000000001E-3</v>
      </c>
      <c r="F19" s="706">
        <f>E19*($F$16+$F$17)</f>
        <v>2.0733750000000001E-3</v>
      </c>
      <c r="G19" s="692" t="s">
        <v>2468</v>
      </c>
    </row>
    <row r="20" spans="2:9" ht="43.5">
      <c r="B20" s="1022" t="s">
        <v>2478</v>
      </c>
      <c r="C20" s="1022"/>
      <c r="D20" s="1022"/>
      <c r="E20" s="702">
        <v>0.15</v>
      </c>
      <c r="F20" s="701">
        <f>E20*$F$16</f>
        <v>0.13701923076923078</v>
      </c>
      <c r="G20" s="693" t="s">
        <v>2479</v>
      </c>
    </row>
    <row r="21" spans="2:9">
      <c r="B21" s="1020" t="s">
        <v>2480</v>
      </c>
      <c r="C21" s="1020"/>
      <c r="D21" s="707"/>
      <c r="E21" s="707"/>
      <c r="F21" s="708">
        <f>SUM(F16:F20)</f>
        <v>1.2197176057692309</v>
      </c>
      <c r="G21" s="709"/>
      <c r="H21" s="710">
        <f>F21*1600</f>
        <v>1951.5481692307694</v>
      </c>
      <c r="I21" s="740">
        <v>1952</v>
      </c>
    </row>
    <row r="22" spans="2:9" s="711" customFormat="1" ht="39" customHeight="1">
      <c r="B22" s="712" t="s">
        <v>2481</v>
      </c>
      <c r="C22" s="713" t="s">
        <v>2482</v>
      </c>
      <c r="D22" s="714">
        <v>1.5</v>
      </c>
      <c r="E22" s="715" t="s">
        <v>2483</v>
      </c>
    </row>
    <row r="23" spans="2:9" s="711" customFormat="1" ht="20.25" customHeight="1">
      <c r="B23" s="713" t="s">
        <v>2475</v>
      </c>
      <c r="C23" s="716">
        <v>0.17</v>
      </c>
      <c r="D23" s="714">
        <f>C23*D22</f>
        <v>0.255</v>
      </c>
      <c r="E23" s="717" t="s">
        <v>2484</v>
      </c>
    </row>
    <row r="24" spans="2:9" s="711" customFormat="1" ht="23.25" customHeight="1">
      <c r="B24" s="713" t="s">
        <v>2485</v>
      </c>
      <c r="C24" s="718">
        <v>1.2999999999999999E-2</v>
      </c>
      <c r="D24" s="714">
        <f>C24*D22</f>
        <v>1.95E-2</v>
      </c>
      <c r="E24" s="717" t="s">
        <v>2486</v>
      </c>
    </row>
    <row r="25" spans="2:9" s="711" customFormat="1" ht="29.25" customHeight="1">
      <c r="B25" s="713" t="s">
        <v>2477</v>
      </c>
      <c r="C25" s="719">
        <v>1.9400000000000001E-3</v>
      </c>
      <c r="D25" s="720">
        <f>C25*(D22+D23)</f>
        <v>3.4047000000000001E-3</v>
      </c>
      <c r="E25" s="717" t="s">
        <v>2486</v>
      </c>
    </row>
    <row r="26" spans="2:9" s="711" customFormat="1" ht="81" customHeight="1">
      <c r="B26" s="713" t="s">
        <v>2478</v>
      </c>
      <c r="C26" s="716">
        <v>0.15</v>
      </c>
      <c r="D26" s="714">
        <f>C26*D22</f>
        <v>0.22499999999999998</v>
      </c>
      <c r="E26" s="715" t="s">
        <v>2487</v>
      </c>
    </row>
    <row r="27" spans="2:9" s="711" customFormat="1">
      <c r="B27" s="1021" t="s">
        <v>2488</v>
      </c>
      <c r="C27" s="1021"/>
      <c r="D27" s="722">
        <f>SUM(D22:D26)</f>
        <v>2.0029046999999998</v>
      </c>
      <c r="E27" s="723"/>
      <c r="F27" s="710">
        <f>D27*1600</f>
        <v>3204.6475199999995</v>
      </c>
      <c r="G27" s="742">
        <v>3205</v>
      </c>
    </row>
    <row r="28" spans="2:9" s="711" customFormat="1">
      <c r="B28" s="712" t="s">
        <v>2489</v>
      </c>
      <c r="C28" s="713" t="s">
        <v>2490</v>
      </c>
      <c r="D28" s="714">
        <f>6.75/25</f>
        <v>0.27</v>
      </c>
      <c r="E28" s="715" t="s">
        <v>2483</v>
      </c>
    </row>
    <row r="29" spans="2:9" s="711" customFormat="1">
      <c r="B29" s="713" t="s">
        <v>2475</v>
      </c>
      <c r="C29" s="718">
        <v>0.17</v>
      </c>
      <c r="D29" s="720">
        <f>C29*$D$28</f>
        <v>4.5900000000000003E-2</v>
      </c>
      <c r="E29" s="717" t="s">
        <v>2486</v>
      </c>
    </row>
    <row r="30" spans="2:9" s="711" customFormat="1">
      <c r="B30" s="713" t="s">
        <v>2485</v>
      </c>
      <c r="C30" s="718">
        <v>1.2999999999999999E-2</v>
      </c>
      <c r="D30" s="720">
        <f>C30*$D$28</f>
        <v>3.5100000000000001E-3</v>
      </c>
      <c r="E30" s="717" t="s">
        <v>2486</v>
      </c>
    </row>
    <row r="31" spans="2:9" s="711" customFormat="1" ht="26.25" customHeight="1">
      <c r="B31" s="713" t="s">
        <v>2477</v>
      </c>
      <c r="C31" s="718">
        <v>1.9400000000000001E-3</v>
      </c>
      <c r="D31" s="720">
        <f>C31*($D$28+$D29)</f>
        <v>6.1284600000000001E-4</v>
      </c>
      <c r="E31" s="717" t="s">
        <v>2486</v>
      </c>
    </row>
    <row r="32" spans="2:9" s="711" customFormat="1" ht="43.5">
      <c r="B32" s="713" t="s">
        <v>2478</v>
      </c>
      <c r="C32" s="716">
        <v>0.15</v>
      </c>
      <c r="D32" s="720">
        <f>C32*$D$28</f>
        <v>4.0500000000000001E-2</v>
      </c>
      <c r="E32" s="715" t="s">
        <v>2487</v>
      </c>
    </row>
    <row r="33" spans="2:5" s="711" customFormat="1">
      <c r="B33" s="1021" t="s">
        <v>2491</v>
      </c>
      <c r="C33" s="1021"/>
      <c r="D33" s="722">
        <f>SUM(D28:D32)</f>
        <v>0.36052284600000001</v>
      </c>
      <c r="E33" s="723"/>
    </row>
    <row r="34" spans="2:5" s="711" customFormat="1">
      <c r="B34" s="713"/>
      <c r="C34" s="713"/>
      <c r="D34" s="713"/>
      <c r="E34" s="715"/>
    </row>
    <row r="35" spans="2:5" s="711" customFormat="1" ht="29">
      <c r="B35" s="712" t="s">
        <v>2492</v>
      </c>
      <c r="C35" s="713"/>
      <c r="D35" s="713">
        <v>3.5</v>
      </c>
      <c r="E35" s="715" t="s">
        <v>2493</v>
      </c>
    </row>
    <row r="36" spans="2:5" s="711" customFormat="1">
      <c r="B36" s="713" t="s">
        <v>2475</v>
      </c>
      <c r="C36" s="718">
        <v>0.2</v>
      </c>
      <c r="D36" s="720">
        <f>C36*$D$35</f>
        <v>0.70000000000000007</v>
      </c>
      <c r="E36" s="717" t="s">
        <v>2494</v>
      </c>
    </row>
    <row r="37" spans="2:5" s="711" customFormat="1">
      <c r="B37" s="713" t="s">
        <v>2485</v>
      </c>
      <c r="C37" s="718">
        <v>5.5E-2</v>
      </c>
      <c r="D37" s="720">
        <f t="shared" ref="D37:D39" si="1">C37*$D$35</f>
        <v>0.1925</v>
      </c>
      <c r="E37" s="717" t="s">
        <v>2494</v>
      </c>
    </row>
    <row r="38" spans="2:5" s="711" customFormat="1" ht="27" customHeight="1">
      <c r="B38" s="713" t="s">
        <v>2495</v>
      </c>
      <c r="C38" s="718">
        <v>1.8289999999999999E-3</v>
      </c>
      <c r="D38" s="720">
        <f>C38*($D$35+D36)</f>
        <v>7.6817999999999999E-3</v>
      </c>
      <c r="E38" s="717" t="s">
        <v>2494</v>
      </c>
    </row>
    <row r="39" spans="2:5" s="711" customFormat="1" ht="71.25" customHeight="1">
      <c r="B39" s="713" t="s">
        <v>2478</v>
      </c>
      <c r="C39" s="716">
        <v>0.15</v>
      </c>
      <c r="D39" s="720">
        <f t="shared" si="1"/>
        <v>0.52500000000000002</v>
      </c>
      <c r="E39" s="715" t="s">
        <v>2487</v>
      </c>
    </row>
    <row r="40" spans="2:5" s="711" customFormat="1">
      <c r="B40" s="721" t="s">
        <v>2496</v>
      </c>
      <c r="C40" s="724"/>
      <c r="D40" s="722">
        <f>SUM(D35:D39)</f>
        <v>4.9251818000000007</v>
      </c>
      <c r="E40" s="723"/>
    </row>
    <row r="41" spans="2:5" s="711" customFormat="1">
      <c r="B41" s="721" t="s">
        <v>2497</v>
      </c>
      <c r="C41" s="721"/>
      <c r="D41" s="722">
        <f>(D40/100)*2</f>
        <v>9.8503636000000019E-2</v>
      </c>
      <c r="E41" s="723" t="s">
        <v>2498</v>
      </c>
    </row>
    <row r="42" spans="2:5" s="711" customFormat="1">
      <c r="B42" s="713"/>
      <c r="C42" s="713"/>
      <c r="D42" s="713"/>
      <c r="E42" s="715"/>
    </row>
    <row r="43" spans="2:5" s="711" customFormat="1" ht="29">
      <c r="B43" s="712" t="s">
        <v>2499</v>
      </c>
      <c r="C43" s="713"/>
      <c r="D43" s="713">
        <v>0.5</v>
      </c>
      <c r="E43" s="715" t="s">
        <v>2500</v>
      </c>
    </row>
    <row r="44" spans="2:5" s="711" customFormat="1">
      <c r="B44" s="713" t="s">
        <v>2475</v>
      </c>
      <c r="C44" s="718">
        <v>0.2</v>
      </c>
      <c r="D44" s="713">
        <f>C44*$D$43</f>
        <v>0.1</v>
      </c>
      <c r="E44" s="717" t="s">
        <v>2494</v>
      </c>
    </row>
    <row r="45" spans="2:5" s="711" customFormat="1">
      <c r="B45" s="713" t="s">
        <v>2485</v>
      </c>
      <c r="C45" s="718">
        <v>5.5E-2</v>
      </c>
      <c r="D45" s="713">
        <f>C45*$D$43</f>
        <v>2.75E-2</v>
      </c>
      <c r="E45" s="717" t="s">
        <v>2494</v>
      </c>
    </row>
    <row r="46" spans="2:5" s="711" customFormat="1" ht="26.25" customHeight="1">
      <c r="B46" s="713" t="s">
        <v>2495</v>
      </c>
      <c r="C46" s="718">
        <v>1.8289999999999999E-3</v>
      </c>
      <c r="D46" s="713">
        <f>C46*$D$43</f>
        <v>9.1449999999999995E-4</v>
      </c>
      <c r="E46" s="717" t="s">
        <v>2494</v>
      </c>
    </row>
    <row r="47" spans="2:5" s="711" customFormat="1" ht="43.5">
      <c r="B47" s="713" t="s">
        <v>2478</v>
      </c>
      <c r="C47" s="716">
        <v>0.15</v>
      </c>
      <c r="D47" s="713">
        <f>C47*$D$43</f>
        <v>7.4999999999999997E-2</v>
      </c>
      <c r="E47" s="715" t="s">
        <v>2487</v>
      </c>
    </row>
    <row r="48" spans="2:5" s="711" customFormat="1">
      <c r="B48" s="713" t="s">
        <v>2501</v>
      </c>
      <c r="C48" s="712"/>
      <c r="D48" s="713">
        <f>SUM(D43:D47)</f>
        <v>0.70341449999999994</v>
      </c>
      <c r="E48" s="715"/>
    </row>
    <row r="49" spans="2:7" s="711" customFormat="1" ht="29">
      <c r="B49" s="721" t="s">
        <v>2502</v>
      </c>
      <c r="C49" s="721">
        <f>1/200</f>
        <v>5.0000000000000001E-3</v>
      </c>
      <c r="D49" s="725">
        <f>D48*C49</f>
        <v>3.5170724999999997E-3</v>
      </c>
      <c r="E49" s="723" t="s">
        <v>2503</v>
      </c>
    </row>
    <row r="50" spans="2:7" s="711" customFormat="1" ht="16.149999999999999" customHeight="1">
      <c r="B50" s="726" t="s">
        <v>2504</v>
      </c>
      <c r="C50" s="726"/>
      <c r="D50" s="722">
        <f>D49+D41+D33</f>
        <v>0.46254355450000001</v>
      </c>
      <c r="E50" s="723"/>
      <c r="F50" s="710">
        <f>D50*1600</f>
        <v>740.06968719999998</v>
      </c>
      <c r="G50" s="742">
        <v>740</v>
      </c>
    </row>
    <row r="51" spans="2:7">
      <c r="B51" s="692" t="s">
        <v>2505</v>
      </c>
      <c r="C51" s="727"/>
      <c r="D51" s="692"/>
      <c r="E51" s="717" t="s">
        <v>87</v>
      </c>
    </row>
    <row r="52" spans="2:7" s="728" customFormat="1">
      <c r="B52" s="729" t="s">
        <v>2506</v>
      </c>
      <c r="C52" s="730"/>
      <c r="D52" s="731">
        <v>0.65</v>
      </c>
      <c r="E52" s="732" t="s">
        <v>2507</v>
      </c>
    </row>
    <row r="53" spans="2:7" s="728" customFormat="1">
      <c r="B53" s="729" t="s">
        <v>2508</v>
      </c>
      <c r="C53" s="730"/>
      <c r="D53" s="730">
        <f>D52/2</f>
        <v>0.32500000000000001</v>
      </c>
      <c r="E53" s="733"/>
    </row>
    <row r="54" spans="2:7" s="728" customFormat="1">
      <c r="B54" s="713" t="s">
        <v>2475</v>
      </c>
      <c r="C54" s="716">
        <v>0.17</v>
      </c>
      <c r="D54" s="730">
        <f>C54*D53</f>
        <v>5.5250000000000007E-2</v>
      </c>
      <c r="E54" s="717" t="s">
        <v>2494</v>
      </c>
    </row>
    <row r="55" spans="2:7" s="728" customFormat="1">
      <c r="B55" s="713" t="s">
        <v>2485</v>
      </c>
      <c r="C55" s="718">
        <v>0.03</v>
      </c>
      <c r="D55" s="734">
        <f>C55*D53</f>
        <v>9.75E-3</v>
      </c>
      <c r="E55" s="717" t="s">
        <v>2494</v>
      </c>
    </row>
    <row r="56" spans="2:7" s="728" customFormat="1" ht="30" customHeight="1">
      <c r="B56" s="713" t="s">
        <v>2477</v>
      </c>
      <c r="C56" s="719">
        <v>1.9400000000000001E-3</v>
      </c>
      <c r="D56" s="734">
        <f>C56*D53</f>
        <v>6.3050000000000009E-4</v>
      </c>
      <c r="E56" s="717" t="s">
        <v>2494</v>
      </c>
    </row>
    <row r="57" spans="2:7" s="728" customFormat="1" ht="43.5">
      <c r="B57" s="713" t="s">
        <v>2478</v>
      </c>
      <c r="C57" s="716">
        <v>0.15</v>
      </c>
      <c r="D57" s="734">
        <f>C57*D53</f>
        <v>4.8750000000000002E-2</v>
      </c>
      <c r="E57" s="715" t="s">
        <v>2487</v>
      </c>
    </row>
    <row r="58" spans="2:7" s="735" customFormat="1">
      <c r="B58" s="736" t="s">
        <v>2509</v>
      </c>
      <c r="C58" s="737"/>
      <c r="D58" s="738">
        <f>D53+D54+D55+D56+D57</f>
        <v>0.43938050000000001</v>
      </c>
      <c r="E58" s="739"/>
      <c r="F58" s="710">
        <f>D58*1600</f>
        <v>703.00880000000006</v>
      </c>
      <c r="G58" s="741">
        <v>703</v>
      </c>
    </row>
  </sheetData>
  <mergeCells count="22">
    <mergeCell ref="D2:E2"/>
    <mergeCell ref="D3:E3"/>
    <mergeCell ref="D4:E4"/>
    <mergeCell ref="D5:E5"/>
    <mergeCell ref="B19:D19"/>
    <mergeCell ref="D6:E6"/>
    <mergeCell ref="D7:E7"/>
    <mergeCell ref="D8:E8"/>
    <mergeCell ref="D9:E9"/>
    <mergeCell ref="D10:E10"/>
    <mergeCell ref="B21:C21"/>
    <mergeCell ref="B27:C27"/>
    <mergeCell ref="B33:C33"/>
    <mergeCell ref="B20:D20"/>
    <mergeCell ref="D11:E11"/>
    <mergeCell ref="D12:E12"/>
    <mergeCell ref="D13:E13"/>
    <mergeCell ref="D14:E14"/>
    <mergeCell ref="D15:E15"/>
    <mergeCell ref="B16:E16"/>
    <mergeCell ref="B18:D18"/>
    <mergeCell ref="B17:D1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C703B-1B5F-4AD0-BB20-7DEAC3D6B6EE}">
  <dimension ref="A1:AH22"/>
  <sheetViews>
    <sheetView topLeftCell="E9" workbookViewId="0">
      <selection activeCell="L20" sqref="L20"/>
    </sheetView>
  </sheetViews>
  <sheetFormatPr defaultRowHeight="14.5"/>
  <cols>
    <col min="1" max="1" width="20.7265625" customWidth="1"/>
    <col min="2" max="2" width="12.81640625" customWidth="1"/>
    <col min="3" max="3" width="10.54296875" bestFit="1" customWidth="1"/>
    <col min="4" max="4" width="38.453125" customWidth="1"/>
    <col min="5" max="5" width="18.26953125" customWidth="1"/>
    <col min="6" max="6" width="15.453125" customWidth="1"/>
    <col min="7" max="7" width="16.26953125" customWidth="1"/>
    <col min="8" max="8" width="18.08984375" customWidth="1"/>
    <col min="9" max="9" width="16.54296875" customWidth="1"/>
    <col min="10" max="10" width="13.26953125" bestFit="1" customWidth="1"/>
    <col min="11" max="13" width="11.1796875" customWidth="1"/>
    <col min="14" max="14" width="13" customWidth="1"/>
    <col min="15" max="16" width="9.81640625" customWidth="1"/>
    <col min="17" max="17" width="13" customWidth="1"/>
    <col min="18" max="19" width="12.453125" customWidth="1"/>
    <col min="20" max="21" width="10.26953125" customWidth="1"/>
    <col min="22" max="22" width="12.453125" customWidth="1"/>
    <col min="23" max="25" width="19" customWidth="1"/>
    <col min="26" max="27" width="10.81640625" customWidth="1"/>
    <col min="28" max="28" width="53" customWidth="1"/>
    <col min="29" max="29" width="17.54296875" customWidth="1"/>
    <col min="30" max="30" width="15.7265625" customWidth="1"/>
    <col min="31" max="31" width="15.81640625" customWidth="1"/>
    <col min="32" max="32" width="14.81640625" customWidth="1"/>
    <col min="33" max="33" width="14.7265625" customWidth="1"/>
    <col min="34" max="34" width="13" customWidth="1"/>
  </cols>
  <sheetData>
    <row r="1" spans="1:34" ht="15" thickBot="1">
      <c r="A1" s="1044" t="s">
        <v>2559</v>
      </c>
      <c r="B1" s="1044"/>
      <c r="C1" s="1044"/>
      <c r="D1" s="1044"/>
      <c r="E1" s="1044"/>
      <c r="F1" s="1044"/>
      <c r="G1" s="1044"/>
      <c r="H1" s="1044"/>
      <c r="I1" s="1044"/>
      <c r="J1" s="1044"/>
      <c r="K1" s="1044"/>
      <c r="L1" s="1044"/>
      <c r="M1" s="1044"/>
      <c r="N1" s="1044"/>
    </row>
    <row r="2" spans="1:34" ht="48" customHeight="1" thickTop="1">
      <c r="A2" s="748"/>
      <c r="B2" s="1041" t="s">
        <v>1614</v>
      </c>
      <c r="C2" s="1041"/>
      <c r="D2" s="1041"/>
      <c r="E2" s="1041"/>
      <c r="F2" s="1041" t="s">
        <v>1692</v>
      </c>
      <c r="G2" s="1041"/>
      <c r="H2" s="1041"/>
      <c r="I2" s="1041"/>
      <c r="J2" s="1041" t="s">
        <v>337</v>
      </c>
      <c r="K2" s="1041"/>
      <c r="L2" s="1041"/>
      <c r="M2" s="1041"/>
      <c r="N2" s="1041" t="s">
        <v>1407</v>
      </c>
      <c r="O2" s="1041"/>
      <c r="P2" s="1041"/>
      <c r="Q2" s="1041"/>
      <c r="R2" s="1041" t="s">
        <v>643</v>
      </c>
      <c r="S2" s="1041"/>
      <c r="T2" s="1041"/>
      <c r="U2" s="1041"/>
      <c r="V2" s="1041" t="s">
        <v>484</v>
      </c>
      <c r="W2" s="1041"/>
      <c r="X2" s="1041"/>
      <c r="Y2" s="1042"/>
    </row>
    <row r="3" spans="1:34" ht="43.5">
      <c r="A3" s="749" t="s">
        <v>2560</v>
      </c>
      <c r="B3" s="750" t="s">
        <v>2561</v>
      </c>
      <c r="C3" s="750" t="s">
        <v>2562</v>
      </c>
      <c r="D3" s="750" t="s">
        <v>2563</v>
      </c>
      <c r="E3" s="750" t="s">
        <v>2564</v>
      </c>
      <c r="F3" s="751" t="s">
        <v>2561</v>
      </c>
      <c r="G3" s="751" t="s">
        <v>2562</v>
      </c>
      <c r="H3" s="751" t="s">
        <v>2563</v>
      </c>
      <c r="I3" s="751" t="s">
        <v>2565</v>
      </c>
      <c r="J3" s="752" t="s">
        <v>2561</v>
      </c>
      <c r="K3" s="752" t="s">
        <v>2562</v>
      </c>
      <c r="L3" s="752" t="s">
        <v>2563</v>
      </c>
      <c r="M3" s="752" t="s">
        <v>2566</v>
      </c>
      <c r="N3" s="753" t="s">
        <v>2561</v>
      </c>
      <c r="O3" s="753" t="s">
        <v>2562</v>
      </c>
      <c r="P3" s="753" t="s">
        <v>2563</v>
      </c>
      <c r="Q3" s="753" t="s">
        <v>2567</v>
      </c>
      <c r="R3" s="754" t="s">
        <v>2561</v>
      </c>
      <c r="S3" s="754" t="s">
        <v>2562</v>
      </c>
      <c r="T3" s="754" t="s">
        <v>2563</v>
      </c>
      <c r="U3" s="754" t="s">
        <v>2568</v>
      </c>
      <c r="V3" s="755" t="s">
        <v>2561</v>
      </c>
      <c r="W3" s="755" t="s">
        <v>2562</v>
      </c>
      <c r="X3" s="755" t="s">
        <v>2563</v>
      </c>
      <c r="Y3" s="756" t="s">
        <v>2569</v>
      </c>
    </row>
    <row r="4" spans="1:34">
      <c r="A4" s="757" t="s">
        <v>2570</v>
      </c>
      <c r="B4" s="758">
        <v>8273425.4111459516</v>
      </c>
      <c r="C4" s="759">
        <f>B4*(4%)</f>
        <v>330937.01644583809</v>
      </c>
      <c r="D4" s="759">
        <f>B4*(4%)</f>
        <v>330937.01644583809</v>
      </c>
      <c r="E4" s="758">
        <f>SUM(C4:D4)</f>
        <v>661874.03289167618</v>
      </c>
      <c r="F4" s="760">
        <v>7219541.1687974427</v>
      </c>
      <c r="G4" s="761">
        <f>F4*(4%)</f>
        <v>288781.6467518977</v>
      </c>
      <c r="H4" s="761">
        <f>F4*(4%)</f>
        <v>288781.6467518977</v>
      </c>
      <c r="I4" s="760">
        <f>SUM(G4:H4)</f>
        <v>577563.2935037954</v>
      </c>
      <c r="J4" s="762">
        <v>5217035.3832100583</v>
      </c>
      <c r="K4" s="763">
        <f>J4*(4%)</f>
        <v>208681.41532840233</v>
      </c>
      <c r="L4" s="763">
        <f>J4*(4%)</f>
        <v>208681.41532840233</v>
      </c>
      <c r="M4" s="762">
        <f>SUM(K4:L4)</f>
        <v>417362.83065680467</v>
      </c>
      <c r="N4" s="764">
        <v>8183614.5927719437</v>
      </c>
      <c r="O4" s="765">
        <f>N4*(4%)</f>
        <v>327344.58371087775</v>
      </c>
      <c r="P4" s="765">
        <f>N4*(4%)</f>
        <v>327344.58371087775</v>
      </c>
      <c r="Q4" s="764">
        <f>SUM(O4:P4)</f>
        <v>654689.1674217555</v>
      </c>
      <c r="R4" s="766">
        <v>3957663.1485728803</v>
      </c>
      <c r="S4" s="767">
        <f>R4*(4%)</f>
        <v>158306.52594291521</v>
      </c>
      <c r="T4" s="767">
        <f>R4*(4%)</f>
        <v>158306.52594291521</v>
      </c>
      <c r="U4" s="766">
        <f>SUM(S4:T4)</f>
        <v>316613.05188583041</v>
      </c>
      <c r="V4" s="768">
        <v>6359466.8683131561</v>
      </c>
      <c r="W4" s="769">
        <f>V4*(4%)</f>
        <v>254378.67473252624</v>
      </c>
      <c r="X4" s="769">
        <f>V4*(4%)</f>
        <v>254378.67473252624</v>
      </c>
      <c r="Y4" s="770">
        <f>SUM(W4:X4)</f>
        <v>508757.34946505248</v>
      </c>
      <c r="Z4" s="771"/>
      <c r="AA4" s="771"/>
    </row>
    <row r="5" spans="1:34" ht="15" thickBot="1">
      <c r="A5" s="772" t="s">
        <v>2571</v>
      </c>
      <c r="B5" s="773">
        <v>8546448.4497137666</v>
      </c>
      <c r="C5" s="774">
        <f>B5*(4%)</f>
        <v>341857.93798855069</v>
      </c>
      <c r="D5" s="774">
        <f>B5*(4%)</f>
        <v>341857.93798855069</v>
      </c>
      <c r="E5" s="775">
        <f>SUM(C5:D5)</f>
        <v>683715.87597710139</v>
      </c>
      <c r="F5" s="776">
        <v>7450566.4861989608</v>
      </c>
      <c r="G5" s="777">
        <f>F5*(4%)</f>
        <v>298022.65944795846</v>
      </c>
      <c r="H5" s="777">
        <f>F5*(4%)</f>
        <v>298022.65944795846</v>
      </c>
      <c r="I5" s="776">
        <f>SUM(G5:H5)</f>
        <v>596045.31889591692</v>
      </c>
      <c r="J5" s="778">
        <v>5373546.4447063599</v>
      </c>
      <c r="K5" s="779">
        <f>J5*(4%)</f>
        <v>214941.85778825439</v>
      </c>
      <c r="L5" s="779">
        <f>J5*(4%)</f>
        <v>214941.85778825439</v>
      </c>
      <c r="M5" s="778">
        <f>SUM(K5:L5)</f>
        <v>429883.71557650878</v>
      </c>
      <c r="N5" s="780">
        <v>8445490.2597406469</v>
      </c>
      <c r="O5" s="781">
        <f>N5*(4%)</f>
        <v>337819.61038962589</v>
      </c>
      <c r="P5" s="781">
        <f>N5*(4%)</f>
        <v>337819.61038962589</v>
      </c>
      <c r="Q5" s="780">
        <f>SUM(O5:P5)</f>
        <v>675639.22077925177</v>
      </c>
      <c r="R5" s="782">
        <v>4554050.6745548956</v>
      </c>
      <c r="S5" s="783">
        <f>R5*(4%)</f>
        <v>182162.02698219582</v>
      </c>
      <c r="T5" s="783">
        <f>R5*(4%)</f>
        <v>182162.02698219582</v>
      </c>
      <c r="U5" s="782">
        <f>SUM(S5:T5)</f>
        <v>364324.05396439164</v>
      </c>
      <c r="V5" s="784">
        <v>6543891.4074942367</v>
      </c>
      <c r="W5" s="785">
        <f>V5*(4%)</f>
        <v>261755.65629976947</v>
      </c>
      <c r="X5" s="785">
        <f>V5*(4%)</f>
        <v>261755.65629976947</v>
      </c>
      <c r="Y5" s="786">
        <f>SUM(W5:X5)</f>
        <v>523511.31259953894</v>
      </c>
      <c r="AH5" s="687"/>
    </row>
    <row r="6" spans="1:34" ht="15.5" thickTop="1" thickBot="1">
      <c r="B6" s="787">
        <f>B4+B5</f>
        <v>16819873.860859718</v>
      </c>
    </row>
    <row r="7" spans="1:34">
      <c r="E7" s="771"/>
      <c r="H7" s="771">
        <f>E4+I4</f>
        <v>1239437.3263954716</v>
      </c>
      <c r="I7" s="771">
        <f>E4+I4+M4+Q4+U4+Y4</f>
        <v>3136859.7258249144</v>
      </c>
    </row>
    <row r="8" spans="1:34" ht="15" thickBot="1">
      <c r="H8" s="771">
        <f>E5+I5</f>
        <v>1279761.1948730182</v>
      </c>
      <c r="I8" s="771">
        <f>E5+I5+M5+Q5+U5+Y5</f>
        <v>3273119.4977927092</v>
      </c>
      <c r="AG8" s="771"/>
    </row>
    <row r="9" spans="1:34" ht="15.5" thickTop="1" thickBot="1">
      <c r="D9" s="788"/>
      <c r="E9" s="1043" t="s">
        <v>2572</v>
      </c>
      <c r="F9" s="1043"/>
      <c r="G9" s="1043" t="s">
        <v>2573</v>
      </c>
      <c r="H9" s="1043"/>
      <c r="I9" s="789"/>
    </row>
    <row r="10" spans="1:34" ht="15" thickTop="1">
      <c r="D10" s="790" t="s">
        <v>2574</v>
      </c>
      <c r="E10" s="791" t="s">
        <v>2575</v>
      </c>
      <c r="F10" s="791" t="s">
        <v>2576</v>
      </c>
      <c r="G10" s="791" t="s">
        <v>2575</v>
      </c>
      <c r="H10" s="791" t="s">
        <v>2576</v>
      </c>
      <c r="I10" s="792" t="s">
        <v>1902</v>
      </c>
    </row>
    <row r="11" spans="1:34">
      <c r="D11" s="793" t="s">
        <v>2577</v>
      </c>
      <c r="E11" s="794">
        <f>O4+G4+C4</f>
        <v>947063.24690861348</v>
      </c>
      <c r="F11" s="794">
        <f>P4+H4+D4</f>
        <v>947063.24690861348</v>
      </c>
      <c r="G11" s="794">
        <f>O5+G5+C5</f>
        <v>977700.20782613498</v>
      </c>
      <c r="H11" s="794">
        <f>P5+H5+D5</f>
        <v>977700.20782613498</v>
      </c>
      <c r="I11" s="795">
        <f>SUM(E11:H11)</f>
        <v>3849526.9094694965</v>
      </c>
      <c r="J11" s="771">
        <f>F11+G11</f>
        <v>1924763.4547347485</v>
      </c>
    </row>
    <row r="12" spans="1:34">
      <c r="D12" s="796" t="s">
        <v>2578</v>
      </c>
      <c r="E12" s="797">
        <f>(E11*12*0.85*0.75)+10%*E11</f>
        <v>7339740.1635417547</v>
      </c>
      <c r="F12" s="797">
        <f>(F11*2*12*0.85*0.75)+10%*F11</f>
        <v>14584774.002392648</v>
      </c>
      <c r="G12" s="797">
        <f>(G11*12*0.85*0.75)+10%*G11</f>
        <v>7577176.6106525464</v>
      </c>
      <c r="H12" s="797">
        <f>(H11*2*12*0.85*0.75)+10%*H11</f>
        <v>15056583.200522481</v>
      </c>
      <c r="I12" s="795">
        <f t="shared" ref="I12:I13" si="0">SUM(E12:H12)</f>
        <v>44558273.977109432</v>
      </c>
    </row>
    <row r="13" spans="1:34">
      <c r="D13" s="793" t="s">
        <v>2579</v>
      </c>
      <c r="E13" s="798">
        <f>E12*0.17</f>
        <v>1247755.8278020984</v>
      </c>
      <c r="F13" s="798">
        <f>F12*0.17</f>
        <v>2479411.5804067501</v>
      </c>
      <c r="G13" s="798">
        <f>G12*0.17</f>
        <v>1288120.0238109329</v>
      </c>
      <c r="H13" s="798">
        <f>H12*0.17</f>
        <v>2559619.144088822</v>
      </c>
      <c r="I13" s="799">
        <f t="shared" si="0"/>
        <v>7574906.5761086028</v>
      </c>
    </row>
    <row r="14" spans="1:34" ht="42.5">
      <c r="D14" s="793" t="s">
        <v>2580</v>
      </c>
      <c r="E14" s="800">
        <f>E13*(3.194%)</f>
        <v>39853.321139999018</v>
      </c>
      <c r="F14" s="800">
        <f>F13*(3.194%)</f>
        <v>79192.405878191596</v>
      </c>
      <c r="G14" s="800">
        <f>G13*(3.194%)</f>
        <v>41142.553560521192</v>
      </c>
      <c r="H14" s="800">
        <f>H13*(3.194%)</f>
        <v>81754.235462196957</v>
      </c>
      <c r="I14" s="799">
        <f>I13*(3.194%)</f>
        <v>241942.51604090875</v>
      </c>
    </row>
    <row r="15" spans="1:34" ht="24" customHeight="1">
      <c r="B15" s="801"/>
      <c r="D15" s="802" t="s">
        <v>2581</v>
      </c>
      <c r="E15" s="803">
        <f>15%*(E13)</f>
        <v>187163.37417031475</v>
      </c>
      <c r="F15" s="803">
        <f t="shared" ref="F15:I15" si="1">15%*(F13)</f>
        <v>371911.73706101248</v>
      </c>
      <c r="G15" s="803">
        <f t="shared" si="1"/>
        <v>193218.00357163991</v>
      </c>
      <c r="H15" s="803">
        <f t="shared" si="1"/>
        <v>383942.87161332328</v>
      </c>
      <c r="I15" s="804">
        <f t="shared" si="1"/>
        <v>1136235.9864162903</v>
      </c>
    </row>
    <row r="16" spans="1:34" ht="28.5">
      <c r="B16" s="801"/>
      <c r="D16" s="805" t="s">
        <v>2582</v>
      </c>
      <c r="E16" s="806">
        <f>E13+E14+E15</f>
        <v>1474772.5231124121</v>
      </c>
      <c r="F16" s="806">
        <f>F13+F14+F15</f>
        <v>2930515.7233459544</v>
      </c>
      <c r="G16" s="806">
        <f>G13+G14+G15</f>
        <v>1522480.5809430941</v>
      </c>
      <c r="H16" s="806">
        <f>H13+H14+H15</f>
        <v>3025316.2511643423</v>
      </c>
      <c r="I16" s="807">
        <f>I13+I14+I15</f>
        <v>8953085.0785658024</v>
      </c>
    </row>
    <row r="17" spans="4:10" ht="28.5">
      <c r="D17" s="793" t="s">
        <v>2583</v>
      </c>
      <c r="E17" s="803">
        <f>2%*(E13)</f>
        <v>24955.116556041969</v>
      </c>
      <c r="F17" s="803">
        <f t="shared" ref="F17:I17" si="2">2%*(F13)</f>
        <v>49588.231608135</v>
      </c>
      <c r="G17" s="803">
        <f t="shared" si="2"/>
        <v>25762.40047621866</v>
      </c>
      <c r="H17" s="803">
        <f t="shared" si="2"/>
        <v>51192.382881776437</v>
      </c>
      <c r="I17" s="804">
        <f t="shared" si="2"/>
        <v>151498.13152217207</v>
      </c>
    </row>
    <row r="18" spans="4:10" ht="42.5">
      <c r="D18" s="793" t="s">
        <v>2584</v>
      </c>
      <c r="E18" s="3"/>
      <c r="F18" s="3"/>
      <c r="G18" s="3"/>
      <c r="H18" s="3"/>
      <c r="I18" s="808"/>
    </row>
    <row r="19" spans="4:10" ht="16" thickBot="1">
      <c r="D19" s="809"/>
      <c r="E19" s="810">
        <v>23456</v>
      </c>
      <c r="F19" s="811"/>
      <c r="G19" s="811"/>
      <c r="H19" s="811"/>
      <c r="I19" s="812"/>
    </row>
    <row r="20" spans="4:10" ht="15" thickTop="1">
      <c r="H20" t="s">
        <v>2585</v>
      </c>
      <c r="I20" s="612">
        <f>I16+I17</f>
        <v>9104583.2100879736</v>
      </c>
    </row>
    <row r="21" spans="4:10">
      <c r="H21" t="s">
        <v>2586</v>
      </c>
      <c r="I21">
        <f>I20/I12</f>
        <v>0.20432979999999998</v>
      </c>
    </row>
    <row r="22" spans="4:10">
      <c r="H22" t="s">
        <v>2587</v>
      </c>
      <c r="I22">
        <f>I21*1600</f>
        <v>326.92767999999995</v>
      </c>
      <c r="J22" s="813">
        <v>327</v>
      </c>
    </row>
  </sheetData>
  <mergeCells count="9">
    <mergeCell ref="V2:Y2"/>
    <mergeCell ref="E9:F9"/>
    <mergeCell ref="G9:H9"/>
    <mergeCell ref="A1:N1"/>
    <mergeCell ref="B2:E2"/>
    <mergeCell ref="F2:I2"/>
    <mergeCell ref="J2:M2"/>
    <mergeCell ref="N2:Q2"/>
    <mergeCell ref="R2:U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3189E-1AEB-448A-80DD-16BCC7229671}">
  <dimension ref="A1:M80"/>
  <sheetViews>
    <sheetView topLeftCell="A61" zoomScale="50" zoomScaleNormal="50" workbookViewId="0">
      <selection activeCell="K9" sqref="K9"/>
    </sheetView>
  </sheetViews>
  <sheetFormatPr defaultRowHeight="14.5"/>
  <cols>
    <col min="1" max="1" width="5.81640625" customWidth="1"/>
    <col min="2" max="2" width="57.453125" customWidth="1"/>
    <col min="3" max="3" width="43.54296875" customWidth="1"/>
    <col min="4" max="4" width="16.1796875" customWidth="1"/>
    <col min="5" max="5" width="13.26953125" customWidth="1"/>
    <col min="6" max="6" width="23.453125" customWidth="1"/>
    <col min="7" max="7" width="16.81640625" customWidth="1"/>
    <col min="8" max="8" width="23" customWidth="1"/>
    <col min="9" max="9" width="27.54296875" customWidth="1"/>
    <col min="10" max="10" width="26.7265625" customWidth="1"/>
    <col min="11" max="11" width="20.7265625" customWidth="1"/>
    <col min="12" max="12" width="13.90625" bestFit="1" customWidth="1"/>
  </cols>
  <sheetData>
    <row r="1" spans="1:12">
      <c r="A1" s="3" t="s">
        <v>2588</v>
      </c>
      <c r="B1" s="3" t="s">
        <v>69</v>
      </c>
      <c r="C1" s="3" t="s">
        <v>2589</v>
      </c>
      <c r="D1" s="3"/>
      <c r="E1" s="3"/>
      <c r="F1" s="3"/>
      <c r="G1" s="3"/>
      <c r="H1" s="3"/>
      <c r="I1" s="3"/>
      <c r="J1" s="3"/>
      <c r="K1" s="3"/>
    </row>
    <row r="2" spans="1:12" ht="27" customHeight="1">
      <c r="A2" s="814"/>
      <c r="B2" s="814" t="s">
        <v>2590</v>
      </c>
      <c r="C2" s="814" t="s">
        <v>2591</v>
      </c>
      <c r="D2" s="814" t="s">
        <v>148</v>
      </c>
      <c r="E2" s="753" t="s">
        <v>2592</v>
      </c>
      <c r="F2" s="814" t="s">
        <v>2593</v>
      </c>
      <c r="G2" s="814" t="s">
        <v>2594</v>
      </c>
      <c r="H2" s="814" t="s">
        <v>2595</v>
      </c>
      <c r="I2" s="814" t="s">
        <v>2596</v>
      </c>
      <c r="J2" s="814" t="s">
        <v>2597</v>
      </c>
      <c r="K2" s="814" t="s">
        <v>2598</v>
      </c>
    </row>
    <row r="3" spans="1:12" ht="32.25" customHeight="1">
      <c r="A3" s="3"/>
      <c r="B3" s="3" t="s">
        <v>2590</v>
      </c>
      <c r="C3" s="3" t="s">
        <v>2599</v>
      </c>
      <c r="D3" s="815">
        <f>[5]Target!I11</f>
        <v>3849526.9094694965</v>
      </c>
      <c r="E3" s="815"/>
      <c r="F3" s="815">
        <v>0.17</v>
      </c>
      <c r="G3" s="816">
        <f>D3*0.17</f>
        <v>654419.57460981444</v>
      </c>
      <c r="H3" s="817">
        <f>G3*1000</f>
        <v>654419574.60981441</v>
      </c>
      <c r="I3" s="817">
        <v>0</v>
      </c>
      <c r="J3" s="817">
        <f>H3</f>
        <v>654419574.60981441</v>
      </c>
      <c r="K3" s="817">
        <f>H3</f>
        <v>654419574.60981441</v>
      </c>
    </row>
    <row r="4" spans="1:12" ht="48" customHeight="1">
      <c r="A4" s="3"/>
      <c r="B4" s="3" t="s">
        <v>2590</v>
      </c>
      <c r="C4" s="818" t="s">
        <v>2580</v>
      </c>
      <c r="D4" s="3"/>
      <c r="E4" s="3"/>
      <c r="F4" s="3"/>
      <c r="G4" s="816">
        <f>(G3)*3%</f>
        <v>19632.587238294433</v>
      </c>
      <c r="H4" s="817">
        <f>G4*1000</f>
        <v>19632587.238294434</v>
      </c>
      <c r="I4" s="817">
        <v>0</v>
      </c>
      <c r="J4" s="817">
        <f>H4</f>
        <v>19632587.238294434</v>
      </c>
      <c r="K4" s="817">
        <f>H4</f>
        <v>19632587.238294434</v>
      </c>
    </row>
    <row r="5" spans="1:12" ht="30" customHeight="1">
      <c r="A5" s="3"/>
      <c r="B5" s="3" t="s">
        <v>2590</v>
      </c>
      <c r="C5" s="3" t="s">
        <v>2581</v>
      </c>
      <c r="D5" s="3"/>
      <c r="E5" s="3"/>
      <c r="F5" s="3"/>
      <c r="G5" s="819">
        <f>(G3)*15%</f>
        <v>98162.936191472167</v>
      </c>
      <c r="H5" s="817">
        <f>G5*1000</f>
        <v>98162936.191472173</v>
      </c>
      <c r="I5" s="817">
        <v>0</v>
      </c>
      <c r="J5" s="817">
        <f>H5</f>
        <v>98162936.191472173</v>
      </c>
      <c r="K5" s="817">
        <f>H5</f>
        <v>98162936.191472173</v>
      </c>
    </row>
    <row r="6" spans="1:12" ht="30" customHeight="1">
      <c r="A6" s="3"/>
      <c r="B6" s="3" t="s">
        <v>2590</v>
      </c>
      <c r="C6" s="818" t="s">
        <v>2600</v>
      </c>
      <c r="D6" s="3"/>
      <c r="E6" s="3"/>
      <c r="F6" s="3"/>
      <c r="G6" s="816">
        <f>(G3)*5%</f>
        <v>32720.978730490722</v>
      </c>
      <c r="H6" s="817">
        <f>G6*1000</f>
        <v>32720978.730490722</v>
      </c>
      <c r="I6" s="817">
        <v>0</v>
      </c>
      <c r="J6" s="817">
        <f>H6</f>
        <v>32720978.730490722</v>
      </c>
      <c r="K6" s="817">
        <f>H6</f>
        <v>32720978.730490722</v>
      </c>
    </row>
    <row r="7" spans="1:12">
      <c r="A7" s="820"/>
      <c r="B7" s="820" t="s">
        <v>2601</v>
      </c>
      <c r="C7" s="820"/>
      <c r="D7" s="820"/>
      <c r="E7" s="820"/>
      <c r="F7" s="820"/>
      <c r="G7" s="821">
        <f>SUM(G3:G6)</f>
        <v>804936.07677007164</v>
      </c>
      <c r="H7" s="822">
        <f>SUM(H3:H6)</f>
        <v>804936076.77007174</v>
      </c>
      <c r="I7" s="823">
        <v>0</v>
      </c>
      <c r="J7" s="824">
        <f t="shared" ref="J7:J30" si="0">H7</f>
        <v>804936076.77007174</v>
      </c>
      <c r="K7" s="824">
        <f t="shared" ref="K7" si="1">H7</f>
        <v>804936076.77007174</v>
      </c>
      <c r="L7" s="612"/>
    </row>
    <row r="8" spans="1:12" ht="29">
      <c r="A8" s="3"/>
      <c r="B8" s="825" t="s">
        <v>2602</v>
      </c>
      <c r="C8" s="3" t="s">
        <v>2603</v>
      </c>
      <c r="D8" s="3">
        <v>1</v>
      </c>
      <c r="E8" s="3">
        <v>5</v>
      </c>
      <c r="F8" s="817">
        <f>[5]Sheet1!B32</f>
        <v>130000</v>
      </c>
      <c r="G8" s="3"/>
      <c r="H8" s="826">
        <f>D8*E8*F8</f>
        <v>650000</v>
      </c>
      <c r="I8" s="817">
        <v>0</v>
      </c>
      <c r="J8" s="817">
        <f t="shared" si="0"/>
        <v>650000</v>
      </c>
      <c r="K8" s="817">
        <v>0</v>
      </c>
    </row>
    <row r="9" spans="1:12" ht="29">
      <c r="A9" s="3"/>
      <c r="B9" s="825" t="s">
        <v>2602</v>
      </c>
      <c r="C9" s="3" t="s">
        <v>1946</v>
      </c>
      <c r="D9" s="3">
        <v>35</v>
      </c>
      <c r="E9" s="3">
        <v>5</v>
      </c>
      <c r="F9" s="817">
        <f>[5]Sheet1!B27</f>
        <v>5200</v>
      </c>
      <c r="G9" s="3"/>
      <c r="H9" s="826">
        <f t="shared" ref="H9:H18" si="2">D9*E9*F9</f>
        <v>910000</v>
      </c>
      <c r="I9" s="817">
        <v>0</v>
      </c>
      <c r="J9" s="817">
        <f t="shared" si="0"/>
        <v>910000</v>
      </c>
      <c r="K9" s="817">
        <v>0</v>
      </c>
    </row>
    <row r="10" spans="1:12" ht="29">
      <c r="A10" s="3"/>
      <c r="B10" s="825" t="s">
        <v>2602</v>
      </c>
      <c r="C10" s="3" t="s">
        <v>2032</v>
      </c>
      <c r="D10" s="3">
        <v>35</v>
      </c>
      <c r="E10" s="3">
        <v>5</v>
      </c>
      <c r="F10" s="817">
        <f>[5]Sheet1!B25</f>
        <v>3300</v>
      </c>
      <c r="G10" s="3"/>
      <c r="H10" s="826">
        <f t="shared" si="2"/>
        <v>577500</v>
      </c>
      <c r="I10" s="817">
        <v>0</v>
      </c>
      <c r="J10" s="817">
        <f t="shared" si="0"/>
        <v>577500</v>
      </c>
      <c r="K10" s="817">
        <v>0</v>
      </c>
    </row>
    <row r="11" spans="1:12" ht="29">
      <c r="A11" s="3"/>
      <c r="B11" s="825" t="s">
        <v>2602</v>
      </c>
      <c r="C11" s="3" t="s">
        <v>2604</v>
      </c>
      <c r="D11" s="3">
        <v>8</v>
      </c>
      <c r="E11" s="3">
        <v>6</v>
      </c>
      <c r="F11" s="817">
        <f>[5]Sheet1!B3</f>
        <v>55000</v>
      </c>
      <c r="G11" s="3"/>
      <c r="H11" s="826">
        <f t="shared" si="2"/>
        <v>2640000</v>
      </c>
      <c r="I11" s="817">
        <v>0</v>
      </c>
      <c r="J11" s="817">
        <f t="shared" si="0"/>
        <v>2640000</v>
      </c>
      <c r="K11" s="817">
        <v>0</v>
      </c>
    </row>
    <row r="12" spans="1:12" ht="29">
      <c r="A12" s="3"/>
      <c r="B12" s="825" t="s">
        <v>2602</v>
      </c>
      <c r="C12" s="3" t="s">
        <v>2605</v>
      </c>
      <c r="D12" s="3">
        <v>8</v>
      </c>
      <c r="E12" s="3">
        <v>2</v>
      </c>
      <c r="F12" s="817">
        <f>[5]Sheet1!B15</f>
        <v>96000</v>
      </c>
      <c r="G12" s="3"/>
      <c r="H12" s="826"/>
      <c r="I12" s="817"/>
      <c r="J12" s="817"/>
      <c r="K12" s="817"/>
    </row>
    <row r="13" spans="1:12" ht="29">
      <c r="A13" s="3"/>
      <c r="B13" s="825" t="s">
        <v>2602</v>
      </c>
      <c r="C13" s="3" t="s">
        <v>2606</v>
      </c>
      <c r="D13" s="3">
        <v>30</v>
      </c>
      <c r="E13" s="3">
        <v>5</v>
      </c>
      <c r="F13" s="817">
        <f>[5]Sheet1!B19</f>
        <v>10000</v>
      </c>
      <c r="G13" s="3"/>
      <c r="H13" s="826">
        <f t="shared" si="2"/>
        <v>1500000</v>
      </c>
      <c r="I13" s="817">
        <v>0</v>
      </c>
      <c r="J13" s="817">
        <f t="shared" si="0"/>
        <v>1500000</v>
      </c>
      <c r="K13" s="817">
        <v>0</v>
      </c>
    </row>
    <row r="14" spans="1:12" ht="29">
      <c r="A14" s="3"/>
      <c r="B14" s="825" t="s">
        <v>2602</v>
      </c>
      <c r="C14" s="3" t="s">
        <v>2607</v>
      </c>
      <c r="D14" s="3">
        <v>30</v>
      </c>
      <c r="E14" s="3">
        <v>1</v>
      </c>
      <c r="F14" s="817">
        <v>3500</v>
      </c>
      <c r="G14" s="3"/>
      <c r="H14" s="826">
        <f t="shared" si="2"/>
        <v>105000</v>
      </c>
      <c r="I14" s="817">
        <v>0</v>
      </c>
      <c r="J14" s="817">
        <f t="shared" si="0"/>
        <v>105000</v>
      </c>
      <c r="K14" s="817">
        <v>0</v>
      </c>
    </row>
    <row r="15" spans="1:12" ht="29">
      <c r="A15" s="3"/>
      <c r="B15" s="825" t="s">
        <v>2602</v>
      </c>
      <c r="C15" s="3" t="s">
        <v>2041</v>
      </c>
      <c r="D15" s="3">
        <v>30</v>
      </c>
      <c r="E15" s="3">
        <v>1</v>
      </c>
      <c r="F15" s="817">
        <f>[5]Sheet1!B34</f>
        <v>1000</v>
      </c>
      <c r="G15" s="3"/>
      <c r="H15" s="826">
        <f t="shared" si="2"/>
        <v>30000</v>
      </c>
      <c r="I15" s="817">
        <v>0</v>
      </c>
      <c r="J15" s="817">
        <f t="shared" si="0"/>
        <v>30000</v>
      </c>
      <c r="K15" s="817">
        <v>0</v>
      </c>
    </row>
    <row r="16" spans="1:12" ht="29">
      <c r="A16" s="3"/>
      <c r="B16" s="825" t="s">
        <v>2602</v>
      </c>
      <c r="C16" s="3" t="s">
        <v>2608</v>
      </c>
      <c r="D16" s="3">
        <v>8</v>
      </c>
      <c r="E16" s="3">
        <v>1</v>
      </c>
      <c r="F16" s="817">
        <f>[5]Sheet1!B9</f>
        <v>200000</v>
      </c>
      <c r="G16" s="3"/>
      <c r="H16" s="826">
        <f t="shared" si="2"/>
        <v>1600000</v>
      </c>
      <c r="I16" s="817">
        <v>0</v>
      </c>
      <c r="J16" s="817">
        <f t="shared" si="0"/>
        <v>1600000</v>
      </c>
      <c r="K16" s="817">
        <v>0</v>
      </c>
    </row>
    <row r="17" spans="1:11" ht="29">
      <c r="A17" s="3"/>
      <c r="B17" s="825" t="s">
        <v>2602</v>
      </c>
      <c r="C17" s="3" t="s">
        <v>2609</v>
      </c>
      <c r="D17" s="3">
        <f>4*8</f>
        <v>32</v>
      </c>
      <c r="E17" s="3">
        <v>1</v>
      </c>
      <c r="F17" s="817">
        <f>[5]Sheet1!B12</f>
        <v>52000</v>
      </c>
      <c r="G17" s="3"/>
      <c r="H17" s="826">
        <f t="shared" si="2"/>
        <v>1664000</v>
      </c>
      <c r="I17" s="817">
        <v>0</v>
      </c>
      <c r="J17" s="817">
        <f t="shared" si="0"/>
        <v>1664000</v>
      </c>
      <c r="K17" s="817">
        <v>0</v>
      </c>
    </row>
    <row r="18" spans="1:11" ht="29">
      <c r="B18" s="825" t="s">
        <v>2602</v>
      </c>
      <c r="C18" s="827" t="s">
        <v>2610</v>
      </c>
      <c r="D18" s="827">
        <v>2</v>
      </c>
      <c r="E18" s="827">
        <v>7</v>
      </c>
      <c r="F18" s="828">
        <v>50000</v>
      </c>
      <c r="G18" s="3"/>
      <c r="H18" s="826">
        <f t="shared" si="2"/>
        <v>700000</v>
      </c>
      <c r="I18" s="817">
        <v>0</v>
      </c>
      <c r="J18" s="817">
        <f t="shared" si="0"/>
        <v>700000</v>
      </c>
      <c r="K18" s="817">
        <v>0</v>
      </c>
    </row>
    <row r="19" spans="1:11">
      <c r="A19" s="818"/>
      <c r="B19" s="829"/>
      <c r="C19" s="830"/>
      <c r="D19" s="829"/>
      <c r="E19" s="830"/>
      <c r="F19" s="829"/>
      <c r="G19" s="830"/>
      <c r="H19" s="829">
        <f>SUM(H8:H18)</f>
        <v>10376500</v>
      </c>
      <c r="I19" s="830"/>
      <c r="J19" s="829">
        <f t="shared" si="0"/>
        <v>10376500</v>
      </c>
      <c r="K19" s="830"/>
    </row>
    <row r="20" spans="1:11" ht="29">
      <c r="A20" s="818"/>
      <c r="B20" s="825" t="s">
        <v>2611</v>
      </c>
      <c r="C20" s="3" t="s">
        <v>2603</v>
      </c>
      <c r="D20" s="818">
        <v>1</v>
      </c>
      <c r="E20" s="3">
        <v>5</v>
      </c>
      <c r="F20" s="826">
        <f>[5]Sheet1!B31</f>
        <v>240000</v>
      </c>
      <c r="G20" s="3"/>
      <c r="H20" s="826">
        <f>D20*E20*F20</f>
        <v>1200000</v>
      </c>
      <c r="I20" s="817">
        <v>0</v>
      </c>
      <c r="J20" s="826">
        <f t="shared" si="0"/>
        <v>1200000</v>
      </c>
      <c r="K20" s="817">
        <v>0</v>
      </c>
    </row>
    <row r="21" spans="1:11" ht="29">
      <c r="A21" s="818"/>
      <c r="B21" s="825" t="s">
        <v>2611</v>
      </c>
      <c r="C21" s="3" t="s">
        <v>1946</v>
      </c>
      <c r="D21" s="818">
        <f>(30*2)</f>
        <v>60</v>
      </c>
      <c r="E21" s="3">
        <v>5</v>
      </c>
      <c r="F21" s="826">
        <f>[5]Sheet1!B27</f>
        <v>5200</v>
      </c>
      <c r="G21" s="3"/>
      <c r="H21" s="826">
        <f t="shared" ref="H21:H30" si="3">D21*E21*F21</f>
        <v>1560000</v>
      </c>
      <c r="I21" s="817">
        <v>0</v>
      </c>
      <c r="J21" s="826">
        <f t="shared" si="0"/>
        <v>1560000</v>
      </c>
      <c r="K21" s="817">
        <v>0</v>
      </c>
    </row>
    <row r="22" spans="1:11" ht="29">
      <c r="A22" s="818"/>
      <c r="B22" s="825" t="s">
        <v>2611</v>
      </c>
      <c r="C22" s="3" t="s">
        <v>2032</v>
      </c>
      <c r="D22" s="818">
        <f>(30*2)</f>
        <v>60</v>
      </c>
      <c r="E22" s="3">
        <v>5</v>
      </c>
      <c r="F22" s="826">
        <f>[5]Sheet1!B25</f>
        <v>3300</v>
      </c>
      <c r="G22" s="3"/>
      <c r="H22" s="826">
        <f t="shared" si="3"/>
        <v>990000</v>
      </c>
      <c r="I22" s="817">
        <v>0</v>
      </c>
      <c r="J22" s="826">
        <f t="shared" si="0"/>
        <v>990000</v>
      </c>
      <c r="K22" s="817">
        <v>0</v>
      </c>
    </row>
    <row r="23" spans="1:11" ht="29">
      <c r="A23" s="818"/>
      <c r="B23" s="825" t="s">
        <v>2611</v>
      </c>
      <c r="C23" s="3" t="s">
        <v>2612</v>
      </c>
      <c r="D23" s="818">
        <f>(30*2)</f>
        <v>60</v>
      </c>
      <c r="E23" s="3">
        <v>6</v>
      </c>
      <c r="F23" s="826">
        <f>[5]Sheet1!B6</f>
        <v>45000</v>
      </c>
      <c r="G23" s="3"/>
      <c r="H23" s="826">
        <f t="shared" si="3"/>
        <v>16200000</v>
      </c>
      <c r="I23" s="817">
        <v>0</v>
      </c>
      <c r="J23" s="826">
        <f t="shared" si="0"/>
        <v>16200000</v>
      </c>
      <c r="K23" s="817">
        <v>0</v>
      </c>
    </row>
    <row r="24" spans="1:11" ht="29">
      <c r="A24" s="818"/>
      <c r="B24" s="825" t="s">
        <v>2611</v>
      </c>
      <c r="C24" s="3" t="s">
        <v>2613</v>
      </c>
      <c r="D24" s="818">
        <f>3*2</f>
        <v>6</v>
      </c>
      <c r="E24" s="3">
        <v>6</v>
      </c>
      <c r="F24" s="826">
        <f>[5]Sheet1!B3</f>
        <v>55000</v>
      </c>
      <c r="G24" s="3"/>
      <c r="H24" s="826">
        <f t="shared" si="3"/>
        <v>1980000</v>
      </c>
      <c r="I24" s="817">
        <v>0</v>
      </c>
      <c r="J24" s="826">
        <f t="shared" si="0"/>
        <v>1980000</v>
      </c>
      <c r="K24" s="817">
        <v>0</v>
      </c>
    </row>
    <row r="25" spans="1:11" ht="29">
      <c r="A25" s="818"/>
      <c r="B25" s="825" t="s">
        <v>2611</v>
      </c>
      <c r="C25" s="3" t="s">
        <v>2606</v>
      </c>
      <c r="D25" s="818">
        <f>3*2</f>
        <v>6</v>
      </c>
      <c r="E25" s="3">
        <v>2</v>
      </c>
      <c r="F25" s="826">
        <f>[5]Sheet1!B19</f>
        <v>10000</v>
      </c>
      <c r="G25" s="3"/>
      <c r="H25" s="826">
        <f t="shared" si="3"/>
        <v>120000</v>
      </c>
      <c r="I25" s="817">
        <v>0</v>
      </c>
      <c r="J25" s="826">
        <f t="shared" si="0"/>
        <v>120000</v>
      </c>
      <c r="K25" s="817">
        <v>0</v>
      </c>
    </row>
    <row r="26" spans="1:11" ht="29">
      <c r="A26" s="818"/>
      <c r="B26" s="825" t="s">
        <v>2611</v>
      </c>
      <c r="C26" s="3" t="s">
        <v>2614</v>
      </c>
      <c r="D26" s="818">
        <v>3</v>
      </c>
      <c r="E26" s="3">
        <v>2</v>
      </c>
      <c r="F26" s="826">
        <f>[5]Sheet1!B15</f>
        <v>96000</v>
      </c>
      <c r="G26" s="3"/>
      <c r="H26" s="826">
        <f t="shared" si="3"/>
        <v>576000</v>
      </c>
      <c r="I26" s="817">
        <v>0</v>
      </c>
      <c r="J26" s="826">
        <f t="shared" si="0"/>
        <v>576000</v>
      </c>
      <c r="K26" s="817">
        <v>0</v>
      </c>
    </row>
    <row r="27" spans="1:11" ht="29">
      <c r="A27" s="818"/>
      <c r="B27" s="825" t="s">
        <v>2611</v>
      </c>
      <c r="C27" s="3" t="s">
        <v>2607</v>
      </c>
      <c r="D27" s="818">
        <f>(30*2)</f>
        <v>60</v>
      </c>
      <c r="E27" s="3">
        <v>1</v>
      </c>
      <c r="F27" s="826">
        <v>3500</v>
      </c>
      <c r="G27" s="3"/>
      <c r="H27" s="826">
        <f t="shared" si="3"/>
        <v>210000</v>
      </c>
      <c r="I27" s="817">
        <v>0</v>
      </c>
      <c r="J27" s="826">
        <f t="shared" si="0"/>
        <v>210000</v>
      </c>
      <c r="K27" s="817">
        <v>0</v>
      </c>
    </row>
    <row r="28" spans="1:11" ht="29">
      <c r="A28" s="818"/>
      <c r="B28" s="825" t="s">
        <v>2611</v>
      </c>
      <c r="C28" s="3" t="s">
        <v>2041</v>
      </c>
      <c r="D28" s="818">
        <f>(30*2)</f>
        <v>60</v>
      </c>
      <c r="E28" s="3">
        <v>1</v>
      </c>
      <c r="F28" s="826">
        <f>[5]Sheet1!B34</f>
        <v>1000</v>
      </c>
      <c r="G28" s="3"/>
      <c r="H28" s="826">
        <f t="shared" si="3"/>
        <v>60000</v>
      </c>
      <c r="I28" s="817">
        <v>0</v>
      </c>
      <c r="J28" s="826">
        <f t="shared" si="0"/>
        <v>60000</v>
      </c>
      <c r="K28" s="817">
        <v>0</v>
      </c>
    </row>
    <row r="29" spans="1:11" ht="29">
      <c r="A29" s="818"/>
      <c r="B29" s="825" t="s">
        <v>2611</v>
      </c>
      <c r="C29" s="3" t="s">
        <v>2608</v>
      </c>
      <c r="D29" s="818">
        <f>3*2</f>
        <v>6</v>
      </c>
      <c r="E29" s="3">
        <v>1</v>
      </c>
      <c r="F29" s="826">
        <f>[5]Sheet1!B9</f>
        <v>200000</v>
      </c>
      <c r="G29" s="3"/>
      <c r="H29" s="826">
        <f t="shared" si="3"/>
        <v>1200000</v>
      </c>
      <c r="I29" s="817">
        <v>0</v>
      </c>
      <c r="J29" s="826">
        <f t="shared" si="0"/>
        <v>1200000</v>
      </c>
      <c r="K29" s="817">
        <v>0</v>
      </c>
    </row>
    <row r="30" spans="1:11" ht="29">
      <c r="A30" s="818"/>
      <c r="B30" s="825" t="s">
        <v>2611</v>
      </c>
      <c r="C30" s="3" t="s">
        <v>2609</v>
      </c>
      <c r="D30" s="818">
        <f>4*6</f>
        <v>24</v>
      </c>
      <c r="E30" s="3">
        <v>1</v>
      </c>
      <c r="F30" s="826">
        <f>[5]Sheet1!B12</f>
        <v>52000</v>
      </c>
      <c r="G30" s="3"/>
      <c r="H30" s="826">
        <f t="shared" si="3"/>
        <v>1248000</v>
      </c>
      <c r="I30" s="817">
        <v>0</v>
      </c>
      <c r="J30" s="826">
        <f t="shared" si="0"/>
        <v>1248000</v>
      </c>
      <c r="K30" s="817">
        <v>0</v>
      </c>
    </row>
    <row r="31" spans="1:11">
      <c r="A31" s="831"/>
      <c r="B31" s="831"/>
      <c r="C31" s="832"/>
      <c r="D31" s="831"/>
      <c r="E31" s="833"/>
      <c r="F31" s="831"/>
      <c r="G31" s="833"/>
      <c r="H31" s="834">
        <f>SUM(H20:H30)</f>
        <v>25344000</v>
      </c>
      <c r="I31" s="834">
        <f t="shared" ref="I31:J31" si="4">SUM(I20:I30)</f>
        <v>0</v>
      </c>
      <c r="J31" s="834">
        <f t="shared" si="4"/>
        <v>25344000</v>
      </c>
      <c r="K31" s="833"/>
    </row>
    <row r="32" spans="1:11" s="2" customFormat="1" ht="43.5">
      <c r="A32" s="835"/>
      <c r="B32" s="818" t="s">
        <v>2615</v>
      </c>
      <c r="C32" s="836" t="s">
        <v>2603</v>
      </c>
      <c r="D32" s="835">
        <v>1</v>
      </c>
      <c r="E32" s="611">
        <v>5</v>
      </c>
      <c r="F32" s="837">
        <f>[5]Sheet1!B30</f>
        <v>390000</v>
      </c>
      <c r="G32" s="611"/>
      <c r="H32" s="826">
        <f>D32*E32*F32</f>
        <v>1950000</v>
      </c>
      <c r="I32" s="838"/>
      <c r="J32" s="826">
        <f>H32</f>
        <v>1950000</v>
      </c>
      <c r="K32" s="817">
        <v>0</v>
      </c>
    </row>
    <row r="33" spans="1:11" ht="46.5" customHeight="1">
      <c r="A33" s="3"/>
      <c r="B33" s="818" t="s">
        <v>2616</v>
      </c>
      <c r="C33" s="3" t="s">
        <v>1946</v>
      </c>
      <c r="D33" s="3">
        <f>816+488+468</f>
        <v>1772</v>
      </c>
      <c r="E33" s="3">
        <v>5</v>
      </c>
      <c r="F33" s="817">
        <v>2000</v>
      </c>
      <c r="G33" s="3"/>
      <c r="H33" s="826">
        <f>D33*E33*F33</f>
        <v>17720000</v>
      </c>
      <c r="I33" s="3"/>
      <c r="J33" s="826">
        <f>H33</f>
        <v>17720000</v>
      </c>
      <c r="K33" s="817">
        <v>0</v>
      </c>
    </row>
    <row r="34" spans="1:11" ht="43.5">
      <c r="A34" s="3"/>
      <c r="B34" s="818" t="s">
        <v>2616</v>
      </c>
      <c r="C34" s="3" t="s">
        <v>2617</v>
      </c>
      <c r="D34" s="3">
        <f>816+488+468</f>
        <v>1772</v>
      </c>
      <c r="E34" s="3">
        <v>5</v>
      </c>
      <c r="F34" s="817">
        <v>1000</v>
      </c>
      <c r="G34" s="3"/>
      <c r="H34" s="826">
        <f t="shared" ref="H34:H39" si="5">D34*E34*F34</f>
        <v>8860000</v>
      </c>
      <c r="I34" s="3"/>
      <c r="J34" s="826">
        <f t="shared" ref="J34:J39" si="6">H34</f>
        <v>8860000</v>
      </c>
      <c r="K34" s="817">
        <v>0</v>
      </c>
    </row>
    <row r="35" spans="1:11" ht="43.5">
      <c r="A35" s="3"/>
      <c r="B35" s="818" t="s">
        <v>2616</v>
      </c>
      <c r="C35" s="3" t="s">
        <v>2618</v>
      </c>
      <c r="D35" s="839">
        <f>D39</f>
        <v>118.13333333333334</v>
      </c>
      <c r="E35" s="3">
        <v>5</v>
      </c>
      <c r="F35" s="817">
        <v>12000</v>
      </c>
      <c r="G35" s="3"/>
      <c r="H35" s="826">
        <f t="shared" si="5"/>
        <v>7088000.0000000009</v>
      </c>
      <c r="I35" s="3"/>
      <c r="J35" s="826">
        <f t="shared" si="6"/>
        <v>7088000.0000000009</v>
      </c>
      <c r="K35" s="817">
        <v>0</v>
      </c>
    </row>
    <row r="36" spans="1:11" ht="43.5">
      <c r="A36" s="3"/>
      <c r="B36" s="818" t="s">
        <v>2616</v>
      </c>
      <c r="C36" s="3" t="s">
        <v>2606</v>
      </c>
      <c r="D36" s="3">
        <f>816+488+468</f>
        <v>1772</v>
      </c>
      <c r="E36" s="3">
        <v>5</v>
      </c>
      <c r="F36" s="817">
        <f>[5]Sheet1!B20</f>
        <v>2000</v>
      </c>
      <c r="G36" s="3"/>
      <c r="H36" s="826">
        <f t="shared" si="5"/>
        <v>17720000</v>
      </c>
      <c r="I36" s="3"/>
      <c r="J36" s="826">
        <f t="shared" si="6"/>
        <v>17720000</v>
      </c>
      <c r="K36" s="817">
        <v>0</v>
      </c>
    </row>
    <row r="37" spans="1:11" ht="43.5">
      <c r="A37" s="3"/>
      <c r="B37" s="818" t="s">
        <v>2616</v>
      </c>
      <c r="C37" s="3" t="s">
        <v>2607</v>
      </c>
      <c r="D37" s="3">
        <f>816+488+468</f>
        <v>1772</v>
      </c>
      <c r="E37" s="3">
        <v>5</v>
      </c>
      <c r="F37" s="817">
        <v>3500</v>
      </c>
      <c r="G37" s="3"/>
      <c r="H37" s="826">
        <f t="shared" si="5"/>
        <v>31010000</v>
      </c>
      <c r="I37" s="3"/>
      <c r="J37" s="826">
        <f t="shared" si="6"/>
        <v>31010000</v>
      </c>
      <c r="K37" s="817">
        <v>0</v>
      </c>
    </row>
    <row r="38" spans="1:11" ht="43.5">
      <c r="A38" s="3"/>
      <c r="B38" s="818" t="s">
        <v>2616</v>
      </c>
      <c r="C38" s="3" t="s">
        <v>2041</v>
      </c>
      <c r="D38" s="3">
        <f>816+488+468</f>
        <v>1772</v>
      </c>
      <c r="E38" s="3">
        <v>5</v>
      </c>
      <c r="F38" s="817">
        <f>[5]Sheet1!B34</f>
        <v>1000</v>
      </c>
      <c r="G38" s="3"/>
      <c r="H38" s="826">
        <f t="shared" si="5"/>
        <v>8860000</v>
      </c>
      <c r="I38" s="3"/>
      <c r="J38" s="826">
        <f t="shared" si="6"/>
        <v>8860000</v>
      </c>
      <c r="K38" s="817">
        <v>0</v>
      </c>
    </row>
    <row r="39" spans="1:11" ht="43.5">
      <c r="A39" s="3"/>
      <c r="B39" s="818" t="s">
        <v>2616</v>
      </c>
      <c r="C39" s="3" t="s">
        <v>2610</v>
      </c>
      <c r="D39" s="839">
        <f>(D34)/30*2</f>
        <v>118.13333333333334</v>
      </c>
      <c r="E39" s="3">
        <v>5</v>
      </c>
      <c r="F39" s="817">
        <v>10000</v>
      </c>
      <c r="G39" s="3"/>
      <c r="H39" s="826">
        <f t="shared" si="5"/>
        <v>5906666.666666667</v>
      </c>
      <c r="I39" s="3"/>
      <c r="J39" s="826">
        <f t="shared" si="6"/>
        <v>5906666.666666667</v>
      </c>
      <c r="K39" s="817">
        <v>0</v>
      </c>
    </row>
    <row r="40" spans="1:11">
      <c r="A40" s="820"/>
      <c r="B40" s="820"/>
      <c r="C40" s="820"/>
      <c r="D40" s="820"/>
      <c r="E40" s="820"/>
      <c r="F40" s="820"/>
      <c r="G40" s="820"/>
      <c r="H40" s="822">
        <f>SUM(H32:H39)</f>
        <v>99114666.666666672</v>
      </c>
      <c r="I40" s="822">
        <f t="shared" ref="I40:K40" si="7">SUM(I33:I39)</f>
        <v>0</v>
      </c>
      <c r="J40" s="822">
        <f>SUM(J32:J39)</f>
        <v>99114666.666666672</v>
      </c>
      <c r="K40" s="822">
        <f t="shared" si="7"/>
        <v>0</v>
      </c>
    </row>
    <row r="41" spans="1:11" ht="29">
      <c r="B41" s="818" t="s">
        <v>2619</v>
      </c>
      <c r="C41" s="3" t="s">
        <v>2620</v>
      </c>
      <c r="D41" s="3">
        <f>(816+488+468)+(10%*1772)</f>
        <v>1949.2</v>
      </c>
      <c r="E41" s="3">
        <v>1</v>
      </c>
      <c r="F41" s="826">
        <v>500</v>
      </c>
      <c r="G41" s="826"/>
      <c r="H41" s="826">
        <f>D41*E41*F41</f>
        <v>974600</v>
      </c>
      <c r="I41" s="826"/>
      <c r="J41" s="826">
        <f>H41</f>
        <v>974600</v>
      </c>
      <c r="K41" s="826">
        <f>H41</f>
        <v>974600</v>
      </c>
    </row>
    <row r="42" spans="1:11" ht="17.25" customHeight="1">
      <c r="B42" s="840" t="s">
        <v>2621</v>
      </c>
      <c r="C42" s="3" t="s">
        <v>2622</v>
      </c>
      <c r="D42" s="3">
        <f>(816+488+468)*2</f>
        <v>3544</v>
      </c>
      <c r="E42" s="3">
        <v>1</v>
      </c>
      <c r="F42" s="826">
        <v>2000</v>
      </c>
      <c r="G42" s="826"/>
      <c r="H42" s="826">
        <f>D42*E42*F42</f>
        <v>7088000</v>
      </c>
      <c r="I42" s="826"/>
      <c r="J42" s="826">
        <f>H42</f>
        <v>7088000</v>
      </c>
      <c r="K42" s="826">
        <f>H42</f>
        <v>7088000</v>
      </c>
    </row>
    <row r="43" spans="1:11">
      <c r="B43" t="s">
        <v>2623</v>
      </c>
      <c r="C43" t="s">
        <v>2622</v>
      </c>
      <c r="D43" s="3">
        <f>(816+488+468)+(10%*1772)</f>
        <v>1949.2</v>
      </c>
      <c r="E43">
        <v>1</v>
      </c>
      <c r="F43" s="841">
        <v>1000</v>
      </c>
      <c r="G43" s="841"/>
      <c r="H43" s="841">
        <f>D43*E43*F43</f>
        <v>1949200</v>
      </c>
      <c r="I43" s="841"/>
      <c r="J43" s="841">
        <f>H43</f>
        <v>1949200</v>
      </c>
      <c r="K43" s="841">
        <f>H43</f>
        <v>1949200</v>
      </c>
    </row>
    <row r="44" spans="1:11">
      <c r="A44" s="833"/>
      <c r="B44" s="833"/>
      <c r="C44" s="833"/>
      <c r="D44" s="833"/>
      <c r="E44" s="833"/>
      <c r="F44" s="833"/>
      <c r="G44" s="833"/>
      <c r="H44" s="830">
        <f>SUM(H41:H43)</f>
        <v>10011800</v>
      </c>
      <c r="I44" s="830">
        <f t="shared" ref="I44:K44" si="8">SUM(I41:I43)</f>
        <v>0</v>
      </c>
      <c r="J44" s="830">
        <f t="shared" si="8"/>
        <v>10011800</v>
      </c>
      <c r="K44" s="830">
        <f t="shared" si="8"/>
        <v>10011800</v>
      </c>
    </row>
    <row r="45" spans="1:11" ht="33" customHeight="1">
      <c r="A45" s="3"/>
      <c r="B45" s="842" t="s">
        <v>2624</v>
      </c>
      <c r="C45" s="3" t="s">
        <v>2625</v>
      </c>
      <c r="D45" s="3">
        <v>1</v>
      </c>
      <c r="E45" s="3">
        <v>5</v>
      </c>
      <c r="F45" s="841">
        <f>[5]Sheet1!B32</f>
        <v>130000</v>
      </c>
      <c r="G45" s="841"/>
      <c r="H45" s="841">
        <f>D45*E45*F45</f>
        <v>650000</v>
      </c>
      <c r="I45" s="3"/>
      <c r="J45" s="826">
        <f>H45</f>
        <v>650000</v>
      </c>
      <c r="K45" s="826">
        <v>0</v>
      </c>
    </row>
    <row r="46" spans="1:11" ht="33" customHeight="1">
      <c r="A46" s="3"/>
      <c r="B46" s="842" t="s">
        <v>2624</v>
      </c>
      <c r="C46" s="3" t="s">
        <v>1946</v>
      </c>
      <c r="D46" s="3">
        <v>25</v>
      </c>
      <c r="E46" s="3">
        <v>5</v>
      </c>
      <c r="F46" s="841">
        <f>[5]Sheet1!B27</f>
        <v>5200</v>
      </c>
      <c r="G46" s="841"/>
      <c r="H46" s="841">
        <f t="shared" ref="H46:H52" si="9">D46*E46*F46</f>
        <v>650000</v>
      </c>
      <c r="I46" s="3"/>
      <c r="J46" s="826">
        <f t="shared" ref="J46:J53" si="10">H46</f>
        <v>650000</v>
      </c>
      <c r="K46" s="826">
        <v>0</v>
      </c>
    </row>
    <row r="47" spans="1:11" ht="23.25" customHeight="1">
      <c r="A47" s="3"/>
      <c r="B47" s="842" t="s">
        <v>2624</v>
      </c>
      <c r="C47" s="3" t="s">
        <v>2032</v>
      </c>
      <c r="D47" s="3">
        <v>25</v>
      </c>
      <c r="E47" s="3">
        <v>5</v>
      </c>
      <c r="F47" s="841">
        <f>[5]Sheet1!B25</f>
        <v>3300</v>
      </c>
      <c r="G47" s="841"/>
      <c r="H47" s="841">
        <f t="shared" si="9"/>
        <v>412500</v>
      </c>
      <c r="I47" s="3"/>
      <c r="J47" s="826">
        <f t="shared" si="10"/>
        <v>412500</v>
      </c>
      <c r="K47" s="826">
        <v>0</v>
      </c>
    </row>
    <row r="48" spans="1:11" ht="23.25" customHeight="1">
      <c r="A48" s="3"/>
      <c r="B48" s="842" t="s">
        <v>2624</v>
      </c>
      <c r="C48" s="3" t="s">
        <v>2626</v>
      </c>
      <c r="D48" s="3">
        <v>6</v>
      </c>
      <c r="E48" s="3">
        <v>1</v>
      </c>
      <c r="F48" s="841">
        <f>[5]Sheet1!B4</f>
        <v>55000</v>
      </c>
      <c r="G48" s="841"/>
      <c r="H48" s="841">
        <f t="shared" si="9"/>
        <v>330000</v>
      </c>
      <c r="I48" s="3"/>
      <c r="J48" s="826">
        <f t="shared" si="10"/>
        <v>330000</v>
      </c>
      <c r="K48" s="826">
        <v>0</v>
      </c>
    </row>
    <row r="49" spans="1:11" ht="23.25" customHeight="1">
      <c r="A49" s="3"/>
      <c r="B49" s="842" t="s">
        <v>2624</v>
      </c>
      <c r="C49" s="3" t="s">
        <v>2627</v>
      </c>
      <c r="D49" s="3">
        <v>1</v>
      </c>
      <c r="E49" s="3">
        <v>1</v>
      </c>
      <c r="F49" s="841">
        <f>[5]Sheet1!B9</f>
        <v>200000</v>
      </c>
      <c r="G49" s="3"/>
      <c r="H49" s="841">
        <f t="shared" si="9"/>
        <v>200000</v>
      </c>
      <c r="I49" s="3"/>
      <c r="J49" s="826">
        <f t="shared" si="10"/>
        <v>200000</v>
      </c>
      <c r="K49" s="826">
        <v>0</v>
      </c>
    </row>
    <row r="50" spans="1:11" ht="21" customHeight="1">
      <c r="A50" s="3"/>
      <c r="B50" s="842" t="s">
        <v>2624</v>
      </c>
      <c r="C50" s="3" t="s">
        <v>2628</v>
      </c>
      <c r="D50" s="3">
        <v>24</v>
      </c>
      <c r="E50" s="3">
        <v>5</v>
      </c>
      <c r="F50" s="841">
        <f>[5]Sheet1!B19</f>
        <v>10000</v>
      </c>
      <c r="G50" s="3"/>
      <c r="H50" s="841">
        <f t="shared" si="9"/>
        <v>1200000</v>
      </c>
      <c r="I50" s="3"/>
      <c r="J50" s="826">
        <f t="shared" si="10"/>
        <v>1200000</v>
      </c>
      <c r="K50" s="826">
        <v>0</v>
      </c>
    </row>
    <row r="51" spans="1:11" ht="21" customHeight="1">
      <c r="A51" s="3"/>
      <c r="B51" s="843" t="s">
        <v>2624</v>
      </c>
      <c r="C51" s="844" t="s">
        <v>2629</v>
      </c>
      <c r="D51" s="844">
        <v>1</v>
      </c>
      <c r="E51" s="844">
        <v>10</v>
      </c>
      <c r="F51" s="841">
        <v>50000</v>
      </c>
      <c r="G51" s="844"/>
      <c r="H51" s="841">
        <f t="shared" si="9"/>
        <v>500000</v>
      </c>
      <c r="I51" s="844"/>
      <c r="J51" s="841">
        <f t="shared" si="10"/>
        <v>500000</v>
      </c>
      <c r="K51" s="841">
        <v>0</v>
      </c>
    </row>
    <row r="52" spans="1:11" ht="29">
      <c r="B52" s="842" t="s">
        <v>2630</v>
      </c>
      <c r="C52" s="3" t="s">
        <v>2631</v>
      </c>
      <c r="D52" s="3">
        <f>166+(10%*166)</f>
        <v>182.6</v>
      </c>
      <c r="E52" s="3">
        <v>1</v>
      </c>
      <c r="F52" s="826">
        <v>2000</v>
      </c>
      <c r="G52" s="3"/>
      <c r="H52" s="826">
        <f t="shared" si="9"/>
        <v>365200</v>
      </c>
      <c r="I52" s="3"/>
      <c r="J52" s="826">
        <f t="shared" si="10"/>
        <v>365200</v>
      </c>
      <c r="K52" s="826">
        <v>1</v>
      </c>
    </row>
    <row r="53" spans="1:11">
      <c r="B53" s="833"/>
      <c r="C53" s="833"/>
      <c r="D53" s="833"/>
      <c r="E53" s="833"/>
      <c r="F53" s="833"/>
      <c r="G53" s="833"/>
      <c r="H53" s="845">
        <f>SUM(H45:H52)</f>
        <v>4307700</v>
      </c>
      <c r="I53" s="833"/>
      <c r="J53" s="845">
        <f t="shared" si="10"/>
        <v>4307700</v>
      </c>
      <c r="K53" s="833"/>
    </row>
    <row r="54" spans="1:11" ht="46.5" customHeight="1">
      <c r="B54" s="846" t="s">
        <v>2632</v>
      </c>
      <c r="C54" s="3" t="s">
        <v>2633</v>
      </c>
      <c r="D54" s="3">
        <v>0</v>
      </c>
      <c r="E54" s="3">
        <v>0</v>
      </c>
      <c r="F54" s="826">
        <v>0</v>
      </c>
      <c r="G54" s="3"/>
      <c r="H54" s="826">
        <v>0</v>
      </c>
      <c r="I54" s="3"/>
      <c r="J54" s="826">
        <v>0</v>
      </c>
      <c r="K54" s="826">
        <v>0</v>
      </c>
    </row>
    <row r="55" spans="1:11" ht="46.5" customHeight="1">
      <c r="B55" s="846" t="s">
        <v>2634</v>
      </c>
      <c r="C55" s="3" t="s">
        <v>2635</v>
      </c>
      <c r="D55" s="3">
        <v>0</v>
      </c>
      <c r="E55" s="3">
        <v>0</v>
      </c>
      <c r="F55" s="826">
        <v>0</v>
      </c>
      <c r="G55" s="3"/>
      <c r="H55" s="826">
        <v>0</v>
      </c>
      <c r="I55" s="3"/>
      <c r="J55" s="826">
        <v>0</v>
      </c>
      <c r="K55" s="826">
        <v>0</v>
      </c>
    </row>
    <row r="56" spans="1:11" ht="46.5" customHeight="1">
      <c r="B56" s="846" t="s">
        <v>2634</v>
      </c>
      <c r="C56" s="3" t="s">
        <v>2636</v>
      </c>
      <c r="D56" s="3">
        <v>0</v>
      </c>
      <c r="E56" s="3">
        <v>0</v>
      </c>
      <c r="F56" s="826">
        <v>0</v>
      </c>
      <c r="G56" s="3"/>
      <c r="H56" s="826">
        <v>0</v>
      </c>
      <c r="I56" s="3"/>
      <c r="J56" s="826">
        <v>0</v>
      </c>
      <c r="K56" s="826">
        <v>0</v>
      </c>
    </row>
    <row r="57" spans="1:11" ht="62.25" customHeight="1">
      <c r="B57" s="846" t="s">
        <v>2637</v>
      </c>
      <c r="C57" s="3" t="s">
        <v>2638</v>
      </c>
      <c r="D57" s="839">
        <f>50*(54%)</f>
        <v>27</v>
      </c>
      <c r="E57" s="3"/>
      <c r="F57" s="826">
        <v>0</v>
      </c>
      <c r="G57" s="3"/>
      <c r="H57" s="826">
        <v>0</v>
      </c>
      <c r="I57" s="3"/>
      <c r="J57" s="826">
        <v>0</v>
      </c>
      <c r="K57" s="826">
        <v>0</v>
      </c>
    </row>
    <row r="58" spans="1:11" ht="62.25" customHeight="1">
      <c r="B58" s="846" t="s">
        <v>2639</v>
      </c>
      <c r="C58" s="3" t="s">
        <v>2640</v>
      </c>
      <c r="D58" s="839">
        <f>50*(54%)</f>
        <v>27</v>
      </c>
      <c r="E58" s="3"/>
      <c r="F58" s="826">
        <v>0</v>
      </c>
      <c r="G58" s="3"/>
      <c r="H58" s="826">
        <v>0</v>
      </c>
      <c r="I58" s="3"/>
      <c r="J58" s="826">
        <v>0</v>
      </c>
      <c r="K58" s="826">
        <v>0</v>
      </c>
    </row>
    <row r="59" spans="1:11" ht="62.25" customHeight="1">
      <c r="B59" s="846" t="s">
        <v>2639</v>
      </c>
      <c r="C59" s="3" t="s">
        <v>2641</v>
      </c>
      <c r="D59" s="839">
        <f>50*(46%)</f>
        <v>23</v>
      </c>
      <c r="E59" s="3"/>
      <c r="F59" s="826">
        <v>0</v>
      </c>
      <c r="G59" s="3"/>
      <c r="H59" s="826">
        <v>0</v>
      </c>
      <c r="I59" s="3"/>
      <c r="J59" s="826">
        <v>0</v>
      </c>
      <c r="K59" s="826">
        <v>0</v>
      </c>
    </row>
    <row r="60" spans="1:11" ht="61.5" customHeight="1">
      <c r="B60" s="846" t="s">
        <v>2642</v>
      </c>
      <c r="C60" s="818" t="s">
        <v>2643</v>
      </c>
      <c r="D60" s="839"/>
      <c r="E60" s="3"/>
      <c r="F60" s="826">
        <v>0</v>
      </c>
      <c r="G60" s="3"/>
      <c r="H60" s="826">
        <v>0</v>
      </c>
      <c r="I60" s="3"/>
      <c r="J60" s="826">
        <v>0</v>
      </c>
      <c r="K60" s="826">
        <v>0</v>
      </c>
    </row>
    <row r="61" spans="1:11" ht="22.5" customHeight="1">
      <c r="B61" s="847"/>
      <c r="C61" s="831"/>
      <c r="D61" s="848"/>
      <c r="E61" s="833"/>
      <c r="F61" s="845">
        <v>0</v>
      </c>
      <c r="G61" s="833"/>
      <c r="H61" s="845">
        <v>0</v>
      </c>
      <c r="I61" s="833"/>
      <c r="J61" s="845">
        <v>0</v>
      </c>
      <c r="K61" s="833"/>
    </row>
    <row r="62" spans="1:11" ht="61.5" customHeight="1">
      <c r="B62" s="849" t="s">
        <v>2644</v>
      </c>
      <c r="C62" s="818" t="s">
        <v>2645</v>
      </c>
      <c r="D62" s="839"/>
      <c r="E62" s="3">
        <f>816+488+468</f>
        <v>1772</v>
      </c>
      <c r="F62" s="826">
        <v>0</v>
      </c>
      <c r="G62" s="3"/>
      <c r="H62" s="826">
        <v>0</v>
      </c>
      <c r="I62" s="3"/>
      <c r="J62" s="826">
        <v>0</v>
      </c>
      <c r="K62" s="826">
        <v>0</v>
      </c>
    </row>
    <row r="63" spans="1:11" ht="61.5" customHeight="1">
      <c r="B63" s="849" t="s">
        <v>2644</v>
      </c>
      <c r="C63" s="818" t="s">
        <v>2646</v>
      </c>
      <c r="D63" s="839"/>
      <c r="E63" s="3">
        <v>50</v>
      </c>
      <c r="F63" s="826">
        <v>5000</v>
      </c>
      <c r="G63" s="3"/>
      <c r="H63" s="826">
        <v>0</v>
      </c>
      <c r="I63" s="3"/>
      <c r="J63" s="826">
        <v>0</v>
      </c>
      <c r="K63" s="826">
        <v>0</v>
      </c>
    </row>
    <row r="64" spans="1:11" ht="21.75" customHeight="1">
      <c r="B64" s="850"/>
      <c r="C64" s="851"/>
      <c r="D64" s="852"/>
      <c r="E64" s="820"/>
      <c r="F64" s="822"/>
      <c r="G64" s="820"/>
      <c r="H64" s="822"/>
      <c r="I64" s="820"/>
      <c r="J64" s="822"/>
      <c r="K64" s="822"/>
    </row>
    <row r="65" spans="2:13" ht="61.5" customHeight="1">
      <c r="B65" s="853" t="s">
        <v>2647</v>
      </c>
      <c r="C65" s="818" t="s">
        <v>2627</v>
      </c>
      <c r="D65" s="839">
        <f>2*6</f>
        <v>12</v>
      </c>
      <c r="E65" s="3">
        <v>1</v>
      </c>
      <c r="F65" s="826">
        <f>[5]Sheet1!B9</f>
        <v>200000</v>
      </c>
      <c r="G65" s="3"/>
      <c r="H65" s="826">
        <f>D65*E65*F65</f>
        <v>2400000</v>
      </c>
      <c r="I65" s="3"/>
      <c r="J65" s="826">
        <f>H65</f>
        <v>2400000</v>
      </c>
      <c r="K65" s="826">
        <f>J65</f>
        <v>2400000</v>
      </c>
    </row>
    <row r="66" spans="2:13" ht="61.5" customHeight="1">
      <c r="B66" s="853" t="s">
        <v>2647</v>
      </c>
      <c r="C66" s="818" t="s">
        <v>2253</v>
      </c>
      <c r="D66" s="839">
        <f>2*6</f>
        <v>12</v>
      </c>
      <c r="E66" s="3">
        <v>4</v>
      </c>
      <c r="F66" s="826">
        <f>[5]Sheet1!B3</f>
        <v>55000</v>
      </c>
      <c r="G66" s="3"/>
      <c r="H66" s="826">
        <f t="shared" ref="H66:H68" si="11">D66*E66*F66</f>
        <v>2640000</v>
      </c>
      <c r="I66" s="3"/>
      <c r="J66" s="826">
        <f t="shared" ref="J66:J68" si="12">H66</f>
        <v>2640000</v>
      </c>
      <c r="K66" s="826">
        <f t="shared" ref="K66:K69" si="13">J66</f>
        <v>2640000</v>
      </c>
    </row>
    <row r="67" spans="2:13" ht="61.5" customHeight="1">
      <c r="B67" s="853" t="s">
        <v>2647</v>
      </c>
      <c r="C67" s="818" t="s">
        <v>2609</v>
      </c>
      <c r="D67" s="839">
        <f>4*4</f>
        <v>16</v>
      </c>
      <c r="E67" s="3">
        <v>1</v>
      </c>
      <c r="F67" s="826">
        <f>[5]Sheet1!B12</f>
        <v>52000</v>
      </c>
      <c r="G67" s="3"/>
      <c r="H67" s="826">
        <f t="shared" si="11"/>
        <v>832000</v>
      </c>
      <c r="I67" s="3"/>
      <c r="J67" s="826">
        <f t="shared" si="12"/>
        <v>832000</v>
      </c>
      <c r="K67" s="826">
        <f t="shared" si="13"/>
        <v>832000</v>
      </c>
    </row>
    <row r="68" spans="2:13" ht="61.5" customHeight="1">
      <c r="B68" s="853" t="s">
        <v>2647</v>
      </c>
      <c r="C68" s="818" t="s">
        <v>2648</v>
      </c>
      <c r="D68" s="839">
        <f>2*2</f>
        <v>4</v>
      </c>
      <c r="E68" s="3">
        <v>2</v>
      </c>
      <c r="F68" s="826">
        <f>[5]Sheet1!B15</f>
        <v>96000</v>
      </c>
      <c r="G68" s="3"/>
      <c r="H68" s="826">
        <f t="shared" si="11"/>
        <v>768000</v>
      </c>
      <c r="I68" s="3"/>
      <c r="J68" s="826">
        <f t="shared" si="12"/>
        <v>768000</v>
      </c>
      <c r="K68" s="826">
        <f t="shared" si="13"/>
        <v>768000</v>
      </c>
    </row>
    <row r="69" spans="2:13">
      <c r="B69" s="854"/>
      <c r="C69" s="820"/>
      <c r="D69" s="820"/>
      <c r="E69" s="820"/>
      <c r="F69" s="820"/>
      <c r="G69" s="820"/>
      <c r="H69" s="820"/>
      <c r="I69" s="820"/>
      <c r="J69" s="855">
        <f>SUM(J65:J68)</f>
        <v>6640000</v>
      </c>
      <c r="K69" s="855">
        <f t="shared" si="13"/>
        <v>6640000</v>
      </c>
      <c r="L69" s="856"/>
    </row>
    <row r="70" spans="2:13" ht="18.5">
      <c r="H70" s="857" t="s">
        <v>2649</v>
      </c>
      <c r="I70" s="857"/>
      <c r="J70" s="858">
        <f>J53+J44+K44+J40+J31+J19+J7+K7+J69+K69</f>
        <v>1782318620.2068102</v>
      </c>
    </row>
    <row r="71" spans="2:13" ht="18.5">
      <c r="H71" s="859"/>
      <c r="I71" s="859"/>
      <c r="J71" s="860">
        <f>J70/1000</f>
        <v>1782318.6202068103</v>
      </c>
    </row>
    <row r="73" spans="2:13">
      <c r="J73" s="861">
        <f>J69+J64+J61+J53+J44+J40+J31+J19+J7</f>
        <v>960730743.43673849</v>
      </c>
      <c r="K73" s="861">
        <f>K69+K64+K61+K53+K44+K40+K31+K19+K7</f>
        <v>821587876.77007174</v>
      </c>
    </row>
    <row r="74" spans="2:13">
      <c r="J74" s="861">
        <f>J73+K73</f>
        <v>1782318620.2068102</v>
      </c>
    </row>
    <row r="75" spans="2:13">
      <c r="I75" t="s">
        <v>2650</v>
      </c>
    </row>
    <row r="76" spans="2:13" ht="15.5">
      <c r="I76" t="s">
        <v>2651</v>
      </c>
      <c r="J76" s="858">
        <f>J19+J31+J40+J44+J53+J69</f>
        <v>155794666.66666669</v>
      </c>
      <c r="K76" s="862"/>
    </row>
    <row r="77" spans="2:13" ht="18.5">
      <c r="I77" t="s">
        <v>2652</v>
      </c>
      <c r="J77" s="860">
        <f>J76/1000</f>
        <v>155794.66666666669</v>
      </c>
      <c r="K77" s="863"/>
      <c r="L77" s="612"/>
      <c r="M77" s="864"/>
    </row>
    <row r="78" spans="2:13">
      <c r="I78" t="s">
        <v>2653</v>
      </c>
      <c r="J78" s="863">
        <f>J77/1924763</f>
        <v>8.094225973102491E-2</v>
      </c>
      <c r="K78" s="863"/>
      <c r="L78" s="612"/>
      <c r="M78" s="864"/>
    </row>
    <row r="79" spans="2:13">
      <c r="I79" t="s">
        <v>2654</v>
      </c>
      <c r="J79" s="612">
        <f>J78*1600</f>
        <v>129.50761556963985</v>
      </c>
    </row>
    <row r="80" spans="2:13">
      <c r="J80" s="813">
        <v>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11</vt:i4>
      </vt:variant>
    </vt:vector>
  </HeadingPairs>
  <TitlesOfParts>
    <vt:vector size="25" baseType="lpstr">
      <vt:lpstr>Cover Page</vt:lpstr>
      <vt:lpstr>Unit Cost</vt:lpstr>
      <vt:lpstr>Detailed Budget</vt:lpstr>
      <vt:lpstr>States and LGAs</vt:lpstr>
      <vt:lpstr>Cost inputs for SMC Campaign</vt:lpstr>
      <vt:lpstr>SUMMARY&gt;&gt;&gt;</vt:lpstr>
      <vt:lpstr>NSP Needs by Year</vt:lpstr>
      <vt:lpstr>INPUTS&gt;&gt;&gt;</vt:lpstr>
      <vt:lpstr>REFERENCE&gt;&gt;&gt;</vt:lpstr>
      <vt:lpstr>Data Validation</vt:lpstr>
      <vt:lpstr>Cost inputs for ITN Campaign</vt:lpstr>
      <vt:lpstr>Cost inputs CM commodities</vt:lpstr>
      <vt:lpstr>Cost inputs for PMC commodities</vt:lpstr>
      <vt:lpstr>Cost inputs-PMC SP Distribution</vt:lpstr>
      <vt:lpstr>ACU</vt:lpstr>
      <vt:lpstr>Economy</vt:lpstr>
      <vt:lpstr>FX_Rate</vt:lpstr>
      <vt:lpstr>LCU</vt:lpstr>
      <vt:lpstr>Lvl1Hdr</vt:lpstr>
      <vt:lpstr>Lvl2Hdr</vt:lpstr>
      <vt:lpstr>Lvl3Hdr</vt:lpstr>
      <vt:lpstr>Lvl4Hdr</vt:lpstr>
      <vt:lpstr>Lvl6Hdr</vt:lpstr>
      <vt:lpstr>LvlBottomHdr</vt:lpstr>
      <vt:lpstr>LvlTopHdr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Anthony Yuen</dc:creator>
  <cp:keywords/>
  <dc:description/>
  <cp:lastModifiedBy>Hayley Thompson</cp:lastModifiedBy>
  <cp:revision/>
  <dcterms:created xsi:type="dcterms:W3CDTF">2019-10-25T07:27:20Z</dcterms:created>
  <dcterms:modified xsi:type="dcterms:W3CDTF">2024-09-13T03:44:01Z</dcterms:modified>
  <cp:category/>
  <cp:contentStatus/>
</cp:coreProperties>
</file>